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drawings/drawing6.xml" ContentType="application/vnd.openxmlformats-officedocument.drawing+xml"/>
  <Override PartName="/xl/charts/chart12.xml" ContentType="application/vnd.openxmlformats-officedocument.drawingml.char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7.xml" ContentType="application/vnd.openxmlformats-officedocument.drawing+xml"/>
  <Override PartName="/xl/comments4.xml" ContentType="application/vnd.openxmlformats-officedocument.spreadsheetml.comments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995ACD0C-68E5-48A7-999B-BDF6FD1F2FAC}" xr6:coauthVersionLast="47" xr6:coauthVersionMax="47" xr10:uidLastSave="{00000000-0000-0000-0000-000000000000}"/>
  <workbookProtection workbookAlgorithmName="SHA-512" workbookHashValue="EjQ9Rb7SskPiimR6E7g5f3i095kJRNNENtwbbwIwS4PbxXqEj7yVJQri69H67rH5mOdj6ZRL9sE5nD2eq+c/AA==" workbookSaltValue="rLmuDJPbaXSAslZOA09y8g==" workbookSpinCount="100000" lockStructure="1"/>
  <bookViews>
    <workbookView xWindow="-120" yWindow="-120" windowWidth="20730" windowHeight="11160" tabRatio="925" xr2:uid="{00000000-000D-0000-FFFF-FFFF00000000}"/>
  </bookViews>
  <sheets>
    <sheet name="0.Результаты расчета" sheetId="42" r:id="rId1"/>
    <sheet name="Экспресс потенциал" sheetId="28" state="hidden" r:id="rId2"/>
    <sheet name="1.Общие данные по зданию" sheetId="27" r:id="rId3"/>
    <sheet name="Бассейны" sheetId="30" state="hidden" r:id="rId4"/>
    <sheet name="2.УР ТЭ на нужды ОиВ" sheetId="34" r:id="rId5"/>
    <sheet name="3.УР горячей воды" sheetId="35" r:id="rId6"/>
    <sheet name="4.УР холодной воды" sheetId="37" r:id="rId7"/>
    <sheet name="5.УР ЭЭ" sheetId="36" r:id="rId8"/>
    <sheet name="6.УР природного газа на цели ПП" sheetId="38" r:id="rId9"/>
    <sheet name="7.УР топлива на отопл. и вент." sheetId="39" r:id="rId10"/>
    <sheet name="8.УР моторного топлива" sheetId="40" r:id="rId11"/>
    <sheet name="ВУЗ" sheetId="23" state="hidden" r:id="rId12"/>
    <sheet name="Школа искусств" sheetId="24" state="hidden" r:id="rId13"/>
    <sheet name="Муз.школа" sheetId="25" state="hidden" r:id="rId14"/>
    <sheet name="ФАП" sheetId="26" state="hidden" r:id="rId15"/>
    <sheet name="Театры, кинотеатры" sheetId="21" state="hidden" r:id="rId16"/>
    <sheet name="Музеи" sheetId="22" state="hidden" r:id="rId17"/>
    <sheet name="ДЮСШ" sheetId="20" state="hidden" r:id="rId18"/>
    <sheet name="Больница" sheetId="15" state="hidden" r:id="rId19"/>
    <sheet name="Мед.стационар" sheetId="14" state="hidden" r:id="rId20"/>
    <sheet name="Поликлиника,амбулаторий" sheetId="13" state="hidden" r:id="rId21"/>
    <sheet name="Аптека,мол.кухня,ветаптека" sheetId="12" state="hidden" r:id="rId22"/>
    <sheet name="Клуб" sheetId="8" state="hidden" r:id="rId23"/>
    <sheet name="ДОУ" sheetId="2" state="hidden" r:id="rId24"/>
    <sheet name="Библиотеки" sheetId="4" state="hidden" r:id="rId25"/>
    <sheet name="Адм. здания" sheetId="5" state="hidden" r:id="rId26"/>
    <sheet name="НИИ и проч" sheetId="6" state="hidden" r:id="rId27"/>
    <sheet name="Центры занятости и Собесы" sheetId="7" state="hidden" r:id="rId28"/>
    <sheet name="Общеобр.У" sheetId="10" state="hidden" r:id="rId29"/>
    <sheet name="Откр.спорт.сооруж-е" sheetId="29" state="hidden" r:id="rId30"/>
    <sheet name="Крыт.спорт.сооруж-е" sheetId="31" state="hidden" r:id="rId31"/>
    <sheet name="Климатология2019" sheetId="32" state="hidden" r:id="rId32"/>
    <sheet name="Климатология2020" sheetId="43" state="hidden" r:id="rId33"/>
    <sheet name="Климатология2021" sheetId="44" state="hidden" r:id="rId34"/>
    <sheet name="Климатология2022" sheetId="45" state="hidden" r:id="rId35"/>
    <sheet name="Климатология2023" sheetId="46" state="hidden" r:id="rId36"/>
    <sheet name="Климатология2024" sheetId="47" state="hidden" r:id="rId37"/>
    <sheet name="Климатология2025" sheetId="48" state="hidden" r:id="rId38"/>
    <sheet name="списки" sheetId="33" state="hidden" r:id="rId39"/>
  </sheets>
  <definedNames>
    <definedName name="_ftn1" localSheetId="1">'Экспресс потенциал'!$S$30</definedName>
    <definedName name="_ftnref1" localSheetId="1">'Экспресс потенциал'!$U$6</definedName>
    <definedName name="danet">списки!$Q$7:$Q$9</definedName>
    <definedName name="MotTopl">списки!$A$553:$A$560</definedName>
    <definedName name="PUdanet">списки!$X$7:$X$9</definedName>
    <definedName name="Smeny">'Экспресс потенциал'!$M$32:$M$33</definedName>
    <definedName name="TipyExpress">'Экспресс потенциал'!$B$5:$B$27</definedName>
    <definedName name="Uchet">списки!$Q$3:$Q$5</definedName>
    <definedName name="РегионСтарт" localSheetId="10">Table2[[#Headers],[Регион]]</definedName>
    <definedName name="РегионСтарт" localSheetId="32">Table2[[#Headers],[Регион]]</definedName>
    <definedName name="РегионСтарт" localSheetId="33">Table2[[#Headers],[Регион]]</definedName>
    <definedName name="РегионСтарт">Table2[[#Headers],[Регион]]</definedName>
    <definedName name="РегионСтолбец" localSheetId="10">Table2[[#All],[Регион]]</definedName>
    <definedName name="РегионСтолбец" localSheetId="32">Table2[[#All],[Регион]]</definedName>
    <definedName name="РегионСтолбец" localSheetId="33">Table2[[#All],[Регион]]</definedName>
    <definedName name="РегионСтолбец">Table2[[#All],[Регион]]</definedName>
    <definedName name="РегионыСписок" localSheetId="32">Климатология2020!$B$5:$B$94</definedName>
    <definedName name="РегионыСписок" localSheetId="33">Климатология2021!$B$5:$B$94</definedName>
    <definedName name="РегионыСписок">Климатология2019!$B$5:$B$94</definedName>
    <definedName name="СпискиРегионы">Климатология2024!$B$5:$B$99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5" i="27" l="1"/>
  <c r="E19" i="28" l="1"/>
  <c r="K19" i="28"/>
  <c r="N14" i="28" l="1"/>
  <c r="N20" i="28"/>
  <c r="N26" i="28"/>
  <c r="N25" i="28"/>
  <c r="N24" i="28"/>
  <c r="N17" i="28"/>
  <c r="N16" i="28"/>
  <c r="N15" i="28"/>
  <c r="N13" i="28"/>
  <c r="N11" i="28"/>
  <c r="N8" i="28"/>
  <c r="N6" i="28"/>
  <c r="N9" i="28"/>
  <c r="N10" i="28"/>
  <c r="B60" i="36" l="1"/>
  <c r="B22" i="39"/>
  <c r="B67" i="36"/>
  <c r="C8" i="38"/>
  <c r="J10" i="40" l="1"/>
  <c r="S557" i="33"/>
  <c r="I32" i="42"/>
  <c r="B21" i="39"/>
  <c r="E32" i="42" l="1"/>
  <c r="D32" i="42"/>
  <c r="C32" i="42"/>
  <c r="K26" i="28"/>
  <c r="K25" i="28"/>
  <c r="K24" i="28"/>
  <c r="K23" i="28"/>
  <c r="K22" i="28"/>
  <c r="K21" i="28"/>
  <c r="K20" i="28"/>
  <c r="K18" i="28"/>
  <c r="K17" i="28"/>
  <c r="K15" i="28"/>
  <c r="K14" i="28"/>
  <c r="K13" i="28"/>
  <c r="K12" i="28"/>
  <c r="I13" i="28"/>
  <c r="AG13" i="28" s="1"/>
  <c r="E22" i="28"/>
  <c r="E21" i="28"/>
  <c r="E20" i="28"/>
  <c r="E18" i="28"/>
  <c r="E17" i="28"/>
  <c r="E15" i="28"/>
  <c r="E14" i="28"/>
  <c r="E13" i="28"/>
  <c r="E9" i="28"/>
  <c r="G13" i="28"/>
  <c r="G14" i="28"/>
  <c r="G15" i="28"/>
  <c r="G19" i="28"/>
  <c r="G20" i="28"/>
  <c r="G22" i="28"/>
  <c r="G24" i="28"/>
  <c r="G25" i="28"/>
  <c r="E26" i="28"/>
  <c r="E25" i="28"/>
  <c r="E24" i="28"/>
  <c r="E23" i="28"/>
  <c r="G17" i="28"/>
  <c r="G18" i="28"/>
  <c r="G21" i="28"/>
  <c r="G23" i="28"/>
  <c r="G26" i="28"/>
  <c r="AG25" i="28"/>
  <c r="AG24" i="28"/>
  <c r="AG23" i="28"/>
  <c r="AG20" i="28"/>
  <c r="AG18" i="28"/>
  <c r="AG15" i="28"/>
  <c r="AG12" i="28"/>
  <c r="AG10" i="28"/>
  <c r="AG7" i="28"/>
  <c r="AG6" i="28"/>
  <c r="G11" i="27"/>
  <c r="B10" i="37" l="1"/>
  <c r="B11" i="37" s="1"/>
  <c r="I19" i="39"/>
  <c r="I9" i="39"/>
  <c r="I10" i="39"/>
  <c r="I11" i="39"/>
  <c r="I12" i="39"/>
  <c r="I13" i="39"/>
  <c r="I14" i="39"/>
  <c r="I15" i="39"/>
  <c r="I8" i="39"/>
  <c r="B10" i="35"/>
  <c r="B11" i="35" s="1"/>
  <c r="B11" i="38"/>
  <c r="B11" i="34"/>
  <c r="M25" i="28"/>
  <c r="M24" i="28"/>
  <c r="M23" i="28"/>
  <c r="M15" i="28"/>
  <c r="C452" i="5"/>
  <c r="C451" i="5"/>
  <c r="C450" i="5"/>
  <c r="C449" i="5"/>
  <c r="C448" i="5"/>
  <c r="C447" i="5"/>
  <c r="C446" i="5"/>
  <c r="C445" i="5"/>
  <c r="C444" i="5"/>
  <c r="C443" i="5"/>
  <c r="C442" i="5"/>
  <c r="C441" i="5"/>
  <c r="C440" i="5"/>
  <c r="C439" i="5"/>
  <c r="C438" i="5"/>
  <c r="C437" i="5"/>
  <c r="C436" i="5"/>
  <c r="C435" i="5"/>
  <c r="C434" i="5"/>
  <c r="C433" i="5"/>
  <c r="C432" i="5"/>
  <c r="C431" i="5"/>
  <c r="C430" i="5"/>
  <c r="C429" i="5"/>
  <c r="C428" i="5"/>
  <c r="C427" i="5"/>
  <c r="C426" i="5"/>
  <c r="C425" i="5"/>
  <c r="C424" i="5"/>
  <c r="C423" i="5"/>
  <c r="C422" i="5"/>
  <c r="C421" i="5"/>
  <c r="C420" i="5"/>
  <c r="C419" i="5"/>
  <c r="C418" i="5"/>
  <c r="C417" i="5"/>
  <c r="C416" i="5"/>
  <c r="C415" i="5"/>
  <c r="C414" i="5"/>
  <c r="C413" i="5"/>
  <c r="C412" i="5"/>
  <c r="C411" i="5"/>
  <c r="C410" i="5"/>
  <c r="C409" i="5"/>
  <c r="C408" i="5"/>
  <c r="C407" i="5"/>
  <c r="C406" i="5"/>
  <c r="C405" i="5"/>
  <c r="C404" i="5"/>
  <c r="C403" i="5"/>
  <c r="C387" i="5"/>
  <c r="C386" i="5"/>
  <c r="C385" i="5"/>
  <c r="C384" i="5"/>
  <c r="C383" i="5"/>
  <c r="C382" i="5"/>
  <c r="C381" i="5"/>
  <c r="C380" i="5"/>
  <c r="C379" i="5"/>
  <c r="C378" i="5"/>
  <c r="C377" i="5"/>
  <c r="C376" i="5"/>
  <c r="C375" i="5"/>
  <c r="C374" i="5"/>
  <c r="C373" i="5"/>
  <c r="C372" i="5"/>
  <c r="C371" i="5"/>
  <c r="C370" i="5"/>
  <c r="C369" i="5"/>
  <c r="C368" i="5"/>
  <c r="C367" i="5"/>
  <c r="C366" i="5"/>
  <c r="C365" i="5"/>
  <c r="C364" i="5"/>
  <c r="C363" i="5"/>
  <c r="C362" i="5"/>
  <c r="C361" i="5"/>
  <c r="C360" i="5"/>
  <c r="C359" i="5"/>
  <c r="C358" i="5"/>
  <c r="C357" i="5"/>
  <c r="C356" i="5"/>
  <c r="C355" i="5"/>
  <c r="C354" i="5"/>
  <c r="C353" i="5"/>
  <c r="C352" i="5"/>
  <c r="C351" i="5"/>
  <c r="C350" i="5"/>
  <c r="C349" i="5"/>
  <c r="C348" i="5"/>
  <c r="C347" i="5"/>
  <c r="C346" i="5"/>
  <c r="C345" i="5"/>
  <c r="C344" i="5"/>
  <c r="C343" i="5"/>
  <c r="C342" i="5"/>
  <c r="C341" i="5"/>
  <c r="C340" i="5"/>
  <c r="C339" i="5"/>
  <c r="C338" i="5"/>
  <c r="C320" i="5"/>
  <c r="C319" i="5"/>
  <c r="C318" i="5"/>
  <c r="C317" i="5"/>
  <c r="C316" i="5"/>
  <c r="C315" i="5"/>
  <c r="C314" i="5"/>
  <c r="C313" i="5"/>
  <c r="C312" i="5"/>
  <c r="C311" i="5"/>
  <c r="C310" i="5"/>
  <c r="C309" i="5"/>
  <c r="C308" i="5"/>
  <c r="C307" i="5"/>
  <c r="C306" i="5"/>
  <c r="C305" i="5"/>
  <c r="C304" i="5"/>
  <c r="C303" i="5"/>
  <c r="C302" i="5"/>
  <c r="C301" i="5"/>
  <c r="C300" i="5"/>
  <c r="C299" i="5"/>
  <c r="C298" i="5"/>
  <c r="C297" i="5"/>
  <c r="C296" i="5"/>
  <c r="C295" i="5"/>
  <c r="C294" i="5"/>
  <c r="C293" i="5"/>
  <c r="C292" i="5"/>
  <c r="C291" i="5"/>
  <c r="C290" i="5"/>
  <c r="C289" i="5"/>
  <c r="C288" i="5"/>
  <c r="C287" i="5"/>
  <c r="C286" i="5"/>
  <c r="C285" i="5"/>
  <c r="C284" i="5"/>
  <c r="C283" i="5"/>
  <c r="C282" i="5"/>
  <c r="C281" i="5"/>
  <c r="C280" i="5"/>
  <c r="C279" i="5"/>
  <c r="C278" i="5"/>
  <c r="C277" i="5"/>
  <c r="C276" i="5"/>
  <c r="C275" i="5"/>
  <c r="C274" i="5"/>
  <c r="C273" i="5"/>
  <c r="C272" i="5"/>
  <c r="C271" i="5"/>
  <c r="C254" i="5"/>
  <c r="C253" i="5"/>
  <c r="C252" i="5"/>
  <c r="C251" i="5"/>
  <c r="C250" i="5"/>
  <c r="C249" i="5"/>
  <c r="C248" i="5"/>
  <c r="C247" i="5"/>
  <c r="C246" i="5"/>
  <c r="C245" i="5"/>
  <c r="C244" i="5"/>
  <c r="C243" i="5"/>
  <c r="C242" i="5"/>
  <c r="C241" i="5"/>
  <c r="C240" i="5"/>
  <c r="C239" i="5"/>
  <c r="C238" i="5"/>
  <c r="C237" i="5"/>
  <c r="C236" i="5"/>
  <c r="C235" i="5"/>
  <c r="C234" i="5"/>
  <c r="C233" i="5"/>
  <c r="C232" i="5"/>
  <c r="C231" i="5"/>
  <c r="C230" i="5"/>
  <c r="C229" i="5"/>
  <c r="C228" i="5"/>
  <c r="C227" i="5"/>
  <c r="C226" i="5"/>
  <c r="C225" i="5"/>
  <c r="C224" i="5"/>
  <c r="C223" i="5"/>
  <c r="C222" i="5"/>
  <c r="C221" i="5"/>
  <c r="C220" i="5"/>
  <c r="C219" i="5"/>
  <c r="C218" i="5"/>
  <c r="C217" i="5"/>
  <c r="C216" i="5"/>
  <c r="C215" i="5"/>
  <c r="C214" i="5"/>
  <c r="C213" i="5"/>
  <c r="C212" i="5"/>
  <c r="C211" i="5"/>
  <c r="C210" i="5"/>
  <c r="C209" i="5"/>
  <c r="C208" i="5"/>
  <c r="C207" i="5"/>
  <c r="C206" i="5"/>
  <c r="C205" i="5"/>
  <c r="C188" i="5"/>
  <c r="C187" i="5"/>
  <c r="C186" i="5"/>
  <c r="C185" i="5"/>
  <c r="C184" i="5"/>
  <c r="C183" i="5"/>
  <c r="C182" i="5"/>
  <c r="C181" i="5"/>
  <c r="C180" i="5"/>
  <c r="C179" i="5"/>
  <c r="C178" i="5"/>
  <c r="C177" i="5"/>
  <c r="C176" i="5"/>
  <c r="C175" i="5"/>
  <c r="C174" i="5"/>
  <c r="C173" i="5"/>
  <c r="C172" i="5"/>
  <c r="C171" i="5"/>
  <c r="C170" i="5"/>
  <c r="C169" i="5"/>
  <c r="C168" i="5"/>
  <c r="C167" i="5"/>
  <c r="C166" i="5"/>
  <c r="C165" i="5"/>
  <c r="C164" i="5"/>
  <c r="C163" i="5"/>
  <c r="C162" i="5"/>
  <c r="C161" i="5"/>
  <c r="C160" i="5"/>
  <c r="C159" i="5"/>
  <c r="C158" i="5"/>
  <c r="C157" i="5"/>
  <c r="C156" i="5"/>
  <c r="C155" i="5"/>
  <c r="C154" i="5"/>
  <c r="C153" i="5"/>
  <c r="C152" i="5"/>
  <c r="C151" i="5"/>
  <c r="C150" i="5"/>
  <c r="C149" i="5"/>
  <c r="C148" i="5"/>
  <c r="C147" i="5"/>
  <c r="C146" i="5"/>
  <c r="C145" i="5"/>
  <c r="C144" i="5"/>
  <c r="C143" i="5"/>
  <c r="C142" i="5"/>
  <c r="C141" i="5"/>
  <c r="C140" i="5"/>
  <c r="C139" i="5"/>
  <c r="C123" i="5"/>
  <c r="C122" i="5"/>
  <c r="C121" i="5"/>
  <c r="C120" i="5"/>
  <c r="C119" i="5"/>
  <c r="C118" i="5"/>
  <c r="C117" i="5"/>
  <c r="C116" i="5"/>
  <c r="C115" i="5"/>
  <c r="C114" i="5"/>
  <c r="C113" i="5"/>
  <c r="C112" i="5"/>
  <c r="C111" i="5"/>
  <c r="C110" i="5"/>
  <c r="C109" i="5"/>
  <c r="C108" i="5"/>
  <c r="C107" i="5"/>
  <c r="C106" i="5"/>
  <c r="C105" i="5"/>
  <c r="C104" i="5"/>
  <c r="C103" i="5"/>
  <c r="C102" i="5"/>
  <c r="C101" i="5"/>
  <c r="C100" i="5"/>
  <c r="C99" i="5"/>
  <c r="C98" i="5"/>
  <c r="C97" i="5"/>
  <c r="C96" i="5"/>
  <c r="C95" i="5"/>
  <c r="C94" i="5"/>
  <c r="C93" i="5"/>
  <c r="C92" i="5"/>
  <c r="C91" i="5"/>
  <c r="C90" i="5"/>
  <c r="C89" i="5"/>
  <c r="C88" i="5"/>
  <c r="C87" i="5"/>
  <c r="C86" i="5"/>
  <c r="C85" i="5"/>
  <c r="C84" i="5"/>
  <c r="C83" i="5"/>
  <c r="C82" i="5"/>
  <c r="C81" i="5"/>
  <c r="C80" i="5"/>
  <c r="C79" i="5"/>
  <c r="C78" i="5"/>
  <c r="C77" i="5"/>
  <c r="C76" i="5"/>
  <c r="C75" i="5"/>
  <c r="C74" i="5"/>
  <c r="C56" i="5"/>
  <c r="C55" i="5"/>
  <c r="C54" i="5"/>
  <c r="C53" i="5"/>
  <c r="C52" i="5"/>
  <c r="C51" i="5"/>
  <c r="C50" i="5"/>
  <c r="C49" i="5"/>
  <c r="C48" i="5"/>
  <c r="C47" i="5"/>
  <c r="C46" i="5"/>
  <c r="C45" i="5"/>
  <c r="C44" i="5"/>
  <c r="C43" i="5"/>
  <c r="C42" i="5"/>
  <c r="C41" i="5"/>
  <c r="C40" i="5"/>
  <c r="C39" i="5"/>
  <c r="C38" i="5"/>
  <c r="C37" i="5"/>
  <c r="C36" i="5"/>
  <c r="C35" i="5"/>
  <c r="C34" i="5"/>
  <c r="C33" i="5"/>
  <c r="C32" i="5"/>
  <c r="C31" i="5"/>
  <c r="C30" i="5"/>
  <c r="C29" i="5"/>
  <c r="C28" i="5"/>
  <c r="C27" i="5"/>
  <c r="C26" i="5"/>
  <c r="C25" i="5"/>
  <c r="C24" i="5"/>
  <c r="C23" i="5"/>
  <c r="C22" i="5"/>
  <c r="C21" i="5"/>
  <c r="C20" i="5"/>
  <c r="C19" i="5"/>
  <c r="C18" i="5"/>
  <c r="C17" i="5"/>
  <c r="C16" i="5"/>
  <c r="C15" i="5"/>
  <c r="C14" i="5"/>
  <c r="C13" i="5"/>
  <c r="C12" i="5"/>
  <c r="C11" i="5"/>
  <c r="C10" i="5"/>
  <c r="C9" i="5"/>
  <c r="C8" i="5"/>
  <c r="C7" i="5"/>
  <c r="C452" i="31"/>
  <c r="C451" i="31"/>
  <c r="C450" i="31"/>
  <c r="C449" i="31"/>
  <c r="C448" i="31"/>
  <c r="C447" i="31"/>
  <c r="C446" i="31"/>
  <c r="C445" i="31"/>
  <c r="C444" i="31"/>
  <c r="C443" i="31"/>
  <c r="C442" i="31"/>
  <c r="C441" i="31"/>
  <c r="C440" i="31"/>
  <c r="C439" i="31"/>
  <c r="C438" i="31"/>
  <c r="C437" i="31"/>
  <c r="C436" i="31"/>
  <c r="C435" i="31"/>
  <c r="C434" i="31"/>
  <c r="C433" i="31"/>
  <c r="C432" i="31"/>
  <c r="C431" i="31"/>
  <c r="C430" i="31"/>
  <c r="C429" i="31"/>
  <c r="C428" i="31"/>
  <c r="C427" i="31"/>
  <c r="C426" i="31"/>
  <c r="C425" i="31"/>
  <c r="C424" i="31"/>
  <c r="C423" i="31"/>
  <c r="C422" i="31"/>
  <c r="C421" i="31"/>
  <c r="C420" i="31"/>
  <c r="C419" i="31"/>
  <c r="C418" i="31"/>
  <c r="C417" i="31"/>
  <c r="C416" i="31"/>
  <c r="C415" i="31"/>
  <c r="C414" i="31"/>
  <c r="C413" i="31"/>
  <c r="C412" i="31"/>
  <c r="C411" i="31"/>
  <c r="C410" i="31"/>
  <c r="C409" i="31"/>
  <c r="C408" i="31"/>
  <c r="C407" i="31"/>
  <c r="C406" i="31"/>
  <c r="C405" i="31"/>
  <c r="C404" i="31"/>
  <c r="C403" i="31"/>
  <c r="C387" i="31"/>
  <c r="C386" i="31"/>
  <c r="C385" i="31"/>
  <c r="C384" i="31"/>
  <c r="C383" i="31"/>
  <c r="C382" i="31"/>
  <c r="C381" i="31"/>
  <c r="C380" i="31"/>
  <c r="C379" i="31"/>
  <c r="C378" i="31"/>
  <c r="C377" i="31"/>
  <c r="C376" i="31"/>
  <c r="C375" i="31"/>
  <c r="C374" i="31"/>
  <c r="C373" i="31"/>
  <c r="C372" i="31"/>
  <c r="C371" i="31"/>
  <c r="C370" i="31"/>
  <c r="C369" i="31"/>
  <c r="C368" i="31"/>
  <c r="C367" i="31"/>
  <c r="C366" i="31"/>
  <c r="C365" i="31"/>
  <c r="C364" i="31"/>
  <c r="C363" i="31"/>
  <c r="C362" i="31"/>
  <c r="C361" i="31"/>
  <c r="C360" i="31"/>
  <c r="C359" i="31"/>
  <c r="C358" i="31"/>
  <c r="C357" i="31"/>
  <c r="C356" i="31"/>
  <c r="C355" i="31"/>
  <c r="C354" i="31"/>
  <c r="C353" i="31"/>
  <c r="C352" i="31"/>
  <c r="C351" i="31"/>
  <c r="C350" i="31"/>
  <c r="C349" i="31"/>
  <c r="C348" i="31"/>
  <c r="C347" i="31"/>
  <c r="C346" i="31"/>
  <c r="C345" i="31"/>
  <c r="C344" i="31"/>
  <c r="C343" i="31"/>
  <c r="C342" i="31"/>
  <c r="C341" i="31"/>
  <c r="C340" i="31"/>
  <c r="C339" i="31"/>
  <c r="C338" i="31"/>
  <c r="C320" i="31"/>
  <c r="C319" i="31"/>
  <c r="C318" i="31"/>
  <c r="C317" i="31"/>
  <c r="C316" i="31"/>
  <c r="C315" i="31"/>
  <c r="C314" i="31"/>
  <c r="C313" i="31"/>
  <c r="C312" i="31"/>
  <c r="C311" i="31"/>
  <c r="C310" i="31"/>
  <c r="C309" i="31"/>
  <c r="C308" i="31"/>
  <c r="C307" i="31"/>
  <c r="C306" i="31"/>
  <c r="C305" i="31"/>
  <c r="C304" i="31"/>
  <c r="C303" i="31"/>
  <c r="C302" i="31"/>
  <c r="C301" i="31"/>
  <c r="C300" i="31"/>
  <c r="C299" i="31"/>
  <c r="C298" i="31"/>
  <c r="C297" i="31"/>
  <c r="C296" i="31"/>
  <c r="C295" i="31"/>
  <c r="C294" i="31"/>
  <c r="C293" i="31"/>
  <c r="C292" i="31"/>
  <c r="C291" i="31"/>
  <c r="C290" i="31"/>
  <c r="C289" i="31"/>
  <c r="C288" i="31"/>
  <c r="C287" i="31"/>
  <c r="C286" i="31"/>
  <c r="C285" i="31"/>
  <c r="C284" i="31"/>
  <c r="C283" i="31"/>
  <c r="C282" i="31"/>
  <c r="C281" i="31"/>
  <c r="C280" i="31"/>
  <c r="C279" i="31"/>
  <c r="C278" i="31"/>
  <c r="C277" i="31"/>
  <c r="C276" i="31"/>
  <c r="C275" i="31"/>
  <c r="C274" i="31"/>
  <c r="C273" i="31"/>
  <c r="C272" i="31"/>
  <c r="C271" i="31"/>
  <c r="C254" i="31"/>
  <c r="C253" i="31"/>
  <c r="C252" i="31"/>
  <c r="C251" i="31"/>
  <c r="C250" i="31"/>
  <c r="C249" i="31"/>
  <c r="C248" i="31"/>
  <c r="C247" i="31"/>
  <c r="C246" i="31"/>
  <c r="C245" i="31"/>
  <c r="C244" i="31"/>
  <c r="C243" i="31"/>
  <c r="C242" i="31"/>
  <c r="C241" i="31"/>
  <c r="C240" i="31"/>
  <c r="C239" i="31"/>
  <c r="C238" i="31"/>
  <c r="C237" i="31"/>
  <c r="C236" i="31"/>
  <c r="C235" i="31"/>
  <c r="C234" i="31"/>
  <c r="C233" i="31"/>
  <c r="C232" i="31"/>
  <c r="C231" i="31"/>
  <c r="C230" i="31"/>
  <c r="C229" i="31"/>
  <c r="C228" i="31"/>
  <c r="C227" i="31"/>
  <c r="C226" i="31"/>
  <c r="C225" i="31"/>
  <c r="C224" i="31"/>
  <c r="C223" i="31"/>
  <c r="C222" i="31"/>
  <c r="C221" i="31"/>
  <c r="C220" i="31"/>
  <c r="C219" i="31"/>
  <c r="C218" i="31"/>
  <c r="C217" i="31"/>
  <c r="C216" i="31"/>
  <c r="C215" i="31"/>
  <c r="C214" i="31"/>
  <c r="C213" i="31"/>
  <c r="C212" i="31"/>
  <c r="C211" i="31"/>
  <c r="C210" i="31"/>
  <c r="C209" i="31"/>
  <c r="C208" i="31"/>
  <c r="C207" i="31"/>
  <c r="C206" i="31"/>
  <c r="C205" i="31"/>
  <c r="C188" i="31"/>
  <c r="C187" i="31"/>
  <c r="C186" i="31"/>
  <c r="C185" i="31"/>
  <c r="C184" i="31"/>
  <c r="C183" i="31"/>
  <c r="C182" i="31"/>
  <c r="C181" i="31"/>
  <c r="C180" i="31"/>
  <c r="C179" i="31"/>
  <c r="C178" i="31"/>
  <c r="C177" i="31"/>
  <c r="C176" i="31"/>
  <c r="C175" i="31"/>
  <c r="C174" i="31"/>
  <c r="C173" i="31"/>
  <c r="C172" i="31"/>
  <c r="C171" i="31"/>
  <c r="C170" i="31"/>
  <c r="C169" i="31"/>
  <c r="C168" i="31"/>
  <c r="C167" i="31"/>
  <c r="C166" i="31"/>
  <c r="C165" i="31"/>
  <c r="C164" i="31"/>
  <c r="C163" i="31"/>
  <c r="C162" i="31"/>
  <c r="C161" i="31"/>
  <c r="C160" i="31"/>
  <c r="C159" i="31"/>
  <c r="C158" i="31"/>
  <c r="C157" i="31"/>
  <c r="C156" i="31"/>
  <c r="C155" i="31"/>
  <c r="C154" i="31"/>
  <c r="C153" i="31"/>
  <c r="C152" i="31"/>
  <c r="C151" i="31"/>
  <c r="C150" i="31"/>
  <c r="C149" i="31"/>
  <c r="C148" i="31"/>
  <c r="C147" i="31"/>
  <c r="C146" i="31"/>
  <c r="C145" i="31"/>
  <c r="C144" i="31"/>
  <c r="C143" i="31"/>
  <c r="C142" i="31"/>
  <c r="C141" i="31"/>
  <c r="C140" i="31"/>
  <c r="C139" i="31"/>
  <c r="C123" i="31"/>
  <c r="C122" i="31"/>
  <c r="C121" i="31"/>
  <c r="C120" i="31"/>
  <c r="C119" i="31"/>
  <c r="C118" i="31"/>
  <c r="C117" i="31"/>
  <c r="C116" i="31"/>
  <c r="C115" i="31"/>
  <c r="C114" i="31"/>
  <c r="C113" i="31"/>
  <c r="C112" i="31"/>
  <c r="C111" i="31"/>
  <c r="C110" i="31"/>
  <c r="C109" i="31"/>
  <c r="C108" i="31"/>
  <c r="C107" i="31"/>
  <c r="C106" i="31"/>
  <c r="C105" i="31"/>
  <c r="C104" i="31"/>
  <c r="C103" i="31"/>
  <c r="C102" i="31"/>
  <c r="C101" i="31"/>
  <c r="C100" i="31"/>
  <c r="C99" i="31"/>
  <c r="C98" i="31"/>
  <c r="C97" i="31"/>
  <c r="C96" i="31"/>
  <c r="C95" i="31"/>
  <c r="C94" i="31"/>
  <c r="C93" i="31"/>
  <c r="C92" i="31"/>
  <c r="C91" i="31"/>
  <c r="C90" i="31"/>
  <c r="C89" i="31"/>
  <c r="C88" i="31"/>
  <c r="C87" i="31"/>
  <c r="C86" i="31"/>
  <c r="C85" i="31"/>
  <c r="C84" i="31"/>
  <c r="C83" i="31"/>
  <c r="C82" i="31"/>
  <c r="C81" i="31"/>
  <c r="C80" i="31"/>
  <c r="C79" i="31"/>
  <c r="C78" i="31"/>
  <c r="C77" i="31"/>
  <c r="C76" i="31"/>
  <c r="C75" i="31"/>
  <c r="C74" i="31"/>
  <c r="C56" i="31"/>
  <c r="C55" i="31"/>
  <c r="C54" i="31"/>
  <c r="C53" i="31"/>
  <c r="C52" i="31"/>
  <c r="C51" i="31"/>
  <c r="C50" i="31"/>
  <c r="C49" i="31"/>
  <c r="C48" i="31"/>
  <c r="C47" i="31"/>
  <c r="C46" i="31"/>
  <c r="C45" i="31"/>
  <c r="C44" i="31"/>
  <c r="C43" i="31"/>
  <c r="C42" i="31"/>
  <c r="C41" i="31"/>
  <c r="C40" i="31"/>
  <c r="C39" i="31"/>
  <c r="C38" i="31"/>
  <c r="C37" i="31"/>
  <c r="C36" i="31"/>
  <c r="C35" i="31"/>
  <c r="C34" i="31"/>
  <c r="C33" i="31"/>
  <c r="C32" i="31"/>
  <c r="C31" i="31"/>
  <c r="C30" i="31"/>
  <c r="C29" i="31"/>
  <c r="C28" i="31"/>
  <c r="C27" i="31"/>
  <c r="C26" i="31"/>
  <c r="C25" i="31"/>
  <c r="C24" i="31"/>
  <c r="C23" i="31"/>
  <c r="C22" i="31"/>
  <c r="C21" i="31"/>
  <c r="C20" i="31"/>
  <c r="C19" i="31"/>
  <c r="C18" i="31"/>
  <c r="C17" i="31"/>
  <c r="C16" i="31"/>
  <c r="C15" i="31"/>
  <c r="C14" i="31"/>
  <c r="C13" i="31"/>
  <c r="C12" i="31"/>
  <c r="C11" i="31"/>
  <c r="C10" i="31"/>
  <c r="C9" i="31"/>
  <c r="C8" i="31"/>
  <c r="C7" i="31"/>
  <c r="C452" i="30"/>
  <c r="C451" i="30"/>
  <c r="C450" i="30"/>
  <c r="C449" i="30"/>
  <c r="C448" i="30"/>
  <c r="C447" i="30"/>
  <c r="C446" i="30"/>
  <c r="C445" i="30"/>
  <c r="C444" i="30"/>
  <c r="C443" i="30"/>
  <c r="C442" i="30"/>
  <c r="C441" i="30"/>
  <c r="C440" i="30"/>
  <c r="C439" i="30"/>
  <c r="C438" i="30"/>
  <c r="C437" i="30"/>
  <c r="C436" i="30"/>
  <c r="C435" i="30"/>
  <c r="C434" i="30"/>
  <c r="C433" i="30"/>
  <c r="C432" i="30"/>
  <c r="C431" i="30"/>
  <c r="C430" i="30"/>
  <c r="C429" i="30"/>
  <c r="C428" i="30"/>
  <c r="C427" i="30"/>
  <c r="C426" i="30"/>
  <c r="C425" i="30"/>
  <c r="C424" i="30"/>
  <c r="C423" i="30"/>
  <c r="C422" i="30"/>
  <c r="C421" i="30"/>
  <c r="C420" i="30"/>
  <c r="C419" i="30"/>
  <c r="C418" i="30"/>
  <c r="C417" i="30"/>
  <c r="C416" i="30"/>
  <c r="C415" i="30"/>
  <c r="C414" i="30"/>
  <c r="C413" i="30"/>
  <c r="C412" i="30"/>
  <c r="C411" i="30"/>
  <c r="C410" i="30"/>
  <c r="C409" i="30"/>
  <c r="C408" i="30"/>
  <c r="C407" i="30"/>
  <c r="C406" i="30"/>
  <c r="C405" i="30"/>
  <c r="C404" i="30"/>
  <c r="C403" i="30"/>
  <c r="C387" i="30"/>
  <c r="C386" i="30"/>
  <c r="C385" i="30"/>
  <c r="C384" i="30"/>
  <c r="C383" i="30"/>
  <c r="C382" i="30"/>
  <c r="C381" i="30"/>
  <c r="C380" i="30"/>
  <c r="C379" i="30"/>
  <c r="C378" i="30"/>
  <c r="C377" i="30"/>
  <c r="C376" i="30"/>
  <c r="C375" i="30"/>
  <c r="C374" i="30"/>
  <c r="C373" i="30"/>
  <c r="C372" i="30"/>
  <c r="C371" i="30"/>
  <c r="C370" i="30"/>
  <c r="C369" i="30"/>
  <c r="C368" i="30"/>
  <c r="C367" i="30"/>
  <c r="C366" i="30"/>
  <c r="C365" i="30"/>
  <c r="C364" i="30"/>
  <c r="C363" i="30"/>
  <c r="C362" i="30"/>
  <c r="C361" i="30"/>
  <c r="C360" i="30"/>
  <c r="C359" i="30"/>
  <c r="C358" i="30"/>
  <c r="C357" i="30"/>
  <c r="C356" i="30"/>
  <c r="C355" i="30"/>
  <c r="C354" i="30"/>
  <c r="C353" i="30"/>
  <c r="C352" i="30"/>
  <c r="C351" i="30"/>
  <c r="C350" i="30"/>
  <c r="C349" i="30"/>
  <c r="C348" i="30"/>
  <c r="C347" i="30"/>
  <c r="C346" i="30"/>
  <c r="C345" i="30"/>
  <c r="C344" i="30"/>
  <c r="C343" i="30"/>
  <c r="C342" i="30"/>
  <c r="C341" i="30"/>
  <c r="C340" i="30"/>
  <c r="C339" i="30"/>
  <c r="C338" i="30"/>
  <c r="C320" i="30"/>
  <c r="C319" i="30"/>
  <c r="C318" i="30"/>
  <c r="C317" i="30"/>
  <c r="C316" i="30"/>
  <c r="C315" i="30"/>
  <c r="C314" i="30"/>
  <c r="C313" i="30"/>
  <c r="C312" i="30"/>
  <c r="C311" i="30"/>
  <c r="C310" i="30"/>
  <c r="C309" i="30"/>
  <c r="C308" i="30"/>
  <c r="C307" i="30"/>
  <c r="C306" i="30"/>
  <c r="C305" i="30"/>
  <c r="C304" i="30"/>
  <c r="C303" i="30"/>
  <c r="C302" i="30"/>
  <c r="C301" i="30"/>
  <c r="C300" i="30"/>
  <c r="C299" i="30"/>
  <c r="C298" i="30"/>
  <c r="C297" i="30"/>
  <c r="C296" i="30"/>
  <c r="C295" i="30"/>
  <c r="C294" i="30"/>
  <c r="C293" i="30"/>
  <c r="C292" i="30"/>
  <c r="C291" i="30"/>
  <c r="C290" i="30"/>
  <c r="C289" i="30"/>
  <c r="C288" i="30"/>
  <c r="C287" i="30"/>
  <c r="C286" i="30"/>
  <c r="C285" i="30"/>
  <c r="C284" i="30"/>
  <c r="C283" i="30"/>
  <c r="C282" i="30"/>
  <c r="C281" i="30"/>
  <c r="C280" i="30"/>
  <c r="C279" i="30"/>
  <c r="C278" i="30"/>
  <c r="C277" i="30"/>
  <c r="C276" i="30"/>
  <c r="C275" i="30"/>
  <c r="C274" i="30"/>
  <c r="C273" i="30"/>
  <c r="C272" i="30"/>
  <c r="C271" i="30"/>
  <c r="C254" i="30"/>
  <c r="C253" i="30"/>
  <c r="C252" i="30"/>
  <c r="C251" i="30"/>
  <c r="C250" i="30"/>
  <c r="C249" i="30"/>
  <c r="C248" i="30"/>
  <c r="C247" i="30"/>
  <c r="C246" i="30"/>
  <c r="C245" i="30"/>
  <c r="C244" i="30"/>
  <c r="C243" i="30"/>
  <c r="C242" i="30"/>
  <c r="C241" i="30"/>
  <c r="C240" i="30"/>
  <c r="C239" i="30"/>
  <c r="C238" i="30"/>
  <c r="C237" i="30"/>
  <c r="C236" i="30"/>
  <c r="C235" i="30"/>
  <c r="C234" i="30"/>
  <c r="C233" i="30"/>
  <c r="C232" i="30"/>
  <c r="C231" i="30"/>
  <c r="C230" i="30"/>
  <c r="C229" i="30"/>
  <c r="C228" i="30"/>
  <c r="C227" i="30"/>
  <c r="C226" i="30"/>
  <c r="C225" i="30"/>
  <c r="C224" i="30"/>
  <c r="C223" i="30"/>
  <c r="C222" i="30"/>
  <c r="C221" i="30"/>
  <c r="C220" i="30"/>
  <c r="C219" i="30"/>
  <c r="C218" i="30"/>
  <c r="C217" i="30"/>
  <c r="C216" i="30"/>
  <c r="C215" i="30"/>
  <c r="C214" i="30"/>
  <c r="C213" i="30"/>
  <c r="C212" i="30"/>
  <c r="C211" i="30"/>
  <c r="C210" i="30"/>
  <c r="C209" i="30"/>
  <c r="C208" i="30"/>
  <c r="C207" i="30"/>
  <c r="C206" i="30"/>
  <c r="C205" i="30"/>
  <c r="C188" i="30"/>
  <c r="C187" i="30"/>
  <c r="C186" i="30"/>
  <c r="C185" i="30"/>
  <c r="C184" i="30"/>
  <c r="C183" i="30"/>
  <c r="C182" i="30"/>
  <c r="C181" i="30"/>
  <c r="C180" i="30"/>
  <c r="C179" i="30"/>
  <c r="C178" i="30"/>
  <c r="C177" i="30"/>
  <c r="C176" i="30"/>
  <c r="C175" i="30"/>
  <c r="C174" i="30"/>
  <c r="C173" i="30"/>
  <c r="C172" i="30"/>
  <c r="C171" i="30"/>
  <c r="C170" i="30"/>
  <c r="C169" i="30"/>
  <c r="C168" i="30"/>
  <c r="C167" i="30"/>
  <c r="C166" i="30"/>
  <c r="C165" i="30"/>
  <c r="C164" i="30"/>
  <c r="C163" i="30"/>
  <c r="C162" i="30"/>
  <c r="C161" i="30"/>
  <c r="C160" i="30"/>
  <c r="C159" i="30"/>
  <c r="C158" i="30"/>
  <c r="C157" i="30"/>
  <c r="C156" i="30"/>
  <c r="C155" i="30"/>
  <c r="C154" i="30"/>
  <c r="C153" i="30"/>
  <c r="C152" i="30"/>
  <c r="C151" i="30"/>
  <c r="C150" i="30"/>
  <c r="C149" i="30"/>
  <c r="C148" i="30"/>
  <c r="C147" i="30"/>
  <c r="C146" i="30"/>
  <c r="C145" i="30"/>
  <c r="C144" i="30"/>
  <c r="C143" i="30"/>
  <c r="C142" i="30"/>
  <c r="C141" i="30"/>
  <c r="C140" i="30"/>
  <c r="C139" i="30"/>
  <c r="C123" i="30"/>
  <c r="C122" i="30"/>
  <c r="C121" i="30"/>
  <c r="C120" i="30"/>
  <c r="C119" i="30"/>
  <c r="C118" i="30"/>
  <c r="C117" i="30"/>
  <c r="C116" i="30"/>
  <c r="C115" i="30"/>
  <c r="C114" i="30"/>
  <c r="C113" i="30"/>
  <c r="C112" i="30"/>
  <c r="C111" i="30"/>
  <c r="C110" i="30"/>
  <c r="C109" i="30"/>
  <c r="C108" i="30"/>
  <c r="C107" i="30"/>
  <c r="C106" i="30"/>
  <c r="C105" i="30"/>
  <c r="C104" i="30"/>
  <c r="C103" i="30"/>
  <c r="C102" i="30"/>
  <c r="C101" i="30"/>
  <c r="C100" i="30"/>
  <c r="C99" i="30"/>
  <c r="C98" i="30"/>
  <c r="C97" i="30"/>
  <c r="C96" i="30"/>
  <c r="C95" i="30"/>
  <c r="C94" i="30"/>
  <c r="C93" i="30"/>
  <c r="C92" i="30"/>
  <c r="C91" i="30"/>
  <c r="C90" i="30"/>
  <c r="C89" i="30"/>
  <c r="C88" i="30"/>
  <c r="C87" i="30"/>
  <c r="C86" i="30"/>
  <c r="C85" i="30"/>
  <c r="C84" i="30"/>
  <c r="C83" i="30"/>
  <c r="C82" i="30"/>
  <c r="C81" i="30"/>
  <c r="C80" i="30"/>
  <c r="C79" i="30"/>
  <c r="C78" i="30"/>
  <c r="C77" i="30"/>
  <c r="C76" i="30"/>
  <c r="C75" i="30"/>
  <c r="C74" i="30"/>
  <c r="C56" i="30"/>
  <c r="C55" i="30"/>
  <c r="C54" i="30"/>
  <c r="C53" i="30"/>
  <c r="C52" i="30"/>
  <c r="C51" i="30"/>
  <c r="C50" i="30"/>
  <c r="C49" i="30"/>
  <c r="C48" i="30"/>
  <c r="C47" i="30"/>
  <c r="C46" i="30"/>
  <c r="C45" i="30"/>
  <c r="C44" i="30"/>
  <c r="C43" i="30"/>
  <c r="C42" i="30"/>
  <c r="C41" i="30"/>
  <c r="C40" i="30"/>
  <c r="C39" i="30"/>
  <c r="C38" i="30"/>
  <c r="C37" i="30"/>
  <c r="C36" i="30"/>
  <c r="C35" i="30"/>
  <c r="C34" i="30"/>
  <c r="C33" i="30"/>
  <c r="C32" i="30"/>
  <c r="C31" i="30"/>
  <c r="C30" i="30"/>
  <c r="C29" i="30"/>
  <c r="C28" i="30"/>
  <c r="C27" i="30"/>
  <c r="C26" i="30"/>
  <c r="C25" i="30"/>
  <c r="C24" i="30"/>
  <c r="C23" i="30"/>
  <c r="C22" i="30"/>
  <c r="C21" i="30"/>
  <c r="C20" i="30"/>
  <c r="C19" i="30"/>
  <c r="C18" i="30"/>
  <c r="C17" i="30"/>
  <c r="C16" i="30"/>
  <c r="C15" i="30"/>
  <c r="C14" i="30"/>
  <c r="C13" i="30"/>
  <c r="C12" i="30"/>
  <c r="C11" i="30"/>
  <c r="C10" i="30"/>
  <c r="C9" i="30"/>
  <c r="C8" i="30"/>
  <c r="C7" i="30"/>
  <c r="C452" i="29"/>
  <c r="C451" i="29"/>
  <c r="C450" i="29"/>
  <c r="C449" i="29"/>
  <c r="C448" i="29"/>
  <c r="C447" i="29"/>
  <c r="C446" i="29"/>
  <c r="C445" i="29"/>
  <c r="C444" i="29"/>
  <c r="C443" i="29"/>
  <c r="C442" i="29"/>
  <c r="C441" i="29"/>
  <c r="C440" i="29"/>
  <c r="C439" i="29"/>
  <c r="C438" i="29"/>
  <c r="C437" i="29"/>
  <c r="C436" i="29"/>
  <c r="C435" i="29"/>
  <c r="C434" i="29"/>
  <c r="C433" i="29"/>
  <c r="C432" i="29"/>
  <c r="C431" i="29"/>
  <c r="C430" i="29"/>
  <c r="C429" i="29"/>
  <c r="C428" i="29"/>
  <c r="C427" i="29"/>
  <c r="C426" i="29"/>
  <c r="C425" i="29"/>
  <c r="C424" i="29"/>
  <c r="C423" i="29"/>
  <c r="C422" i="29"/>
  <c r="C421" i="29"/>
  <c r="C420" i="29"/>
  <c r="C419" i="29"/>
  <c r="C418" i="29"/>
  <c r="C417" i="29"/>
  <c r="C416" i="29"/>
  <c r="C415" i="29"/>
  <c r="C414" i="29"/>
  <c r="C413" i="29"/>
  <c r="C412" i="29"/>
  <c r="C411" i="29"/>
  <c r="C410" i="29"/>
  <c r="C409" i="29"/>
  <c r="C408" i="29"/>
  <c r="C407" i="29"/>
  <c r="C406" i="29"/>
  <c r="C405" i="29"/>
  <c r="C404" i="29"/>
  <c r="C403" i="29"/>
  <c r="C387" i="29"/>
  <c r="C386" i="29"/>
  <c r="C385" i="29"/>
  <c r="C384" i="29"/>
  <c r="C383" i="29"/>
  <c r="C382" i="29"/>
  <c r="C381" i="29"/>
  <c r="C380" i="29"/>
  <c r="C379" i="29"/>
  <c r="C378" i="29"/>
  <c r="C377" i="29"/>
  <c r="C376" i="29"/>
  <c r="C375" i="29"/>
  <c r="C374" i="29"/>
  <c r="C373" i="29"/>
  <c r="C372" i="29"/>
  <c r="C371" i="29"/>
  <c r="C370" i="29"/>
  <c r="C369" i="29"/>
  <c r="C368" i="29"/>
  <c r="C367" i="29"/>
  <c r="C366" i="29"/>
  <c r="C365" i="29"/>
  <c r="C364" i="29"/>
  <c r="C363" i="29"/>
  <c r="C362" i="29"/>
  <c r="C361" i="29"/>
  <c r="C360" i="29"/>
  <c r="C359" i="29"/>
  <c r="C358" i="29"/>
  <c r="C357" i="29"/>
  <c r="C356" i="29"/>
  <c r="C355" i="29"/>
  <c r="C354" i="29"/>
  <c r="C353" i="29"/>
  <c r="C352" i="29"/>
  <c r="C351" i="29"/>
  <c r="C350" i="29"/>
  <c r="C349" i="29"/>
  <c r="C348" i="29"/>
  <c r="C347" i="29"/>
  <c r="C346" i="29"/>
  <c r="C345" i="29"/>
  <c r="C344" i="29"/>
  <c r="C343" i="29"/>
  <c r="C342" i="29"/>
  <c r="C341" i="29"/>
  <c r="C340" i="29"/>
  <c r="C339" i="29"/>
  <c r="C338" i="29"/>
  <c r="C320" i="29"/>
  <c r="C319" i="29"/>
  <c r="C318" i="29"/>
  <c r="C317" i="29"/>
  <c r="C316" i="29"/>
  <c r="C315" i="29"/>
  <c r="C314" i="29"/>
  <c r="C313" i="29"/>
  <c r="C312" i="29"/>
  <c r="C311" i="29"/>
  <c r="C310" i="29"/>
  <c r="C309" i="29"/>
  <c r="C308" i="29"/>
  <c r="C307" i="29"/>
  <c r="C306" i="29"/>
  <c r="C305" i="29"/>
  <c r="C304" i="29"/>
  <c r="C303" i="29"/>
  <c r="C302" i="29"/>
  <c r="C301" i="29"/>
  <c r="C300" i="29"/>
  <c r="C299" i="29"/>
  <c r="C298" i="29"/>
  <c r="C297" i="29"/>
  <c r="C296" i="29"/>
  <c r="C295" i="29"/>
  <c r="C294" i="29"/>
  <c r="C293" i="29"/>
  <c r="C292" i="29"/>
  <c r="C291" i="29"/>
  <c r="C290" i="29"/>
  <c r="C289" i="29"/>
  <c r="C288" i="29"/>
  <c r="C287" i="29"/>
  <c r="C286" i="29"/>
  <c r="C285" i="29"/>
  <c r="C284" i="29"/>
  <c r="C283" i="29"/>
  <c r="C282" i="29"/>
  <c r="C281" i="29"/>
  <c r="C280" i="29"/>
  <c r="C279" i="29"/>
  <c r="C278" i="29"/>
  <c r="C277" i="29"/>
  <c r="C276" i="29"/>
  <c r="C275" i="29"/>
  <c r="C274" i="29"/>
  <c r="C273" i="29"/>
  <c r="C272" i="29"/>
  <c r="C271" i="29"/>
  <c r="C254" i="29"/>
  <c r="C253" i="29"/>
  <c r="C252" i="29"/>
  <c r="C251" i="29"/>
  <c r="C250" i="29"/>
  <c r="C249" i="29"/>
  <c r="C248" i="29"/>
  <c r="C247" i="29"/>
  <c r="C246" i="29"/>
  <c r="C245" i="29"/>
  <c r="C244" i="29"/>
  <c r="C243" i="29"/>
  <c r="C242" i="29"/>
  <c r="C241" i="29"/>
  <c r="C240" i="29"/>
  <c r="C239" i="29"/>
  <c r="C238" i="29"/>
  <c r="C237" i="29"/>
  <c r="C236" i="29"/>
  <c r="C235" i="29"/>
  <c r="C234" i="29"/>
  <c r="C233" i="29"/>
  <c r="C232" i="29"/>
  <c r="C231" i="29"/>
  <c r="C230" i="29"/>
  <c r="C229" i="29"/>
  <c r="C228" i="29"/>
  <c r="C227" i="29"/>
  <c r="C226" i="29"/>
  <c r="C225" i="29"/>
  <c r="C224" i="29"/>
  <c r="C223" i="29"/>
  <c r="C222" i="29"/>
  <c r="C221" i="29"/>
  <c r="C220" i="29"/>
  <c r="C219" i="29"/>
  <c r="C218" i="29"/>
  <c r="C217" i="29"/>
  <c r="C216" i="29"/>
  <c r="C215" i="29"/>
  <c r="C214" i="29"/>
  <c r="C213" i="29"/>
  <c r="C212" i="29"/>
  <c r="C211" i="29"/>
  <c r="C210" i="29"/>
  <c r="C209" i="29"/>
  <c r="C208" i="29"/>
  <c r="C207" i="29"/>
  <c r="C206" i="29"/>
  <c r="C205" i="29"/>
  <c r="C188" i="29"/>
  <c r="C187" i="29"/>
  <c r="C186" i="29"/>
  <c r="C185" i="29"/>
  <c r="C184" i="29"/>
  <c r="C183" i="29"/>
  <c r="C182" i="29"/>
  <c r="C181" i="29"/>
  <c r="C180" i="29"/>
  <c r="C179" i="29"/>
  <c r="C178" i="29"/>
  <c r="C177" i="29"/>
  <c r="C176" i="29"/>
  <c r="C175" i="29"/>
  <c r="C174" i="29"/>
  <c r="C173" i="29"/>
  <c r="C172" i="29"/>
  <c r="C171" i="29"/>
  <c r="C170" i="29"/>
  <c r="C169" i="29"/>
  <c r="C168" i="29"/>
  <c r="C167" i="29"/>
  <c r="C166" i="29"/>
  <c r="C165" i="29"/>
  <c r="C164" i="29"/>
  <c r="C163" i="29"/>
  <c r="C162" i="29"/>
  <c r="C161" i="29"/>
  <c r="C160" i="29"/>
  <c r="C159" i="29"/>
  <c r="C158" i="29"/>
  <c r="C157" i="29"/>
  <c r="C156" i="29"/>
  <c r="C155" i="29"/>
  <c r="C154" i="29"/>
  <c r="C153" i="29"/>
  <c r="C152" i="29"/>
  <c r="C151" i="29"/>
  <c r="C150" i="29"/>
  <c r="C149" i="29"/>
  <c r="C148" i="29"/>
  <c r="C147" i="29"/>
  <c r="C146" i="29"/>
  <c r="C145" i="29"/>
  <c r="C144" i="29"/>
  <c r="C143" i="29"/>
  <c r="C142" i="29"/>
  <c r="C141" i="29"/>
  <c r="C140" i="29"/>
  <c r="C139" i="29"/>
  <c r="C123" i="29"/>
  <c r="C122" i="29"/>
  <c r="C121" i="29"/>
  <c r="C120" i="29"/>
  <c r="C119" i="29"/>
  <c r="C118" i="29"/>
  <c r="C117" i="29"/>
  <c r="C116" i="29"/>
  <c r="C115" i="29"/>
  <c r="C114" i="29"/>
  <c r="C113" i="29"/>
  <c r="C112" i="29"/>
  <c r="C111" i="29"/>
  <c r="C110" i="29"/>
  <c r="C109" i="29"/>
  <c r="C108" i="29"/>
  <c r="C107" i="29"/>
  <c r="C106" i="29"/>
  <c r="C105" i="29"/>
  <c r="C104" i="29"/>
  <c r="C103" i="29"/>
  <c r="C102" i="29"/>
  <c r="C101" i="29"/>
  <c r="C100" i="29"/>
  <c r="C99" i="29"/>
  <c r="C98" i="29"/>
  <c r="C97" i="29"/>
  <c r="C96" i="29"/>
  <c r="C95" i="29"/>
  <c r="C94" i="29"/>
  <c r="C93" i="29"/>
  <c r="C92" i="29"/>
  <c r="C91" i="29"/>
  <c r="C90" i="29"/>
  <c r="C89" i="29"/>
  <c r="C88" i="29"/>
  <c r="C87" i="29"/>
  <c r="C86" i="29"/>
  <c r="C85" i="29"/>
  <c r="C84" i="29"/>
  <c r="C83" i="29"/>
  <c r="C82" i="29"/>
  <c r="C81" i="29"/>
  <c r="C80" i="29"/>
  <c r="C79" i="29"/>
  <c r="C78" i="29"/>
  <c r="C77" i="29"/>
  <c r="C76" i="29"/>
  <c r="C75" i="29"/>
  <c r="C74" i="29"/>
  <c r="C56" i="29"/>
  <c r="C55" i="29"/>
  <c r="C54" i="29"/>
  <c r="C53" i="29"/>
  <c r="C52" i="29"/>
  <c r="C51" i="29"/>
  <c r="C50" i="29"/>
  <c r="C49" i="29"/>
  <c r="C48" i="29"/>
  <c r="C47" i="29"/>
  <c r="C46" i="29"/>
  <c r="C45" i="29"/>
  <c r="C44" i="29"/>
  <c r="C43" i="29"/>
  <c r="C42" i="29"/>
  <c r="C41" i="29"/>
  <c r="C40" i="29"/>
  <c r="C39" i="29"/>
  <c r="C38" i="29"/>
  <c r="C37" i="29"/>
  <c r="C36" i="29"/>
  <c r="C35" i="29"/>
  <c r="C34" i="29"/>
  <c r="C33" i="29"/>
  <c r="C32" i="29"/>
  <c r="C31" i="29"/>
  <c r="C30" i="29"/>
  <c r="C29" i="29"/>
  <c r="C28" i="29"/>
  <c r="C27" i="29"/>
  <c r="C26" i="29"/>
  <c r="C25" i="29"/>
  <c r="C24" i="29"/>
  <c r="C23" i="29"/>
  <c r="C22" i="29"/>
  <c r="C21" i="29"/>
  <c r="C20" i="29"/>
  <c r="C19" i="29"/>
  <c r="C18" i="29"/>
  <c r="C17" i="29"/>
  <c r="C16" i="29"/>
  <c r="C15" i="29"/>
  <c r="C14" i="29"/>
  <c r="C13" i="29"/>
  <c r="C12" i="29"/>
  <c r="C11" i="29"/>
  <c r="C10" i="29"/>
  <c r="C9" i="29"/>
  <c r="C8" i="29"/>
  <c r="C7" i="29"/>
  <c r="C319" i="7"/>
  <c r="C318" i="7"/>
  <c r="C317" i="7"/>
  <c r="C316" i="7"/>
  <c r="C315" i="7"/>
  <c r="C314" i="7"/>
  <c r="C313" i="7"/>
  <c r="C312" i="7"/>
  <c r="C311" i="7"/>
  <c r="C310" i="7"/>
  <c r="C309" i="7"/>
  <c r="C308" i="7"/>
  <c r="C307" i="7"/>
  <c r="C306" i="7"/>
  <c r="C305" i="7"/>
  <c r="C304" i="7"/>
  <c r="C303" i="7"/>
  <c r="C302" i="7"/>
  <c r="C301" i="7"/>
  <c r="C300" i="7"/>
  <c r="C299" i="7"/>
  <c r="C298" i="7"/>
  <c r="C297" i="7"/>
  <c r="C296" i="7"/>
  <c r="C295" i="7"/>
  <c r="C294" i="7"/>
  <c r="C293" i="7"/>
  <c r="C292" i="7"/>
  <c r="C291" i="7"/>
  <c r="C290" i="7"/>
  <c r="C289" i="7"/>
  <c r="C288" i="7"/>
  <c r="C287" i="7"/>
  <c r="C286" i="7"/>
  <c r="C285" i="7"/>
  <c r="C284" i="7"/>
  <c r="C283" i="7"/>
  <c r="C282" i="7"/>
  <c r="C281" i="7"/>
  <c r="C280" i="7"/>
  <c r="C279" i="7"/>
  <c r="C278" i="7"/>
  <c r="C277" i="7"/>
  <c r="C276" i="7"/>
  <c r="C275" i="7"/>
  <c r="C274" i="7"/>
  <c r="C273" i="7"/>
  <c r="C272" i="7"/>
  <c r="C271" i="7"/>
  <c r="C270" i="7"/>
  <c r="C452" i="7"/>
  <c r="C451" i="7"/>
  <c r="C450" i="7"/>
  <c r="C449" i="7"/>
  <c r="C448" i="7"/>
  <c r="C447" i="7"/>
  <c r="C446" i="7"/>
  <c r="C445" i="7"/>
  <c r="C444" i="7"/>
  <c r="C443" i="7"/>
  <c r="C442" i="7"/>
  <c r="C441" i="7"/>
  <c r="C440" i="7"/>
  <c r="C439" i="7"/>
  <c r="C438" i="7"/>
  <c r="C437" i="7"/>
  <c r="C436" i="7"/>
  <c r="C435" i="7"/>
  <c r="C434" i="7"/>
  <c r="C433" i="7"/>
  <c r="C432" i="7"/>
  <c r="C431" i="7"/>
  <c r="C430" i="7"/>
  <c r="C429" i="7"/>
  <c r="C428" i="7"/>
  <c r="C427" i="7"/>
  <c r="C426" i="7"/>
  <c r="C425" i="7"/>
  <c r="C424" i="7"/>
  <c r="C423" i="7"/>
  <c r="C422" i="7"/>
  <c r="C421" i="7"/>
  <c r="C420" i="7"/>
  <c r="C419" i="7"/>
  <c r="C418" i="7"/>
  <c r="C417" i="7"/>
  <c r="C416" i="7"/>
  <c r="C415" i="7"/>
  <c r="C414" i="7"/>
  <c r="C413" i="7"/>
  <c r="C412" i="7"/>
  <c r="C411" i="7"/>
  <c r="C410" i="7"/>
  <c r="C409" i="7"/>
  <c r="C408" i="7"/>
  <c r="C407" i="7"/>
  <c r="C406" i="7"/>
  <c r="C405" i="7"/>
  <c r="C404" i="7"/>
  <c r="C403" i="7"/>
  <c r="C387" i="7"/>
  <c r="C386" i="7"/>
  <c r="C385" i="7"/>
  <c r="C384" i="7"/>
  <c r="C383" i="7"/>
  <c r="C382" i="7"/>
  <c r="C381" i="7"/>
  <c r="C380" i="7"/>
  <c r="C379" i="7"/>
  <c r="C378" i="7"/>
  <c r="C377" i="7"/>
  <c r="C376" i="7"/>
  <c r="C375" i="7"/>
  <c r="C374" i="7"/>
  <c r="C373" i="7"/>
  <c r="C372" i="7"/>
  <c r="C371" i="7"/>
  <c r="C370" i="7"/>
  <c r="C369" i="7"/>
  <c r="C368" i="7"/>
  <c r="C367" i="7"/>
  <c r="C366" i="7"/>
  <c r="C365" i="7"/>
  <c r="C364" i="7"/>
  <c r="C363" i="7"/>
  <c r="C362" i="7"/>
  <c r="C361" i="7"/>
  <c r="C360" i="7"/>
  <c r="C359" i="7"/>
  <c r="C358" i="7"/>
  <c r="C357" i="7"/>
  <c r="C356" i="7"/>
  <c r="C355" i="7"/>
  <c r="C354" i="7"/>
  <c r="C353" i="7"/>
  <c r="C352" i="7"/>
  <c r="C351" i="7"/>
  <c r="C350" i="7"/>
  <c r="C349" i="7"/>
  <c r="C348" i="7"/>
  <c r="C347" i="7"/>
  <c r="C346" i="7"/>
  <c r="C345" i="7"/>
  <c r="C344" i="7"/>
  <c r="C343" i="7"/>
  <c r="C342" i="7"/>
  <c r="C341" i="7"/>
  <c r="C340" i="7"/>
  <c r="C339" i="7"/>
  <c r="C338" i="7"/>
  <c r="C254" i="7"/>
  <c r="C253" i="7"/>
  <c r="C252" i="7"/>
  <c r="C251" i="7"/>
  <c r="C250" i="7"/>
  <c r="C249" i="7"/>
  <c r="C248" i="7"/>
  <c r="C247" i="7"/>
  <c r="C246" i="7"/>
  <c r="C245" i="7"/>
  <c r="C244" i="7"/>
  <c r="C243" i="7"/>
  <c r="C242" i="7"/>
  <c r="C241" i="7"/>
  <c r="C240" i="7"/>
  <c r="C239" i="7"/>
  <c r="C238" i="7"/>
  <c r="C237" i="7"/>
  <c r="C236" i="7"/>
  <c r="C235" i="7"/>
  <c r="C234" i="7"/>
  <c r="C233" i="7"/>
  <c r="C232" i="7"/>
  <c r="C231" i="7"/>
  <c r="C230" i="7"/>
  <c r="C229" i="7"/>
  <c r="C228" i="7"/>
  <c r="C227" i="7"/>
  <c r="C226" i="7"/>
  <c r="C225" i="7"/>
  <c r="C224" i="7"/>
  <c r="C223" i="7"/>
  <c r="C222" i="7"/>
  <c r="C221" i="7"/>
  <c r="C220" i="7"/>
  <c r="C219" i="7"/>
  <c r="C218" i="7"/>
  <c r="C217" i="7"/>
  <c r="C216" i="7"/>
  <c r="C215" i="7"/>
  <c r="C214" i="7"/>
  <c r="C213" i="7"/>
  <c r="C212" i="7"/>
  <c r="C211" i="7"/>
  <c r="C210" i="7"/>
  <c r="C209" i="7"/>
  <c r="C208" i="7"/>
  <c r="C207" i="7"/>
  <c r="C206" i="7"/>
  <c r="C205" i="7"/>
  <c r="C188" i="7"/>
  <c r="C187" i="7"/>
  <c r="C186" i="7"/>
  <c r="C185" i="7"/>
  <c r="C184" i="7"/>
  <c r="C183" i="7"/>
  <c r="C182" i="7"/>
  <c r="C181" i="7"/>
  <c r="C180" i="7"/>
  <c r="C179" i="7"/>
  <c r="C178" i="7"/>
  <c r="C177" i="7"/>
  <c r="C176" i="7"/>
  <c r="C175" i="7"/>
  <c r="C174" i="7"/>
  <c r="C173" i="7"/>
  <c r="C172" i="7"/>
  <c r="C171" i="7"/>
  <c r="C170" i="7"/>
  <c r="C169" i="7"/>
  <c r="C168" i="7"/>
  <c r="C167" i="7"/>
  <c r="C166" i="7"/>
  <c r="C165" i="7"/>
  <c r="C164" i="7"/>
  <c r="C163" i="7"/>
  <c r="C162" i="7"/>
  <c r="C161" i="7"/>
  <c r="C160" i="7"/>
  <c r="C159" i="7"/>
  <c r="C158" i="7"/>
  <c r="C157" i="7"/>
  <c r="C156" i="7"/>
  <c r="C155" i="7"/>
  <c r="C154" i="7"/>
  <c r="C153" i="7"/>
  <c r="C152" i="7"/>
  <c r="C151" i="7"/>
  <c r="C150" i="7"/>
  <c r="C149" i="7"/>
  <c r="C148" i="7"/>
  <c r="C147" i="7"/>
  <c r="C146" i="7"/>
  <c r="C145" i="7"/>
  <c r="C144" i="7"/>
  <c r="C143" i="7"/>
  <c r="C142" i="7"/>
  <c r="C141" i="7"/>
  <c r="C140" i="7"/>
  <c r="C139" i="7"/>
  <c r="C123" i="7"/>
  <c r="C122" i="7"/>
  <c r="C121" i="7"/>
  <c r="C120" i="7"/>
  <c r="C119" i="7"/>
  <c r="C118" i="7"/>
  <c r="C117" i="7"/>
  <c r="C116" i="7"/>
  <c r="C115" i="7"/>
  <c r="C114" i="7"/>
  <c r="C113" i="7"/>
  <c r="C112" i="7"/>
  <c r="C111" i="7"/>
  <c r="C110" i="7"/>
  <c r="C109" i="7"/>
  <c r="C108" i="7"/>
  <c r="C107" i="7"/>
  <c r="C106" i="7"/>
  <c r="C105" i="7"/>
  <c r="C104" i="7"/>
  <c r="C103" i="7"/>
  <c r="C102" i="7"/>
  <c r="C101" i="7"/>
  <c r="C100" i="7"/>
  <c r="C99" i="7"/>
  <c r="C98" i="7"/>
  <c r="C97" i="7"/>
  <c r="C96" i="7"/>
  <c r="C95" i="7"/>
  <c r="C94" i="7"/>
  <c r="C93" i="7"/>
  <c r="C92" i="7"/>
  <c r="C91" i="7"/>
  <c r="C90" i="7"/>
  <c r="C89" i="7"/>
  <c r="C88" i="7"/>
  <c r="C87" i="7"/>
  <c r="C86" i="7"/>
  <c r="C85" i="7"/>
  <c r="C84" i="7"/>
  <c r="C83" i="7"/>
  <c r="C82" i="7"/>
  <c r="C81" i="7"/>
  <c r="C80" i="7"/>
  <c r="C79" i="7"/>
  <c r="C78" i="7"/>
  <c r="C77" i="7"/>
  <c r="C76" i="7"/>
  <c r="C75" i="7"/>
  <c r="C74" i="7"/>
  <c r="C56" i="7"/>
  <c r="C55" i="7"/>
  <c r="C54" i="7"/>
  <c r="C53" i="7"/>
  <c r="C52" i="7"/>
  <c r="C51" i="7"/>
  <c r="C50" i="7"/>
  <c r="C49" i="7"/>
  <c r="C48" i="7"/>
  <c r="C47" i="7"/>
  <c r="C46" i="7"/>
  <c r="C45" i="7"/>
  <c r="C44" i="7"/>
  <c r="C43" i="7"/>
  <c r="C42" i="7"/>
  <c r="C41" i="7"/>
  <c r="C40" i="7"/>
  <c r="C39" i="7"/>
  <c r="C38" i="7"/>
  <c r="C37" i="7"/>
  <c r="C36" i="7"/>
  <c r="C35" i="7"/>
  <c r="C34" i="7"/>
  <c r="C33" i="7"/>
  <c r="C32" i="7"/>
  <c r="C31" i="7"/>
  <c r="C30" i="7"/>
  <c r="C29" i="7"/>
  <c r="C28" i="7"/>
  <c r="C27" i="7"/>
  <c r="C26" i="7"/>
  <c r="C25" i="7"/>
  <c r="C24" i="7"/>
  <c r="C23" i="7"/>
  <c r="C22" i="7"/>
  <c r="C21" i="7"/>
  <c r="C20" i="7"/>
  <c r="C19" i="7"/>
  <c r="C18" i="7"/>
  <c r="C17" i="7"/>
  <c r="C16" i="7"/>
  <c r="C15" i="7"/>
  <c r="C14" i="7"/>
  <c r="C13" i="7"/>
  <c r="C12" i="7"/>
  <c r="C11" i="7"/>
  <c r="C10" i="7"/>
  <c r="C9" i="7"/>
  <c r="C8" i="7"/>
  <c r="C7" i="7"/>
  <c r="C452" i="6"/>
  <c r="C451" i="6"/>
  <c r="C450" i="6"/>
  <c r="C449" i="6"/>
  <c r="C448" i="6"/>
  <c r="C447" i="6"/>
  <c r="C446" i="6"/>
  <c r="C445" i="6"/>
  <c r="C444" i="6"/>
  <c r="C443" i="6"/>
  <c r="C442" i="6"/>
  <c r="C441" i="6"/>
  <c r="C440" i="6"/>
  <c r="C439" i="6"/>
  <c r="C438" i="6"/>
  <c r="C437" i="6"/>
  <c r="C436" i="6"/>
  <c r="C435" i="6"/>
  <c r="C434" i="6"/>
  <c r="C433" i="6"/>
  <c r="C432" i="6"/>
  <c r="C431" i="6"/>
  <c r="C430" i="6"/>
  <c r="C429" i="6"/>
  <c r="C428" i="6"/>
  <c r="C427" i="6"/>
  <c r="C426" i="6"/>
  <c r="C425" i="6"/>
  <c r="C424" i="6"/>
  <c r="C423" i="6"/>
  <c r="C422" i="6"/>
  <c r="C421" i="6"/>
  <c r="C420" i="6"/>
  <c r="C419" i="6"/>
  <c r="C418" i="6"/>
  <c r="C417" i="6"/>
  <c r="C416" i="6"/>
  <c r="C415" i="6"/>
  <c r="C414" i="6"/>
  <c r="C413" i="6"/>
  <c r="C412" i="6"/>
  <c r="C411" i="6"/>
  <c r="C410" i="6"/>
  <c r="C409" i="6"/>
  <c r="C408" i="6"/>
  <c r="C407" i="6"/>
  <c r="C406" i="6"/>
  <c r="C405" i="6"/>
  <c r="C404" i="6"/>
  <c r="C403" i="6"/>
  <c r="C387" i="6"/>
  <c r="C386" i="6"/>
  <c r="C385" i="6"/>
  <c r="C384" i="6"/>
  <c r="C383" i="6"/>
  <c r="C382" i="6"/>
  <c r="C381" i="6"/>
  <c r="C380" i="6"/>
  <c r="C379" i="6"/>
  <c r="C378" i="6"/>
  <c r="C377" i="6"/>
  <c r="C376" i="6"/>
  <c r="C375" i="6"/>
  <c r="C374" i="6"/>
  <c r="C373" i="6"/>
  <c r="C372" i="6"/>
  <c r="C371" i="6"/>
  <c r="C370" i="6"/>
  <c r="C369" i="6"/>
  <c r="C368" i="6"/>
  <c r="C367" i="6"/>
  <c r="C366" i="6"/>
  <c r="C365" i="6"/>
  <c r="C364" i="6"/>
  <c r="C363" i="6"/>
  <c r="C362" i="6"/>
  <c r="C361" i="6"/>
  <c r="C360" i="6"/>
  <c r="C359" i="6"/>
  <c r="C358" i="6"/>
  <c r="C357" i="6"/>
  <c r="C356" i="6"/>
  <c r="C355" i="6"/>
  <c r="C354" i="6"/>
  <c r="C353" i="6"/>
  <c r="C352" i="6"/>
  <c r="C351" i="6"/>
  <c r="C350" i="6"/>
  <c r="C349" i="6"/>
  <c r="C348" i="6"/>
  <c r="C347" i="6"/>
  <c r="C346" i="6"/>
  <c r="C345" i="6"/>
  <c r="C344" i="6"/>
  <c r="C343" i="6"/>
  <c r="C342" i="6"/>
  <c r="C341" i="6"/>
  <c r="C340" i="6"/>
  <c r="C339" i="6"/>
  <c r="C338" i="6"/>
  <c r="C320" i="6"/>
  <c r="C319" i="6"/>
  <c r="C318" i="6"/>
  <c r="C317" i="6"/>
  <c r="C316" i="6"/>
  <c r="C315" i="6"/>
  <c r="C314" i="6"/>
  <c r="C313" i="6"/>
  <c r="C312" i="6"/>
  <c r="C311" i="6"/>
  <c r="C310" i="6"/>
  <c r="C309" i="6"/>
  <c r="C308" i="6"/>
  <c r="C307" i="6"/>
  <c r="C306" i="6"/>
  <c r="C305" i="6"/>
  <c r="C304" i="6"/>
  <c r="C303" i="6"/>
  <c r="C302" i="6"/>
  <c r="C301" i="6"/>
  <c r="C300" i="6"/>
  <c r="C299" i="6"/>
  <c r="C298" i="6"/>
  <c r="C297" i="6"/>
  <c r="C296" i="6"/>
  <c r="C295" i="6"/>
  <c r="C294" i="6"/>
  <c r="C293" i="6"/>
  <c r="C292" i="6"/>
  <c r="C291" i="6"/>
  <c r="C290" i="6"/>
  <c r="C289" i="6"/>
  <c r="C288" i="6"/>
  <c r="C287" i="6"/>
  <c r="C286" i="6"/>
  <c r="C285" i="6"/>
  <c r="C284" i="6"/>
  <c r="C283" i="6"/>
  <c r="C282" i="6"/>
  <c r="C281" i="6"/>
  <c r="C280" i="6"/>
  <c r="C279" i="6"/>
  <c r="C278" i="6"/>
  <c r="C277" i="6"/>
  <c r="C276" i="6"/>
  <c r="C275" i="6"/>
  <c r="C274" i="6"/>
  <c r="C273" i="6"/>
  <c r="C272" i="6"/>
  <c r="C271" i="6"/>
  <c r="C254" i="6"/>
  <c r="C253" i="6"/>
  <c r="C252" i="6"/>
  <c r="C251" i="6"/>
  <c r="C250" i="6"/>
  <c r="C249" i="6"/>
  <c r="C248" i="6"/>
  <c r="C247" i="6"/>
  <c r="C246" i="6"/>
  <c r="C245" i="6"/>
  <c r="C244" i="6"/>
  <c r="C243" i="6"/>
  <c r="C242" i="6"/>
  <c r="C241" i="6"/>
  <c r="C240" i="6"/>
  <c r="C239" i="6"/>
  <c r="C238" i="6"/>
  <c r="C237" i="6"/>
  <c r="C236" i="6"/>
  <c r="C235" i="6"/>
  <c r="C234" i="6"/>
  <c r="C233" i="6"/>
  <c r="C232" i="6"/>
  <c r="C231" i="6"/>
  <c r="C230" i="6"/>
  <c r="C229" i="6"/>
  <c r="C228" i="6"/>
  <c r="C227" i="6"/>
  <c r="C226" i="6"/>
  <c r="C225" i="6"/>
  <c r="C224" i="6"/>
  <c r="C223" i="6"/>
  <c r="C222" i="6"/>
  <c r="C221" i="6"/>
  <c r="C220" i="6"/>
  <c r="C219" i="6"/>
  <c r="C218" i="6"/>
  <c r="C217" i="6"/>
  <c r="C216" i="6"/>
  <c r="C215" i="6"/>
  <c r="C214" i="6"/>
  <c r="C213" i="6"/>
  <c r="C212" i="6"/>
  <c r="C211" i="6"/>
  <c r="C210" i="6"/>
  <c r="C209" i="6"/>
  <c r="C208" i="6"/>
  <c r="C207" i="6"/>
  <c r="C206" i="6"/>
  <c r="C205" i="6"/>
  <c r="C188" i="6"/>
  <c r="C187" i="6"/>
  <c r="C186" i="6"/>
  <c r="C185" i="6"/>
  <c r="C184" i="6"/>
  <c r="C183" i="6"/>
  <c r="C182" i="6"/>
  <c r="C181" i="6"/>
  <c r="C180" i="6"/>
  <c r="C179" i="6"/>
  <c r="C178" i="6"/>
  <c r="C177" i="6"/>
  <c r="C176" i="6"/>
  <c r="C175" i="6"/>
  <c r="C174" i="6"/>
  <c r="C173" i="6"/>
  <c r="C172" i="6"/>
  <c r="C171" i="6"/>
  <c r="C170" i="6"/>
  <c r="C169" i="6"/>
  <c r="C168" i="6"/>
  <c r="C167" i="6"/>
  <c r="C166" i="6"/>
  <c r="C165" i="6"/>
  <c r="C164" i="6"/>
  <c r="C163" i="6"/>
  <c r="C162" i="6"/>
  <c r="C161" i="6"/>
  <c r="C160" i="6"/>
  <c r="C159" i="6"/>
  <c r="C158" i="6"/>
  <c r="C157" i="6"/>
  <c r="C156" i="6"/>
  <c r="C155" i="6"/>
  <c r="C154" i="6"/>
  <c r="C153" i="6"/>
  <c r="C152" i="6"/>
  <c r="C151" i="6"/>
  <c r="C150" i="6"/>
  <c r="C149" i="6"/>
  <c r="C148" i="6"/>
  <c r="C147" i="6"/>
  <c r="C146" i="6"/>
  <c r="C145" i="6"/>
  <c r="C144" i="6"/>
  <c r="C143" i="6"/>
  <c r="C142" i="6"/>
  <c r="C141" i="6"/>
  <c r="C140" i="6"/>
  <c r="C139" i="6"/>
  <c r="C123" i="6"/>
  <c r="C122" i="6"/>
  <c r="C121" i="6"/>
  <c r="C120" i="6"/>
  <c r="C119" i="6"/>
  <c r="C118" i="6"/>
  <c r="C117" i="6"/>
  <c r="C116" i="6"/>
  <c r="C115" i="6"/>
  <c r="C114" i="6"/>
  <c r="C113" i="6"/>
  <c r="C112" i="6"/>
  <c r="C111" i="6"/>
  <c r="C110" i="6"/>
  <c r="C109" i="6"/>
  <c r="C108" i="6"/>
  <c r="C107" i="6"/>
  <c r="C106" i="6"/>
  <c r="C105" i="6"/>
  <c r="C104" i="6"/>
  <c r="C103" i="6"/>
  <c r="C102" i="6"/>
  <c r="C101" i="6"/>
  <c r="C100" i="6"/>
  <c r="C99" i="6"/>
  <c r="C98" i="6"/>
  <c r="C97" i="6"/>
  <c r="C96" i="6"/>
  <c r="C95" i="6"/>
  <c r="C94" i="6"/>
  <c r="C93" i="6"/>
  <c r="C92" i="6"/>
  <c r="C91" i="6"/>
  <c r="C90" i="6"/>
  <c r="C89" i="6"/>
  <c r="C88" i="6"/>
  <c r="C87" i="6"/>
  <c r="C86" i="6"/>
  <c r="C85" i="6"/>
  <c r="C84" i="6"/>
  <c r="C83" i="6"/>
  <c r="C82" i="6"/>
  <c r="C81" i="6"/>
  <c r="C80" i="6"/>
  <c r="C79" i="6"/>
  <c r="C78" i="6"/>
  <c r="C77" i="6"/>
  <c r="C76" i="6"/>
  <c r="C75" i="6"/>
  <c r="C74" i="6"/>
  <c r="C56" i="6"/>
  <c r="C55" i="6"/>
  <c r="C54" i="6"/>
  <c r="C53" i="6"/>
  <c r="C52" i="6"/>
  <c r="C51" i="6"/>
  <c r="C50" i="6"/>
  <c r="C49" i="6"/>
  <c r="C48" i="6"/>
  <c r="C47" i="6"/>
  <c r="C46" i="6"/>
  <c r="C45" i="6"/>
  <c r="C44" i="6"/>
  <c r="C43" i="6"/>
  <c r="C42" i="6"/>
  <c r="C41" i="6"/>
  <c r="C40" i="6"/>
  <c r="C39" i="6"/>
  <c r="C38" i="6"/>
  <c r="C37" i="6"/>
  <c r="C36" i="6"/>
  <c r="C35" i="6"/>
  <c r="C34" i="6"/>
  <c r="C33" i="6"/>
  <c r="C32" i="6"/>
  <c r="C31" i="6"/>
  <c r="C30" i="6"/>
  <c r="C29" i="6"/>
  <c r="C28" i="6"/>
  <c r="C27" i="6"/>
  <c r="C26" i="6"/>
  <c r="C25" i="6"/>
  <c r="C24" i="6"/>
  <c r="C23" i="6"/>
  <c r="C22" i="6"/>
  <c r="C21" i="6"/>
  <c r="C20" i="6"/>
  <c r="C19" i="6"/>
  <c r="C18" i="6"/>
  <c r="C17" i="6"/>
  <c r="C16" i="6"/>
  <c r="C15" i="6"/>
  <c r="C14" i="6"/>
  <c r="C13" i="6"/>
  <c r="C12" i="6"/>
  <c r="C11" i="6"/>
  <c r="C10" i="6"/>
  <c r="C9" i="6"/>
  <c r="C8" i="6"/>
  <c r="C7" i="6"/>
  <c r="C452" i="4"/>
  <c r="C451" i="4"/>
  <c r="C450" i="4"/>
  <c r="C449" i="4"/>
  <c r="C448" i="4"/>
  <c r="C447" i="4"/>
  <c r="C446" i="4"/>
  <c r="C445" i="4"/>
  <c r="C444" i="4"/>
  <c r="C443" i="4"/>
  <c r="C442" i="4"/>
  <c r="C441" i="4"/>
  <c r="C440" i="4"/>
  <c r="C439" i="4"/>
  <c r="C438" i="4"/>
  <c r="C437" i="4"/>
  <c r="C436" i="4"/>
  <c r="C435" i="4"/>
  <c r="C434" i="4"/>
  <c r="C433" i="4"/>
  <c r="C432" i="4"/>
  <c r="C431" i="4"/>
  <c r="C430" i="4"/>
  <c r="C429" i="4"/>
  <c r="C428" i="4"/>
  <c r="C427" i="4"/>
  <c r="C426" i="4"/>
  <c r="C425" i="4"/>
  <c r="C424" i="4"/>
  <c r="C423" i="4"/>
  <c r="C422" i="4"/>
  <c r="C421" i="4"/>
  <c r="C420" i="4"/>
  <c r="C419" i="4"/>
  <c r="C418" i="4"/>
  <c r="C417" i="4"/>
  <c r="C416" i="4"/>
  <c r="C415" i="4"/>
  <c r="C414" i="4"/>
  <c r="C413" i="4"/>
  <c r="C412" i="4"/>
  <c r="C411" i="4"/>
  <c r="C410" i="4"/>
  <c r="C409" i="4"/>
  <c r="C408" i="4"/>
  <c r="C407" i="4"/>
  <c r="C406" i="4"/>
  <c r="C405" i="4"/>
  <c r="C404" i="4"/>
  <c r="C403" i="4"/>
  <c r="C387" i="4"/>
  <c r="C386" i="4"/>
  <c r="C385" i="4"/>
  <c r="C384" i="4"/>
  <c r="C383" i="4"/>
  <c r="C382" i="4"/>
  <c r="C381" i="4"/>
  <c r="C380" i="4"/>
  <c r="C379" i="4"/>
  <c r="C378" i="4"/>
  <c r="C377" i="4"/>
  <c r="C376" i="4"/>
  <c r="C375" i="4"/>
  <c r="C374" i="4"/>
  <c r="C373" i="4"/>
  <c r="C372" i="4"/>
  <c r="C371" i="4"/>
  <c r="C370" i="4"/>
  <c r="C369" i="4"/>
  <c r="C368" i="4"/>
  <c r="C367" i="4"/>
  <c r="C366" i="4"/>
  <c r="C365" i="4"/>
  <c r="C364" i="4"/>
  <c r="C363" i="4"/>
  <c r="C362" i="4"/>
  <c r="C361" i="4"/>
  <c r="C360" i="4"/>
  <c r="C359" i="4"/>
  <c r="C358" i="4"/>
  <c r="C357" i="4"/>
  <c r="C356" i="4"/>
  <c r="C355" i="4"/>
  <c r="C354" i="4"/>
  <c r="C353" i="4"/>
  <c r="C352" i="4"/>
  <c r="C351" i="4"/>
  <c r="C350" i="4"/>
  <c r="C349" i="4"/>
  <c r="C348" i="4"/>
  <c r="C347" i="4"/>
  <c r="C346" i="4"/>
  <c r="C345" i="4"/>
  <c r="C344" i="4"/>
  <c r="C343" i="4"/>
  <c r="C342" i="4"/>
  <c r="C341" i="4"/>
  <c r="C340" i="4"/>
  <c r="C339" i="4"/>
  <c r="C338" i="4"/>
  <c r="C320" i="4"/>
  <c r="C319" i="4"/>
  <c r="C318" i="4"/>
  <c r="C317" i="4"/>
  <c r="C316" i="4"/>
  <c r="C315" i="4"/>
  <c r="C314" i="4"/>
  <c r="C313" i="4"/>
  <c r="C312" i="4"/>
  <c r="C311" i="4"/>
  <c r="C310" i="4"/>
  <c r="C309" i="4"/>
  <c r="C308" i="4"/>
  <c r="C307" i="4"/>
  <c r="C306" i="4"/>
  <c r="C305" i="4"/>
  <c r="C304" i="4"/>
  <c r="C303" i="4"/>
  <c r="C302" i="4"/>
  <c r="C301" i="4"/>
  <c r="C300" i="4"/>
  <c r="C299" i="4"/>
  <c r="C298" i="4"/>
  <c r="C297" i="4"/>
  <c r="C296" i="4"/>
  <c r="C295" i="4"/>
  <c r="C294" i="4"/>
  <c r="C293" i="4"/>
  <c r="C292" i="4"/>
  <c r="C291" i="4"/>
  <c r="C290" i="4"/>
  <c r="C289" i="4"/>
  <c r="C288" i="4"/>
  <c r="C287" i="4"/>
  <c r="C286" i="4"/>
  <c r="C285" i="4"/>
  <c r="C284" i="4"/>
  <c r="C283" i="4"/>
  <c r="C282" i="4"/>
  <c r="C281" i="4"/>
  <c r="C280" i="4"/>
  <c r="C279" i="4"/>
  <c r="C278" i="4"/>
  <c r="C277" i="4"/>
  <c r="C276" i="4"/>
  <c r="C275" i="4"/>
  <c r="C274" i="4"/>
  <c r="C273" i="4"/>
  <c r="C272" i="4"/>
  <c r="C271" i="4"/>
  <c r="C254" i="4"/>
  <c r="C253" i="4"/>
  <c r="C252" i="4"/>
  <c r="C251" i="4"/>
  <c r="C250" i="4"/>
  <c r="C249" i="4"/>
  <c r="C248" i="4"/>
  <c r="C247" i="4"/>
  <c r="C246" i="4"/>
  <c r="C245" i="4"/>
  <c r="C244" i="4"/>
  <c r="C243" i="4"/>
  <c r="C242" i="4"/>
  <c r="C241" i="4"/>
  <c r="C240" i="4"/>
  <c r="C239" i="4"/>
  <c r="C238" i="4"/>
  <c r="C237" i="4"/>
  <c r="C236" i="4"/>
  <c r="C235" i="4"/>
  <c r="C234" i="4"/>
  <c r="C233" i="4"/>
  <c r="C232" i="4"/>
  <c r="C231" i="4"/>
  <c r="C230" i="4"/>
  <c r="C229" i="4"/>
  <c r="C228" i="4"/>
  <c r="C227" i="4"/>
  <c r="C226" i="4"/>
  <c r="C225" i="4"/>
  <c r="C224" i="4"/>
  <c r="C223" i="4"/>
  <c r="C222" i="4"/>
  <c r="C221" i="4"/>
  <c r="C220" i="4"/>
  <c r="C219" i="4"/>
  <c r="C218" i="4"/>
  <c r="C217" i="4"/>
  <c r="C216" i="4"/>
  <c r="C215" i="4"/>
  <c r="C214" i="4"/>
  <c r="C213" i="4"/>
  <c r="C212" i="4"/>
  <c r="C211" i="4"/>
  <c r="C210" i="4"/>
  <c r="C209" i="4"/>
  <c r="C208" i="4"/>
  <c r="C207" i="4"/>
  <c r="C206" i="4"/>
  <c r="C205" i="4"/>
  <c r="C188" i="4"/>
  <c r="C187" i="4"/>
  <c r="C186" i="4"/>
  <c r="C185" i="4"/>
  <c r="C184" i="4"/>
  <c r="C183" i="4"/>
  <c r="C182" i="4"/>
  <c r="C181" i="4"/>
  <c r="C180" i="4"/>
  <c r="C179" i="4"/>
  <c r="C178" i="4"/>
  <c r="C177" i="4"/>
  <c r="C176" i="4"/>
  <c r="C175" i="4"/>
  <c r="C174" i="4"/>
  <c r="C173" i="4"/>
  <c r="C172" i="4"/>
  <c r="C171" i="4"/>
  <c r="C170" i="4"/>
  <c r="C169" i="4"/>
  <c r="C168" i="4"/>
  <c r="C167" i="4"/>
  <c r="C166" i="4"/>
  <c r="C165" i="4"/>
  <c r="C164" i="4"/>
  <c r="C163" i="4"/>
  <c r="C162" i="4"/>
  <c r="C161" i="4"/>
  <c r="C160" i="4"/>
  <c r="C159" i="4"/>
  <c r="C158" i="4"/>
  <c r="C157" i="4"/>
  <c r="C156" i="4"/>
  <c r="C155" i="4"/>
  <c r="C154" i="4"/>
  <c r="C153" i="4"/>
  <c r="C152" i="4"/>
  <c r="C151" i="4"/>
  <c r="C150" i="4"/>
  <c r="C149" i="4"/>
  <c r="C148" i="4"/>
  <c r="C147" i="4"/>
  <c r="C146" i="4"/>
  <c r="C145" i="4"/>
  <c r="C144" i="4"/>
  <c r="C143" i="4"/>
  <c r="C142" i="4"/>
  <c r="C141" i="4"/>
  <c r="C140" i="4"/>
  <c r="C139" i="4"/>
  <c r="C123" i="4"/>
  <c r="C122" i="4"/>
  <c r="C121" i="4"/>
  <c r="C120" i="4"/>
  <c r="C119" i="4"/>
  <c r="C118" i="4"/>
  <c r="C117" i="4"/>
  <c r="C116" i="4"/>
  <c r="C115" i="4"/>
  <c r="C114" i="4"/>
  <c r="C113" i="4"/>
  <c r="C112" i="4"/>
  <c r="C111" i="4"/>
  <c r="C110" i="4"/>
  <c r="C109" i="4"/>
  <c r="C108" i="4"/>
  <c r="C107" i="4"/>
  <c r="C106" i="4"/>
  <c r="C105" i="4"/>
  <c r="C104" i="4"/>
  <c r="C103" i="4"/>
  <c r="C102" i="4"/>
  <c r="C101" i="4"/>
  <c r="C100" i="4"/>
  <c r="C99" i="4"/>
  <c r="C98" i="4"/>
  <c r="C97" i="4"/>
  <c r="C96" i="4"/>
  <c r="C95" i="4"/>
  <c r="C94" i="4"/>
  <c r="C93" i="4"/>
  <c r="C92" i="4"/>
  <c r="C91" i="4"/>
  <c r="C90" i="4"/>
  <c r="C89" i="4"/>
  <c r="C88" i="4"/>
  <c r="C87" i="4"/>
  <c r="C86" i="4"/>
  <c r="C85" i="4"/>
  <c r="C84" i="4"/>
  <c r="C83" i="4"/>
  <c r="C82" i="4"/>
  <c r="C81" i="4"/>
  <c r="C80" i="4"/>
  <c r="C79" i="4"/>
  <c r="C78" i="4"/>
  <c r="C77" i="4"/>
  <c r="C76" i="4"/>
  <c r="C75" i="4"/>
  <c r="C74" i="4"/>
  <c r="C56" i="4"/>
  <c r="C55" i="4"/>
  <c r="C54" i="4"/>
  <c r="C53" i="4"/>
  <c r="C52" i="4"/>
  <c r="C51" i="4"/>
  <c r="C50" i="4"/>
  <c r="C49" i="4"/>
  <c r="C48" i="4"/>
  <c r="C47" i="4"/>
  <c r="C46" i="4"/>
  <c r="C45" i="4"/>
  <c r="C44" i="4"/>
  <c r="C43" i="4"/>
  <c r="C42" i="4"/>
  <c r="C41" i="4"/>
  <c r="C40" i="4"/>
  <c r="C39" i="4"/>
  <c r="C38" i="4"/>
  <c r="C37" i="4"/>
  <c r="C36" i="4"/>
  <c r="C35" i="4"/>
  <c r="C34" i="4"/>
  <c r="C33" i="4"/>
  <c r="C32" i="4"/>
  <c r="C31" i="4"/>
  <c r="C30" i="4"/>
  <c r="C29" i="4"/>
  <c r="C28" i="4"/>
  <c r="C27" i="4"/>
  <c r="C26" i="4"/>
  <c r="C25" i="4"/>
  <c r="C24" i="4"/>
  <c r="C23" i="4"/>
  <c r="C22" i="4"/>
  <c r="C21" i="4"/>
  <c r="C20" i="4"/>
  <c r="C19" i="4"/>
  <c r="C18" i="4"/>
  <c r="C17" i="4"/>
  <c r="C16" i="4"/>
  <c r="C15" i="4"/>
  <c r="C14" i="4"/>
  <c r="C13" i="4"/>
  <c r="C12" i="4"/>
  <c r="C11" i="4"/>
  <c r="C10" i="4"/>
  <c r="C9" i="4"/>
  <c r="C8" i="4"/>
  <c r="C7" i="4"/>
  <c r="C452" i="21"/>
  <c r="C451" i="21"/>
  <c r="C450" i="21"/>
  <c r="C449" i="21"/>
  <c r="C448" i="21"/>
  <c r="C447" i="21"/>
  <c r="C446" i="21"/>
  <c r="C445" i="21"/>
  <c r="C444" i="21"/>
  <c r="C443" i="21"/>
  <c r="C442" i="21"/>
  <c r="C441" i="21"/>
  <c r="C440" i="21"/>
  <c r="C439" i="21"/>
  <c r="C438" i="21"/>
  <c r="C437" i="21"/>
  <c r="C436" i="21"/>
  <c r="C435" i="21"/>
  <c r="C434" i="21"/>
  <c r="C433" i="21"/>
  <c r="C432" i="21"/>
  <c r="C431" i="21"/>
  <c r="C430" i="21"/>
  <c r="C429" i="21"/>
  <c r="C428" i="21"/>
  <c r="C427" i="21"/>
  <c r="C426" i="21"/>
  <c r="C425" i="21"/>
  <c r="C424" i="21"/>
  <c r="C423" i="21"/>
  <c r="C422" i="21"/>
  <c r="C421" i="21"/>
  <c r="C420" i="21"/>
  <c r="C419" i="21"/>
  <c r="C418" i="21"/>
  <c r="C417" i="21"/>
  <c r="C416" i="21"/>
  <c r="C415" i="21"/>
  <c r="C414" i="21"/>
  <c r="C413" i="21"/>
  <c r="C412" i="21"/>
  <c r="C411" i="21"/>
  <c r="C410" i="21"/>
  <c r="C409" i="21"/>
  <c r="C408" i="21"/>
  <c r="C407" i="21"/>
  <c r="C406" i="21"/>
  <c r="C405" i="21"/>
  <c r="C404" i="21"/>
  <c r="C403" i="21"/>
  <c r="C387" i="21"/>
  <c r="C386" i="21"/>
  <c r="C385" i="21"/>
  <c r="C384" i="21"/>
  <c r="C383" i="21"/>
  <c r="C382" i="21"/>
  <c r="C381" i="21"/>
  <c r="C380" i="21"/>
  <c r="C379" i="21"/>
  <c r="C378" i="21"/>
  <c r="C377" i="21"/>
  <c r="C376" i="21"/>
  <c r="C375" i="21"/>
  <c r="C374" i="21"/>
  <c r="C373" i="21"/>
  <c r="C372" i="21"/>
  <c r="C371" i="21"/>
  <c r="C370" i="21"/>
  <c r="C369" i="21"/>
  <c r="C368" i="21"/>
  <c r="C367" i="21"/>
  <c r="C366" i="21"/>
  <c r="C365" i="21"/>
  <c r="C364" i="21"/>
  <c r="C363" i="21"/>
  <c r="C362" i="21"/>
  <c r="C361" i="21"/>
  <c r="C360" i="21"/>
  <c r="C359" i="21"/>
  <c r="C358" i="21"/>
  <c r="C357" i="21"/>
  <c r="C356" i="21"/>
  <c r="C355" i="21"/>
  <c r="C354" i="21"/>
  <c r="C353" i="21"/>
  <c r="C352" i="21"/>
  <c r="C351" i="21"/>
  <c r="C350" i="21"/>
  <c r="C349" i="21"/>
  <c r="C348" i="21"/>
  <c r="C347" i="21"/>
  <c r="C346" i="21"/>
  <c r="C345" i="21"/>
  <c r="C344" i="21"/>
  <c r="C343" i="21"/>
  <c r="C342" i="21"/>
  <c r="C341" i="21"/>
  <c r="C340" i="21"/>
  <c r="C339" i="21"/>
  <c r="C338" i="21"/>
  <c r="C320" i="21"/>
  <c r="C319" i="21"/>
  <c r="C318" i="21"/>
  <c r="C317" i="21"/>
  <c r="C316" i="21"/>
  <c r="C315" i="21"/>
  <c r="C314" i="21"/>
  <c r="C313" i="21"/>
  <c r="C312" i="21"/>
  <c r="C311" i="21"/>
  <c r="C310" i="21"/>
  <c r="C309" i="21"/>
  <c r="C308" i="21"/>
  <c r="C307" i="21"/>
  <c r="C306" i="21"/>
  <c r="C305" i="21"/>
  <c r="C304" i="21"/>
  <c r="C303" i="21"/>
  <c r="C302" i="21"/>
  <c r="C301" i="21"/>
  <c r="C300" i="21"/>
  <c r="C299" i="21"/>
  <c r="C298" i="21"/>
  <c r="C297" i="21"/>
  <c r="C296" i="21"/>
  <c r="C295" i="21"/>
  <c r="C294" i="21"/>
  <c r="C293" i="21"/>
  <c r="C292" i="21"/>
  <c r="C291" i="21"/>
  <c r="C290" i="21"/>
  <c r="C289" i="21"/>
  <c r="C288" i="21"/>
  <c r="C287" i="21"/>
  <c r="C286" i="21"/>
  <c r="C285" i="21"/>
  <c r="C284" i="21"/>
  <c r="C283" i="21"/>
  <c r="C282" i="21"/>
  <c r="C281" i="21"/>
  <c r="C280" i="21"/>
  <c r="C279" i="21"/>
  <c r="C278" i="21"/>
  <c r="C277" i="21"/>
  <c r="C276" i="21"/>
  <c r="C275" i="21"/>
  <c r="C274" i="21"/>
  <c r="C273" i="21"/>
  <c r="C272" i="21"/>
  <c r="C271" i="21"/>
  <c r="C254" i="21"/>
  <c r="C253" i="21"/>
  <c r="C252" i="21"/>
  <c r="C251" i="21"/>
  <c r="C250" i="21"/>
  <c r="C249" i="21"/>
  <c r="C248" i="21"/>
  <c r="C247" i="21"/>
  <c r="C246" i="21"/>
  <c r="C245" i="21"/>
  <c r="C244" i="21"/>
  <c r="C243" i="21"/>
  <c r="C242" i="21"/>
  <c r="C241" i="21"/>
  <c r="C240" i="21"/>
  <c r="C239" i="21"/>
  <c r="C238" i="21"/>
  <c r="C237" i="21"/>
  <c r="C236" i="21"/>
  <c r="C235" i="21"/>
  <c r="C234" i="21"/>
  <c r="C233" i="21"/>
  <c r="C232" i="21"/>
  <c r="C231" i="21"/>
  <c r="C230" i="21"/>
  <c r="C229" i="21"/>
  <c r="C228" i="21"/>
  <c r="C227" i="21"/>
  <c r="C226" i="21"/>
  <c r="C225" i="21"/>
  <c r="C224" i="21"/>
  <c r="C223" i="21"/>
  <c r="C222" i="21"/>
  <c r="C221" i="21"/>
  <c r="C220" i="21"/>
  <c r="C219" i="21"/>
  <c r="C218" i="21"/>
  <c r="C217" i="21"/>
  <c r="C216" i="21"/>
  <c r="C215" i="21"/>
  <c r="C214" i="21"/>
  <c r="C213" i="21"/>
  <c r="C212" i="21"/>
  <c r="C211" i="21"/>
  <c r="C210" i="21"/>
  <c r="C209" i="21"/>
  <c r="C208" i="21"/>
  <c r="C207" i="21"/>
  <c r="C206" i="21"/>
  <c r="C205" i="21"/>
  <c r="C188" i="21"/>
  <c r="C187" i="21"/>
  <c r="C186" i="21"/>
  <c r="C185" i="21"/>
  <c r="C184" i="21"/>
  <c r="C183" i="21"/>
  <c r="C182" i="21"/>
  <c r="C181" i="21"/>
  <c r="C180" i="21"/>
  <c r="C179" i="21"/>
  <c r="C178" i="21"/>
  <c r="C177" i="21"/>
  <c r="C176" i="21"/>
  <c r="C175" i="21"/>
  <c r="C174" i="21"/>
  <c r="C173" i="21"/>
  <c r="C172" i="21"/>
  <c r="C171" i="21"/>
  <c r="C170" i="21"/>
  <c r="C169" i="21"/>
  <c r="C168" i="21"/>
  <c r="C167" i="21"/>
  <c r="C166" i="21"/>
  <c r="C165" i="21"/>
  <c r="C164" i="21"/>
  <c r="C163" i="21"/>
  <c r="C162" i="21"/>
  <c r="C161" i="21"/>
  <c r="C160" i="21"/>
  <c r="C159" i="21"/>
  <c r="C158" i="21"/>
  <c r="C157" i="21"/>
  <c r="C156" i="21"/>
  <c r="C155" i="21"/>
  <c r="C154" i="21"/>
  <c r="C153" i="21"/>
  <c r="C152" i="21"/>
  <c r="C151" i="21"/>
  <c r="C150" i="21"/>
  <c r="C149" i="21"/>
  <c r="C148" i="21"/>
  <c r="C147" i="21"/>
  <c r="C146" i="21"/>
  <c r="C145" i="21"/>
  <c r="C144" i="21"/>
  <c r="C143" i="21"/>
  <c r="C142" i="21"/>
  <c r="C141" i="21"/>
  <c r="C140" i="21"/>
  <c r="C139" i="21"/>
  <c r="C123" i="21"/>
  <c r="C122" i="21"/>
  <c r="C121" i="21"/>
  <c r="C120" i="21"/>
  <c r="C119" i="21"/>
  <c r="C118" i="21"/>
  <c r="C117" i="21"/>
  <c r="C116" i="21"/>
  <c r="C115" i="21"/>
  <c r="C114" i="21"/>
  <c r="C113" i="21"/>
  <c r="C112" i="21"/>
  <c r="C111" i="21"/>
  <c r="C110" i="21"/>
  <c r="C109" i="21"/>
  <c r="C108" i="21"/>
  <c r="C107" i="21"/>
  <c r="C106" i="21"/>
  <c r="C105" i="21"/>
  <c r="C104" i="21"/>
  <c r="C103" i="21"/>
  <c r="C102" i="21"/>
  <c r="C101" i="21"/>
  <c r="C100" i="21"/>
  <c r="C99" i="21"/>
  <c r="C98" i="21"/>
  <c r="C97" i="21"/>
  <c r="C96" i="21"/>
  <c r="C95" i="21"/>
  <c r="C94" i="21"/>
  <c r="C93" i="21"/>
  <c r="C92" i="21"/>
  <c r="C91" i="21"/>
  <c r="C90" i="21"/>
  <c r="C89" i="21"/>
  <c r="C88" i="21"/>
  <c r="C87" i="21"/>
  <c r="C86" i="21"/>
  <c r="C85" i="21"/>
  <c r="C84" i="21"/>
  <c r="C83" i="21"/>
  <c r="C82" i="21"/>
  <c r="C81" i="21"/>
  <c r="C80" i="21"/>
  <c r="C79" i="21"/>
  <c r="C78" i="21"/>
  <c r="C77" i="21"/>
  <c r="C76" i="21"/>
  <c r="C75" i="21"/>
  <c r="C74" i="21"/>
  <c r="C56" i="21"/>
  <c r="C55" i="21"/>
  <c r="C54" i="21"/>
  <c r="C53" i="21"/>
  <c r="C52" i="21"/>
  <c r="C51" i="21"/>
  <c r="C50" i="21"/>
  <c r="C49" i="21"/>
  <c r="C48" i="21"/>
  <c r="C47" i="21"/>
  <c r="C46" i="21"/>
  <c r="C45" i="21"/>
  <c r="C44" i="21"/>
  <c r="C43" i="21"/>
  <c r="C42" i="21"/>
  <c r="C41" i="21"/>
  <c r="C40" i="21"/>
  <c r="C39" i="21"/>
  <c r="C38" i="21"/>
  <c r="C37" i="21"/>
  <c r="C36" i="21"/>
  <c r="C35" i="21"/>
  <c r="C34" i="21"/>
  <c r="C33" i="21"/>
  <c r="C32" i="21"/>
  <c r="C31" i="21"/>
  <c r="C30" i="21"/>
  <c r="C29" i="21"/>
  <c r="C28" i="21"/>
  <c r="C27" i="21"/>
  <c r="C26" i="21"/>
  <c r="C25" i="21"/>
  <c r="C24" i="21"/>
  <c r="C23" i="21"/>
  <c r="C22" i="21"/>
  <c r="C21" i="21"/>
  <c r="C20" i="21"/>
  <c r="C19" i="21"/>
  <c r="C18" i="21"/>
  <c r="C17" i="21"/>
  <c r="C16" i="21"/>
  <c r="C15" i="21"/>
  <c r="C14" i="21"/>
  <c r="C13" i="21"/>
  <c r="C12" i="21"/>
  <c r="C11" i="21"/>
  <c r="C10" i="21"/>
  <c r="C9" i="21"/>
  <c r="C8" i="21"/>
  <c r="C7" i="21"/>
  <c r="C452" i="8"/>
  <c r="C451" i="8"/>
  <c r="C450" i="8"/>
  <c r="C449" i="8"/>
  <c r="C448" i="8"/>
  <c r="C447" i="8"/>
  <c r="C446" i="8"/>
  <c r="C445" i="8"/>
  <c r="C444" i="8"/>
  <c r="C443" i="8"/>
  <c r="C442" i="8"/>
  <c r="C441" i="8"/>
  <c r="C440" i="8"/>
  <c r="C439" i="8"/>
  <c r="C438" i="8"/>
  <c r="C437" i="8"/>
  <c r="C436" i="8"/>
  <c r="C435" i="8"/>
  <c r="C434" i="8"/>
  <c r="C433" i="8"/>
  <c r="C432" i="8"/>
  <c r="C431" i="8"/>
  <c r="C430" i="8"/>
  <c r="C429" i="8"/>
  <c r="C428" i="8"/>
  <c r="C427" i="8"/>
  <c r="C426" i="8"/>
  <c r="C425" i="8"/>
  <c r="C424" i="8"/>
  <c r="C423" i="8"/>
  <c r="C422" i="8"/>
  <c r="C421" i="8"/>
  <c r="C420" i="8"/>
  <c r="C419" i="8"/>
  <c r="C418" i="8"/>
  <c r="C417" i="8"/>
  <c r="C416" i="8"/>
  <c r="C415" i="8"/>
  <c r="C414" i="8"/>
  <c r="C413" i="8"/>
  <c r="C412" i="8"/>
  <c r="C411" i="8"/>
  <c r="C410" i="8"/>
  <c r="C409" i="8"/>
  <c r="C408" i="8"/>
  <c r="C407" i="8"/>
  <c r="C406" i="8"/>
  <c r="C405" i="8"/>
  <c r="C404" i="8"/>
  <c r="C403" i="8"/>
  <c r="C387" i="8"/>
  <c r="C386" i="8"/>
  <c r="C385" i="8"/>
  <c r="C384" i="8"/>
  <c r="C383" i="8"/>
  <c r="C382" i="8"/>
  <c r="C381" i="8"/>
  <c r="C380" i="8"/>
  <c r="C379" i="8"/>
  <c r="C378" i="8"/>
  <c r="C377" i="8"/>
  <c r="C376" i="8"/>
  <c r="C375" i="8"/>
  <c r="C374" i="8"/>
  <c r="C373" i="8"/>
  <c r="C372" i="8"/>
  <c r="C371" i="8"/>
  <c r="C370" i="8"/>
  <c r="C369" i="8"/>
  <c r="C368" i="8"/>
  <c r="C367" i="8"/>
  <c r="C366" i="8"/>
  <c r="C365" i="8"/>
  <c r="C364" i="8"/>
  <c r="C363" i="8"/>
  <c r="C362" i="8"/>
  <c r="C361" i="8"/>
  <c r="C360" i="8"/>
  <c r="C359" i="8"/>
  <c r="C358" i="8"/>
  <c r="C357" i="8"/>
  <c r="C356" i="8"/>
  <c r="C355" i="8"/>
  <c r="C354" i="8"/>
  <c r="C353" i="8"/>
  <c r="C352" i="8"/>
  <c r="C351" i="8"/>
  <c r="C350" i="8"/>
  <c r="C349" i="8"/>
  <c r="C348" i="8"/>
  <c r="C347" i="8"/>
  <c r="C346" i="8"/>
  <c r="C345" i="8"/>
  <c r="C344" i="8"/>
  <c r="C343" i="8"/>
  <c r="C342" i="8"/>
  <c r="C341" i="8"/>
  <c r="C340" i="8"/>
  <c r="C339" i="8"/>
  <c r="C338" i="8"/>
  <c r="C320" i="8"/>
  <c r="C319" i="8"/>
  <c r="C318" i="8"/>
  <c r="C317" i="8"/>
  <c r="C316" i="8"/>
  <c r="C315" i="8"/>
  <c r="C314" i="8"/>
  <c r="C313" i="8"/>
  <c r="C312" i="8"/>
  <c r="C311" i="8"/>
  <c r="C310" i="8"/>
  <c r="C309" i="8"/>
  <c r="C308" i="8"/>
  <c r="C307" i="8"/>
  <c r="C306" i="8"/>
  <c r="C305" i="8"/>
  <c r="C304" i="8"/>
  <c r="C303" i="8"/>
  <c r="C302" i="8"/>
  <c r="C301" i="8"/>
  <c r="C300" i="8"/>
  <c r="C299" i="8"/>
  <c r="C298" i="8"/>
  <c r="C297" i="8"/>
  <c r="C296" i="8"/>
  <c r="C295" i="8"/>
  <c r="C294" i="8"/>
  <c r="C293" i="8"/>
  <c r="C292" i="8"/>
  <c r="C291" i="8"/>
  <c r="C290" i="8"/>
  <c r="C289" i="8"/>
  <c r="C288" i="8"/>
  <c r="C287" i="8"/>
  <c r="C286" i="8"/>
  <c r="C285" i="8"/>
  <c r="C284" i="8"/>
  <c r="C283" i="8"/>
  <c r="C282" i="8"/>
  <c r="C281" i="8"/>
  <c r="C280" i="8"/>
  <c r="C279" i="8"/>
  <c r="C278" i="8"/>
  <c r="C277" i="8"/>
  <c r="C276" i="8"/>
  <c r="C275" i="8"/>
  <c r="C274" i="8"/>
  <c r="C273" i="8"/>
  <c r="C272" i="8"/>
  <c r="C271" i="8"/>
  <c r="C254" i="8"/>
  <c r="C253" i="8"/>
  <c r="C252" i="8"/>
  <c r="C251" i="8"/>
  <c r="C250" i="8"/>
  <c r="C249" i="8"/>
  <c r="C248" i="8"/>
  <c r="C247" i="8"/>
  <c r="C246" i="8"/>
  <c r="C245" i="8"/>
  <c r="C244" i="8"/>
  <c r="C243" i="8"/>
  <c r="C242" i="8"/>
  <c r="C241" i="8"/>
  <c r="C240" i="8"/>
  <c r="C239" i="8"/>
  <c r="C238" i="8"/>
  <c r="C237" i="8"/>
  <c r="C236" i="8"/>
  <c r="C235" i="8"/>
  <c r="C234" i="8"/>
  <c r="C233" i="8"/>
  <c r="C232" i="8"/>
  <c r="C231" i="8"/>
  <c r="C230" i="8"/>
  <c r="C229" i="8"/>
  <c r="C228" i="8"/>
  <c r="C227" i="8"/>
  <c r="C226" i="8"/>
  <c r="C225" i="8"/>
  <c r="C224" i="8"/>
  <c r="C223" i="8"/>
  <c r="C222" i="8"/>
  <c r="C221" i="8"/>
  <c r="C220" i="8"/>
  <c r="C219" i="8"/>
  <c r="C218" i="8"/>
  <c r="C217" i="8"/>
  <c r="C216" i="8"/>
  <c r="C215" i="8"/>
  <c r="C214" i="8"/>
  <c r="C213" i="8"/>
  <c r="C212" i="8"/>
  <c r="C211" i="8"/>
  <c r="C210" i="8"/>
  <c r="C209" i="8"/>
  <c r="C208" i="8"/>
  <c r="C207" i="8"/>
  <c r="C206" i="8"/>
  <c r="C205" i="8"/>
  <c r="C188" i="8"/>
  <c r="C187" i="8"/>
  <c r="C186" i="8"/>
  <c r="C185" i="8"/>
  <c r="C184" i="8"/>
  <c r="C183" i="8"/>
  <c r="C182" i="8"/>
  <c r="C181" i="8"/>
  <c r="C180" i="8"/>
  <c r="C179" i="8"/>
  <c r="C178" i="8"/>
  <c r="C177" i="8"/>
  <c r="C176" i="8"/>
  <c r="C175" i="8"/>
  <c r="C174" i="8"/>
  <c r="C173" i="8"/>
  <c r="C172" i="8"/>
  <c r="C171" i="8"/>
  <c r="C170" i="8"/>
  <c r="C169" i="8"/>
  <c r="C168" i="8"/>
  <c r="C167" i="8"/>
  <c r="C166" i="8"/>
  <c r="C165" i="8"/>
  <c r="C164" i="8"/>
  <c r="C163" i="8"/>
  <c r="C162" i="8"/>
  <c r="C161" i="8"/>
  <c r="C160" i="8"/>
  <c r="C159" i="8"/>
  <c r="C158" i="8"/>
  <c r="C157" i="8"/>
  <c r="C156" i="8"/>
  <c r="C155" i="8"/>
  <c r="C154" i="8"/>
  <c r="C153" i="8"/>
  <c r="C152" i="8"/>
  <c r="C151" i="8"/>
  <c r="C150" i="8"/>
  <c r="C149" i="8"/>
  <c r="C148" i="8"/>
  <c r="C147" i="8"/>
  <c r="C146" i="8"/>
  <c r="C145" i="8"/>
  <c r="C144" i="8"/>
  <c r="C143" i="8"/>
  <c r="C142" i="8"/>
  <c r="C141" i="8"/>
  <c r="C140" i="8"/>
  <c r="C139" i="8"/>
  <c r="C123" i="8"/>
  <c r="C122" i="8"/>
  <c r="C121" i="8"/>
  <c r="C120" i="8"/>
  <c r="C119" i="8"/>
  <c r="C118" i="8"/>
  <c r="C117" i="8"/>
  <c r="C116" i="8"/>
  <c r="C115" i="8"/>
  <c r="C114" i="8"/>
  <c r="C113" i="8"/>
  <c r="C112" i="8"/>
  <c r="C111" i="8"/>
  <c r="C110" i="8"/>
  <c r="C109" i="8"/>
  <c r="C108" i="8"/>
  <c r="C107" i="8"/>
  <c r="C106" i="8"/>
  <c r="C105" i="8"/>
  <c r="C104" i="8"/>
  <c r="C103" i="8"/>
  <c r="C102" i="8"/>
  <c r="C101" i="8"/>
  <c r="C100" i="8"/>
  <c r="C99" i="8"/>
  <c r="C98" i="8"/>
  <c r="C97" i="8"/>
  <c r="C96" i="8"/>
  <c r="C95" i="8"/>
  <c r="C94" i="8"/>
  <c r="C93" i="8"/>
  <c r="C92" i="8"/>
  <c r="C91" i="8"/>
  <c r="C90" i="8"/>
  <c r="C89" i="8"/>
  <c r="C88" i="8"/>
  <c r="C87" i="8"/>
  <c r="C86" i="8"/>
  <c r="C85" i="8"/>
  <c r="C84" i="8"/>
  <c r="C83" i="8"/>
  <c r="C82" i="8"/>
  <c r="C81" i="8"/>
  <c r="C80" i="8"/>
  <c r="C79" i="8"/>
  <c r="C78" i="8"/>
  <c r="C77" i="8"/>
  <c r="C76" i="8"/>
  <c r="C75" i="8"/>
  <c r="C74" i="8"/>
  <c r="C56" i="8"/>
  <c r="C55" i="8"/>
  <c r="C54" i="8"/>
  <c r="C53" i="8"/>
  <c r="C52" i="8"/>
  <c r="C51" i="8"/>
  <c r="C50" i="8"/>
  <c r="C49" i="8"/>
  <c r="C48" i="8"/>
  <c r="C47" i="8"/>
  <c r="C46" i="8"/>
  <c r="C45" i="8"/>
  <c r="C44" i="8"/>
  <c r="C43" i="8"/>
  <c r="C42" i="8"/>
  <c r="C41" i="8"/>
  <c r="C40" i="8"/>
  <c r="C39" i="8"/>
  <c r="C38" i="8"/>
  <c r="C37" i="8"/>
  <c r="C36" i="8"/>
  <c r="C35" i="8"/>
  <c r="C34" i="8"/>
  <c r="C33" i="8"/>
  <c r="C32" i="8"/>
  <c r="C31" i="8"/>
  <c r="C30" i="8"/>
  <c r="C29" i="8"/>
  <c r="C28" i="8"/>
  <c r="C27" i="8"/>
  <c r="C26" i="8"/>
  <c r="C25" i="8"/>
  <c r="C24" i="8"/>
  <c r="C23" i="8"/>
  <c r="C22" i="8"/>
  <c r="C21" i="8"/>
  <c r="C20" i="8"/>
  <c r="C19" i="8"/>
  <c r="C18" i="8"/>
  <c r="C17" i="8"/>
  <c r="C16" i="8"/>
  <c r="C15" i="8"/>
  <c r="C14" i="8"/>
  <c r="C13" i="8"/>
  <c r="C12" i="8"/>
  <c r="C11" i="8"/>
  <c r="C10" i="8"/>
  <c r="C9" i="8"/>
  <c r="C8" i="8"/>
  <c r="C7" i="8"/>
  <c r="C452" i="12"/>
  <c r="C451" i="12"/>
  <c r="C450" i="12"/>
  <c r="C449" i="12"/>
  <c r="C448" i="12"/>
  <c r="C447" i="12"/>
  <c r="C446" i="12"/>
  <c r="C445" i="12"/>
  <c r="C444" i="12"/>
  <c r="C443" i="12"/>
  <c r="C442" i="12"/>
  <c r="C441" i="12"/>
  <c r="C440" i="12"/>
  <c r="C439" i="12"/>
  <c r="C438" i="12"/>
  <c r="C437" i="12"/>
  <c r="C436" i="12"/>
  <c r="C435" i="12"/>
  <c r="C434" i="12"/>
  <c r="C433" i="12"/>
  <c r="C432" i="12"/>
  <c r="C431" i="12"/>
  <c r="C430" i="12"/>
  <c r="C429" i="12"/>
  <c r="C428" i="12"/>
  <c r="C427" i="12"/>
  <c r="C426" i="12"/>
  <c r="C425" i="12"/>
  <c r="C424" i="12"/>
  <c r="C423" i="12"/>
  <c r="C422" i="12"/>
  <c r="C421" i="12"/>
  <c r="C420" i="12"/>
  <c r="C419" i="12"/>
  <c r="C418" i="12"/>
  <c r="C417" i="12"/>
  <c r="C416" i="12"/>
  <c r="C415" i="12"/>
  <c r="C414" i="12"/>
  <c r="C413" i="12"/>
  <c r="C412" i="12"/>
  <c r="C411" i="12"/>
  <c r="C410" i="12"/>
  <c r="C409" i="12"/>
  <c r="C408" i="12"/>
  <c r="C407" i="12"/>
  <c r="C406" i="12"/>
  <c r="C405" i="12"/>
  <c r="C404" i="12"/>
  <c r="C403" i="12"/>
  <c r="C387" i="12"/>
  <c r="C386" i="12"/>
  <c r="C385" i="12"/>
  <c r="C384" i="12"/>
  <c r="C383" i="12"/>
  <c r="C382" i="12"/>
  <c r="C381" i="12"/>
  <c r="C380" i="12"/>
  <c r="C379" i="12"/>
  <c r="C378" i="12"/>
  <c r="C377" i="12"/>
  <c r="C376" i="12"/>
  <c r="C375" i="12"/>
  <c r="C374" i="12"/>
  <c r="C373" i="12"/>
  <c r="C372" i="12"/>
  <c r="C371" i="12"/>
  <c r="C370" i="12"/>
  <c r="C369" i="12"/>
  <c r="C368" i="12"/>
  <c r="C367" i="12"/>
  <c r="C366" i="12"/>
  <c r="C365" i="12"/>
  <c r="C364" i="12"/>
  <c r="C363" i="12"/>
  <c r="C362" i="12"/>
  <c r="C361" i="12"/>
  <c r="C360" i="12"/>
  <c r="C359" i="12"/>
  <c r="C358" i="12"/>
  <c r="C357" i="12"/>
  <c r="C356" i="12"/>
  <c r="C355" i="12"/>
  <c r="C354" i="12"/>
  <c r="C353" i="12"/>
  <c r="C352" i="12"/>
  <c r="C351" i="12"/>
  <c r="C350" i="12"/>
  <c r="C349" i="12"/>
  <c r="C348" i="12"/>
  <c r="C347" i="12"/>
  <c r="C346" i="12"/>
  <c r="C345" i="12"/>
  <c r="C344" i="12"/>
  <c r="C343" i="12"/>
  <c r="C342" i="12"/>
  <c r="C341" i="12"/>
  <c r="C340" i="12"/>
  <c r="C339" i="12"/>
  <c r="C338" i="12"/>
  <c r="C320" i="12"/>
  <c r="C319" i="12"/>
  <c r="C318" i="12"/>
  <c r="C317" i="12"/>
  <c r="C316" i="12"/>
  <c r="C315" i="12"/>
  <c r="C314" i="12"/>
  <c r="C313" i="12"/>
  <c r="C312" i="12"/>
  <c r="C311" i="12"/>
  <c r="C310" i="12"/>
  <c r="C309" i="12"/>
  <c r="C308" i="12"/>
  <c r="C307" i="12"/>
  <c r="C306" i="12"/>
  <c r="C305" i="12"/>
  <c r="C304" i="12"/>
  <c r="C303" i="12"/>
  <c r="C302" i="12"/>
  <c r="C301" i="12"/>
  <c r="C300" i="12"/>
  <c r="C299" i="12"/>
  <c r="C298" i="12"/>
  <c r="C297" i="12"/>
  <c r="C296" i="12"/>
  <c r="C295" i="12"/>
  <c r="C294" i="12"/>
  <c r="C293" i="12"/>
  <c r="C292" i="12"/>
  <c r="C291" i="12"/>
  <c r="C290" i="12"/>
  <c r="C289" i="12"/>
  <c r="C288" i="12"/>
  <c r="C287" i="12"/>
  <c r="C286" i="12"/>
  <c r="C285" i="12"/>
  <c r="C284" i="12"/>
  <c r="C283" i="12"/>
  <c r="C282" i="12"/>
  <c r="C281" i="12"/>
  <c r="C280" i="12"/>
  <c r="C279" i="12"/>
  <c r="C278" i="12"/>
  <c r="C277" i="12"/>
  <c r="C276" i="12"/>
  <c r="C275" i="12"/>
  <c r="C274" i="12"/>
  <c r="C273" i="12"/>
  <c r="C272" i="12"/>
  <c r="C271" i="12"/>
  <c r="C254" i="12"/>
  <c r="C253" i="12"/>
  <c r="C252" i="12"/>
  <c r="C251" i="12"/>
  <c r="C250" i="12"/>
  <c r="C249" i="12"/>
  <c r="C248" i="12"/>
  <c r="C247" i="12"/>
  <c r="C246" i="12"/>
  <c r="C245" i="12"/>
  <c r="C244" i="12"/>
  <c r="C243" i="12"/>
  <c r="C242" i="12"/>
  <c r="C241" i="12"/>
  <c r="C240" i="12"/>
  <c r="C239" i="12"/>
  <c r="C238" i="12"/>
  <c r="C237" i="12"/>
  <c r="C236" i="12"/>
  <c r="C235" i="12"/>
  <c r="C234" i="12"/>
  <c r="C233" i="12"/>
  <c r="C232" i="12"/>
  <c r="C231" i="12"/>
  <c r="C230" i="12"/>
  <c r="C229" i="12"/>
  <c r="C228" i="12"/>
  <c r="C227" i="12"/>
  <c r="C226" i="12"/>
  <c r="C225" i="12"/>
  <c r="C224" i="12"/>
  <c r="C223" i="12"/>
  <c r="C222" i="12"/>
  <c r="C221" i="12"/>
  <c r="C220" i="12"/>
  <c r="C219" i="12"/>
  <c r="C218" i="12"/>
  <c r="C217" i="12"/>
  <c r="C216" i="12"/>
  <c r="C215" i="12"/>
  <c r="C214" i="12"/>
  <c r="C213" i="12"/>
  <c r="C212" i="12"/>
  <c r="C211" i="12"/>
  <c r="C210" i="12"/>
  <c r="C209" i="12"/>
  <c r="C208" i="12"/>
  <c r="C207" i="12"/>
  <c r="C206" i="12"/>
  <c r="C205" i="12"/>
  <c r="C188" i="12"/>
  <c r="C187" i="12"/>
  <c r="C186" i="12"/>
  <c r="C185" i="12"/>
  <c r="C184" i="12"/>
  <c r="C183" i="12"/>
  <c r="C182" i="12"/>
  <c r="C181" i="12"/>
  <c r="C180" i="12"/>
  <c r="C179" i="12"/>
  <c r="C178" i="12"/>
  <c r="C177" i="12"/>
  <c r="C176" i="12"/>
  <c r="C175" i="12"/>
  <c r="C174" i="12"/>
  <c r="C173" i="12"/>
  <c r="C172" i="12"/>
  <c r="C171" i="12"/>
  <c r="C170" i="12"/>
  <c r="C169" i="12"/>
  <c r="C168" i="12"/>
  <c r="C167" i="12"/>
  <c r="C166" i="12"/>
  <c r="C165" i="12"/>
  <c r="C164" i="12"/>
  <c r="C163" i="12"/>
  <c r="C162" i="12"/>
  <c r="C161" i="12"/>
  <c r="C160" i="12"/>
  <c r="C159" i="12"/>
  <c r="C158" i="12"/>
  <c r="C157" i="12"/>
  <c r="C156" i="12"/>
  <c r="C155" i="12"/>
  <c r="C154" i="12"/>
  <c r="C153" i="12"/>
  <c r="C152" i="12"/>
  <c r="C151" i="12"/>
  <c r="C150" i="12"/>
  <c r="C149" i="12"/>
  <c r="C148" i="12"/>
  <c r="C147" i="12"/>
  <c r="C146" i="12"/>
  <c r="C145" i="12"/>
  <c r="C144" i="12"/>
  <c r="C143" i="12"/>
  <c r="C142" i="12"/>
  <c r="C141" i="12"/>
  <c r="C140" i="12"/>
  <c r="C139" i="12"/>
  <c r="C123" i="12"/>
  <c r="C122" i="12"/>
  <c r="C121" i="12"/>
  <c r="C120" i="12"/>
  <c r="C119" i="12"/>
  <c r="C118" i="12"/>
  <c r="C117" i="12"/>
  <c r="C116" i="12"/>
  <c r="C115" i="12"/>
  <c r="C114" i="12"/>
  <c r="C113" i="12"/>
  <c r="C112" i="12"/>
  <c r="C111" i="12"/>
  <c r="C110" i="12"/>
  <c r="C109" i="12"/>
  <c r="C108" i="12"/>
  <c r="C107" i="12"/>
  <c r="C106" i="12"/>
  <c r="C105" i="12"/>
  <c r="C104" i="12"/>
  <c r="C103" i="12"/>
  <c r="C102" i="12"/>
  <c r="C101" i="12"/>
  <c r="C100" i="12"/>
  <c r="C99" i="12"/>
  <c r="C98" i="12"/>
  <c r="C97" i="12"/>
  <c r="C96" i="12"/>
  <c r="C95" i="12"/>
  <c r="C94" i="12"/>
  <c r="C93" i="12"/>
  <c r="C92" i="12"/>
  <c r="C91" i="12"/>
  <c r="C90" i="12"/>
  <c r="C89" i="12"/>
  <c r="C88" i="12"/>
  <c r="C87" i="12"/>
  <c r="C86" i="12"/>
  <c r="C85" i="12"/>
  <c r="C84" i="12"/>
  <c r="C83" i="12"/>
  <c r="C82" i="12"/>
  <c r="C81" i="12"/>
  <c r="C80" i="12"/>
  <c r="C79" i="12"/>
  <c r="C78" i="12"/>
  <c r="C77" i="12"/>
  <c r="C76" i="12"/>
  <c r="C75" i="12"/>
  <c r="C74" i="12"/>
  <c r="C56" i="12"/>
  <c r="C55" i="12"/>
  <c r="C54" i="12"/>
  <c r="C53" i="12"/>
  <c r="C52" i="12"/>
  <c r="C51" i="12"/>
  <c r="C50" i="12"/>
  <c r="C49" i="12"/>
  <c r="C48" i="12"/>
  <c r="C47" i="12"/>
  <c r="C46" i="12"/>
  <c r="C45" i="12"/>
  <c r="C44" i="12"/>
  <c r="C43" i="12"/>
  <c r="C42" i="12"/>
  <c r="C41" i="12"/>
  <c r="C40" i="12"/>
  <c r="C39" i="12"/>
  <c r="C38" i="12"/>
  <c r="C37" i="12"/>
  <c r="C36" i="12"/>
  <c r="C35" i="12"/>
  <c r="C34" i="12"/>
  <c r="C33" i="12"/>
  <c r="C32" i="12"/>
  <c r="C31" i="12"/>
  <c r="C30" i="12"/>
  <c r="C29" i="12"/>
  <c r="C28" i="12"/>
  <c r="C27" i="12"/>
  <c r="C26" i="12"/>
  <c r="C25" i="12"/>
  <c r="C24" i="12"/>
  <c r="C23" i="12"/>
  <c r="C22" i="12"/>
  <c r="C21" i="12"/>
  <c r="C20" i="12"/>
  <c r="C19" i="12"/>
  <c r="C18" i="12"/>
  <c r="C17" i="12"/>
  <c r="C16" i="12"/>
  <c r="C15" i="12"/>
  <c r="C14" i="12"/>
  <c r="C13" i="12"/>
  <c r="C12" i="12"/>
  <c r="C11" i="12"/>
  <c r="C10" i="12"/>
  <c r="C9" i="12"/>
  <c r="C8" i="12"/>
  <c r="C7" i="12"/>
  <c r="C452" i="13"/>
  <c r="C451" i="13"/>
  <c r="C450" i="13"/>
  <c r="C449" i="13"/>
  <c r="C448" i="13"/>
  <c r="C447" i="13"/>
  <c r="C446" i="13"/>
  <c r="C445" i="13"/>
  <c r="C444" i="13"/>
  <c r="C443" i="13"/>
  <c r="C442" i="13"/>
  <c r="C441" i="13"/>
  <c r="C440" i="13"/>
  <c r="C439" i="13"/>
  <c r="C438" i="13"/>
  <c r="C437" i="13"/>
  <c r="C436" i="13"/>
  <c r="C435" i="13"/>
  <c r="C434" i="13"/>
  <c r="C433" i="13"/>
  <c r="C432" i="13"/>
  <c r="C431" i="13"/>
  <c r="C430" i="13"/>
  <c r="C429" i="13"/>
  <c r="C428" i="13"/>
  <c r="C427" i="13"/>
  <c r="C426" i="13"/>
  <c r="C425" i="13"/>
  <c r="C424" i="13"/>
  <c r="C423" i="13"/>
  <c r="C422" i="13"/>
  <c r="C421" i="13"/>
  <c r="C420" i="13"/>
  <c r="C419" i="13"/>
  <c r="C418" i="13"/>
  <c r="C417" i="13"/>
  <c r="C416" i="13"/>
  <c r="C415" i="13"/>
  <c r="C414" i="13"/>
  <c r="C413" i="13"/>
  <c r="C412" i="13"/>
  <c r="C411" i="13"/>
  <c r="C410" i="13"/>
  <c r="C409" i="13"/>
  <c r="C408" i="13"/>
  <c r="C407" i="13"/>
  <c r="C406" i="13"/>
  <c r="C405" i="13"/>
  <c r="C404" i="13"/>
  <c r="C403" i="13"/>
  <c r="C387" i="13"/>
  <c r="C386" i="13"/>
  <c r="C385" i="13"/>
  <c r="C384" i="13"/>
  <c r="C383" i="13"/>
  <c r="C382" i="13"/>
  <c r="C381" i="13"/>
  <c r="C380" i="13"/>
  <c r="C379" i="13"/>
  <c r="C378" i="13"/>
  <c r="C377" i="13"/>
  <c r="C376" i="13"/>
  <c r="C375" i="13"/>
  <c r="C374" i="13"/>
  <c r="C373" i="13"/>
  <c r="C372" i="13"/>
  <c r="C371" i="13"/>
  <c r="C370" i="13"/>
  <c r="C369" i="13"/>
  <c r="C368" i="13"/>
  <c r="C367" i="13"/>
  <c r="C366" i="13"/>
  <c r="C365" i="13"/>
  <c r="C364" i="13"/>
  <c r="C363" i="13"/>
  <c r="C362" i="13"/>
  <c r="C361" i="13"/>
  <c r="C360" i="13"/>
  <c r="C359" i="13"/>
  <c r="C358" i="13"/>
  <c r="C357" i="13"/>
  <c r="C356" i="13"/>
  <c r="C355" i="13"/>
  <c r="C354" i="13"/>
  <c r="C353" i="13"/>
  <c r="C352" i="13"/>
  <c r="C351" i="13"/>
  <c r="C350" i="13"/>
  <c r="C349" i="13"/>
  <c r="C348" i="13"/>
  <c r="C347" i="13"/>
  <c r="C346" i="13"/>
  <c r="C345" i="13"/>
  <c r="C344" i="13"/>
  <c r="C343" i="13"/>
  <c r="C342" i="13"/>
  <c r="C341" i="13"/>
  <c r="C340" i="13"/>
  <c r="C339" i="13"/>
  <c r="C338" i="13"/>
  <c r="C320" i="13"/>
  <c r="C319" i="13"/>
  <c r="C318" i="13"/>
  <c r="C317" i="13"/>
  <c r="C316" i="13"/>
  <c r="C315" i="13"/>
  <c r="C314" i="13"/>
  <c r="C313" i="13"/>
  <c r="C312" i="13"/>
  <c r="C311" i="13"/>
  <c r="C310" i="13"/>
  <c r="C309" i="13"/>
  <c r="C308" i="13"/>
  <c r="C307" i="13"/>
  <c r="C306" i="13"/>
  <c r="C305" i="13"/>
  <c r="C304" i="13"/>
  <c r="C303" i="13"/>
  <c r="C302" i="13"/>
  <c r="C301" i="13"/>
  <c r="C300" i="13"/>
  <c r="C299" i="13"/>
  <c r="C298" i="13"/>
  <c r="C297" i="13"/>
  <c r="C296" i="13"/>
  <c r="C295" i="13"/>
  <c r="C294" i="13"/>
  <c r="C293" i="13"/>
  <c r="C292" i="13"/>
  <c r="C291" i="13"/>
  <c r="C290" i="13"/>
  <c r="C289" i="13"/>
  <c r="C288" i="13"/>
  <c r="C287" i="13"/>
  <c r="C286" i="13"/>
  <c r="C285" i="13"/>
  <c r="C284" i="13"/>
  <c r="C283" i="13"/>
  <c r="C282" i="13"/>
  <c r="C281" i="13"/>
  <c r="C280" i="13"/>
  <c r="C279" i="13"/>
  <c r="C278" i="13"/>
  <c r="C277" i="13"/>
  <c r="C276" i="13"/>
  <c r="C275" i="13"/>
  <c r="C274" i="13"/>
  <c r="C273" i="13"/>
  <c r="C272" i="13"/>
  <c r="C271" i="13"/>
  <c r="C254" i="13"/>
  <c r="C253" i="13"/>
  <c r="C252" i="13"/>
  <c r="C251" i="13"/>
  <c r="C250" i="13"/>
  <c r="C249" i="13"/>
  <c r="C248" i="13"/>
  <c r="C247" i="13"/>
  <c r="C246" i="13"/>
  <c r="C245" i="13"/>
  <c r="C244" i="13"/>
  <c r="C243" i="13"/>
  <c r="C242" i="13"/>
  <c r="C241" i="13"/>
  <c r="C240" i="13"/>
  <c r="C239" i="13"/>
  <c r="C238" i="13"/>
  <c r="C237" i="13"/>
  <c r="C236" i="13"/>
  <c r="C235" i="13"/>
  <c r="C234" i="13"/>
  <c r="C233" i="13"/>
  <c r="C232" i="13"/>
  <c r="C231" i="13"/>
  <c r="C230" i="13"/>
  <c r="C229" i="13"/>
  <c r="C228" i="13"/>
  <c r="C227" i="13"/>
  <c r="C226" i="13"/>
  <c r="C225" i="13"/>
  <c r="C224" i="13"/>
  <c r="C223" i="13"/>
  <c r="C222" i="13"/>
  <c r="C221" i="13"/>
  <c r="C220" i="13"/>
  <c r="C219" i="13"/>
  <c r="C218" i="13"/>
  <c r="C217" i="13"/>
  <c r="C216" i="13"/>
  <c r="C215" i="13"/>
  <c r="C214" i="13"/>
  <c r="C213" i="13"/>
  <c r="C212" i="13"/>
  <c r="C211" i="13"/>
  <c r="C210" i="13"/>
  <c r="C209" i="13"/>
  <c r="C208" i="13"/>
  <c r="C207" i="13"/>
  <c r="C206" i="13"/>
  <c r="C205" i="13"/>
  <c r="C188" i="13"/>
  <c r="C187" i="13"/>
  <c r="C186" i="13"/>
  <c r="C185" i="13"/>
  <c r="C184" i="13"/>
  <c r="C183" i="13"/>
  <c r="C182" i="13"/>
  <c r="C181" i="13"/>
  <c r="C180" i="13"/>
  <c r="C179" i="13"/>
  <c r="C178" i="13"/>
  <c r="C177" i="13"/>
  <c r="C176" i="13"/>
  <c r="C175" i="13"/>
  <c r="C174" i="13"/>
  <c r="C173" i="13"/>
  <c r="C172" i="13"/>
  <c r="C171" i="13"/>
  <c r="C170" i="13"/>
  <c r="C169" i="13"/>
  <c r="C168" i="13"/>
  <c r="C167" i="13"/>
  <c r="C166" i="13"/>
  <c r="C165" i="13"/>
  <c r="C164" i="13"/>
  <c r="C163" i="13"/>
  <c r="C162" i="13"/>
  <c r="C161" i="13"/>
  <c r="C160" i="13"/>
  <c r="C159" i="13"/>
  <c r="C158" i="13"/>
  <c r="C157" i="13"/>
  <c r="C156" i="13"/>
  <c r="C155" i="13"/>
  <c r="C154" i="13"/>
  <c r="C153" i="13"/>
  <c r="C152" i="13"/>
  <c r="C151" i="13"/>
  <c r="C150" i="13"/>
  <c r="C149" i="13"/>
  <c r="C148" i="13"/>
  <c r="C147" i="13"/>
  <c r="C146" i="13"/>
  <c r="C145" i="13"/>
  <c r="C144" i="13"/>
  <c r="C143" i="13"/>
  <c r="C142" i="13"/>
  <c r="C141" i="13"/>
  <c r="C140" i="13"/>
  <c r="C139" i="13"/>
  <c r="C123" i="13"/>
  <c r="C122" i="13"/>
  <c r="C121" i="13"/>
  <c r="C120" i="13"/>
  <c r="C119" i="13"/>
  <c r="C118" i="13"/>
  <c r="C117" i="13"/>
  <c r="C116" i="13"/>
  <c r="C115" i="13"/>
  <c r="C114" i="13"/>
  <c r="C113" i="13"/>
  <c r="C112" i="13"/>
  <c r="C111" i="13"/>
  <c r="C110" i="13"/>
  <c r="C109" i="13"/>
  <c r="C108" i="13"/>
  <c r="C107" i="13"/>
  <c r="C106" i="13"/>
  <c r="C105" i="13"/>
  <c r="C104" i="13"/>
  <c r="C103" i="13"/>
  <c r="C102" i="13"/>
  <c r="C101" i="13"/>
  <c r="C100" i="13"/>
  <c r="C99" i="13"/>
  <c r="C98" i="13"/>
  <c r="C97" i="13"/>
  <c r="C96" i="13"/>
  <c r="C95" i="13"/>
  <c r="C94" i="13"/>
  <c r="C93" i="13"/>
  <c r="C92" i="13"/>
  <c r="C91" i="13"/>
  <c r="C90" i="13"/>
  <c r="C89" i="13"/>
  <c r="C88" i="13"/>
  <c r="C87" i="13"/>
  <c r="C86" i="13"/>
  <c r="C85" i="13"/>
  <c r="C84" i="13"/>
  <c r="C83" i="13"/>
  <c r="C82" i="13"/>
  <c r="C81" i="13"/>
  <c r="C80" i="13"/>
  <c r="C79" i="13"/>
  <c r="C78" i="13"/>
  <c r="C77" i="13"/>
  <c r="C76" i="13"/>
  <c r="C75" i="13"/>
  <c r="C74" i="13"/>
  <c r="C56" i="13"/>
  <c r="C55" i="13"/>
  <c r="C54" i="13"/>
  <c r="C53" i="13"/>
  <c r="C52" i="13"/>
  <c r="C51" i="13"/>
  <c r="C50" i="13"/>
  <c r="C49" i="13"/>
  <c r="C48" i="13"/>
  <c r="C47" i="13"/>
  <c r="C46" i="13"/>
  <c r="C45" i="13"/>
  <c r="C44" i="13"/>
  <c r="C43" i="13"/>
  <c r="C42" i="13"/>
  <c r="C41" i="13"/>
  <c r="C40" i="13"/>
  <c r="C39" i="13"/>
  <c r="C38" i="13"/>
  <c r="C37" i="13"/>
  <c r="C36" i="13"/>
  <c r="C35" i="13"/>
  <c r="C34" i="13"/>
  <c r="C33" i="13"/>
  <c r="C32" i="13"/>
  <c r="C31" i="13"/>
  <c r="C30" i="13"/>
  <c r="C29" i="13"/>
  <c r="C28" i="13"/>
  <c r="C27" i="13"/>
  <c r="C26" i="13"/>
  <c r="C25" i="13"/>
  <c r="C24" i="13"/>
  <c r="C23" i="13"/>
  <c r="C22" i="13"/>
  <c r="C21" i="13"/>
  <c r="C20" i="13"/>
  <c r="C19" i="13"/>
  <c r="C18" i="13"/>
  <c r="C17" i="13"/>
  <c r="C16" i="13"/>
  <c r="C15" i="13"/>
  <c r="C14" i="13"/>
  <c r="C13" i="13"/>
  <c r="C12" i="13"/>
  <c r="C11" i="13"/>
  <c r="C10" i="13"/>
  <c r="C9" i="13"/>
  <c r="C8" i="13"/>
  <c r="C7" i="13"/>
  <c r="C452" i="14"/>
  <c r="C451" i="14"/>
  <c r="C450" i="14"/>
  <c r="C449" i="14"/>
  <c r="C448" i="14"/>
  <c r="C447" i="14"/>
  <c r="C446" i="14"/>
  <c r="C445" i="14"/>
  <c r="C444" i="14"/>
  <c r="C443" i="14"/>
  <c r="C442" i="14"/>
  <c r="C441" i="14"/>
  <c r="C440" i="14"/>
  <c r="C439" i="14"/>
  <c r="C438" i="14"/>
  <c r="C437" i="14"/>
  <c r="C436" i="14"/>
  <c r="C435" i="14"/>
  <c r="C434" i="14"/>
  <c r="C433" i="14"/>
  <c r="C432" i="14"/>
  <c r="C431" i="14"/>
  <c r="C430" i="14"/>
  <c r="C429" i="14"/>
  <c r="C428" i="14"/>
  <c r="C427" i="14"/>
  <c r="C426" i="14"/>
  <c r="C425" i="14"/>
  <c r="C424" i="14"/>
  <c r="C423" i="14"/>
  <c r="C422" i="14"/>
  <c r="C421" i="14"/>
  <c r="C420" i="14"/>
  <c r="C419" i="14"/>
  <c r="C418" i="14"/>
  <c r="C417" i="14"/>
  <c r="C416" i="14"/>
  <c r="C415" i="14"/>
  <c r="C414" i="14"/>
  <c r="C413" i="14"/>
  <c r="C412" i="14"/>
  <c r="C411" i="14"/>
  <c r="C410" i="14"/>
  <c r="C409" i="14"/>
  <c r="C408" i="14"/>
  <c r="C407" i="14"/>
  <c r="C406" i="14"/>
  <c r="C405" i="14"/>
  <c r="C404" i="14"/>
  <c r="C403" i="14"/>
  <c r="C387" i="14"/>
  <c r="C386" i="14"/>
  <c r="C385" i="14"/>
  <c r="C384" i="14"/>
  <c r="C383" i="14"/>
  <c r="C382" i="14"/>
  <c r="C381" i="14"/>
  <c r="C380" i="14"/>
  <c r="C379" i="14"/>
  <c r="C378" i="14"/>
  <c r="C377" i="14"/>
  <c r="C376" i="14"/>
  <c r="C375" i="14"/>
  <c r="C374" i="14"/>
  <c r="C373" i="14"/>
  <c r="C372" i="14"/>
  <c r="C371" i="14"/>
  <c r="C370" i="14"/>
  <c r="C369" i="14"/>
  <c r="C368" i="14"/>
  <c r="C367" i="14"/>
  <c r="C366" i="14"/>
  <c r="C365" i="14"/>
  <c r="C364" i="14"/>
  <c r="C363" i="14"/>
  <c r="C362" i="14"/>
  <c r="C361" i="14"/>
  <c r="C360" i="14"/>
  <c r="C359" i="14"/>
  <c r="C358" i="14"/>
  <c r="C357" i="14"/>
  <c r="C356" i="14"/>
  <c r="C355" i="14"/>
  <c r="C354" i="14"/>
  <c r="C353" i="14"/>
  <c r="C352" i="14"/>
  <c r="C351" i="14"/>
  <c r="C350" i="14"/>
  <c r="C349" i="14"/>
  <c r="C348" i="14"/>
  <c r="C347" i="14"/>
  <c r="C346" i="14"/>
  <c r="C345" i="14"/>
  <c r="C344" i="14"/>
  <c r="C343" i="14"/>
  <c r="C342" i="14"/>
  <c r="C341" i="14"/>
  <c r="C340" i="14"/>
  <c r="C339" i="14"/>
  <c r="C338" i="14"/>
  <c r="C320" i="14"/>
  <c r="C319" i="14"/>
  <c r="C318" i="14"/>
  <c r="C317" i="14"/>
  <c r="C316" i="14"/>
  <c r="C315" i="14"/>
  <c r="C314" i="14"/>
  <c r="C313" i="14"/>
  <c r="C312" i="14"/>
  <c r="C311" i="14"/>
  <c r="C310" i="14"/>
  <c r="C309" i="14"/>
  <c r="C308" i="14"/>
  <c r="C307" i="14"/>
  <c r="C306" i="14"/>
  <c r="C305" i="14"/>
  <c r="C304" i="14"/>
  <c r="C303" i="14"/>
  <c r="C302" i="14"/>
  <c r="C301" i="14"/>
  <c r="C300" i="14"/>
  <c r="C299" i="14"/>
  <c r="C298" i="14"/>
  <c r="C297" i="14"/>
  <c r="C296" i="14"/>
  <c r="C295" i="14"/>
  <c r="C294" i="14"/>
  <c r="C293" i="14"/>
  <c r="C292" i="14"/>
  <c r="C291" i="14"/>
  <c r="C290" i="14"/>
  <c r="C289" i="14"/>
  <c r="C288" i="14"/>
  <c r="C287" i="14"/>
  <c r="C286" i="14"/>
  <c r="C285" i="14"/>
  <c r="C284" i="14"/>
  <c r="C283" i="14"/>
  <c r="C282" i="14"/>
  <c r="C281" i="14"/>
  <c r="C280" i="14"/>
  <c r="C279" i="14"/>
  <c r="C278" i="14"/>
  <c r="C277" i="14"/>
  <c r="C276" i="14"/>
  <c r="C275" i="14"/>
  <c r="C274" i="14"/>
  <c r="C273" i="14"/>
  <c r="C272" i="14"/>
  <c r="C271" i="14"/>
  <c r="C254" i="14"/>
  <c r="C253" i="14"/>
  <c r="C252" i="14"/>
  <c r="C251" i="14"/>
  <c r="C250" i="14"/>
  <c r="C249" i="14"/>
  <c r="C248" i="14"/>
  <c r="C247" i="14"/>
  <c r="C246" i="14"/>
  <c r="C245" i="14"/>
  <c r="C244" i="14"/>
  <c r="C243" i="14"/>
  <c r="C242" i="14"/>
  <c r="C241" i="14"/>
  <c r="C240" i="14"/>
  <c r="C239" i="14"/>
  <c r="C238" i="14"/>
  <c r="C237" i="14"/>
  <c r="C236" i="14"/>
  <c r="C235" i="14"/>
  <c r="C234" i="14"/>
  <c r="C233" i="14"/>
  <c r="C232" i="14"/>
  <c r="C231" i="14"/>
  <c r="C230" i="14"/>
  <c r="C229" i="14"/>
  <c r="C228" i="14"/>
  <c r="C227" i="14"/>
  <c r="C226" i="14"/>
  <c r="C225" i="14"/>
  <c r="C224" i="14"/>
  <c r="C223" i="14"/>
  <c r="C222" i="14"/>
  <c r="C221" i="14"/>
  <c r="C220" i="14"/>
  <c r="C219" i="14"/>
  <c r="C218" i="14"/>
  <c r="C217" i="14"/>
  <c r="C216" i="14"/>
  <c r="C215" i="14"/>
  <c r="C214" i="14"/>
  <c r="C213" i="14"/>
  <c r="C212" i="14"/>
  <c r="C211" i="14"/>
  <c r="C210" i="14"/>
  <c r="C209" i="14"/>
  <c r="C208" i="14"/>
  <c r="C207" i="14"/>
  <c r="C206" i="14"/>
  <c r="C205" i="14"/>
  <c r="C188" i="14"/>
  <c r="C187" i="14"/>
  <c r="C186" i="14"/>
  <c r="C185" i="14"/>
  <c r="C184" i="14"/>
  <c r="C183" i="14"/>
  <c r="C182" i="14"/>
  <c r="C181" i="14"/>
  <c r="C180" i="14"/>
  <c r="C179" i="14"/>
  <c r="C178" i="14"/>
  <c r="C177" i="14"/>
  <c r="C176" i="14"/>
  <c r="C175" i="14"/>
  <c r="C174" i="14"/>
  <c r="C173" i="14"/>
  <c r="C172" i="14"/>
  <c r="C171" i="14"/>
  <c r="C170" i="14"/>
  <c r="C169" i="14"/>
  <c r="C168" i="14"/>
  <c r="C167" i="14"/>
  <c r="C166" i="14"/>
  <c r="C165" i="14"/>
  <c r="C164" i="14"/>
  <c r="C163" i="14"/>
  <c r="C162" i="14"/>
  <c r="C161" i="14"/>
  <c r="C160" i="14"/>
  <c r="C159" i="14"/>
  <c r="C158" i="14"/>
  <c r="C157" i="14"/>
  <c r="C156" i="14"/>
  <c r="C155" i="14"/>
  <c r="C154" i="14"/>
  <c r="C153" i="14"/>
  <c r="C152" i="14"/>
  <c r="C151" i="14"/>
  <c r="C150" i="14"/>
  <c r="C149" i="14"/>
  <c r="C148" i="14"/>
  <c r="C147" i="14"/>
  <c r="C146" i="14"/>
  <c r="C145" i="14"/>
  <c r="C144" i="14"/>
  <c r="C143" i="14"/>
  <c r="C142" i="14"/>
  <c r="C141" i="14"/>
  <c r="C140" i="14"/>
  <c r="C139" i="14"/>
  <c r="C123" i="14"/>
  <c r="C122" i="14"/>
  <c r="C121" i="14"/>
  <c r="C120" i="14"/>
  <c r="C119" i="14"/>
  <c r="C118" i="14"/>
  <c r="C117" i="14"/>
  <c r="C116" i="14"/>
  <c r="C115" i="14"/>
  <c r="C114" i="14"/>
  <c r="C113" i="14"/>
  <c r="C112" i="14"/>
  <c r="C111" i="14"/>
  <c r="C110" i="14"/>
  <c r="C109" i="14"/>
  <c r="C108" i="14"/>
  <c r="C107" i="14"/>
  <c r="C106" i="14"/>
  <c r="C105" i="14"/>
  <c r="C104" i="14"/>
  <c r="C103" i="14"/>
  <c r="C102" i="14"/>
  <c r="C101" i="14"/>
  <c r="C100" i="14"/>
  <c r="C99" i="14"/>
  <c r="C98" i="14"/>
  <c r="C97" i="14"/>
  <c r="C96" i="14"/>
  <c r="C95" i="14"/>
  <c r="C94" i="14"/>
  <c r="C93" i="14"/>
  <c r="C92" i="14"/>
  <c r="C91" i="14"/>
  <c r="C90" i="14"/>
  <c r="C89" i="14"/>
  <c r="C88" i="14"/>
  <c r="C87" i="14"/>
  <c r="C86" i="14"/>
  <c r="C85" i="14"/>
  <c r="C84" i="14"/>
  <c r="C83" i="14"/>
  <c r="C82" i="14"/>
  <c r="C81" i="14"/>
  <c r="C80" i="14"/>
  <c r="C79" i="14"/>
  <c r="C78" i="14"/>
  <c r="C77" i="14"/>
  <c r="C76" i="14"/>
  <c r="C75" i="14"/>
  <c r="C74" i="14"/>
  <c r="C56" i="14"/>
  <c r="C55" i="14"/>
  <c r="C54" i="14"/>
  <c r="C53" i="14"/>
  <c r="C52" i="14"/>
  <c r="C51" i="14"/>
  <c r="C50" i="14"/>
  <c r="C49" i="14"/>
  <c r="C48" i="14"/>
  <c r="C47" i="14"/>
  <c r="C46" i="14"/>
  <c r="C45" i="14"/>
  <c r="C44" i="14"/>
  <c r="C43" i="14"/>
  <c r="C42" i="14"/>
  <c r="C41" i="14"/>
  <c r="C40" i="14"/>
  <c r="C39" i="14"/>
  <c r="C38" i="14"/>
  <c r="C37" i="14"/>
  <c r="C36" i="14"/>
  <c r="C35" i="14"/>
  <c r="C34" i="14"/>
  <c r="C33" i="14"/>
  <c r="C32" i="14"/>
  <c r="C31" i="14"/>
  <c r="C30" i="14"/>
  <c r="C29" i="14"/>
  <c r="C28" i="14"/>
  <c r="C27" i="14"/>
  <c r="C26" i="14"/>
  <c r="C25" i="14"/>
  <c r="C24" i="14"/>
  <c r="C23" i="14"/>
  <c r="C22" i="14"/>
  <c r="C21" i="14"/>
  <c r="C20" i="14"/>
  <c r="C19" i="14"/>
  <c r="C18" i="14"/>
  <c r="C17" i="14"/>
  <c r="C16" i="14"/>
  <c r="C15" i="14"/>
  <c r="C14" i="14"/>
  <c r="C13" i="14"/>
  <c r="C12" i="14"/>
  <c r="C11" i="14"/>
  <c r="C10" i="14"/>
  <c r="C9" i="14"/>
  <c r="C8" i="14"/>
  <c r="C7" i="14"/>
  <c r="C452" i="26"/>
  <c r="C451" i="26"/>
  <c r="C450" i="26"/>
  <c r="C449" i="26"/>
  <c r="C448" i="26"/>
  <c r="C447" i="26"/>
  <c r="C446" i="26"/>
  <c r="C445" i="26"/>
  <c r="C444" i="26"/>
  <c r="C443" i="26"/>
  <c r="C442" i="26"/>
  <c r="C441" i="26"/>
  <c r="C440" i="26"/>
  <c r="C439" i="26"/>
  <c r="C438" i="26"/>
  <c r="C437" i="26"/>
  <c r="C436" i="26"/>
  <c r="C435" i="26"/>
  <c r="C434" i="26"/>
  <c r="C433" i="26"/>
  <c r="C432" i="26"/>
  <c r="C431" i="26"/>
  <c r="C430" i="26"/>
  <c r="C429" i="26"/>
  <c r="C428" i="26"/>
  <c r="C427" i="26"/>
  <c r="C426" i="26"/>
  <c r="C425" i="26"/>
  <c r="C424" i="26"/>
  <c r="C423" i="26"/>
  <c r="C422" i="26"/>
  <c r="C421" i="26"/>
  <c r="C420" i="26"/>
  <c r="C419" i="26"/>
  <c r="C418" i="26"/>
  <c r="C417" i="26"/>
  <c r="C416" i="26"/>
  <c r="C415" i="26"/>
  <c r="C414" i="26"/>
  <c r="C413" i="26"/>
  <c r="C412" i="26"/>
  <c r="C411" i="26"/>
  <c r="C410" i="26"/>
  <c r="C409" i="26"/>
  <c r="C408" i="26"/>
  <c r="C407" i="26"/>
  <c r="C406" i="26"/>
  <c r="C405" i="26"/>
  <c r="C404" i="26"/>
  <c r="C403" i="26"/>
  <c r="C387" i="26"/>
  <c r="C386" i="26"/>
  <c r="C385" i="26"/>
  <c r="C384" i="26"/>
  <c r="C383" i="26"/>
  <c r="C382" i="26"/>
  <c r="C381" i="26"/>
  <c r="C380" i="26"/>
  <c r="C379" i="26"/>
  <c r="C378" i="26"/>
  <c r="C377" i="26"/>
  <c r="C376" i="26"/>
  <c r="C375" i="26"/>
  <c r="C374" i="26"/>
  <c r="C373" i="26"/>
  <c r="C372" i="26"/>
  <c r="C371" i="26"/>
  <c r="C370" i="26"/>
  <c r="C369" i="26"/>
  <c r="C368" i="26"/>
  <c r="C367" i="26"/>
  <c r="C366" i="26"/>
  <c r="C365" i="26"/>
  <c r="C364" i="26"/>
  <c r="C363" i="26"/>
  <c r="C362" i="26"/>
  <c r="C361" i="26"/>
  <c r="C360" i="26"/>
  <c r="C359" i="26"/>
  <c r="C358" i="26"/>
  <c r="C357" i="26"/>
  <c r="C356" i="26"/>
  <c r="C355" i="26"/>
  <c r="C354" i="26"/>
  <c r="C353" i="26"/>
  <c r="C352" i="26"/>
  <c r="C351" i="26"/>
  <c r="C350" i="26"/>
  <c r="C349" i="26"/>
  <c r="C348" i="26"/>
  <c r="C347" i="26"/>
  <c r="C346" i="26"/>
  <c r="C345" i="26"/>
  <c r="C344" i="26"/>
  <c r="C343" i="26"/>
  <c r="C342" i="26"/>
  <c r="C341" i="26"/>
  <c r="C340" i="26"/>
  <c r="C339" i="26"/>
  <c r="C338" i="26"/>
  <c r="C320" i="26"/>
  <c r="C319" i="26"/>
  <c r="C318" i="26"/>
  <c r="C317" i="26"/>
  <c r="C316" i="26"/>
  <c r="C315" i="26"/>
  <c r="C314" i="26"/>
  <c r="C313" i="26"/>
  <c r="C312" i="26"/>
  <c r="C311" i="26"/>
  <c r="C310" i="26"/>
  <c r="C309" i="26"/>
  <c r="C308" i="26"/>
  <c r="C307" i="26"/>
  <c r="C306" i="26"/>
  <c r="C305" i="26"/>
  <c r="C304" i="26"/>
  <c r="C303" i="26"/>
  <c r="C302" i="26"/>
  <c r="C301" i="26"/>
  <c r="C300" i="26"/>
  <c r="C299" i="26"/>
  <c r="C298" i="26"/>
  <c r="C297" i="26"/>
  <c r="C296" i="26"/>
  <c r="C295" i="26"/>
  <c r="C294" i="26"/>
  <c r="C293" i="26"/>
  <c r="C292" i="26"/>
  <c r="C291" i="26"/>
  <c r="C290" i="26"/>
  <c r="C289" i="26"/>
  <c r="C288" i="26"/>
  <c r="C287" i="26"/>
  <c r="C286" i="26"/>
  <c r="C285" i="26"/>
  <c r="C284" i="26"/>
  <c r="C283" i="26"/>
  <c r="C282" i="26"/>
  <c r="C281" i="26"/>
  <c r="C280" i="26"/>
  <c r="C279" i="26"/>
  <c r="C278" i="26"/>
  <c r="C277" i="26"/>
  <c r="C276" i="26"/>
  <c r="C275" i="26"/>
  <c r="C274" i="26"/>
  <c r="C273" i="26"/>
  <c r="C272" i="26"/>
  <c r="C271" i="26"/>
  <c r="C254" i="26"/>
  <c r="C253" i="26"/>
  <c r="C252" i="26"/>
  <c r="C251" i="26"/>
  <c r="C250" i="26"/>
  <c r="C249" i="26"/>
  <c r="C248" i="26"/>
  <c r="C247" i="26"/>
  <c r="C246" i="26"/>
  <c r="C245" i="26"/>
  <c r="C244" i="26"/>
  <c r="C243" i="26"/>
  <c r="C242" i="26"/>
  <c r="C241" i="26"/>
  <c r="C240" i="26"/>
  <c r="C239" i="26"/>
  <c r="C238" i="26"/>
  <c r="C237" i="26"/>
  <c r="C236" i="26"/>
  <c r="C235" i="26"/>
  <c r="C234" i="26"/>
  <c r="C233" i="26"/>
  <c r="C232" i="26"/>
  <c r="C231" i="26"/>
  <c r="C230" i="26"/>
  <c r="C229" i="26"/>
  <c r="C228" i="26"/>
  <c r="C227" i="26"/>
  <c r="C226" i="26"/>
  <c r="C225" i="26"/>
  <c r="C224" i="26"/>
  <c r="C223" i="26"/>
  <c r="C222" i="26"/>
  <c r="C221" i="26"/>
  <c r="C220" i="26"/>
  <c r="C219" i="26"/>
  <c r="C218" i="26"/>
  <c r="C217" i="26"/>
  <c r="C216" i="26"/>
  <c r="C215" i="26"/>
  <c r="C214" i="26"/>
  <c r="C213" i="26"/>
  <c r="C212" i="26"/>
  <c r="C211" i="26"/>
  <c r="C210" i="26"/>
  <c r="C209" i="26"/>
  <c r="C208" i="26"/>
  <c r="C207" i="26"/>
  <c r="C206" i="26"/>
  <c r="C205" i="26"/>
  <c r="C188" i="26"/>
  <c r="C187" i="26"/>
  <c r="C186" i="26"/>
  <c r="C185" i="26"/>
  <c r="C184" i="26"/>
  <c r="C183" i="26"/>
  <c r="C182" i="26"/>
  <c r="C181" i="26"/>
  <c r="C180" i="26"/>
  <c r="C179" i="26"/>
  <c r="C178" i="26"/>
  <c r="C177" i="26"/>
  <c r="C176" i="26"/>
  <c r="C175" i="26"/>
  <c r="C174" i="26"/>
  <c r="C173" i="26"/>
  <c r="C172" i="26"/>
  <c r="C171" i="26"/>
  <c r="C170" i="26"/>
  <c r="C169" i="26"/>
  <c r="C168" i="26"/>
  <c r="C167" i="26"/>
  <c r="C166" i="26"/>
  <c r="C165" i="26"/>
  <c r="C164" i="26"/>
  <c r="C163" i="26"/>
  <c r="C162" i="26"/>
  <c r="C161" i="26"/>
  <c r="C160" i="26"/>
  <c r="C159" i="26"/>
  <c r="C158" i="26"/>
  <c r="C157" i="26"/>
  <c r="C156" i="26"/>
  <c r="C155" i="26"/>
  <c r="C154" i="26"/>
  <c r="C153" i="26"/>
  <c r="C152" i="26"/>
  <c r="C151" i="26"/>
  <c r="C150" i="26"/>
  <c r="C149" i="26"/>
  <c r="C148" i="26"/>
  <c r="C147" i="26"/>
  <c r="C146" i="26"/>
  <c r="C145" i="26"/>
  <c r="C144" i="26"/>
  <c r="C143" i="26"/>
  <c r="C142" i="26"/>
  <c r="C141" i="26"/>
  <c r="C140" i="26"/>
  <c r="C139" i="26"/>
  <c r="C123" i="26"/>
  <c r="C122" i="26"/>
  <c r="C121" i="26"/>
  <c r="C120" i="26"/>
  <c r="C119" i="26"/>
  <c r="C118" i="26"/>
  <c r="C117" i="26"/>
  <c r="C116" i="26"/>
  <c r="C115" i="26"/>
  <c r="C114" i="26"/>
  <c r="C113" i="26"/>
  <c r="C112" i="26"/>
  <c r="C111" i="26"/>
  <c r="C110" i="26"/>
  <c r="C109" i="26"/>
  <c r="C108" i="26"/>
  <c r="C107" i="26"/>
  <c r="C106" i="26"/>
  <c r="C105" i="26"/>
  <c r="C104" i="26"/>
  <c r="C103" i="26"/>
  <c r="C102" i="26"/>
  <c r="C101" i="26"/>
  <c r="C100" i="26"/>
  <c r="C99" i="26"/>
  <c r="C98" i="26"/>
  <c r="C97" i="26"/>
  <c r="C96" i="26"/>
  <c r="C95" i="26"/>
  <c r="C94" i="26"/>
  <c r="C93" i="26"/>
  <c r="C92" i="26"/>
  <c r="C91" i="26"/>
  <c r="C90" i="26"/>
  <c r="C89" i="26"/>
  <c r="C88" i="26"/>
  <c r="C87" i="26"/>
  <c r="C86" i="26"/>
  <c r="C85" i="26"/>
  <c r="C84" i="26"/>
  <c r="C83" i="26"/>
  <c r="C82" i="26"/>
  <c r="C81" i="26"/>
  <c r="C80" i="26"/>
  <c r="C79" i="26"/>
  <c r="C78" i="26"/>
  <c r="C77" i="26"/>
  <c r="C76" i="26"/>
  <c r="C75" i="26"/>
  <c r="C74" i="26"/>
  <c r="C56" i="26"/>
  <c r="C55" i="26"/>
  <c r="C54" i="26"/>
  <c r="C53" i="26"/>
  <c r="C52" i="26"/>
  <c r="C51" i="26"/>
  <c r="C50" i="26"/>
  <c r="C49" i="26"/>
  <c r="C48" i="26"/>
  <c r="C47" i="26"/>
  <c r="C46" i="26"/>
  <c r="C45" i="26"/>
  <c r="C44" i="26"/>
  <c r="C43" i="26"/>
  <c r="C42" i="26"/>
  <c r="C41" i="26"/>
  <c r="C40" i="26"/>
  <c r="C39" i="26"/>
  <c r="C38" i="26"/>
  <c r="C37" i="26"/>
  <c r="C36" i="26"/>
  <c r="C35" i="26"/>
  <c r="C34" i="26"/>
  <c r="C33" i="26"/>
  <c r="C32" i="26"/>
  <c r="C31" i="26"/>
  <c r="C30" i="26"/>
  <c r="C29" i="26"/>
  <c r="C28" i="26"/>
  <c r="C27" i="26"/>
  <c r="C26" i="26"/>
  <c r="C25" i="26"/>
  <c r="C24" i="26"/>
  <c r="C23" i="26"/>
  <c r="C22" i="26"/>
  <c r="C21" i="26"/>
  <c r="C20" i="26"/>
  <c r="C19" i="26"/>
  <c r="C18" i="26"/>
  <c r="C17" i="26"/>
  <c r="C16" i="26"/>
  <c r="C15" i="26"/>
  <c r="C14" i="26"/>
  <c r="C13" i="26"/>
  <c r="C12" i="26"/>
  <c r="C11" i="26"/>
  <c r="C10" i="26"/>
  <c r="C9" i="26"/>
  <c r="C8" i="26"/>
  <c r="C7" i="26"/>
  <c r="C452" i="15"/>
  <c r="C451" i="15"/>
  <c r="C450" i="15"/>
  <c r="C449" i="15"/>
  <c r="C448" i="15"/>
  <c r="C447" i="15"/>
  <c r="C446" i="15"/>
  <c r="C445" i="15"/>
  <c r="C444" i="15"/>
  <c r="C443" i="15"/>
  <c r="C442" i="15"/>
  <c r="C441" i="15"/>
  <c r="C440" i="15"/>
  <c r="C439" i="15"/>
  <c r="C438" i="15"/>
  <c r="C437" i="15"/>
  <c r="C436" i="15"/>
  <c r="C435" i="15"/>
  <c r="C434" i="15"/>
  <c r="C433" i="15"/>
  <c r="C432" i="15"/>
  <c r="C431" i="15"/>
  <c r="C430" i="15"/>
  <c r="C429" i="15"/>
  <c r="C428" i="15"/>
  <c r="C427" i="15"/>
  <c r="C426" i="15"/>
  <c r="C425" i="15"/>
  <c r="C424" i="15"/>
  <c r="C423" i="15"/>
  <c r="C422" i="15"/>
  <c r="C421" i="15"/>
  <c r="C420" i="15"/>
  <c r="C419" i="15"/>
  <c r="C418" i="15"/>
  <c r="C417" i="15"/>
  <c r="C416" i="15"/>
  <c r="C415" i="15"/>
  <c r="C414" i="15"/>
  <c r="C413" i="15"/>
  <c r="C412" i="15"/>
  <c r="C411" i="15"/>
  <c r="C410" i="15"/>
  <c r="C409" i="15"/>
  <c r="C408" i="15"/>
  <c r="C407" i="15"/>
  <c r="C406" i="15"/>
  <c r="C405" i="15"/>
  <c r="C404" i="15"/>
  <c r="C403" i="15"/>
  <c r="C387" i="15"/>
  <c r="C386" i="15"/>
  <c r="C385" i="15"/>
  <c r="C384" i="15"/>
  <c r="C383" i="15"/>
  <c r="C382" i="15"/>
  <c r="C381" i="15"/>
  <c r="C380" i="15"/>
  <c r="C379" i="15"/>
  <c r="C378" i="15"/>
  <c r="C377" i="15"/>
  <c r="C376" i="15"/>
  <c r="C375" i="15"/>
  <c r="C374" i="15"/>
  <c r="C373" i="15"/>
  <c r="C372" i="15"/>
  <c r="C371" i="15"/>
  <c r="C370" i="15"/>
  <c r="C369" i="15"/>
  <c r="C368" i="15"/>
  <c r="C367" i="15"/>
  <c r="C366" i="15"/>
  <c r="C365" i="15"/>
  <c r="C364" i="15"/>
  <c r="C363" i="15"/>
  <c r="C362" i="15"/>
  <c r="C361" i="15"/>
  <c r="C360" i="15"/>
  <c r="C359" i="15"/>
  <c r="C358" i="15"/>
  <c r="C357" i="15"/>
  <c r="C356" i="15"/>
  <c r="C355" i="15"/>
  <c r="C354" i="15"/>
  <c r="C353" i="15"/>
  <c r="C352" i="15"/>
  <c r="C351" i="15"/>
  <c r="C350" i="15"/>
  <c r="C349" i="15"/>
  <c r="C348" i="15"/>
  <c r="C347" i="15"/>
  <c r="C346" i="15"/>
  <c r="C345" i="15"/>
  <c r="C344" i="15"/>
  <c r="C343" i="15"/>
  <c r="C342" i="15"/>
  <c r="C341" i="15"/>
  <c r="C340" i="15"/>
  <c r="C339" i="15"/>
  <c r="C338" i="15"/>
  <c r="C320" i="15"/>
  <c r="C319" i="15"/>
  <c r="C318" i="15"/>
  <c r="C317" i="15"/>
  <c r="C316" i="15"/>
  <c r="C315" i="15"/>
  <c r="C314" i="15"/>
  <c r="C313" i="15"/>
  <c r="C312" i="15"/>
  <c r="C311" i="15"/>
  <c r="C310" i="15"/>
  <c r="C309" i="15"/>
  <c r="C308" i="15"/>
  <c r="C307" i="15"/>
  <c r="C306" i="15"/>
  <c r="C305" i="15"/>
  <c r="C304" i="15"/>
  <c r="C303" i="15"/>
  <c r="C302" i="15"/>
  <c r="C301" i="15"/>
  <c r="C300" i="15"/>
  <c r="C299" i="15"/>
  <c r="C298" i="15"/>
  <c r="C297" i="15"/>
  <c r="C296" i="15"/>
  <c r="C295" i="15"/>
  <c r="C294" i="15"/>
  <c r="C293" i="15"/>
  <c r="C292" i="15"/>
  <c r="C291" i="15"/>
  <c r="C290" i="15"/>
  <c r="C289" i="15"/>
  <c r="C288" i="15"/>
  <c r="C287" i="15"/>
  <c r="C286" i="15"/>
  <c r="C285" i="15"/>
  <c r="C284" i="15"/>
  <c r="C283" i="15"/>
  <c r="C282" i="15"/>
  <c r="C281" i="15"/>
  <c r="C280" i="15"/>
  <c r="C279" i="15"/>
  <c r="C278" i="15"/>
  <c r="C277" i="15"/>
  <c r="C276" i="15"/>
  <c r="C275" i="15"/>
  <c r="C274" i="15"/>
  <c r="C273" i="15"/>
  <c r="C272" i="15"/>
  <c r="C271" i="15"/>
  <c r="C254" i="15"/>
  <c r="C253" i="15"/>
  <c r="C252" i="15"/>
  <c r="C251" i="15"/>
  <c r="C250" i="15"/>
  <c r="C249" i="15"/>
  <c r="C248" i="15"/>
  <c r="C247" i="15"/>
  <c r="C246" i="15"/>
  <c r="C245" i="15"/>
  <c r="C244" i="15"/>
  <c r="C243" i="15"/>
  <c r="C242" i="15"/>
  <c r="C241" i="15"/>
  <c r="C240" i="15"/>
  <c r="C239" i="15"/>
  <c r="C238" i="15"/>
  <c r="C237" i="15"/>
  <c r="C236" i="15"/>
  <c r="C235" i="15"/>
  <c r="C234" i="15"/>
  <c r="C233" i="15"/>
  <c r="C232" i="15"/>
  <c r="C231" i="15"/>
  <c r="C230" i="15"/>
  <c r="C229" i="15"/>
  <c r="C228" i="15"/>
  <c r="C227" i="15"/>
  <c r="C226" i="15"/>
  <c r="C225" i="15"/>
  <c r="C224" i="15"/>
  <c r="C223" i="15"/>
  <c r="C222" i="15"/>
  <c r="C221" i="15"/>
  <c r="C220" i="15"/>
  <c r="C219" i="15"/>
  <c r="C218" i="15"/>
  <c r="C217" i="15"/>
  <c r="C216" i="15"/>
  <c r="C215" i="15"/>
  <c r="C214" i="15"/>
  <c r="C213" i="15"/>
  <c r="C212" i="15"/>
  <c r="C211" i="15"/>
  <c r="C210" i="15"/>
  <c r="C209" i="15"/>
  <c r="C208" i="15"/>
  <c r="C207" i="15"/>
  <c r="C206" i="15"/>
  <c r="C205" i="15"/>
  <c r="C188" i="15"/>
  <c r="C187" i="15"/>
  <c r="C186" i="15"/>
  <c r="C185" i="15"/>
  <c r="C184" i="15"/>
  <c r="C183" i="15"/>
  <c r="C182" i="15"/>
  <c r="C181" i="15"/>
  <c r="C180" i="15"/>
  <c r="C179" i="15"/>
  <c r="C178" i="15"/>
  <c r="C177" i="15"/>
  <c r="C176" i="15"/>
  <c r="C175" i="15"/>
  <c r="C174" i="15"/>
  <c r="C173" i="15"/>
  <c r="C172" i="15"/>
  <c r="C171" i="15"/>
  <c r="C170" i="15"/>
  <c r="C169" i="15"/>
  <c r="C168" i="15"/>
  <c r="C167" i="15"/>
  <c r="C166" i="15"/>
  <c r="C165" i="15"/>
  <c r="C164" i="15"/>
  <c r="C163" i="15"/>
  <c r="C162" i="15"/>
  <c r="C161" i="15"/>
  <c r="C160" i="15"/>
  <c r="C159" i="15"/>
  <c r="C158" i="15"/>
  <c r="C157" i="15"/>
  <c r="C156" i="15"/>
  <c r="C155" i="15"/>
  <c r="C154" i="15"/>
  <c r="C153" i="15"/>
  <c r="C152" i="15"/>
  <c r="C151" i="15"/>
  <c r="C150" i="15"/>
  <c r="C149" i="15"/>
  <c r="C148" i="15"/>
  <c r="C147" i="15"/>
  <c r="C146" i="15"/>
  <c r="C145" i="15"/>
  <c r="C144" i="15"/>
  <c r="C143" i="15"/>
  <c r="C142" i="15"/>
  <c r="C141" i="15"/>
  <c r="C140" i="15"/>
  <c r="C139" i="15"/>
  <c r="C123" i="15"/>
  <c r="C122" i="15"/>
  <c r="C121" i="15"/>
  <c r="C120" i="15"/>
  <c r="C119" i="15"/>
  <c r="C118" i="15"/>
  <c r="C117" i="15"/>
  <c r="C116" i="15"/>
  <c r="C115" i="15"/>
  <c r="C114" i="15"/>
  <c r="C113" i="15"/>
  <c r="C112" i="15"/>
  <c r="C111" i="15"/>
  <c r="C110" i="15"/>
  <c r="C109" i="15"/>
  <c r="C108" i="15"/>
  <c r="C107" i="15"/>
  <c r="C106" i="15"/>
  <c r="C105" i="15"/>
  <c r="C104" i="15"/>
  <c r="C103" i="15"/>
  <c r="C102" i="15"/>
  <c r="C101" i="15"/>
  <c r="C100" i="15"/>
  <c r="C99" i="15"/>
  <c r="C98" i="15"/>
  <c r="C97" i="15"/>
  <c r="C96" i="15"/>
  <c r="C95" i="15"/>
  <c r="C94" i="15"/>
  <c r="C93" i="15"/>
  <c r="C92" i="15"/>
  <c r="C91" i="15"/>
  <c r="C90" i="15"/>
  <c r="C89" i="15"/>
  <c r="C88" i="15"/>
  <c r="C87" i="15"/>
  <c r="C86" i="15"/>
  <c r="C85" i="15"/>
  <c r="C84" i="15"/>
  <c r="C83" i="15"/>
  <c r="C82" i="15"/>
  <c r="C81" i="15"/>
  <c r="C80" i="15"/>
  <c r="C79" i="15"/>
  <c r="C78" i="15"/>
  <c r="C77" i="15"/>
  <c r="C76" i="15"/>
  <c r="C75" i="15"/>
  <c r="C74" i="15"/>
  <c r="C56" i="15"/>
  <c r="C55" i="15"/>
  <c r="C54" i="15"/>
  <c r="C53" i="15"/>
  <c r="C52" i="15"/>
  <c r="C51" i="15"/>
  <c r="C50" i="15"/>
  <c r="C49" i="15"/>
  <c r="C48" i="15"/>
  <c r="C47" i="15"/>
  <c r="C46" i="15"/>
  <c r="C45" i="15"/>
  <c r="C44" i="15"/>
  <c r="C43" i="15"/>
  <c r="C42" i="15"/>
  <c r="C41" i="15"/>
  <c r="C40" i="15"/>
  <c r="C39" i="15"/>
  <c r="C38" i="15"/>
  <c r="C37" i="15"/>
  <c r="C36" i="15"/>
  <c r="C35" i="15"/>
  <c r="C34" i="15"/>
  <c r="C33" i="15"/>
  <c r="C32" i="15"/>
  <c r="C31" i="15"/>
  <c r="C30" i="15"/>
  <c r="C29" i="15"/>
  <c r="C28" i="15"/>
  <c r="C27" i="15"/>
  <c r="C26" i="15"/>
  <c r="C25" i="15"/>
  <c r="C24" i="15"/>
  <c r="C23" i="15"/>
  <c r="C22" i="15"/>
  <c r="C21" i="15"/>
  <c r="C20" i="15"/>
  <c r="C19" i="15"/>
  <c r="C18" i="15"/>
  <c r="C17" i="15"/>
  <c r="C16" i="15"/>
  <c r="C15" i="15"/>
  <c r="C14" i="15"/>
  <c r="C13" i="15"/>
  <c r="C12" i="15"/>
  <c r="C11" i="15"/>
  <c r="C10" i="15"/>
  <c r="C9" i="15"/>
  <c r="C8" i="15"/>
  <c r="C7" i="15"/>
  <c r="C452" i="22"/>
  <c r="C451" i="22"/>
  <c r="C450" i="22"/>
  <c r="C449" i="22"/>
  <c r="C448" i="22"/>
  <c r="C447" i="22"/>
  <c r="C446" i="22"/>
  <c r="C445" i="22"/>
  <c r="C444" i="22"/>
  <c r="C443" i="22"/>
  <c r="C442" i="22"/>
  <c r="C441" i="22"/>
  <c r="C440" i="22"/>
  <c r="C439" i="22"/>
  <c r="C438" i="22"/>
  <c r="C437" i="22"/>
  <c r="C436" i="22"/>
  <c r="C435" i="22"/>
  <c r="C434" i="22"/>
  <c r="C433" i="22"/>
  <c r="C432" i="22"/>
  <c r="C431" i="22"/>
  <c r="C430" i="22"/>
  <c r="C429" i="22"/>
  <c r="C428" i="22"/>
  <c r="C427" i="22"/>
  <c r="C426" i="22"/>
  <c r="C425" i="22"/>
  <c r="C424" i="22"/>
  <c r="C423" i="22"/>
  <c r="C422" i="22"/>
  <c r="C421" i="22"/>
  <c r="C420" i="22"/>
  <c r="C419" i="22"/>
  <c r="C418" i="22"/>
  <c r="C417" i="22"/>
  <c r="C416" i="22"/>
  <c r="C415" i="22"/>
  <c r="C414" i="22"/>
  <c r="C413" i="22"/>
  <c r="C412" i="22"/>
  <c r="C411" i="22"/>
  <c r="C410" i="22"/>
  <c r="C409" i="22"/>
  <c r="C408" i="22"/>
  <c r="C407" i="22"/>
  <c r="C406" i="22"/>
  <c r="C405" i="22"/>
  <c r="C404" i="22"/>
  <c r="C403" i="22"/>
  <c r="C387" i="22"/>
  <c r="C386" i="22"/>
  <c r="C385" i="22"/>
  <c r="C384" i="22"/>
  <c r="C383" i="22"/>
  <c r="C382" i="22"/>
  <c r="C381" i="22"/>
  <c r="C380" i="22"/>
  <c r="C379" i="22"/>
  <c r="C378" i="22"/>
  <c r="C377" i="22"/>
  <c r="C376" i="22"/>
  <c r="C375" i="22"/>
  <c r="C374" i="22"/>
  <c r="C373" i="22"/>
  <c r="C372" i="22"/>
  <c r="C371" i="22"/>
  <c r="C370" i="22"/>
  <c r="C369" i="22"/>
  <c r="C368" i="22"/>
  <c r="C367" i="22"/>
  <c r="C366" i="22"/>
  <c r="C365" i="22"/>
  <c r="C364" i="22"/>
  <c r="C363" i="22"/>
  <c r="C362" i="22"/>
  <c r="C361" i="22"/>
  <c r="C360" i="22"/>
  <c r="C359" i="22"/>
  <c r="C358" i="22"/>
  <c r="C357" i="22"/>
  <c r="C356" i="22"/>
  <c r="C355" i="22"/>
  <c r="C354" i="22"/>
  <c r="C353" i="22"/>
  <c r="C352" i="22"/>
  <c r="C351" i="22"/>
  <c r="C350" i="22"/>
  <c r="C349" i="22"/>
  <c r="C348" i="22"/>
  <c r="C347" i="22"/>
  <c r="C346" i="22"/>
  <c r="C345" i="22"/>
  <c r="C344" i="22"/>
  <c r="C343" i="22"/>
  <c r="C342" i="22"/>
  <c r="C341" i="22"/>
  <c r="C340" i="22"/>
  <c r="C339" i="22"/>
  <c r="C338" i="22"/>
  <c r="C320" i="22"/>
  <c r="C319" i="22"/>
  <c r="C318" i="22"/>
  <c r="C317" i="22"/>
  <c r="C316" i="22"/>
  <c r="C315" i="22"/>
  <c r="C314" i="22"/>
  <c r="C313" i="22"/>
  <c r="C312" i="22"/>
  <c r="C311" i="22"/>
  <c r="C310" i="22"/>
  <c r="C309" i="22"/>
  <c r="C308" i="22"/>
  <c r="C307" i="22"/>
  <c r="C306" i="22"/>
  <c r="C305" i="22"/>
  <c r="C304" i="22"/>
  <c r="C303" i="22"/>
  <c r="C302" i="22"/>
  <c r="C301" i="22"/>
  <c r="C300" i="22"/>
  <c r="C299" i="22"/>
  <c r="C298" i="22"/>
  <c r="C297" i="22"/>
  <c r="C296" i="22"/>
  <c r="C295" i="22"/>
  <c r="C294" i="22"/>
  <c r="C293" i="22"/>
  <c r="C292" i="22"/>
  <c r="C291" i="22"/>
  <c r="C290" i="22"/>
  <c r="C289" i="22"/>
  <c r="C288" i="22"/>
  <c r="C287" i="22"/>
  <c r="C286" i="22"/>
  <c r="C285" i="22"/>
  <c r="C284" i="22"/>
  <c r="C283" i="22"/>
  <c r="C282" i="22"/>
  <c r="C281" i="22"/>
  <c r="C280" i="22"/>
  <c r="C279" i="22"/>
  <c r="C278" i="22"/>
  <c r="C277" i="22"/>
  <c r="C276" i="22"/>
  <c r="C275" i="22"/>
  <c r="C274" i="22"/>
  <c r="C273" i="22"/>
  <c r="C272" i="22"/>
  <c r="C271" i="22"/>
  <c r="C254" i="22"/>
  <c r="C253" i="22"/>
  <c r="C252" i="22"/>
  <c r="C251" i="22"/>
  <c r="C250" i="22"/>
  <c r="C249" i="22"/>
  <c r="C248" i="22"/>
  <c r="C247" i="22"/>
  <c r="C246" i="22"/>
  <c r="C245" i="22"/>
  <c r="C244" i="22"/>
  <c r="C243" i="22"/>
  <c r="C242" i="22"/>
  <c r="C241" i="22"/>
  <c r="C240" i="22"/>
  <c r="C239" i="22"/>
  <c r="C238" i="22"/>
  <c r="C237" i="22"/>
  <c r="C236" i="22"/>
  <c r="C235" i="22"/>
  <c r="C234" i="22"/>
  <c r="C233" i="22"/>
  <c r="C232" i="22"/>
  <c r="C231" i="22"/>
  <c r="C230" i="22"/>
  <c r="C229" i="22"/>
  <c r="C228" i="22"/>
  <c r="C227" i="22"/>
  <c r="C226" i="22"/>
  <c r="C225" i="22"/>
  <c r="C224" i="22"/>
  <c r="C223" i="22"/>
  <c r="C222" i="22"/>
  <c r="C221" i="22"/>
  <c r="C220" i="22"/>
  <c r="C219" i="22"/>
  <c r="C218" i="22"/>
  <c r="C217" i="22"/>
  <c r="C216" i="22"/>
  <c r="C215" i="22"/>
  <c r="C214" i="22"/>
  <c r="C213" i="22"/>
  <c r="C212" i="22"/>
  <c r="C211" i="22"/>
  <c r="C210" i="22"/>
  <c r="C209" i="22"/>
  <c r="C208" i="22"/>
  <c r="C207" i="22"/>
  <c r="C206" i="22"/>
  <c r="C205" i="22"/>
  <c r="C188" i="22"/>
  <c r="C187" i="22"/>
  <c r="C186" i="22"/>
  <c r="C185" i="22"/>
  <c r="C184" i="22"/>
  <c r="C183" i="22"/>
  <c r="C182" i="22"/>
  <c r="C181" i="22"/>
  <c r="C180" i="22"/>
  <c r="C179" i="22"/>
  <c r="C178" i="22"/>
  <c r="C177" i="22"/>
  <c r="C176" i="22"/>
  <c r="C175" i="22"/>
  <c r="C174" i="22"/>
  <c r="C173" i="22"/>
  <c r="C172" i="22"/>
  <c r="C171" i="22"/>
  <c r="C170" i="22"/>
  <c r="C169" i="22"/>
  <c r="C168" i="22"/>
  <c r="C167" i="22"/>
  <c r="C166" i="22"/>
  <c r="C165" i="22"/>
  <c r="C164" i="22"/>
  <c r="C163" i="22"/>
  <c r="C162" i="22"/>
  <c r="C161" i="22"/>
  <c r="C160" i="22"/>
  <c r="C159" i="22"/>
  <c r="C158" i="22"/>
  <c r="C157" i="22"/>
  <c r="C156" i="22"/>
  <c r="C155" i="22"/>
  <c r="C154" i="22"/>
  <c r="C153" i="22"/>
  <c r="C152" i="22"/>
  <c r="C151" i="22"/>
  <c r="C150" i="22"/>
  <c r="C149" i="22"/>
  <c r="C148" i="22"/>
  <c r="C147" i="22"/>
  <c r="C146" i="22"/>
  <c r="C145" i="22"/>
  <c r="C144" i="22"/>
  <c r="C143" i="22"/>
  <c r="C142" i="22"/>
  <c r="C141" i="22"/>
  <c r="C140" i="22"/>
  <c r="C139" i="22"/>
  <c r="C123" i="22"/>
  <c r="C122" i="22"/>
  <c r="C121" i="22"/>
  <c r="C120" i="22"/>
  <c r="C119" i="22"/>
  <c r="C118" i="22"/>
  <c r="C117" i="22"/>
  <c r="C116" i="22"/>
  <c r="C115" i="22"/>
  <c r="C114" i="22"/>
  <c r="C113" i="22"/>
  <c r="C112" i="22"/>
  <c r="C111" i="22"/>
  <c r="C110" i="22"/>
  <c r="C109" i="22"/>
  <c r="C108" i="22"/>
  <c r="C107" i="22"/>
  <c r="C106" i="22"/>
  <c r="C105" i="22"/>
  <c r="C104" i="22"/>
  <c r="C103" i="22"/>
  <c r="C102" i="22"/>
  <c r="C101" i="22"/>
  <c r="C100" i="22"/>
  <c r="C99" i="22"/>
  <c r="C98" i="22"/>
  <c r="C97" i="22"/>
  <c r="C96" i="22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9" i="22"/>
  <c r="C78" i="22"/>
  <c r="C77" i="22"/>
  <c r="C76" i="22"/>
  <c r="C75" i="22"/>
  <c r="C74" i="22"/>
  <c r="C56" i="22"/>
  <c r="C55" i="22"/>
  <c r="C54" i="22"/>
  <c r="C53" i="22"/>
  <c r="C52" i="22"/>
  <c r="C51" i="22"/>
  <c r="C50" i="22"/>
  <c r="C49" i="22"/>
  <c r="C48" i="22"/>
  <c r="C47" i="22"/>
  <c r="C46" i="22"/>
  <c r="C45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1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452" i="25"/>
  <c r="C451" i="25"/>
  <c r="C450" i="25"/>
  <c r="C449" i="25"/>
  <c r="C448" i="25"/>
  <c r="C447" i="25"/>
  <c r="C446" i="25"/>
  <c r="C445" i="25"/>
  <c r="C444" i="25"/>
  <c r="C443" i="25"/>
  <c r="C442" i="25"/>
  <c r="C441" i="25"/>
  <c r="C440" i="25"/>
  <c r="C439" i="25"/>
  <c r="C438" i="25"/>
  <c r="C437" i="25"/>
  <c r="C436" i="25"/>
  <c r="C435" i="25"/>
  <c r="C434" i="25"/>
  <c r="C433" i="25"/>
  <c r="C432" i="25"/>
  <c r="C431" i="25"/>
  <c r="C430" i="25"/>
  <c r="C429" i="25"/>
  <c r="C428" i="25"/>
  <c r="C427" i="25"/>
  <c r="C426" i="25"/>
  <c r="C425" i="25"/>
  <c r="C424" i="25"/>
  <c r="C423" i="25"/>
  <c r="C422" i="25"/>
  <c r="C421" i="25"/>
  <c r="C420" i="25"/>
  <c r="C419" i="25"/>
  <c r="C418" i="25"/>
  <c r="C417" i="25"/>
  <c r="C416" i="25"/>
  <c r="C415" i="25"/>
  <c r="C414" i="25"/>
  <c r="C413" i="25"/>
  <c r="C412" i="25"/>
  <c r="C411" i="25"/>
  <c r="C410" i="25"/>
  <c r="C409" i="25"/>
  <c r="C408" i="25"/>
  <c r="C407" i="25"/>
  <c r="C406" i="25"/>
  <c r="C405" i="25"/>
  <c r="C404" i="25"/>
  <c r="C403" i="25"/>
  <c r="C387" i="25"/>
  <c r="C386" i="25"/>
  <c r="C385" i="25"/>
  <c r="C384" i="25"/>
  <c r="C383" i="25"/>
  <c r="C382" i="25"/>
  <c r="C381" i="25"/>
  <c r="C380" i="25"/>
  <c r="C379" i="25"/>
  <c r="C378" i="25"/>
  <c r="C377" i="25"/>
  <c r="C376" i="25"/>
  <c r="C375" i="25"/>
  <c r="C374" i="25"/>
  <c r="C373" i="25"/>
  <c r="C372" i="25"/>
  <c r="C371" i="25"/>
  <c r="C370" i="25"/>
  <c r="C369" i="25"/>
  <c r="C368" i="25"/>
  <c r="C367" i="25"/>
  <c r="C366" i="25"/>
  <c r="C365" i="25"/>
  <c r="C364" i="25"/>
  <c r="C363" i="25"/>
  <c r="C362" i="25"/>
  <c r="C361" i="25"/>
  <c r="C360" i="25"/>
  <c r="C359" i="25"/>
  <c r="C358" i="25"/>
  <c r="C357" i="25"/>
  <c r="C356" i="25"/>
  <c r="C355" i="25"/>
  <c r="C354" i="25"/>
  <c r="C353" i="25"/>
  <c r="C352" i="25"/>
  <c r="C351" i="25"/>
  <c r="C350" i="25"/>
  <c r="C349" i="25"/>
  <c r="C348" i="25"/>
  <c r="C347" i="25"/>
  <c r="C346" i="25"/>
  <c r="C345" i="25"/>
  <c r="C344" i="25"/>
  <c r="C343" i="25"/>
  <c r="C342" i="25"/>
  <c r="C341" i="25"/>
  <c r="C340" i="25"/>
  <c r="C339" i="25"/>
  <c r="C338" i="25"/>
  <c r="C320" i="25"/>
  <c r="C319" i="25"/>
  <c r="C318" i="25"/>
  <c r="C317" i="25"/>
  <c r="C316" i="25"/>
  <c r="C315" i="25"/>
  <c r="C314" i="25"/>
  <c r="C313" i="25"/>
  <c r="C312" i="25"/>
  <c r="C311" i="25"/>
  <c r="C310" i="25"/>
  <c r="C309" i="25"/>
  <c r="C308" i="25"/>
  <c r="C307" i="25"/>
  <c r="C306" i="25"/>
  <c r="C305" i="25"/>
  <c r="C304" i="25"/>
  <c r="C303" i="25"/>
  <c r="C302" i="25"/>
  <c r="C301" i="25"/>
  <c r="C300" i="25"/>
  <c r="C299" i="25"/>
  <c r="C298" i="25"/>
  <c r="C297" i="25"/>
  <c r="C296" i="25"/>
  <c r="C295" i="25"/>
  <c r="C294" i="25"/>
  <c r="C293" i="25"/>
  <c r="C292" i="25"/>
  <c r="C291" i="25"/>
  <c r="C290" i="25"/>
  <c r="C289" i="25"/>
  <c r="C288" i="25"/>
  <c r="C287" i="25"/>
  <c r="C286" i="25"/>
  <c r="C285" i="25"/>
  <c r="C284" i="25"/>
  <c r="C283" i="25"/>
  <c r="C282" i="25"/>
  <c r="C281" i="25"/>
  <c r="C280" i="25"/>
  <c r="C279" i="25"/>
  <c r="C278" i="25"/>
  <c r="C277" i="25"/>
  <c r="C276" i="25"/>
  <c r="C275" i="25"/>
  <c r="C274" i="25"/>
  <c r="C273" i="25"/>
  <c r="C272" i="25"/>
  <c r="C271" i="25"/>
  <c r="C254" i="25"/>
  <c r="C253" i="25"/>
  <c r="C252" i="25"/>
  <c r="C251" i="25"/>
  <c r="C250" i="25"/>
  <c r="C249" i="25"/>
  <c r="C248" i="25"/>
  <c r="C247" i="25"/>
  <c r="C246" i="25"/>
  <c r="C245" i="25"/>
  <c r="C244" i="25"/>
  <c r="C243" i="25"/>
  <c r="C242" i="25"/>
  <c r="C241" i="25"/>
  <c r="C240" i="25"/>
  <c r="C239" i="25"/>
  <c r="C238" i="25"/>
  <c r="C237" i="25"/>
  <c r="C236" i="25"/>
  <c r="C235" i="25"/>
  <c r="C234" i="25"/>
  <c r="C233" i="25"/>
  <c r="C232" i="25"/>
  <c r="C231" i="25"/>
  <c r="C230" i="25"/>
  <c r="C229" i="25"/>
  <c r="C228" i="25"/>
  <c r="C227" i="25"/>
  <c r="C226" i="25"/>
  <c r="C225" i="25"/>
  <c r="C224" i="25"/>
  <c r="C223" i="25"/>
  <c r="C222" i="25"/>
  <c r="C221" i="25"/>
  <c r="C220" i="25"/>
  <c r="C219" i="25"/>
  <c r="C218" i="25"/>
  <c r="C217" i="25"/>
  <c r="C216" i="25"/>
  <c r="C215" i="25"/>
  <c r="C214" i="25"/>
  <c r="C213" i="25"/>
  <c r="C212" i="25"/>
  <c r="C211" i="25"/>
  <c r="C210" i="25"/>
  <c r="C209" i="25"/>
  <c r="C208" i="25"/>
  <c r="C207" i="25"/>
  <c r="C206" i="25"/>
  <c r="C205" i="25"/>
  <c r="C188" i="25"/>
  <c r="C187" i="25"/>
  <c r="C186" i="25"/>
  <c r="C185" i="25"/>
  <c r="C184" i="25"/>
  <c r="C183" i="25"/>
  <c r="C182" i="25"/>
  <c r="C181" i="25"/>
  <c r="C180" i="25"/>
  <c r="C179" i="25"/>
  <c r="C178" i="25"/>
  <c r="C177" i="25"/>
  <c r="C176" i="25"/>
  <c r="C175" i="25"/>
  <c r="C174" i="25"/>
  <c r="C173" i="25"/>
  <c r="C172" i="25"/>
  <c r="C171" i="25"/>
  <c r="C170" i="25"/>
  <c r="C169" i="25"/>
  <c r="C168" i="25"/>
  <c r="C167" i="25"/>
  <c r="C166" i="25"/>
  <c r="C165" i="25"/>
  <c r="C164" i="25"/>
  <c r="C163" i="25"/>
  <c r="C162" i="25"/>
  <c r="C161" i="25"/>
  <c r="C160" i="25"/>
  <c r="C159" i="25"/>
  <c r="C158" i="25"/>
  <c r="C157" i="25"/>
  <c r="C156" i="25"/>
  <c r="C155" i="25"/>
  <c r="C154" i="25"/>
  <c r="C153" i="25"/>
  <c r="C152" i="25"/>
  <c r="C151" i="25"/>
  <c r="C150" i="25"/>
  <c r="C149" i="25"/>
  <c r="C148" i="25"/>
  <c r="C147" i="25"/>
  <c r="C146" i="25"/>
  <c r="C145" i="25"/>
  <c r="C144" i="25"/>
  <c r="C143" i="25"/>
  <c r="C142" i="25"/>
  <c r="C141" i="25"/>
  <c r="C140" i="25"/>
  <c r="C139" i="25"/>
  <c r="C123" i="25"/>
  <c r="C122" i="25"/>
  <c r="C121" i="25"/>
  <c r="C120" i="25"/>
  <c r="C119" i="25"/>
  <c r="C118" i="25"/>
  <c r="C117" i="25"/>
  <c r="C116" i="25"/>
  <c r="C115" i="25"/>
  <c r="C114" i="25"/>
  <c r="C113" i="25"/>
  <c r="C112" i="25"/>
  <c r="C111" i="25"/>
  <c r="C110" i="25"/>
  <c r="C109" i="25"/>
  <c r="C108" i="25"/>
  <c r="C107" i="25"/>
  <c r="C106" i="25"/>
  <c r="C105" i="25"/>
  <c r="C104" i="25"/>
  <c r="C103" i="25"/>
  <c r="C102" i="25"/>
  <c r="C101" i="25"/>
  <c r="C100" i="25"/>
  <c r="C99" i="25"/>
  <c r="C98" i="25"/>
  <c r="C97" i="25"/>
  <c r="C96" i="25"/>
  <c r="C95" i="25"/>
  <c r="C94" i="25"/>
  <c r="C93" i="25"/>
  <c r="C92" i="25"/>
  <c r="C91" i="25"/>
  <c r="C90" i="25"/>
  <c r="C89" i="25"/>
  <c r="C88" i="25"/>
  <c r="C87" i="25"/>
  <c r="C86" i="25"/>
  <c r="C85" i="25"/>
  <c r="C84" i="25"/>
  <c r="C83" i="25"/>
  <c r="C82" i="25"/>
  <c r="C81" i="25"/>
  <c r="C80" i="25"/>
  <c r="C79" i="25"/>
  <c r="C78" i="25"/>
  <c r="C77" i="25"/>
  <c r="C76" i="25"/>
  <c r="C75" i="25"/>
  <c r="C74" i="25"/>
  <c r="C56" i="25"/>
  <c r="C55" i="25"/>
  <c r="C54" i="25"/>
  <c r="C53" i="25"/>
  <c r="C52" i="25"/>
  <c r="C51" i="25"/>
  <c r="C50" i="25"/>
  <c r="C49" i="25"/>
  <c r="C48" i="25"/>
  <c r="C47" i="25"/>
  <c r="C46" i="25"/>
  <c r="C45" i="25"/>
  <c r="C44" i="25"/>
  <c r="C43" i="25"/>
  <c r="C42" i="25"/>
  <c r="C41" i="25"/>
  <c r="C40" i="25"/>
  <c r="C39" i="25"/>
  <c r="C38" i="25"/>
  <c r="C37" i="25"/>
  <c r="C36" i="25"/>
  <c r="C35" i="25"/>
  <c r="C34" i="25"/>
  <c r="C33" i="25"/>
  <c r="C32" i="25"/>
  <c r="C31" i="25"/>
  <c r="C30" i="25"/>
  <c r="C29" i="25"/>
  <c r="C28" i="25"/>
  <c r="C27" i="25"/>
  <c r="C26" i="25"/>
  <c r="C25" i="25"/>
  <c r="C24" i="25"/>
  <c r="C23" i="25"/>
  <c r="C22" i="25"/>
  <c r="C21" i="25"/>
  <c r="C20" i="25"/>
  <c r="C19" i="25"/>
  <c r="C18" i="25"/>
  <c r="C17" i="25"/>
  <c r="C16" i="25"/>
  <c r="C15" i="25"/>
  <c r="C14" i="25"/>
  <c r="C13" i="25"/>
  <c r="C12" i="25"/>
  <c r="C11" i="25"/>
  <c r="C10" i="25"/>
  <c r="C9" i="25"/>
  <c r="C8" i="25"/>
  <c r="C7" i="25"/>
  <c r="C452" i="24"/>
  <c r="C451" i="24"/>
  <c r="C450" i="24"/>
  <c r="C449" i="24"/>
  <c r="C448" i="24"/>
  <c r="C447" i="24"/>
  <c r="C446" i="24"/>
  <c r="C445" i="24"/>
  <c r="C444" i="24"/>
  <c r="C443" i="24"/>
  <c r="C442" i="24"/>
  <c r="C441" i="24"/>
  <c r="C440" i="24"/>
  <c r="C439" i="24"/>
  <c r="C438" i="24"/>
  <c r="C437" i="24"/>
  <c r="C436" i="24"/>
  <c r="C435" i="24"/>
  <c r="C434" i="24"/>
  <c r="C433" i="24"/>
  <c r="C432" i="24"/>
  <c r="C431" i="24"/>
  <c r="C430" i="24"/>
  <c r="C429" i="24"/>
  <c r="C428" i="24"/>
  <c r="C427" i="24"/>
  <c r="C426" i="24"/>
  <c r="C425" i="24"/>
  <c r="C424" i="24"/>
  <c r="C423" i="24"/>
  <c r="C422" i="24"/>
  <c r="C421" i="24"/>
  <c r="C420" i="24"/>
  <c r="C419" i="24"/>
  <c r="C418" i="24"/>
  <c r="C417" i="24"/>
  <c r="C416" i="24"/>
  <c r="C415" i="24"/>
  <c r="C414" i="24"/>
  <c r="C413" i="24"/>
  <c r="C412" i="24"/>
  <c r="C411" i="24"/>
  <c r="C410" i="24"/>
  <c r="C409" i="24"/>
  <c r="C408" i="24"/>
  <c r="C407" i="24"/>
  <c r="C406" i="24"/>
  <c r="C405" i="24"/>
  <c r="C404" i="24"/>
  <c r="C403" i="24"/>
  <c r="C387" i="24"/>
  <c r="C386" i="24"/>
  <c r="C385" i="24"/>
  <c r="C384" i="24"/>
  <c r="C383" i="24"/>
  <c r="C382" i="24"/>
  <c r="C381" i="24"/>
  <c r="C380" i="24"/>
  <c r="C379" i="24"/>
  <c r="C378" i="24"/>
  <c r="C377" i="24"/>
  <c r="C376" i="24"/>
  <c r="C375" i="24"/>
  <c r="C374" i="24"/>
  <c r="C373" i="24"/>
  <c r="C372" i="24"/>
  <c r="C371" i="24"/>
  <c r="C370" i="24"/>
  <c r="C369" i="24"/>
  <c r="C368" i="24"/>
  <c r="C367" i="24"/>
  <c r="C366" i="24"/>
  <c r="C365" i="24"/>
  <c r="C364" i="24"/>
  <c r="C363" i="24"/>
  <c r="C362" i="24"/>
  <c r="C361" i="24"/>
  <c r="C360" i="24"/>
  <c r="C359" i="24"/>
  <c r="C358" i="24"/>
  <c r="C357" i="24"/>
  <c r="C356" i="24"/>
  <c r="C355" i="24"/>
  <c r="C354" i="24"/>
  <c r="C353" i="24"/>
  <c r="C352" i="24"/>
  <c r="C351" i="24"/>
  <c r="C350" i="24"/>
  <c r="C349" i="24"/>
  <c r="C348" i="24"/>
  <c r="C347" i="24"/>
  <c r="C346" i="24"/>
  <c r="C345" i="24"/>
  <c r="C344" i="24"/>
  <c r="C343" i="24"/>
  <c r="C342" i="24"/>
  <c r="C341" i="24"/>
  <c r="C340" i="24"/>
  <c r="C339" i="24"/>
  <c r="C338" i="24"/>
  <c r="C320" i="24"/>
  <c r="C319" i="24"/>
  <c r="C318" i="24"/>
  <c r="C317" i="24"/>
  <c r="C316" i="24"/>
  <c r="C315" i="24"/>
  <c r="C314" i="24"/>
  <c r="C313" i="24"/>
  <c r="C312" i="24"/>
  <c r="C311" i="24"/>
  <c r="C310" i="24"/>
  <c r="C309" i="24"/>
  <c r="C308" i="24"/>
  <c r="C307" i="24"/>
  <c r="C306" i="24"/>
  <c r="C305" i="24"/>
  <c r="C304" i="24"/>
  <c r="C303" i="24"/>
  <c r="C302" i="24"/>
  <c r="C301" i="24"/>
  <c r="C300" i="24"/>
  <c r="C299" i="24"/>
  <c r="C298" i="24"/>
  <c r="C297" i="24"/>
  <c r="C296" i="24"/>
  <c r="C295" i="24"/>
  <c r="C294" i="24"/>
  <c r="C293" i="24"/>
  <c r="C292" i="24"/>
  <c r="C291" i="24"/>
  <c r="C290" i="24"/>
  <c r="C289" i="24"/>
  <c r="C288" i="24"/>
  <c r="C287" i="24"/>
  <c r="C286" i="24"/>
  <c r="C285" i="24"/>
  <c r="C284" i="24"/>
  <c r="C283" i="24"/>
  <c r="C282" i="24"/>
  <c r="C281" i="24"/>
  <c r="C280" i="24"/>
  <c r="C279" i="24"/>
  <c r="C278" i="24"/>
  <c r="C277" i="24"/>
  <c r="C276" i="24"/>
  <c r="C275" i="24"/>
  <c r="C274" i="24"/>
  <c r="C273" i="24"/>
  <c r="C272" i="24"/>
  <c r="C271" i="24"/>
  <c r="C254" i="24"/>
  <c r="C253" i="24"/>
  <c r="C252" i="24"/>
  <c r="C251" i="24"/>
  <c r="C250" i="24"/>
  <c r="C249" i="24"/>
  <c r="C248" i="24"/>
  <c r="C247" i="24"/>
  <c r="C246" i="24"/>
  <c r="C245" i="24"/>
  <c r="C244" i="24"/>
  <c r="C243" i="24"/>
  <c r="C242" i="24"/>
  <c r="C241" i="24"/>
  <c r="C240" i="24"/>
  <c r="C239" i="24"/>
  <c r="C238" i="24"/>
  <c r="C237" i="24"/>
  <c r="C236" i="24"/>
  <c r="C235" i="24"/>
  <c r="C234" i="24"/>
  <c r="C233" i="24"/>
  <c r="C232" i="24"/>
  <c r="C231" i="24"/>
  <c r="C230" i="24"/>
  <c r="C229" i="24"/>
  <c r="C228" i="24"/>
  <c r="C227" i="24"/>
  <c r="C226" i="24"/>
  <c r="C225" i="24"/>
  <c r="C224" i="24"/>
  <c r="C223" i="24"/>
  <c r="C222" i="24"/>
  <c r="C221" i="24"/>
  <c r="C220" i="24"/>
  <c r="C219" i="24"/>
  <c r="C218" i="24"/>
  <c r="C217" i="24"/>
  <c r="C216" i="24"/>
  <c r="C215" i="24"/>
  <c r="C214" i="24"/>
  <c r="C213" i="24"/>
  <c r="C212" i="24"/>
  <c r="C211" i="24"/>
  <c r="C210" i="24"/>
  <c r="C209" i="24"/>
  <c r="C208" i="24"/>
  <c r="C207" i="24"/>
  <c r="C206" i="24"/>
  <c r="C205" i="24"/>
  <c r="C188" i="24"/>
  <c r="C187" i="24"/>
  <c r="C186" i="24"/>
  <c r="C185" i="24"/>
  <c r="C184" i="24"/>
  <c r="C183" i="24"/>
  <c r="C182" i="24"/>
  <c r="C181" i="24"/>
  <c r="C180" i="24"/>
  <c r="C179" i="24"/>
  <c r="C178" i="24"/>
  <c r="C177" i="24"/>
  <c r="C176" i="24"/>
  <c r="C175" i="24"/>
  <c r="C174" i="24"/>
  <c r="C173" i="24"/>
  <c r="C172" i="24"/>
  <c r="C171" i="24"/>
  <c r="C170" i="24"/>
  <c r="C169" i="24"/>
  <c r="C168" i="24"/>
  <c r="C167" i="24"/>
  <c r="C166" i="24"/>
  <c r="C165" i="24"/>
  <c r="C164" i="24"/>
  <c r="C163" i="24"/>
  <c r="C162" i="24"/>
  <c r="C161" i="24"/>
  <c r="C160" i="24"/>
  <c r="C159" i="24"/>
  <c r="C158" i="24"/>
  <c r="C157" i="24"/>
  <c r="C156" i="24"/>
  <c r="C155" i="24"/>
  <c r="C154" i="24"/>
  <c r="C153" i="24"/>
  <c r="C152" i="24"/>
  <c r="C151" i="24"/>
  <c r="C150" i="24"/>
  <c r="C149" i="24"/>
  <c r="C148" i="24"/>
  <c r="C147" i="24"/>
  <c r="C146" i="24"/>
  <c r="C145" i="24"/>
  <c r="C144" i="24"/>
  <c r="C143" i="24"/>
  <c r="C142" i="24"/>
  <c r="C141" i="24"/>
  <c r="C140" i="24"/>
  <c r="C139" i="24"/>
  <c r="C123" i="24"/>
  <c r="C122" i="24"/>
  <c r="C121" i="24"/>
  <c r="C120" i="24"/>
  <c r="C119" i="24"/>
  <c r="C118" i="24"/>
  <c r="C117" i="24"/>
  <c r="C116" i="24"/>
  <c r="C115" i="24"/>
  <c r="C114" i="24"/>
  <c r="C113" i="24"/>
  <c r="C112" i="24"/>
  <c r="C111" i="24"/>
  <c r="C110" i="24"/>
  <c r="C109" i="24"/>
  <c r="C108" i="24"/>
  <c r="C107" i="24"/>
  <c r="C106" i="24"/>
  <c r="C105" i="24"/>
  <c r="C104" i="24"/>
  <c r="C103" i="24"/>
  <c r="C102" i="24"/>
  <c r="C101" i="24"/>
  <c r="C100" i="24"/>
  <c r="C99" i="24"/>
  <c r="C98" i="24"/>
  <c r="C97" i="24"/>
  <c r="C96" i="24"/>
  <c r="C95" i="24"/>
  <c r="C94" i="24"/>
  <c r="C93" i="24"/>
  <c r="C92" i="24"/>
  <c r="C91" i="24"/>
  <c r="C90" i="24"/>
  <c r="C89" i="24"/>
  <c r="C88" i="24"/>
  <c r="C87" i="24"/>
  <c r="C86" i="24"/>
  <c r="C85" i="24"/>
  <c r="C84" i="24"/>
  <c r="C83" i="24"/>
  <c r="C82" i="24"/>
  <c r="C81" i="24"/>
  <c r="C80" i="24"/>
  <c r="C79" i="24"/>
  <c r="C78" i="24"/>
  <c r="C77" i="24"/>
  <c r="C76" i="24"/>
  <c r="C75" i="24"/>
  <c r="C74" i="24"/>
  <c r="C56" i="24"/>
  <c r="C55" i="24"/>
  <c r="C54" i="24"/>
  <c r="C53" i="24"/>
  <c r="C52" i="24"/>
  <c r="C51" i="24"/>
  <c r="C50" i="24"/>
  <c r="C49" i="24"/>
  <c r="C48" i="24"/>
  <c r="C47" i="24"/>
  <c r="C46" i="24"/>
  <c r="C45" i="24"/>
  <c r="C44" i="24"/>
  <c r="C43" i="24"/>
  <c r="C42" i="24"/>
  <c r="C41" i="24"/>
  <c r="C40" i="24"/>
  <c r="C39" i="24"/>
  <c r="C38" i="24"/>
  <c r="C37" i="24"/>
  <c r="C36" i="24"/>
  <c r="C35" i="24"/>
  <c r="C34" i="24"/>
  <c r="C33" i="24"/>
  <c r="C32" i="24"/>
  <c r="C31" i="24"/>
  <c r="C30" i="24"/>
  <c r="C29" i="24"/>
  <c r="C28" i="24"/>
  <c r="C27" i="24"/>
  <c r="C26" i="24"/>
  <c r="C25" i="24"/>
  <c r="C24" i="24"/>
  <c r="C23" i="24"/>
  <c r="C22" i="24"/>
  <c r="C21" i="24"/>
  <c r="C20" i="24"/>
  <c r="C19" i="24"/>
  <c r="C18" i="24"/>
  <c r="C17" i="24"/>
  <c r="C16" i="24"/>
  <c r="C15" i="24"/>
  <c r="C14" i="24"/>
  <c r="C13" i="24"/>
  <c r="C12" i="24"/>
  <c r="C11" i="24"/>
  <c r="C10" i="24"/>
  <c r="C9" i="24"/>
  <c r="C8" i="24"/>
  <c r="C7" i="24"/>
  <c r="C452" i="23"/>
  <c r="C451" i="23"/>
  <c r="C450" i="23"/>
  <c r="C449" i="23"/>
  <c r="C448" i="23"/>
  <c r="C447" i="23"/>
  <c r="C446" i="23"/>
  <c r="C445" i="23"/>
  <c r="C444" i="23"/>
  <c r="C443" i="23"/>
  <c r="C442" i="23"/>
  <c r="C441" i="23"/>
  <c r="C440" i="23"/>
  <c r="C439" i="23"/>
  <c r="C438" i="23"/>
  <c r="C437" i="23"/>
  <c r="C436" i="23"/>
  <c r="C435" i="23"/>
  <c r="C434" i="23"/>
  <c r="C433" i="23"/>
  <c r="C432" i="23"/>
  <c r="C431" i="23"/>
  <c r="C430" i="23"/>
  <c r="C429" i="23"/>
  <c r="C428" i="23"/>
  <c r="C427" i="23"/>
  <c r="C426" i="23"/>
  <c r="C425" i="23"/>
  <c r="C424" i="23"/>
  <c r="C423" i="23"/>
  <c r="C422" i="23"/>
  <c r="C421" i="23"/>
  <c r="C420" i="23"/>
  <c r="C419" i="23"/>
  <c r="C418" i="23"/>
  <c r="C417" i="23"/>
  <c r="C416" i="23"/>
  <c r="C415" i="23"/>
  <c r="C414" i="23"/>
  <c r="C413" i="23"/>
  <c r="C412" i="23"/>
  <c r="C411" i="23"/>
  <c r="C410" i="23"/>
  <c r="C409" i="23"/>
  <c r="C408" i="23"/>
  <c r="C407" i="23"/>
  <c r="C406" i="23"/>
  <c r="C405" i="23"/>
  <c r="C404" i="23"/>
  <c r="C403" i="23"/>
  <c r="C387" i="23"/>
  <c r="C386" i="23"/>
  <c r="C385" i="23"/>
  <c r="C384" i="23"/>
  <c r="C383" i="23"/>
  <c r="C382" i="23"/>
  <c r="C381" i="23"/>
  <c r="C380" i="23"/>
  <c r="C379" i="23"/>
  <c r="C378" i="23"/>
  <c r="C377" i="23"/>
  <c r="C376" i="23"/>
  <c r="C375" i="23"/>
  <c r="C374" i="23"/>
  <c r="C373" i="23"/>
  <c r="C372" i="23"/>
  <c r="C371" i="23"/>
  <c r="C370" i="23"/>
  <c r="C369" i="23"/>
  <c r="C368" i="23"/>
  <c r="C367" i="23"/>
  <c r="C366" i="23"/>
  <c r="C365" i="23"/>
  <c r="C364" i="23"/>
  <c r="C363" i="23"/>
  <c r="C362" i="23"/>
  <c r="C361" i="23"/>
  <c r="C360" i="23"/>
  <c r="C359" i="23"/>
  <c r="C358" i="23"/>
  <c r="C357" i="23"/>
  <c r="C356" i="23"/>
  <c r="C355" i="23"/>
  <c r="C354" i="23"/>
  <c r="C353" i="23"/>
  <c r="C352" i="23"/>
  <c r="C351" i="23"/>
  <c r="C350" i="23"/>
  <c r="C349" i="23"/>
  <c r="C348" i="23"/>
  <c r="C347" i="23"/>
  <c r="C346" i="23"/>
  <c r="C345" i="23"/>
  <c r="C344" i="23"/>
  <c r="C343" i="23"/>
  <c r="C342" i="23"/>
  <c r="C341" i="23"/>
  <c r="C340" i="23"/>
  <c r="C339" i="23"/>
  <c r="C338" i="23"/>
  <c r="C320" i="23"/>
  <c r="C319" i="23"/>
  <c r="C318" i="23"/>
  <c r="C317" i="23"/>
  <c r="C316" i="23"/>
  <c r="C315" i="23"/>
  <c r="C314" i="23"/>
  <c r="C313" i="23"/>
  <c r="C312" i="23"/>
  <c r="C311" i="23"/>
  <c r="C310" i="23"/>
  <c r="C309" i="23"/>
  <c r="C308" i="23"/>
  <c r="C307" i="23"/>
  <c r="C306" i="23"/>
  <c r="C305" i="23"/>
  <c r="C304" i="23"/>
  <c r="C303" i="23"/>
  <c r="C302" i="23"/>
  <c r="C301" i="23"/>
  <c r="C300" i="23"/>
  <c r="C299" i="23"/>
  <c r="C298" i="23"/>
  <c r="C297" i="23"/>
  <c r="C296" i="23"/>
  <c r="C295" i="23"/>
  <c r="C294" i="23"/>
  <c r="C293" i="23"/>
  <c r="C292" i="23"/>
  <c r="C291" i="23"/>
  <c r="C290" i="23"/>
  <c r="C289" i="23"/>
  <c r="C288" i="23"/>
  <c r="C287" i="23"/>
  <c r="C286" i="23"/>
  <c r="C285" i="23"/>
  <c r="C284" i="23"/>
  <c r="C283" i="23"/>
  <c r="C282" i="23"/>
  <c r="C281" i="23"/>
  <c r="C280" i="23"/>
  <c r="C279" i="23"/>
  <c r="C278" i="23"/>
  <c r="C277" i="23"/>
  <c r="C276" i="23"/>
  <c r="C275" i="23"/>
  <c r="C274" i="23"/>
  <c r="C273" i="23"/>
  <c r="C272" i="23"/>
  <c r="C271" i="23"/>
  <c r="C254" i="23"/>
  <c r="C253" i="23"/>
  <c r="C252" i="23"/>
  <c r="C251" i="23"/>
  <c r="C250" i="23"/>
  <c r="C249" i="23"/>
  <c r="C248" i="23"/>
  <c r="C247" i="23"/>
  <c r="C246" i="23"/>
  <c r="C245" i="23"/>
  <c r="C244" i="23"/>
  <c r="C243" i="23"/>
  <c r="C242" i="23"/>
  <c r="C241" i="23"/>
  <c r="C240" i="23"/>
  <c r="C239" i="23"/>
  <c r="C238" i="23"/>
  <c r="C237" i="23"/>
  <c r="C236" i="23"/>
  <c r="C235" i="23"/>
  <c r="C234" i="23"/>
  <c r="C233" i="23"/>
  <c r="C232" i="23"/>
  <c r="C231" i="23"/>
  <c r="C230" i="23"/>
  <c r="C229" i="23"/>
  <c r="C228" i="23"/>
  <c r="C227" i="23"/>
  <c r="C226" i="23"/>
  <c r="C225" i="23"/>
  <c r="C224" i="23"/>
  <c r="C223" i="23"/>
  <c r="C222" i="23"/>
  <c r="C221" i="23"/>
  <c r="C220" i="23"/>
  <c r="C219" i="23"/>
  <c r="C218" i="23"/>
  <c r="C217" i="23"/>
  <c r="C216" i="23"/>
  <c r="C215" i="23"/>
  <c r="C214" i="23"/>
  <c r="C213" i="23"/>
  <c r="C212" i="23"/>
  <c r="C211" i="23"/>
  <c r="C210" i="23"/>
  <c r="C209" i="23"/>
  <c r="C208" i="23"/>
  <c r="C207" i="23"/>
  <c r="C206" i="23"/>
  <c r="C205" i="23"/>
  <c r="C188" i="23"/>
  <c r="C187" i="23"/>
  <c r="C186" i="23"/>
  <c r="C185" i="23"/>
  <c r="C184" i="23"/>
  <c r="C183" i="23"/>
  <c r="C182" i="23"/>
  <c r="C181" i="23"/>
  <c r="C180" i="23"/>
  <c r="C179" i="23"/>
  <c r="C178" i="23"/>
  <c r="C177" i="23"/>
  <c r="C176" i="23"/>
  <c r="C175" i="23"/>
  <c r="C174" i="23"/>
  <c r="C173" i="23"/>
  <c r="C172" i="23"/>
  <c r="C171" i="23"/>
  <c r="C170" i="23"/>
  <c r="C169" i="23"/>
  <c r="C168" i="23"/>
  <c r="C167" i="23"/>
  <c r="C166" i="23"/>
  <c r="C165" i="23"/>
  <c r="C164" i="23"/>
  <c r="C163" i="23"/>
  <c r="C162" i="23"/>
  <c r="C161" i="23"/>
  <c r="C160" i="23"/>
  <c r="C159" i="23"/>
  <c r="C158" i="23"/>
  <c r="C157" i="23"/>
  <c r="C156" i="23"/>
  <c r="C155" i="23"/>
  <c r="C154" i="23"/>
  <c r="C153" i="23"/>
  <c r="C152" i="23"/>
  <c r="C151" i="23"/>
  <c r="C150" i="23"/>
  <c r="C149" i="23"/>
  <c r="C148" i="23"/>
  <c r="C147" i="23"/>
  <c r="C146" i="23"/>
  <c r="C145" i="23"/>
  <c r="C144" i="23"/>
  <c r="C143" i="23"/>
  <c r="C142" i="23"/>
  <c r="C141" i="23"/>
  <c r="C140" i="23"/>
  <c r="C139" i="23"/>
  <c r="C123" i="23"/>
  <c r="C122" i="23"/>
  <c r="C121" i="23"/>
  <c r="C120" i="23"/>
  <c r="C119" i="23"/>
  <c r="C118" i="23"/>
  <c r="C117" i="23"/>
  <c r="C116" i="23"/>
  <c r="C115" i="23"/>
  <c r="C114" i="23"/>
  <c r="C113" i="23"/>
  <c r="C112" i="23"/>
  <c r="C111" i="23"/>
  <c r="C110" i="23"/>
  <c r="C109" i="23"/>
  <c r="C108" i="23"/>
  <c r="C107" i="23"/>
  <c r="C106" i="23"/>
  <c r="C105" i="23"/>
  <c r="C104" i="23"/>
  <c r="C103" i="23"/>
  <c r="C102" i="23"/>
  <c r="C101" i="23"/>
  <c r="C100" i="23"/>
  <c r="C99" i="23"/>
  <c r="C98" i="23"/>
  <c r="C97" i="23"/>
  <c r="C96" i="23"/>
  <c r="C95" i="23"/>
  <c r="C94" i="23"/>
  <c r="C93" i="23"/>
  <c r="C92" i="23"/>
  <c r="C91" i="23"/>
  <c r="C90" i="23"/>
  <c r="C89" i="23"/>
  <c r="C88" i="23"/>
  <c r="C87" i="23"/>
  <c r="C86" i="23"/>
  <c r="C85" i="23"/>
  <c r="C84" i="23"/>
  <c r="C83" i="23"/>
  <c r="C82" i="23"/>
  <c r="C81" i="23"/>
  <c r="C80" i="23"/>
  <c r="C79" i="23"/>
  <c r="C78" i="23"/>
  <c r="C77" i="23"/>
  <c r="C76" i="23"/>
  <c r="C75" i="23"/>
  <c r="C74" i="23"/>
  <c r="C56" i="23"/>
  <c r="C55" i="23"/>
  <c r="C54" i="23"/>
  <c r="C53" i="23"/>
  <c r="C52" i="23"/>
  <c r="C51" i="23"/>
  <c r="C50" i="23"/>
  <c r="C49" i="23"/>
  <c r="C48" i="23"/>
  <c r="C47" i="23"/>
  <c r="C46" i="23"/>
  <c r="C45" i="23"/>
  <c r="C44" i="23"/>
  <c r="C43" i="23"/>
  <c r="C42" i="23"/>
  <c r="C41" i="23"/>
  <c r="C40" i="23"/>
  <c r="C39" i="23"/>
  <c r="C38" i="23"/>
  <c r="C37" i="23"/>
  <c r="C36" i="23"/>
  <c r="C35" i="23"/>
  <c r="C34" i="23"/>
  <c r="C33" i="23"/>
  <c r="C32" i="23"/>
  <c r="C31" i="23"/>
  <c r="C30" i="23"/>
  <c r="C29" i="23"/>
  <c r="C28" i="23"/>
  <c r="C27" i="23"/>
  <c r="C26" i="23"/>
  <c r="C25" i="23"/>
  <c r="C24" i="23"/>
  <c r="C23" i="23"/>
  <c r="C22" i="23"/>
  <c r="C21" i="23"/>
  <c r="C20" i="23"/>
  <c r="C19" i="23"/>
  <c r="C18" i="23"/>
  <c r="C17" i="23"/>
  <c r="C16" i="23"/>
  <c r="C15" i="23"/>
  <c r="C14" i="23"/>
  <c r="C13" i="23"/>
  <c r="C12" i="23"/>
  <c r="C11" i="23"/>
  <c r="C10" i="23"/>
  <c r="C9" i="23"/>
  <c r="C8" i="23"/>
  <c r="C7" i="23"/>
  <c r="C452" i="20"/>
  <c r="C451" i="20"/>
  <c r="C450" i="20"/>
  <c r="C449" i="20"/>
  <c r="C448" i="20"/>
  <c r="C447" i="20"/>
  <c r="C446" i="20"/>
  <c r="C445" i="20"/>
  <c r="C444" i="20"/>
  <c r="C443" i="20"/>
  <c r="C442" i="20"/>
  <c r="C441" i="20"/>
  <c r="C440" i="20"/>
  <c r="C439" i="20"/>
  <c r="C438" i="20"/>
  <c r="C437" i="20"/>
  <c r="C436" i="20"/>
  <c r="C435" i="20"/>
  <c r="C434" i="20"/>
  <c r="C433" i="20"/>
  <c r="C432" i="20"/>
  <c r="C431" i="20"/>
  <c r="C430" i="20"/>
  <c r="C429" i="20"/>
  <c r="C428" i="20"/>
  <c r="C427" i="20"/>
  <c r="C426" i="20"/>
  <c r="C425" i="20"/>
  <c r="C424" i="20"/>
  <c r="C423" i="20"/>
  <c r="C422" i="20"/>
  <c r="C421" i="20"/>
  <c r="C420" i="20"/>
  <c r="C419" i="20"/>
  <c r="C418" i="20"/>
  <c r="C417" i="20"/>
  <c r="C416" i="20"/>
  <c r="C415" i="20"/>
  <c r="C414" i="20"/>
  <c r="C413" i="20"/>
  <c r="C412" i="20"/>
  <c r="C411" i="20"/>
  <c r="C410" i="20"/>
  <c r="C409" i="20"/>
  <c r="C408" i="20"/>
  <c r="C407" i="20"/>
  <c r="C406" i="20"/>
  <c r="C405" i="20"/>
  <c r="C404" i="20"/>
  <c r="C403" i="20"/>
  <c r="C387" i="20"/>
  <c r="C386" i="20"/>
  <c r="C385" i="20"/>
  <c r="C384" i="20"/>
  <c r="C383" i="20"/>
  <c r="C382" i="20"/>
  <c r="C381" i="20"/>
  <c r="C380" i="20"/>
  <c r="C379" i="20"/>
  <c r="C378" i="20"/>
  <c r="C377" i="20"/>
  <c r="C376" i="20"/>
  <c r="C375" i="20"/>
  <c r="C374" i="20"/>
  <c r="C373" i="20"/>
  <c r="C372" i="20"/>
  <c r="C371" i="20"/>
  <c r="C370" i="20"/>
  <c r="C369" i="20"/>
  <c r="C368" i="20"/>
  <c r="C367" i="20"/>
  <c r="C366" i="20"/>
  <c r="C365" i="20"/>
  <c r="C364" i="20"/>
  <c r="C363" i="20"/>
  <c r="C362" i="20"/>
  <c r="C361" i="20"/>
  <c r="C360" i="20"/>
  <c r="C359" i="20"/>
  <c r="C358" i="20"/>
  <c r="C357" i="20"/>
  <c r="C356" i="20"/>
  <c r="C355" i="20"/>
  <c r="C354" i="20"/>
  <c r="C353" i="20"/>
  <c r="C352" i="20"/>
  <c r="C351" i="20"/>
  <c r="C350" i="20"/>
  <c r="C349" i="20"/>
  <c r="C348" i="20"/>
  <c r="C347" i="20"/>
  <c r="C346" i="20"/>
  <c r="C345" i="20"/>
  <c r="C344" i="20"/>
  <c r="C343" i="20"/>
  <c r="C342" i="20"/>
  <c r="C341" i="20"/>
  <c r="C340" i="20"/>
  <c r="C339" i="20"/>
  <c r="C338" i="20"/>
  <c r="C320" i="20"/>
  <c r="C319" i="20"/>
  <c r="C318" i="20"/>
  <c r="C317" i="20"/>
  <c r="C316" i="20"/>
  <c r="C315" i="20"/>
  <c r="C314" i="20"/>
  <c r="C313" i="20"/>
  <c r="C312" i="20"/>
  <c r="C311" i="20"/>
  <c r="C310" i="20"/>
  <c r="C309" i="20"/>
  <c r="C308" i="20"/>
  <c r="C307" i="20"/>
  <c r="C306" i="20"/>
  <c r="C305" i="20"/>
  <c r="C304" i="20"/>
  <c r="C303" i="20"/>
  <c r="C302" i="20"/>
  <c r="C301" i="20"/>
  <c r="C300" i="20"/>
  <c r="C299" i="20"/>
  <c r="C298" i="20"/>
  <c r="C297" i="20"/>
  <c r="C296" i="20"/>
  <c r="C295" i="20"/>
  <c r="C294" i="20"/>
  <c r="C293" i="20"/>
  <c r="C292" i="20"/>
  <c r="C291" i="20"/>
  <c r="C290" i="20"/>
  <c r="C289" i="20"/>
  <c r="C288" i="20"/>
  <c r="C287" i="20"/>
  <c r="C286" i="20"/>
  <c r="C285" i="20"/>
  <c r="C284" i="20"/>
  <c r="C283" i="20"/>
  <c r="C282" i="20"/>
  <c r="C281" i="20"/>
  <c r="C280" i="20"/>
  <c r="C279" i="20"/>
  <c r="C278" i="20"/>
  <c r="C277" i="20"/>
  <c r="C276" i="20"/>
  <c r="C275" i="20"/>
  <c r="C274" i="20"/>
  <c r="C273" i="20"/>
  <c r="C272" i="20"/>
  <c r="C271" i="20"/>
  <c r="C254" i="20"/>
  <c r="C253" i="20"/>
  <c r="C252" i="20"/>
  <c r="C251" i="20"/>
  <c r="C250" i="20"/>
  <c r="C249" i="20"/>
  <c r="C248" i="20"/>
  <c r="C247" i="20"/>
  <c r="C246" i="20"/>
  <c r="C245" i="20"/>
  <c r="C244" i="20"/>
  <c r="C243" i="20"/>
  <c r="C242" i="20"/>
  <c r="C241" i="20"/>
  <c r="C240" i="20"/>
  <c r="C239" i="20"/>
  <c r="C238" i="20"/>
  <c r="C237" i="20"/>
  <c r="C236" i="20"/>
  <c r="C235" i="20"/>
  <c r="C234" i="20"/>
  <c r="C233" i="20"/>
  <c r="C232" i="20"/>
  <c r="C231" i="20"/>
  <c r="C230" i="20"/>
  <c r="C229" i="20"/>
  <c r="C228" i="20"/>
  <c r="C227" i="20"/>
  <c r="C226" i="20"/>
  <c r="C225" i="20"/>
  <c r="C224" i="20"/>
  <c r="C223" i="20"/>
  <c r="C222" i="20"/>
  <c r="C221" i="20"/>
  <c r="C220" i="20"/>
  <c r="C219" i="20"/>
  <c r="C218" i="20"/>
  <c r="C217" i="20"/>
  <c r="C216" i="20"/>
  <c r="C215" i="20"/>
  <c r="C214" i="20"/>
  <c r="C213" i="20"/>
  <c r="C212" i="20"/>
  <c r="C211" i="20"/>
  <c r="C210" i="20"/>
  <c r="C209" i="20"/>
  <c r="C208" i="20"/>
  <c r="C207" i="20"/>
  <c r="C206" i="20"/>
  <c r="C205" i="20"/>
  <c r="C188" i="20"/>
  <c r="C187" i="20"/>
  <c r="C186" i="20"/>
  <c r="C185" i="20"/>
  <c r="C184" i="20"/>
  <c r="C183" i="20"/>
  <c r="C182" i="20"/>
  <c r="C181" i="20"/>
  <c r="C180" i="20"/>
  <c r="C179" i="20"/>
  <c r="C178" i="20"/>
  <c r="C177" i="20"/>
  <c r="C176" i="20"/>
  <c r="C175" i="20"/>
  <c r="C174" i="20"/>
  <c r="C173" i="20"/>
  <c r="C172" i="20"/>
  <c r="C171" i="20"/>
  <c r="C170" i="20"/>
  <c r="C169" i="20"/>
  <c r="C168" i="20"/>
  <c r="C167" i="20"/>
  <c r="C166" i="20"/>
  <c r="C165" i="20"/>
  <c r="C164" i="20"/>
  <c r="C163" i="20"/>
  <c r="C162" i="20"/>
  <c r="C161" i="20"/>
  <c r="C160" i="20"/>
  <c r="C159" i="20"/>
  <c r="C158" i="20"/>
  <c r="C157" i="20"/>
  <c r="C156" i="20"/>
  <c r="C155" i="20"/>
  <c r="C154" i="20"/>
  <c r="C153" i="20"/>
  <c r="C152" i="20"/>
  <c r="C151" i="20"/>
  <c r="C150" i="20"/>
  <c r="C149" i="20"/>
  <c r="C148" i="20"/>
  <c r="C147" i="20"/>
  <c r="C146" i="20"/>
  <c r="C145" i="20"/>
  <c r="C144" i="20"/>
  <c r="C143" i="20"/>
  <c r="C142" i="20"/>
  <c r="C141" i="20"/>
  <c r="C140" i="20"/>
  <c r="C139" i="20"/>
  <c r="C123" i="20"/>
  <c r="C122" i="20"/>
  <c r="C121" i="20"/>
  <c r="C120" i="20"/>
  <c r="C119" i="20"/>
  <c r="C118" i="20"/>
  <c r="C117" i="20"/>
  <c r="C116" i="20"/>
  <c r="C115" i="20"/>
  <c r="C114" i="20"/>
  <c r="C113" i="20"/>
  <c r="C112" i="20"/>
  <c r="C111" i="20"/>
  <c r="C110" i="20"/>
  <c r="C109" i="20"/>
  <c r="C108" i="20"/>
  <c r="C107" i="20"/>
  <c r="C106" i="20"/>
  <c r="C105" i="20"/>
  <c r="C104" i="20"/>
  <c r="C103" i="20"/>
  <c r="C102" i="20"/>
  <c r="C101" i="20"/>
  <c r="C100" i="20"/>
  <c r="C99" i="20"/>
  <c r="C98" i="20"/>
  <c r="C97" i="20"/>
  <c r="C96" i="20"/>
  <c r="C95" i="20"/>
  <c r="C94" i="20"/>
  <c r="C93" i="20"/>
  <c r="C92" i="20"/>
  <c r="C91" i="20"/>
  <c r="C90" i="20"/>
  <c r="C89" i="20"/>
  <c r="C88" i="20"/>
  <c r="C87" i="20"/>
  <c r="C86" i="20"/>
  <c r="C85" i="20"/>
  <c r="C84" i="20"/>
  <c r="C83" i="20"/>
  <c r="C82" i="20"/>
  <c r="C81" i="20"/>
  <c r="C80" i="20"/>
  <c r="C79" i="20"/>
  <c r="C78" i="20"/>
  <c r="C77" i="20"/>
  <c r="C76" i="20"/>
  <c r="C75" i="20"/>
  <c r="C74" i="20"/>
  <c r="C56" i="20"/>
  <c r="C55" i="20"/>
  <c r="C54" i="20"/>
  <c r="C53" i="20"/>
  <c r="C52" i="20"/>
  <c r="C51" i="20"/>
  <c r="C50" i="20"/>
  <c r="C49" i="20"/>
  <c r="C48" i="20"/>
  <c r="C47" i="20"/>
  <c r="C46" i="20"/>
  <c r="C45" i="20"/>
  <c r="C44" i="20"/>
  <c r="C43" i="20"/>
  <c r="C42" i="20"/>
  <c r="C41" i="20"/>
  <c r="C40" i="20"/>
  <c r="C39" i="20"/>
  <c r="C38" i="20"/>
  <c r="C37" i="20"/>
  <c r="C36" i="20"/>
  <c r="C35" i="20"/>
  <c r="C34" i="20"/>
  <c r="C33" i="20"/>
  <c r="C32" i="20"/>
  <c r="C31" i="20"/>
  <c r="C30" i="20"/>
  <c r="C29" i="20"/>
  <c r="C28" i="20"/>
  <c r="C27" i="20"/>
  <c r="C26" i="20"/>
  <c r="C25" i="20"/>
  <c r="C24" i="20"/>
  <c r="C23" i="20"/>
  <c r="C22" i="20"/>
  <c r="C21" i="20"/>
  <c r="C20" i="20"/>
  <c r="C19" i="20"/>
  <c r="C18" i="20"/>
  <c r="C17" i="20"/>
  <c r="C16" i="20"/>
  <c r="C15" i="20"/>
  <c r="C14" i="20"/>
  <c r="C13" i="20"/>
  <c r="C12" i="20"/>
  <c r="C11" i="20"/>
  <c r="C10" i="20"/>
  <c r="C9" i="20"/>
  <c r="C8" i="20"/>
  <c r="C7" i="20"/>
  <c r="C452" i="10"/>
  <c r="C451" i="10"/>
  <c r="C450" i="10"/>
  <c r="C449" i="10"/>
  <c r="C448" i="10"/>
  <c r="C447" i="10"/>
  <c r="C446" i="10"/>
  <c r="C445" i="10"/>
  <c r="C444" i="10"/>
  <c r="C443" i="10"/>
  <c r="C442" i="10"/>
  <c r="C441" i="10"/>
  <c r="C440" i="10"/>
  <c r="C439" i="10"/>
  <c r="C438" i="10"/>
  <c r="C437" i="10"/>
  <c r="C436" i="10"/>
  <c r="C435" i="10"/>
  <c r="C434" i="10"/>
  <c r="C433" i="10"/>
  <c r="C432" i="10"/>
  <c r="C431" i="10"/>
  <c r="C430" i="10"/>
  <c r="C429" i="10"/>
  <c r="C428" i="10"/>
  <c r="C427" i="10"/>
  <c r="C426" i="10"/>
  <c r="C425" i="10"/>
  <c r="C424" i="10"/>
  <c r="C423" i="10"/>
  <c r="C422" i="10"/>
  <c r="C421" i="10"/>
  <c r="C420" i="10"/>
  <c r="C419" i="10"/>
  <c r="C418" i="10"/>
  <c r="C417" i="10"/>
  <c r="C416" i="10"/>
  <c r="C415" i="10"/>
  <c r="C414" i="10"/>
  <c r="C413" i="10"/>
  <c r="C412" i="10"/>
  <c r="C411" i="10"/>
  <c r="C410" i="10"/>
  <c r="C409" i="10"/>
  <c r="C408" i="10"/>
  <c r="C407" i="10"/>
  <c r="C406" i="10"/>
  <c r="C405" i="10"/>
  <c r="C404" i="10"/>
  <c r="C403" i="10"/>
  <c r="C387" i="10"/>
  <c r="C386" i="10"/>
  <c r="C385" i="10"/>
  <c r="C384" i="10"/>
  <c r="C383" i="10"/>
  <c r="C382" i="10"/>
  <c r="C381" i="10"/>
  <c r="C380" i="10"/>
  <c r="C379" i="10"/>
  <c r="C378" i="10"/>
  <c r="C377" i="10"/>
  <c r="C376" i="10"/>
  <c r="C375" i="10"/>
  <c r="C374" i="10"/>
  <c r="C373" i="10"/>
  <c r="C372" i="10"/>
  <c r="C371" i="10"/>
  <c r="C370" i="10"/>
  <c r="C369" i="10"/>
  <c r="C368" i="10"/>
  <c r="C367" i="10"/>
  <c r="C366" i="10"/>
  <c r="C365" i="10"/>
  <c r="C364" i="10"/>
  <c r="C363" i="10"/>
  <c r="C362" i="10"/>
  <c r="C361" i="10"/>
  <c r="C360" i="10"/>
  <c r="C359" i="10"/>
  <c r="C358" i="10"/>
  <c r="C357" i="10"/>
  <c r="C356" i="10"/>
  <c r="C355" i="10"/>
  <c r="C354" i="10"/>
  <c r="C353" i="10"/>
  <c r="C352" i="10"/>
  <c r="C351" i="10"/>
  <c r="C350" i="10"/>
  <c r="C349" i="10"/>
  <c r="C348" i="10"/>
  <c r="C347" i="10"/>
  <c r="C346" i="10"/>
  <c r="C345" i="10"/>
  <c r="C344" i="10"/>
  <c r="C343" i="10"/>
  <c r="C342" i="10"/>
  <c r="C341" i="10"/>
  <c r="C340" i="10"/>
  <c r="C339" i="10"/>
  <c r="C338" i="10"/>
  <c r="C320" i="10"/>
  <c r="C319" i="10"/>
  <c r="C318" i="10"/>
  <c r="C317" i="10"/>
  <c r="C316" i="10"/>
  <c r="C315" i="10"/>
  <c r="C314" i="10"/>
  <c r="C313" i="10"/>
  <c r="C312" i="10"/>
  <c r="C311" i="10"/>
  <c r="C310" i="10"/>
  <c r="C309" i="10"/>
  <c r="C308" i="10"/>
  <c r="C307" i="10"/>
  <c r="C306" i="10"/>
  <c r="C305" i="10"/>
  <c r="C304" i="10"/>
  <c r="C303" i="10"/>
  <c r="C302" i="10"/>
  <c r="C301" i="10"/>
  <c r="C300" i="10"/>
  <c r="C299" i="10"/>
  <c r="C298" i="10"/>
  <c r="C297" i="10"/>
  <c r="C296" i="10"/>
  <c r="C295" i="10"/>
  <c r="C294" i="10"/>
  <c r="C293" i="10"/>
  <c r="C292" i="10"/>
  <c r="C291" i="10"/>
  <c r="C290" i="10"/>
  <c r="C289" i="10"/>
  <c r="C288" i="10"/>
  <c r="C287" i="10"/>
  <c r="C286" i="10"/>
  <c r="C285" i="10"/>
  <c r="C284" i="10"/>
  <c r="C283" i="10"/>
  <c r="C282" i="10"/>
  <c r="C281" i="10"/>
  <c r="C280" i="10"/>
  <c r="C279" i="10"/>
  <c r="C278" i="10"/>
  <c r="C277" i="10"/>
  <c r="C276" i="10"/>
  <c r="C275" i="10"/>
  <c r="C274" i="10"/>
  <c r="C273" i="10"/>
  <c r="C272" i="10"/>
  <c r="C271" i="10"/>
  <c r="C254" i="10"/>
  <c r="C253" i="10"/>
  <c r="C252" i="10"/>
  <c r="C251" i="10"/>
  <c r="C250" i="10"/>
  <c r="C249" i="10"/>
  <c r="C248" i="10"/>
  <c r="C247" i="10"/>
  <c r="C246" i="10"/>
  <c r="C245" i="10"/>
  <c r="C244" i="10"/>
  <c r="C243" i="10"/>
  <c r="C242" i="10"/>
  <c r="C241" i="10"/>
  <c r="C240" i="10"/>
  <c r="C239" i="10"/>
  <c r="C238" i="10"/>
  <c r="C237" i="10"/>
  <c r="C236" i="10"/>
  <c r="C235" i="10"/>
  <c r="C234" i="10"/>
  <c r="C233" i="10"/>
  <c r="C232" i="10"/>
  <c r="C231" i="10"/>
  <c r="C230" i="10"/>
  <c r="C229" i="10"/>
  <c r="C228" i="10"/>
  <c r="C227" i="10"/>
  <c r="C226" i="10"/>
  <c r="C225" i="10"/>
  <c r="C224" i="10"/>
  <c r="C223" i="10"/>
  <c r="C222" i="10"/>
  <c r="C221" i="10"/>
  <c r="C220" i="10"/>
  <c r="C219" i="10"/>
  <c r="C218" i="10"/>
  <c r="C217" i="10"/>
  <c r="C216" i="10"/>
  <c r="C215" i="10"/>
  <c r="C214" i="10"/>
  <c r="C213" i="10"/>
  <c r="C212" i="10"/>
  <c r="C211" i="10"/>
  <c r="C210" i="10"/>
  <c r="C209" i="10"/>
  <c r="C208" i="10"/>
  <c r="C207" i="10"/>
  <c r="C206" i="10"/>
  <c r="C205" i="10"/>
  <c r="C188" i="10"/>
  <c r="C187" i="10"/>
  <c r="C186" i="10"/>
  <c r="C185" i="10"/>
  <c r="C184" i="10"/>
  <c r="C183" i="10"/>
  <c r="C182" i="10"/>
  <c r="C181" i="10"/>
  <c r="C180" i="10"/>
  <c r="C179" i="10"/>
  <c r="C178" i="10"/>
  <c r="C177" i="10"/>
  <c r="C176" i="10"/>
  <c r="C175" i="10"/>
  <c r="C174" i="10"/>
  <c r="C173" i="10"/>
  <c r="C172" i="10"/>
  <c r="C171" i="10"/>
  <c r="C170" i="10"/>
  <c r="C169" i="10"/>
  <c r="C168" i="10"/>
  <c r="C167" i="10"/>
  <c r="C166" i="10"/>
  <c r="C165" i="10"/>
  <c r="C164" i="10"/>
  <c r="C163" i="10"/>
  <c r="C162" i="10"/>
  <c r="C161" i="10"/>
  <c r="C160" i="10"/>
  <c r="C159" i="10"/>
  <c r="C158" i="10"/>
  <c r="C157" i="10"/>
  <c r="C156" i="10"/>
  <c r="C155" i="10"/>
  <c r="C154" i="10"/>
  <c r="C153" i="10"/>
  <c r="C152" i="10"/>
  <c r="C151" i="10"/>
  <c r="C150" i="10"/>
  <c r="C149" i="10"/>
  <c r="C148" i="10"/>
  <c r="C147" i="10"/>
  <c r="C146" i="10"/>
  <c r="C145" i="10"/>
  <c r="C144" i="10"/>
  <c r="C143" i="10"/>
  <c r="C142" i="10"/>
  <c r="C141" i="10"/>
  <c r="C140" i="10"/>
  <c r="C139" i="10"/>
  <c r="C123" i="10"/>
  <c r="C122" i="10"/>
  <c r="C121" i="10"/>
  <c r="C120" i="10"/>
  <c r="C119" i="10"/>
  <c r="C118" i="10"/>
  <c r="C117" i="10"/>
  <c r="C116" i="10"/>
  <c r="C115" i="10"/>
  <c r="C114" i="10"/>
  <c r="C113" i="10"/>
  <c r="C112" i="10"/>
  <c r="C111" i="10"/>
  <c r="C110" i="10"/>
  <c r="C109" i="10"/>
  <c r="C108" i="10"/>
  <c r="C107" i="10"/>
  <c r="C106" i="10"/>
  <c r="C105" i="10"/>
  <c r="C104" i="10"/>
  <c r="C103" i="10"/>
  <c r="C102" i="10"/>
  <c r="C101" i="10"/>
  <c r="C100" i="10"/>
  <c r="C99" i="10"/>
  <c r="C98" i="10"/>
  <c r="C97" i="10"/>
  <c r="C96" i="10"/>
  <c r="C95" i="10"/>
  <c r="C94" i="10"/>
  <c r="C93" i="10"/>
  <c r="C92" i="10"/>
  <c r="C91" i="10"/>
  <c r="C90" i="10"/>
  <c r="C89" i="10"/>
  <c r="C88" i="10"/>
  <c r="C87" i="10"/>
  <c r="C86" i="10"/>
  <c r="C85" i="10"/>
  <c r="C84" i="10"/>
  <c r="C83" i="10"/>
  <c r="C82" i="10"/>
  <c r="C81" i="10"/>
  <c r="C80" i="10"/>
  <c r="C79" i="10"/>
  <c r="C78" i="10"/>
  <c r="C77" i="10"/>
  <c r="C76" i="10"/>
  <c r="C75" i="10"/>
  <c r="C74" i="10"/>
  <c r="C56" i="10"/>
  <c r="C55" i="10"/>
  <c r="C54" i="10"/>
  <c r="C53" i="10"/>
  <c r="C52" i="10"/>
  <c r="C51" i="10"/>
  <c r="C50" i="10"/>
  <c r="C49" i="10"/>
  <c r="C48" i="10"/>
  <c r="C47" i="10"/>
  <c r="C46" i="10"/>
  <c r="C45" i="10"/>
  <c r="C44" i="10"/>
  <c r="C43" i="10"/>
  <c r="C42" i="10"/>
  <c r="C41" i="10"/>
  <c r="C40" i="10"/>
  <c r="C39" i="10"/>
  <c r="C38" i="10"/>
  <c r="C37" i="10"/>
  <c r="C36" i="10"/>
  <c r="C35" i="10"/>
  <c r="C34" i="10"/>
  <c r="C33" i="10"/>
  <c r="C32" i="10"/>
  <c r="C31" i="10"/>
  <c r="C30" i="10"/>
  <c r="C29" i="10"/>
  <c r="C28" i="10"/>
  <c r="C27" i="10"/>
  <c r="C26" i="10"/>
  <c r="C25" i="10"/>
  <c r="C24" i="10"/>
  <c r="C23" i="10"/>
  <c r="C22" i="10"/>
  <c r="C21" i="10"/>
  <c r="C20" i="10"/>
  <c r="C19" i="10"/>
  <c r="C18" i="10"/>
  <c r="C17" i="10"/>
  <c r="C16" i="10"/>
  <c r="C15" i="10"/>
  <c r="C14" i="10"/>
  <c r="C13" i="10"/>
  <c r="C12" i="10"/>
  <c r="C11" i="10"/>
  <c r="C10" i="10"/>
  <c r="C9" i="10"/>
  <c r="C8" i="10"/>
  <c r="C7" i="10"/>
  <c r="C452" i="2"/>
  <c r="C451" i="2"/>
  <c r="C450" i="2"/>
  <c r="C449" i="2"/>
  <c r="C448" i="2"/>
  <c r="C447" i="2"/>
  <c r="C446" i="2"/>
  <c r="C445" i="2"/>
  <c r="C444" i="2"/>
  <c r="C443" i="2"/>
  <c r="C442" i="2"/>
  <c r="C441" i="2"/>
  <c r="C440" i="2"/>
  <c r="C439" i="2"/>
  <c r="C438" i="2"/>
  <c r="C437" i="2"/>
  <c r="C436" i="2"/>
  <c r="C435" i="2"/>
  <c r="C434" i="2"/>
  <c r="C433" i="2"/>
  <c r="C432" i="2"/>
  <c r="C431" i="2"/>
  <c r="C430" i="2"/>
  <c r="C429" i="2"/>
  <c r="C428" i="2"/>
  <c r="C427" i="2"/>
  <c r="C426" i="2"/>
  <c r="C425" i="2"/>
  <c r="C424" i="2"/>
  <c r="C423" i="2"/>
  <c r="C422" i="2"/>
  <c r="C421" i="2"/>
  <c r="C420" i="2"/>
  <c r="C419" i="2"/>
  <c r="C418" i="2"/>
  <c r="C417" i="2"/>
  <c r="C416" i="2"/>
  <c r="C415" i="2"/>
  <c r="C414" i="2"/>
  <c r="C413" i="2"/>
  <c r="C412" i="2"/>
  <c r="C411" i="2"/>
  <c r="C410" i="2"/>
  <c r="C409" i="2"/>
  <c r="C408" i="2"/>
  <c r="C407" i="2"/>
  <c r="C406" i="2"/>
  <c r="C405" i="2"/>
  <c r="C404" i="2"/>
  <c r="C403" i="2"/>
  <c r="C387" i="2"/>
  <c r="C386" i="2"/>
  <c r="C385" i="2"/>
  <c r="C384" i="2"/>
  <c r="C383" i="2"/>
  <c r="C382" i="2"/>
  <c r="C381" i="2"/>
  <c r="C380" i="2"/>
  <c r="C379" i="2"/>
  <c r="C378" i="2"/>
  <c r="C377" i="2"/>
  <c r="C376" i="2"/>
  <c r="C375" i="2"/>
  <c r="C374" i="2"/>
  <c r="C373" i="2"/>
  <c r="C372" i="2"/>
  <c r="C371" i="2"/>
  <c r="C370" i="2"/>
  <c r="C369" i="2"/>
  <c r="C368" i="2"/>
  <c r="C367" i="2"/>
  <c r="C366" i="2"/>
  <c r="C365" i="2"/>
  <c r="C364" i="2"/>
  <c r="C363" i="2"/>
  <c r="C362" i="2"/>
  <c r="C361" i="2"/>
  <c r="C360" i="2"/>
  <c r="C359" i="2"/>
  <c r="C358" i="2"/>
  <c r="C357" i="2"/>
  <c r="C356" i="2"/>
  <c r="C355" i="2"/>
  <c r="C354" i="2"/>
  <c r="C353" i="2"/>
  <c r="C352" i="2"/>
  <c r="C351" i="2"/>
  <c r="C350" i="2"/>
  <c r="C349" i="2"/>
  <c r="C348" i="2"/>
  <c r="C347" i="2"/>
  <c r="C346" i="2"/>
  <c r="C345" i="2"/>
  <c r="C344" i="2"/>
  <c r="C343" i="2"/>
  <c r="C342" i="2"/>
  <c r="C341" i="2"/>
  <c r="C340" i="2"/>
  <c r="C339" i="2"/>
  <c r="C338" i="2"/>
  <c r="C320" i="2"/>
  <c r="C319" i="2"/>
  <c r="C318" i="2"/>
  <c r="C317" i="2"/>
  <c r="C316" i="2"/>
  <c r="C315" i="2"/>
  <c r="C314" i="2"/>
  <c r="C313" i="2"/>
  <c r="C312" i="2"/>
  <c r="C311" i="2"/>
  <c r="C310" i="2"/>
  <c r="C309" i="2"/>
  <c r="C308" i="2"/>
  <c r="C307" i="2"/>
  <c r="C306" i="2"/>
  <c r="C305" i="2"/>
  <c r="C304" i="2"/>
  <c r="C303" i="2"/>
  <c r="C302" i="2"/>
  <c r="C301" i="2"/>
  <c r="C300" i="2"/>
  <c r="C299" i="2"/>
  <c r="C298" i="2"/>
  <c r="C297" i="2"/>
  <c r="C296" i="2"/>
  <c r="C295" i="2"/>
  <c r="C294" i="2"/>
  <c r="C293" i="2"/>
  <c r="C292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C12" i="2"/>
  <c r="C11" i="2"/>
  <c r="C10" i="2"/>
  <c r="C9" i="2"/>
  <c r="C8" i="2"/>
  <c r="C7" i="2"/>
  <c r="C16" i="39" l="1"/>
  <c r="G16" i="27"/>
  <c r="G15" i="27"/>
  <c r="G10" i="27"/>
  <c r="G9" i="27"/>
  <c r="G8" i="27"/>
  <c r="G7" i="27"/>
  <c r="G6" i="27"/>
  <c r="G5" i="27"/>
  <c r="C33" i="27" l="1"/>
  <c r="I28" i="42"/>
  <c r="I26" i="42"/>
  <c r="C28" i="42" l="1"/>
  <c r="B28" i="42"/>
  <c r="C26" i="42"/>
  <c r="C5" i="38"/>
  <c r="C4" i="36"/>
  <c r="C5" i="37"/>
  <c r="C5" i="35"/>
  <c r="C5" i="34"/>
  <c r="AA19" i="28" l="1"/>
  <c r="U19" i="28"/>
  <c r="AA7" i="28"/>
  <c r="AA9" i="28"/>
  <c r="U10" i="28"/>
  <c r="U21" i="28"/>
  <c r="U6" i="28"/>
  <c r="AA17" i="28"/>
  <c r="E28" i="42"/>
  <c r="H28" i="42" s="1"/>
  <c r="G28" i="42" s="1"/>
  <c r="U22" i="28"/>
  <c r="AA15" i="28"/>
  <c r="AA21" i="28"/>
  <c r="AA13" i="28"/>
  <c r="AA25" i="28"/>
  <c r="AA20" i="28"/>
  <c r="AA11" i="28"/>
  <c r="AA23" i="28"/>
  <c r="U24" i="28"/>
  <c r="AA12" i="28"/>
  <c r="U7" i="28"/>
  <c r="U8" i="28"/>
  <c r="U14" i="28"/>
  <c r="AA8" i="28"/>
  <c r="U9" i="28"/>
  <c r="AA22" i="28"/>
  <c r="AA16" i="28"/>
  <c r="AA14" i="28"/>
  <c r="U11" i="28"/>
  <c r="AA26" i="28"/>
  <c r="AA10" i="28"/>
  <c r="AA24" i="28"/>
  <c r="U18" i="28"/>
  <c r="U16" i="28"/>
  <c r="U13" i="28"/>
  <c r="U12" i="28"/>
  <c r="U26" i="28"/>
  <c r="U23" i="28"/>
  <c r="U17" i="28"/>
  <c r="AA18" i="28"/>
  <c r="U15" i="28"/>
  <c r="AA6" i="28"/>
  <c r="U25" i="28"/>
  <c r="U20" i="28"/>
  <c r="I30" i="42"/>
  <c r="Q557" i="33"/>
  <c r="Q559" i="33"/>
  <c r="Q558" i="33"/>
  <c r="Q552" i="33"/>
  <c r="Q553" i="33"/>
  <c r="Q554" i="33"/>
  <c r="Q555" i="33"/>
  <c r="Q556" i="33"/>
  <c r="C324" i="40"/>
  <c r="I31" i="42"/>
  <c r="B68" i="36"/>
  <c r="I29" i="42" s="1"/>
  <c r="C17" i="27"/>
  <c r="D28" i="42" l="1"/>
  <c r="K28" i="42" s="1"/>
  <c r="B3" i="48"/>
  <c r="B582" i="33" s="1"/>
  <c r="B3" i="47"/>
  <c r="B581" i="33" s="1"/>
  <c r="B3" i="32"/>
  <c r="B576" i="33" s="1"/>
  <c r="B3" i="45"/>
  <c r="B579" i="33" s="1"/>
  <c r="B3" i="46"/>
  <c r="B580" i="33" s="1"/>
  <c r="B3" i="43"/>
  <c r="B577" i="33" s="1"/>
  <c r="B3" i="44"/>
  <c r="B578" i="33" s="1"/>
  <c r="I33" i="42"/>
  <c r="C33" i="42" s="1"/>
  <c r="C17" i="40"/>
  <c r="F28" i="42"/>
  <c r="C31" i="42"/>
  <c r="E31" i="42"/>
  <c r="B29" i="42"/>
  <c r="C29" i="42"/>
  <c r="A36" i="42"/>
  <c r="D31" i="42"/>
  <c r="K31" i="42" s="1"/>
  <c r="C30" i="42"/>
  <c r="I27" i="42"/>
  <c r="A29" i="33"/>
  <c r="J28" i="42"/>
  <c r="C19" i="27" l="1"/>
  <c r="E33" i="42"/>
  <c r="J33" i="42" s="1"/>
  <c r="D33" i="42"/>
  <c r="R20" i="28"/>
  <c r="R12" i="28"/>
  <c r="X24" i="28"/>
  <c r="X16" i="28"/>
  <c r="R9" i="28"/>
  <c r="X21" i="28"/>
  <c r="X13" i="28"/>
  <c r="R25" i="28"/>
  <c r="R17" i="28"/>
  <c r="X9" i="28"/>
  <c r="R26" i="28"/>
  <c r="R18" i="28"/>
  <c r="X10" i="28"/>
  <c r="X22" i="28"/>
  <c r="X14" i="28"/>
  <c r="X7" i="28"/>
  <c r="X19" i="28"/>
  <c r="D29" i="42" s="1"/>
  <c r="K29" i="42" s="1"/>
  <c r="R10" i="28"/>
  <c r="R23" i="28"/>
  <c r="R15" i="28"/>
  <c r="R8" i="28"/>
  <c r="R24" i="28"/>
  <c r="R16" i="28"/>
  <c r="R7" i="28"/>
  <c r="X20" i="28"/>
  <c r="X12" i="28"/>
  <c r="X25" i="28"/>
  <c r="X17" i="28"/>
  <c r="X8" i="28"/>
  <c r="R21" i="28"/>
  <c r="R13" i="28"/>
  <c r="R6" i="28"/>
  <c r="R22" i="28"/>
  <c r="R14" i="28"/>
  <c r="X26" i="28"/>
  <c r="X18" i="28"/>
  <c r="R11" i="28"/>
  <c r="X23" i="28"/>
  <c r="X15" i="28"/>
  <c r="X6" i="28"/>
  <c r="R19" i="28"/>
  <c r="X11" i="28"/>
  <c r="C27" i="42"/>
  <c r="B34" i="42" s="1"/>
  <c r="B27" i="42"/>
  <c r="E29" i="42" l="1"/>
  <c r="J29" i="42" s="1"/>
  <c r="B31" i="42"/>
  <c r="B32" i="42"/>
  <c r="H29" i="42"/>
  <c r="G29" i="42" s="1"/>
  <c r="J32" i="42"/>
  <c r="Z15" i="28"/>
  <c r="T13" i="28"/>
  <c r="T12" i="28"/>
  <c r="T7" i="28"/>
  <c r="T6" i="28"/>
  <c r="E27" i="42" s="1"/>
  <c r="H27" i="42" s="1"/>
  <c r="G27" i="42" s="1"/>
  <c r="T24" i="28"/>
  <c r="Z25" i="28"/>
  <c r="Z24" i="28"/>
  <c r="Z23" i="28"/>
  <c r="Z20" i="28"/>
  <c r="T18" i="28"/>
  <c r="Z10" i="28"/>
  <c r="T25" i="28"/>
  <c r="Z18" i="28"/>
  <c r="T10" i="28"/>
  <c r="T15" i="28"/>
  <c r="Z13" i="28"/>
  <c r="Z12" i="28"/>
  <c r="Z7" i="28"/>
  <c r="Z6" i="28"/>
  <c r="D27" i="42" s="1"/>
  <c r="K27" i="42" s="1"/>
  <c r="T23" i="28"/>
  <c r="T20" i="28"/>
  <c r="Z17" i="28"/>
  <c r="C559" i="33"/>
  <c r="H32" i="42" l="1"/>
  <c r="F32" i="42" s="1"/>
  <c r="AC7" i="28"/>
  <c r="H31" i="42"/>
  <c r="AC23" i="28"/>
  <c r="W6" i="28"/>
  <c r="W23" i="28"/>
  <c r="AC6" i="28"/>
  <c r="W7" i="28"/>
  <c r="W24" i="28"/>
  <c r="AC24" i="28"/>
  <c r="F29" i="42"/>
  <c r="F27" i="42"/>
  <c r="J9" i="40"/>
  <c r="J11" i="40"/>
  <c r="J12" i="40"/>
  <c r="J13" i="40"/>
  <c r="J14" i="40"/>
  <c r="J8" i="40"/>
  <c r="B33" i="42" s="1"/>
  <c r="B9" i="34"/>
  <c r="B26" i="42" s="1"/>
  <c r="G32" i="42" l="1"/>
  <c r="F31" i="42"/>
  <c r="G31" i="42"/>
  <c r="S15" i="28"/>
  <c r="S22" i="28"/>
  <c r="Y25" i="28"/>
  <c r="Y24" i="28"/>
  <c r="S11" i="28"/>
  <c r="S12" i="28"/>
  <c r="Y9" i="28"/>
  <c r="S7" i="28"/>
  <c r="Y23" i="28"/>
  <c r="Y18" i="28"/>
  <c r="S9" i="28"/>
  <c r="Y10" i="28"/>
  <c r="S21" i="28"/>
  <c r="Y7" i="28"/>
  <c r="S13" i="28"/>
  <c r="Y26" i="28"/>
  <c r="S19" i="28"/>
  <c r="Y8" i="28"/>
  <c r="S14" i="28"/>
  <c r="Y12" i="28"/>
  <c r="Y21" i="28"/>
  <c r="S26" i="28"/>
  <c r="Y19" i="28"/>
  <c r="Y13" i="28"/>
  <c r="S18" i="28"/>
  <c r="Y22" i="28"/>
  <c r="Y14" i="28"/>
  <c r="S23" i="28"/>
  <c r="S8" i="28"/>
  <c r="S25" i="28"/>
  <c r="Y20" i="28"/>
  <c r="S24" i="28"/>
  <c r="Y11" i="28"/>
  <c r="S17" i="28"/>
  <c r="S6" i="28"/>
  <c r="E26" i="42" s="1"/>
  <c r="H26" i="42" s="1"/>
  <c r="F26" i="42" s="1"/>
  <c r="S10" i="28"/>
  <c r="S20" i="28"/>
  <c r="Y6" i="28"/>
  <c r="Y15" i="28"/>
  <c r="Y17" i="28"/>
  <c r="H33" i="42"/>
  <c r="G33" i="42" s="1"/>
  <c r="D26" i="42" l="1"/>
  <c r="K26" i="42" s="1"/>
  <c r="G26" i="42"/>
  <c r="F33" i="42"/>
  <c r="AF24" i="28"/>
  <c r="AH24" i="28" s="1"/>
  <c r="AF14" i="28"/>
  <c r="AH14" i="28" s="1"/>
  <c r="AF20" i="28"/>
  <c r="AH20" i="28" s="1"/>
  <c r="AF25" i="28"/>
  <c r="AH25" i="28" s="1"/>
  <c r="AF26" i="28"/>
  <c r="AH26" i="28" s="1"/>
  <c r="Q24" i="28"/>
  <c r="Q23" i="28"/>
  <c r="B263" i="31"/>
  <c r="B262" i="31"/>
  <c r="B261" i="31"/>
  <c r="B197" i="31"/>
  <c r="B196" i="31"/>
  <c r="B195" i="31"/>
  <c r="B132" i="31"/>
  <c r="B131" i="31"/>
  <c r="B130" i="31"/>
  <c r="B129" i="31"/>
  <c r="B65" i="31"/>
  <c r="B64" i="31"/>
  <c r="B63" i="31"/>
  <c r="B62" i="31"/>
  <c r="B197" i="30"/>
  <c r="B196" i="30"/>
  <c r="B195" i="30"/>
  <c r="B132" i="30"/>
  <c r="B131" i="30"/>
  <c r="B130" i="30"/>
  <c r="B129" i="30"/>
  <c r="B65" i="30"/>
  <c r="B64" i="30"/>
  <c r="B63" i="30"/>
  <c r="B62" i="30"/>
  <c r="B197" i="29"/>
  <c r="B196" i="29"/>
  <c r="B195" i="29"/>
  <c r="B132" i="29"/>
  <c r="B131" i="29"/>
  <c r="B130" i="29"/>
  <c r="B129" i="29"/>
  <c r="B65" i="29"/>
  <c r="B64" i="29"/>
  <c r="B63" i="29"/>
  <c r="B62" i="29"/>
  <c r="N7" i="28" l="1"/>
  <c r="N12" i="28"/>
  <c r="AF13" i="28"/>
  <c r="AF16" i="28"/>
  <c r="N18" i="28"/>
  <c r="N19" i="28"/>
  <c r="N21" i="28"/>
  <c r="N22" i="28"/>
  <c r="N23" i="28"/>
  <c r="AF8" i="28" l="1"/>
  <c r="AH8" i="28" s="1"/>
  <c r="AF6" i="28"/>
  <c r="AH6" i="28" s="1"/>
  <c r="B9" i="38" s="1"/>
  <c r="B30" i="42" s="1"/>
  <c r="AF23" i="28"/>
  <c r="AH23" i="28" s="1"/>
  <c r="AF21" i="28"/>
  <c r="AH21" i="28" s="1"/>
  <c r="AF11" i="28"/>
  <c r="AH11" i="28" s="1"/>
  <c r="AF17" i="28"/>
  <c r="AH17" i="28" s="1"/>
  <c r="AF7" i="28"/>
  <c r="AH7" i="28" s="1"/>
  <c r="AF15" i="28"/>
  <c r="AH15" i="28" s="1"/>
  <c r="AF22" i="28"/>
  <c r="AH22" i="28" s="1"/>
  <c r="AF19" i="28"/>
  <c r="AH19" i="28" s="1"/>
  <c r="AF12" i="28"/>
  <c r="AH12" i="28" s="1"/>
  <c r="AF10" i="28"/>
  <c r="AH10" i="28" s="1"/>
  <c r="AF18" i="28"/>
  <c r="AH18" i="28" s="1"/>
  <c r="AF9" i="28"/>
  <c r="AH9" i="28" s="1"/>
  <c r="AH16" i="28"/>
  <c r="AH13" i="28"/>
  <c r="F134" i="30"/>
  <c r="E200" i="31"/>
  <c r="F2" i="31"/>
  <c r="E134" i="31"/>
  <c r="E134" i="29"/>
  <c r="F2" i="29"/>
  <c r="F69" i="31"/>
  <c r="F134" i="31"/>
  <c r="E2" i="31"/>
  <c r="F2" i="30"/>
  <c r="F134" i="29"/>
  <c r="F69" i="29"/>
  <c r="E134" i="30"/>
  <c r="E2" i="30"/>
  <c r="E2" i="29"/>
  <c r="F200" i="31"/>
  <c r="E69" i="31"/>
  <c r="E69" i="30"/>
  <c r="E69" i="29"/>
  <c r="F69" i="30"/>
  <c r="B395" i="26"/>
  <c r="B394" i="26"/>
  <c r="B393" i="26"/>
  <c r="B263" i="26"/>
  <c r="B262" i="26"/>
  <c r="B261" i="26"/>
  <c r="B197" i="26"/>
  <c r="B196" i="26"/>
  <c r="F190" i="26" s="1"/>
  <c r="F192" i="26" s="1"/>
  <c r="B195" i="26"/>
  <c r="E190" i="26" s="1"/>
  <c r="E192" i="26" s="1"/>
  <c r="B192" i="26"/>
  <c r="D187" i="26"/>
  <c r="D186" i="26"/>
  <c r="D185" i="26"/>
  <c r="D184" i="26"/>
  <c r="D183" i="26"/>
  <c r="D182" i="26"/>
  <c r="D181" i="26"/>
  <c r="D180" i="26"/>
  <c r="D179" i="26"/>
  <c r="D178" i="26"/>
  <c r="D177" i="26"/>
  <c r="D176" i="26"/>
  <c r="D175" i="26"/>
  <c r="D174" i="26"/>
  <c r="D173" i="26"/>
  <c r="D172" i="26"/>
  <c r="D171" i="26"/>
  <c r="D170" i="26"/>
  <c r="D169" i="26"/>
  <c r="D168" i="26"/>
  <c r="D167" i="26"/>
  <c r="D166" i="26"/>
  <c r="D165" i="26"/>
  <c r="D164" i="26"/>
  <c r="D163" i="26"/>
  <c r="D162" i="26"/>
  <c r="D161" i="26"/>
  <c r="D160" i="26"/>
  <c r="D159" i="26"/>
  <c r="D158" i="26"/>
  <c r="D157" i="26"/>
  <c r="D156" i="26"/>
  <c r="D155" i="26"/>
  <c r="D154" i="26"/>
  <c r="D153" i="26"/>
  <c r="D152" i="26"/>
  <c r="D151" i="26"/>
  <c r="D150" i="26"/>
  <c r="D149" i="26"/>
  <c r="D148" i="26"/>
  <c r="D147" i="26"/>
  <c r="D146" i="26"/>
  <c r="D145" i="26"/>
  <c r="D144" i="26"/>
  <c r="D143" i="26"/>
  <c r="D142" i="26"/>
  <c r="D141" i="26"/>
  <c r="D140" i="26"/>
  <c r="D139" i="26"/>
  <c r="D138" i="26"/>
  <c r="B132" i="26"/>
  <c r="B131" i="26"/>
  <c r="F125" i="26" s="1"/>
  <c r="F127" i="26" s="1"/>
  <c r="B130" i="26"/>
  <c r="E125" i="26" s="1"/>
  <c r="E127" i="26" s="1"/>
  <c r="B129" i="26"/>
  <c r="B127" i="26"/>
  <c r="D122" i="26"/>
  <c r="D121" i="26"/>
  <c r="D120" i="26"/>
  <c r="D119" i="26"/>
  <c r="D118" i="26"/>
  <c r="D117" i="26"/>
  <c r="D116" i="26"/>
  <c r="D115" i="26"/>
  <c r="D114" i="26"/>
  <c r="D113" i="26"/>
  <c r="D112" i="26"/>
  <c r="D111" i="26"/>
  <c r="D110" i="26"/>
  <c r="D109" i="26"/>
  <c r="D108" i="26"/>
  <c r="D107" i="26"/>
  <c r="D106" i="26"/>
  <c r="D105" i="26"/>
  <c r="D104" i="26"/>
  <c r="D103" i="26"/>
  <c r="D102" i="26"/>
  <c r="D101" i="26"/>
  <c r="D100" i="26"/>
  <c r="D99" i="26"/>
  <c r="D98" i="26"/>
  <c r="D97" i="26"/>
  <c r="D96" i="26"/>
  <c r="D95" i="26"/>
  <c r="D94" i="26"/>
  <c r="D93" i="26"/>
  <c r="D92" i="26"/>
  <c r="D91" i="26"/>
  <c r="D90" i="26"/>
  <c r="D89" i="26"/>
  <c r="D88" i="26"/>
  <c r="D87" i="26"/>
  <c r="D86" i="26"/>
  <c r="D85" i="26"/>
  <c r="D84" i="26"/>
  <c r="D83" i="26"/>
  <c r="D82" i="26"/>
  <c r="D81" i="26"/>
  <c r="D80" i="26"/>
  <c r="D79" i="26"/>
  <c r="D78" i="26"/>
  <c r="D77" i="26"/>
  <c r="D76" i="26"/>
  <c r="D75" i="26"/>
  <c r="D74" i="26"/>
  <c r="D73" i="26"/>
  <c r="B65" i="26"/>
  <c r="B64" i="26"/>
  <c r="B63" i="26"/>
  <c r="B62" i="26"/>
  <c r="B263" i="25"/>
  <c r="B262" i="25"/>
  <c r="B261" i="25"/>
  <c r="B197" i="25"/>
  <c r="B196" i="25"/>
  <c r="F192" i="25" s="1"/>
  <c r="B195" i="25"/>
  <c r="E192" i="25"/>
  <c r="B192" i="25"/>
  <c r="D187" i="25"/>
  <c r="D186" i="25"/>
  <c r="D185" i="25"/>
  <c r="D184" i="25"/>
  <c r="D183" i="25"/>
  <c r="D182" i="25"/>
  <c r="D181" i="25"/>
  <c r="D180" i="25"/>
  <c r="D179" i="25"/>
  <c r="D178" i="25"/>
  <c r="D177" i="25"/>
  <c r="D176" i="25"/>
  <c r="D175" i="25"/>
  <c r="D174" i="25"/>
  <c r="D173" i="25"/>
  <c r="D172" i="25"/>
  <c r="D171" i="25"/>
  <c r="D170" i="25"/>
  <c r="D169" i="25"/>
  <c r="D168" i="25"/>
  <c r="D167" i="25"/>
  <c r="D166" i="25"/>
  <c r="D165" i="25"/>
  <c r="D164" i="25"/>
  <c r="D163" i="25"/>
  <c r="D162" i="25"/>
  <c r="D161" i="25"/>
  <c r="D160" i="25"/>
  <c r="D159" i="25"/>
  <c r="D158" i="25"/>
  <c r="D157" i="25"/>
  <c r="D156" i="25"/>
  <c r="D155" i="25"/>
  <c r="D154" i="25"/>
  <c r="D153" i="25"/>
  <c r="D152" i="25"/>
  <c r="D151" i="25"/>
  <c r="D150" i="25"/>
  <c r="D149" i="25"/>
  <c r="D148" i="25"/>
  <c r="D147" i="25"/>
  <c r="D146" i="25"/>
  <c r="D145" i="25"/>
  <c r="D144" i="25"/>
  <c r="D143" i="25"/>
  <c r="D142" i="25"/>
  <c r="D141" i="25"/>
  <c r="D140" i="25"/>
  <c r="D139" i="25"/>
  <c r="E134" i="25"/>
  <c r="D138" i="25"/>
  <c r="B132" i="25"/>
  <c r="B131" i="25"/>
  <c r="B130" i="25"/>
  <c r="B129" i="25"/>
  <c r="B65" i="25"/>
  <c r="B64" i="25"/>
  <c r="B63" i="25"/>
  <c r="B62" i="25"/>
  <c r="B263" i="24"/>
  <c r="B262" i="24"/>
  <c r="B261" i="24"/>
  <c r="B197" i="24"/>
  <c r="B196" i="24"/>
  <c r="B195" i="24"/>
  <c r="B132" i="24"/>
  <c r="B131" i="24"/>
  <c r="B130" i="24"/>
  <c r="B129" i="24"/>
  <c r="B65" i="24"/>
  <c r="B64" i="24"/>
  <c r="B63" i="24"/>
  <c r="B62" i="24"/>
  <c r="B263" i="23"/>
  <c r="B262" i="23"/>
  <c r="B261" i="23"/>
  <c r="B197" i="23"/>
  <c r="B196" i="23"/>
  <c r="F190" i="23" s="1"/>
  <c r="F192" i="23" s="1"/>
  <c r="B195" i="23"/>
  <c r="E190" i="23" s="1"/>
  <c r="E192" i="23" s="1"/>
  <c r="D187" i="23"/>
  <c r="D186" i="23"/>
  <c r="D185" i="23"/>
  <c r="D184" i="23"/>
  <c r="D183" i="23"/>
  <c r="D182" i="23"/>
  <c r="D181" i="23"/>
  <c r="D180" i="23"/>
  <c r="D179" i="23"/>
  <c r="D178" i="23"/>
  <c r="D177" i="23"/>
  <c r="D176" i="23"/>
  <c r="D175" i="23"/>
  <c r="D174" i="23"/>
  <c r="D173" i="23"/>
  <c r="D172" i="23"/>
  <c r="D171" i="23"/>
  <c r="D170" i="23"/>
  <c r="D169" i="23"/>
  <c r="D168" i="23"/>
  <c r="D167" i="23"/>
  <c r="D166" i="23"/>
  <c r="D165" i="23"/>
  <c r="D164" i="23"/>
  <c r="D163" i="23"/>
  <c r="D162" i="23"/>
  <c r="D161" i="23"/>
  <c r="D160" i="23"/>
  <c r="D159" i="23"/>
  <c r="D158" i="23"/>
  <c r="D157" i="23"/>
  <c r="D156" i="23"/>
  <c r="D155" i="23"/>
  <c r="D154" i="23"/>
  <c r="D153" i="23"/>
  <c r="D152" i="23"/>
  <c r="D151" i="23"/>
  <c r="D150" i="23"/>
  <c r="D149" i="23"/>
  <c r="D148" i="23"/>
  <c r="D147" i="23"/>
  <c r="D146" i="23"/>
  <c r="D145" i="23"/>
  <c r="D144" i="23"/>
  <c r="D143" i="23"/>
  <c r="D142" i="23"/>
  <c r="D141" i="23"/>
  <c r="D140" i="23"/>
  <c r="D139" i="23"/>
  <c r="D138" i="23"/>
  <c r="B132" i="23"/>
  <c r="B131" i="23"/>
  <c r="B130" i="23"/>
  <c r="B129" i="23"/>
  <c r="B65" i="23"/>
  <c r="B64" i="23"/>
  <c r="B63" i="23"/>
  <c r="B62" i="23"/>
  <c r="V25" i="28" l="1"/>
  <c r="AB6" i="28"/>
  <c r="AB25" i="28"/>
  <c r="V15" i="28"/>
  <c r="AB23" i="28"/>
  <c r="V23" i="28"/>
  <c r="AB14" i="28"/>
  <c r="V24" i="28"/>
  <c r="V7" i="28"/>
  <c r="AB24" i="28"/>
  <c r="D30" i="42" s="1"/>
  <c r="K30" i="42" s="1"/>
  <c r="A44" i="42" s="1"/>
  <c r="V6" i="28"/>
  <c r="E30" i="42" s="1"/>
  <c r="H30" i="42" s="1"/>
  <c r="G30" i="42" s="1"/>
  <c r="AB7" i="28"/>
  <c r="AB15" i="28"/>
  <c r="F189" i="23"/>
  <c r="F134" i="23" s="1"/>
  <c r="E189" i="23"/>
  <c r="E134" i="23" s="1"/>
  <c r="F134" i="25"/>
  <c r="F69" i="26"/>
  <c r="E189" i="26"/>
  <c r="E134" i="26" s="1"/>
  <c r="E69" i="26"/>
  <c r="F189" i="26"/>
  <c r="F134" i="26" s="1"/>
  <c r="F30" i="42" l="1"/>
  <c r="F2" i="23"/>
  <c r="E200" i="26"/>
  <c r="F134" i="24"/>
  <c r="E200" i="25"/>
  <c r="F69" i="25"/>
  <c r="F2" i="25"/>
  <c r="E134" i="24"/>
  <c r="E69" i="23"/>
  <c r="F200" i="25"/>
  <c r="E200" i="23"/>
  <c r="E2" i="25"/>
  <c r="F69" i="23"/>
  <c r="E2" i="24"/>
  <c r="E2" i="26"/>
  <c r="E2" i="23"/>
  <c r="F200" i="26"/>
  <c r="E69" i="25"/>
  <c r="E200" i="24"/>
  <c r="F200" i="23"/>
  <c r="E69" i="24"/>
  <c r="F2" i="24"/>
  <c r="F2" i="26"/>
  <c r="F200" i="24"/>
  <c r="F69" i="24"/>
  <c r="B464" i="22" l="1"/>
  <c r="B463" i="22"/>
  <c r="B462" i="22"/>
  <c r="B396" i="22"/>
  <c r="B395" i="22"/>
  <c r="B394" i="22"/>
  <c r="E391" i="22" s="1"/>
  <c r="F391" i="22"/>
  <c r="D386" i="22"/>
  <c r="D385" i="22"/>
  <c r="D384" i="22"/>
  <c r="D383" i="22"/>
  <c r="D382" i="22"/>
  <c r="D381" i="22"/>
  <c r="D380" i="22"/>
  <c r="D379" i="22"/>
  <c r="D378" i="22"/>
  <c r="D377" i="22"/>
  <c r="D376" i="22"/>
  <c r="D375" i="22"/>
  <c r="D374" i="22"/>
  <c r="D373" i="22"/>
  <c r="D372" i="22"/>
  <c r="D371" i="22"/>
  <c r="D370" i="22"/>
  <c r="D369" i="22"/>
  <c r="D368" i="22"/>
  <c r="D367" i="22"/>
  <c r="D366" i="22"/>
  <c r="D365" i="22"/>
  <c r="D364" i="22"/>
  <c r="D363" i="22"/>
  <c r="D362" i="22"/>
  <c r="D361" i="22"/>
  <c r="D360" i="22"/>
  <c r="D359" i="22"/>
  <c r="D358" i="22"/>
  <c r="D357" i="22"/>
  <c r="D356" i="22"/>
  <c r="D355" i="22"/>
  <c r="D354" i="22"/>
  <c r="D353" i="22"/>
  <c r="D352" i="22"/>
  <c r="D351" i="22"/>
  <c r="D350" i="22"/>
  <c r="D349" i="22"/>
  <c r="D348" i="22"/>
  <c r="D347" i="22"/>
  <c r="D346" i="22"/>
  <c r="D345" i="22"/>
  <c r="D344" i="22"/>
  <c r="D343" i="22"/>
  <c r="D342" i="22"/>
  <c r="D341" i="22"/>
  <c r="D340" i="22"/>
  <c r="D339" i="22"/>
  <c r="D338" i="22"/>
  <c r="E333" i="22"/>
  <c r="D337" i="22"/>
  <c r="B329" i="22"/>
  <c r="B328" i="22"/>
  <c r="B327" i="22"/>
  <c r="D319" i="22"/>
  <c r="D318" i="22"/>
  <c r="D317" i="22"/>
  <c r="D316" i="22"/>
  <c r="D315" i="22"/>
  <c r="D314" i="22"/>
  <c r="D313" i="22"/>
  <c r="D312" i="22"/>
  <c r="D311" i="22"/>
  <c r="D310" i="22"/>
  <c r="D309" i="22"/>
  <c r="D308" i="22"/>
  <c r="D307" i="22"/>
  <c r="D306" i="22"/>
  <c r="D305" i="22"/>
  <c r="D304" i="22"/>
  <c r="D303" i="22"/>
  <c r="D302" i="22"/>
  <c r="D301" i="22"/>
  <c r="D300" i="22"/>
  <c r="D299" i="22"/>
  <c r="D298" i="22"/>
  <c r="D297" i="22"/>
  <c r="D296" i="22"/>
  <c r="D295" i="22"/>
  <c r="D294" i="22"/>
  <c r="D293" i="22"/>
  <c r="D292" i="22"/>
  <c r="D291" i="22"/>
  <c r="D290" i="22"/>
  <c r="D289" i="22"/>
  <c r="D288" i="22"/>
  <c r="D287" i="22"/>
  <c r="D286" i="22"/>
  <c r="D285" i="22"/>
  <c r="D284" i="22"/>
  <c r="D283" i="22"/>
  <c r="D282" i="22"/>
  <c r="D281" i="22"/>
  <c r="D280" i="22"/>
  <c r="D279" i="22"/>
  <c r="D278" i="22"/>
  <c r="D277" i="22"/>
  <c r="D276" i="22"/>
  <c r="D275" i="22"/>
  <c r="D274" i="22"/>
  <c r="D273" i="22"/>
  <c r="D272" i="22"/>
  <c r="D271" i="22"/>
  <c r="D270" i="22"/>
  <c r="B263" i="22"/>
  <c r="B262" i="22"/>
  <c r="B261" i="22"/>
  <c r="B197" i="22"/>
  <c r="B196" i="22"/>
  <c r="B195" i="22"/>
  <c r="E192" i="22" s="1"/>
  <c r="F192" i="22"/>
  <c r="D187" i="22"/>
  <c r="D186" i="22"/>
  <c r="D185" i="22"/>
  <c r="D184" i="22"/>
  <c r="D183" i="22"/>
  <c r="D182" i="22"/>
  <c r="D181" i="22"/>
  <c r="D180" i="22"/>
  <c r="D179" i="22"/>
  <c r="D178" i="22"/>
  <c r="D177" i="22"/>
  <c r="D176" i="22"/>
  <c r="D175" i="22"/>
  <c r="D174" i="22"/>
  <c r="D173" i="22"/>
  <c r="D172" i="22"/>
  <c r="D171" i="22"/>
  <c r="D170" i="22"/>
  <c r="D169" i="22"/>
  <c r="D168" i="22"/>
  <c r="D167" i="22"/>
  <c r="D166" i="22"/>
  <c r="D165" i="22"/>
  <c r="D164" i="22"/>
  <c r="D163" i="22"/>
  <c r="D162" i="22"/>
  <c r="D161" i="22"/>
  <c r="D160" i="22"/>
  <c r="D159" i="22"/>
  <c r="D158" i="22"/>
  <c r="D157" i="22"/>
  <c r="D156" i="22"/>
  <c r="D155" i="22"/>
  <c r="D154" i="22"/>
  <c r="D153" i="22"/>
  <c r="D152" i="22"/>
  <c r="D151" i="22"/>
  <c r="D150" i="22"/>
  <c r="D149" i="22"/>
  <c r="D148" i="22"/>
  <c r="D147" i="22"/>
  <c r="D146" i="22"/>
  <c r="D145" i="22"/>
  <c r="D144" i="22"/>
  <c r="D143" i="22"/>
  <c r="D142" i="22"/>
  <c r="D141" i="22"/>
  <c r="D140" i="22"/>
  <c r="D139" i="22"/>
  <c r="D138" i="22"/>
  <c r="B132" i="22"/>
  <c r="B131" i="22"/>
  <c r="B130" i="22"/>
  <c r="B129" i="22"/>
  <c r="B65" i="22"/>
  <c r="B64" i="22"/>
  <c r="B63" i="22"/>
  <c r="B62" i="22"/>
  <c r="B464" i="21"/>
  <c r="B463" i="21"/>
  <c r="B462" i="21"/>
  <c r="E459" i="21" s="1"/>
  <c r="F459" i="21"/>
  <c r="B396" i="21"/>
  <c r="B395" i="21"/>
  <c r="B394" i="21"/>
  <c r="F391" i="21"/>
  <c r="E391" i="21"/>
  <c r="D386" i="21"/>
  <c r="D385" i="21"/>
  <c r="D384" i="21"/>
  <c r="D383" i="21"/>
  <c r="D382" i="21"/>
  <c r="D381" i="21"/>
  <c r="D380" i="21"/>
  <c r="D379" i="21"/>
  <c r="D378" i="21"/>
  <c r="D377" i="21"/>
  <c r="D376" i="21"/>
  <c r="D375" i="21"/>
  <c r="D374" i="21"/>
  <c r="D373" i="21"/>
  <c r="D372" i="21"/>
  <c r="D371" i="21"/>
  <c r="D370" i="21"/>
  <c r="D369" i="21"/>
  <c r="D368" i="21"/>
  <c r="D367" i="21"/>
  <c r="D366" i="21"/>
  <c r="D365" i="21"/>
  <c r="D364" i="21"/>
  <c r="D363" i="21"/>
  <c r="D362" i="21"/>
  <c r="D361" i="21"/>
  <c r="D360" i="21"/>
  <c r="D359" i="21"/>
  <c r="D358" i="21"/>
  <c r="D357" i="21"/>
  <c r="D356" i="21"/>
  <c r="D355" i="21"/>
  <c r="D354" i="21"/>
  <c r="D353" i="21"/>
  <c r="D352" i="21"/>
  <c r="D351" i="21"/>
  <c r="D350" i="21"/>
  <c r="D349" i="21"/>
  <c r="D348" i="21"/>
  <c r="D347" i="21"/>
  <c r="D346" i="21"/>
  <c r="D345" i="21"/>
  <c r="D344" i="21"/>
  <c r="D343" i="21"/>
  <c r="D342" i="21"/>
  <c r="D341" i="21"/>
  <c r="D340" i="21"/>
  <c r="D339" i="21"/>
  <c r="D338" i="21"/>
  <c r="D337" i="21"/>
  <c r="B329" i="21"/>
  <c r="B328" i="21"/>
  <c r="B327" i="21"/>
  <c r="D319" i="21"/>
  <c r="D318" i="21"/>
  <c r="D317" i="21"/>
  <c r="D316" i="21"/>
  <c r="D315" i="21"/>
  <c r="D314" i="21"/>
  <c r="D313" i="21"/>
  <c r="D312" i="21"/>
  <c r="D311" i="21"/>
  <c r="D310" i="21"/>
  <c r="D309" i="21"/>
  <c r="D308" i="21"/>
  <c r="D307" i="21"/>
  <c r="D306" i="21"/>
  <c r="D305" i="21"/>
  <c r="D304" i="21"/>
  <c r="D303" i="21"/>
  <c r="D302" i="21"/>
  <c r="D301" i="21"/>
  <c r="D300" i="21"/>
  <c r="D299" i="21"/>
  <c r="D298" i="21"/>
  <c r="D297" i="21"/>
  <c r="D296" i="21"/>
  <c r="D295" i="21"/>
  <c r="D294" i="21"/>
  <c r="D293" i="21"/>
  <c r="D292" i="21"/>
  <c r="D291" i="21"/>
  <c r="D290" i="21"/>
  <c r="D289" i="21"/>
  <c r="D288" i="21"/>
  <c r="D287" i="21"/>
  <c r="D286" i="21"/>
  <c r="D285" i="21"/>
  <c r="D284" i="21"/>
  <c r="D283" i="21"/>
  <c r="D282" i="21"/>
  <c r="D281" i="21"/>
  <c r="D280" i="21"/>
  <c r="D279" i="21"/>
  <c r="D278" i="21"/>
  <c r="D277" i="21"/>
  <c r="D276" i="21"/>
  <c r="D275" i="21"/>
  <c r="D274" i="21"/>
  <c r="D273" i="21"/>
  <c r="D272" i="21"/>
  <c r="D271" i="21"/>
  <c r="D270" i="21"/>
  <c r="B263" i="21"/>
  <c r="B262" i="21"/>
  <c r="B261" i="21"/>
  <c r="B197" i="21"/>
  <c r="B196" i="21"/>
  <c r="B195" i="21"/>
  <c r="F192" i="21"/>
  <c r="E192" i="21"/>
  <c r="D187" i="21"/>
  <c r="D186" i="21"/>
  <c r="D185" i="21"/>
  <c r="D184" i="21"/>
  <c r="D183" i="21"/>
  <c r="D182" i="21"/>
  <c r="D181" i="21"/>
  <c r="D180" i="21"/>
  <c r="D179" i="21"/>
  <c r="D178" i="21"/>
  <c r="D177" i="21"/>
  <c r="D176" i="21"/>
  <c r="D175" i="21"/>
  <c r="D174" i="21"/>
  <c r="D173" i="21"/>
  <c r="D172" i="21"/>
  <c r="D171" i="21"/>
  <c r="D170" i="21"/>
  <c r="D169" i="21"/>
  <c r="D168" i="21"/>
  <c r="D167" i="21"/>
  <c r="D166" i="21"/>
  <c r="D165" i="21"/>
  <c r="D164" i="21"/>
  <c r="D163" i="21"/>
  <c r="D162" i="21"/>
  <c r="D161" i="21"/>
  <c r="D160" i="21"/>
  <c r="D159" i="21"/>
  <c r="D158" i="21"/>
  <c r="D157" i="21"/>
  <c r="D156" i="21"/>
  <c r="D155" i="21"/>
  <c r="D154" i="21"/>
  <c r="D153" i="21"/>
  <c r="D152" i="21"/>
  <c r="D151" i="21"/>
  <c r="D150" i="21"/>
  <c r="D149" i="21"/>
  <c r="D148" i="21"/>
  <c r="D147" i="21"/>
  <c r="D146" i="21"/>
  <c r="D145" i="21"/>
  <c r="D144" i="21"/>
  <c r="D143" i="21"/>
  <c r="D142" i="21"/>
  <c r="D141" i="21"/>
  <c r="D140" i="21"/>
  <c r="D139" i="21"/>
  <c r="E134" i="21"/>
  <c r="D138" i="21"/>
  <c r="B132" i="21"/>
  <c r="B131" i="21"/>
  <c r="B130" i="21"/>
  <c r="B129" i="21"/>
  <c r="B65" i="21"/>
  <c r="B64" i="21"/>
  <c r="B63" i="21"/>
  <c r="B62" i="21"/>
  <c r="F134" i="21" l="1"/>
  <c r="E266" i="21"/>
  <c r="E401" i="21"/>
  <c r="F333" i="21"/>
  <c r="F266" i="21"/>
  <c r="F401" i="21"/>
  <c r="E266" i="22"/>
  <c r="E333" i="21"/>
  <c r="F134" i="22"/>
  <c r="E134" i="22"/>
  <c r="F266" i="22"/>
  <c r="F401" i="22"/>
  <c r="F333" i="22"/>
  <c r="E401" i="22"/>
  <c r="E69" i="21" l="1"/>
  <c r="E69" i="22"/>
  <c r="F200" i="22"/>
  <c r="F200" i="21"/>
  <c r="F2" i="21"/>
  <c r="E2" i="22"/>
  <c r="F69" i="21"/>
  <c r="E2" i="21"/>
  <c r="E200" i="22"/>
  <c r="F69" i="22"/>
  <c r="F2" i="22"/>
  <c r="E200" i="21"/>
  <c r="B464" i="20" l="1"/>
  <c r="B463" i="20"/>
  <c r="F459" i="20" s="1"/>
  <c r="B462" i="20"/>
  <c r="E459" i="20" s="1"/>
  <c r="F401" i="20"/>
  <c r="E401" i="20"/>
  <c r="B396" i="20"/>
  <c r="B395" i="20"/>
  <c r="F391" i="20" s="1"/>
  <c r="B394" i="20"/>
  <c r="E391" i="20" s="1"/>
  <c r="D386" i="20"/>
  <c r="D385" i="20"/>
  <c r="D384" i="20"/>
  <c r="D383" i="20"/>
  <c r="D382" i="20"/>
  <c r="D381" i="20"/>
  <c r="D380" i="20"/>
  <c r="D379" i="20"/>
  <c r="D378" i="20"/>
  <c r="D377" i="20"/>
  <c r="D376" i="20"/>
  <c r="D375" i="20"/>
  <c r="D374" i="20"/>
  <c r="D373" i="20"/>
  <c r="D372" i="20"/>
  <c r="D371" i="20"/>
  <c r="D370" i="20"/>
  <c r="D369" i="20"/>
  <c r="D368" i="20"/>
  <c r="D367" i="20"/>
  <c r="D366" i="20"/>
  <c r="D365" i="20"/>
  <c r="D364" i="20"/>
  <c r="D363" i="20"/>
  <c r="D362" i="20"/>
  <c r="D361" i="20"/>
  <c r="D360" i="20"/>
  <c r="D359" i="20"/>
  <c r="D358" i="20"/>
  <c r="D357" i="20"/>
  <c r="D356" i="20"/>
  <c r="D355" i="20"/>
  <c r="D354" i="20"/>
  <c r="D353" i="20"/>
  <c r="D352" i="20"/>
  <c r="D351" i="20"/>
  <c r="D350" i="20"/>
  <c r="D349" i="20"/>
  <c r="D348" i="20"/>
  <c r="D347" i="20"/>
  <c r="D346" i="20"/>
  <c r="D345" i="20"/>
  <c r="D344" i="20"/>
  <c r="D343" i="20"/>
  <c r="D342" i="20"/>
  <c r="D341" i="20"/>
  <c r="D340" i="20"/>
  <c r="D339" i="20"/>
  <c r="D338" i="20"/>
  <c r="D337" i="20"/>
  <c r="B329" i="20"/>
  <c r="B328" i="20"/>
  <c r="F322" i="20" s="1"/>
  <c r="F324" i="20" s="1"/>
  <c r="B327" i="20"/>
  <c r="E322" i="20" s="1"/>
  <c r="E324" i="20" s="1"/>
  <c r="D319" i="20"/>
  <c r="D318" i="20"/>
  <c r="D317" i="20"/>
  <c r="D316" i="20"/>
  <c r="D315" i="20"/>
  <c r="D314" i="20"/>
  <c r="D313" i="20"/>
  <c r="D312" i="20"/>
  <c r="D311" i="20"/>
  <c r="D310" i="20"/>
  <c r="D309" i="20"/>
  <c r="D308" i="20"/>
  <c r="D307" i="20"/>
  <c r="D306" i="20"/>
  <c r="D305" i="20"/>
  <c r="D304" i="20"/>
  <c r="D303" i="20"/>
  <c r="D302" i="20"/>
  <c r="D301" i="20"/>
  <c r="D300" i="20"/>
  <c r="D299" i="20"/>
  <c r="D298" i="20"/>
  <c r="D297" i="20"/>
  <c r="D296" i="20"/>
  <c r="D295" i="20"/>
  <c r="D294" i="20"/>
  <c r="D293" i="20"/>
  <c r="D292" i="20"/>
  <c r="D291" i="20"/>
  <c r="D290" i="20"/>
  <c r="D289" i="20"/>
  <c r="D288" i="20"/>
  <c r="D287" i="20"/>
  <c r="D286" i="20"/>
  <c r="D285" i="20"/>
  <c r="D284" i="20"/>
  <c r="D283" i="20"/>
  <c r="D282" i="20"/>
  <c r="D281" i="20"/>
  <c r="D280" i="20"/>
  <c r="D279" i="20"/>
  <c r="D278" i="20"/>
  <c r="D277" i="20"/>
  <c r="D276" i="20"/>
  <c r="D275" i="20"/>
  <c r="D274" i="20"/>
  <c r="D273" i="20"/>
  <c r="D272" i="20"/>
  <c r="D271" i="20"/>
  <c r="D270" i="20"/>
  <c r="B263" i="20"/>
  <c r="B262" i="20"/>
  <c r="B261" i="20"/>
  <c r="B197" i="20"/>
  <c r="B196" i="20"/>
  <c r="F192" i="20" s="1"/>
  <c r="B195" i="20"/>
  <c r="E192" i="20" s="1"/>
  <c r="D187" i="20"/>
  <c r="D186" i="20"/>
  <c r="D185" i="20"/>
  <c r="D184" i="20"/>
  <c r="D183" i="20"/>
  <c r="D182" i="20"/>
  <c r="D181" i="20"/>
  <c r="D180" i="20"/>
  <c r="D179" i="20"/>
  <c r="D178" i="20"/>
  <c r="D177" i="20"/>
  <c r="D176" i="20"/>
  <c r="D175" i="20"/>
  <c r="D174" i="20"/>
  <c r="D173" i="20"/>
  <c r="D172" i="20"/>
  <c r="D171" i="20"/>
  <c r="D170" i="20"/>
  <c r="D169" i="20"/>
  <c r="D168" i="20"/>
  <c r="D167" i="20"/>
  <c r="D166" i="20"/>
  <c r="D165" i="20"/>
  <c r="D164" i="20"/>
  <c r="D163" i="20"/>
  <c r="D162" i="20"/>
  <c r="D161" i="20"/>
  <c r="D160" i="20"/>
  <c r="D159" i="20"/>
  <c r="D158" i="20"/>
  <c r="D157" i="20"/>
  <c r="D156" i="20"/>
  <c r="D155" i="20"/>
  <c r="D154" i="20"/>
  <c r="D153" i="20"/>
  <c r="D152" i="20"/>
  <c r="D151" i="20"/>
  <c r="D150" i="20"/>
  <c r="D149" i="20"/>
  <c r="D148" i="20"/>
  <c r="D147" i="20"/>
  <c r="D146" i="20"/>
  <c r="D145" i="20"/>
  <c r="D144" i="20"/>
  <c r="D143" i="20"/>
  <c r="D142" i="20"/>
  <c r="D141" i="20"/>
  <c r="D140" i="20"/>
  <c r="D139" i="20"/>
  <c r="E134" i="20"/>
  <c r="D138" i="20"/>
  <c r="B132" i="20"/>
  <c r="B131" i="20"/>
  <c r="B130" i="20"/>
  <c r="B129" i="20"/>
  <c r="B65" i="20"/>
  <c r="B64" i="20"/>
  <c r="B63" i="20"/>
  <c r="B62" i="20"/>
  <c r="F134" i="20" l="1"/>
  <c r="E333" i="20"/>
  <c r="F321" i="20"/>
  <c r="F266" i="20" s="1"/>
  <c r="F333" i="20"/>
  <c r="E321" i="20"/>
  <c r="E266" i="20" s="1"/>
  <c r="F200" i="20" l="1"/>
  <c r="F69" i="20"/>
  <c r="E69" i="20"/>
  <c r="F2" i="20"/>
  <c r="E2" i="20"/>
  <c r="E200" i="20"/>
  <c r="B60" i="15" l="1"/>
  <c r="B60" i="14" l="1"/>
  <c r="B464" i="15"/>
  <c r="B463" i="15"/>
  <c r="B462" i="15"/>
  <c r="B396" i="15"/>
  <c r="B395" i="15"/>
  <c r="B394" i="15"/>
  <c r="D361" i="15"/>
  <c r="D359" i="15"/>
  <c r="D357" i="15"/>
  <c r="D355" i="15"/>
  <c r="D353" i="15"/>
  <c r="D351" i="15"/>
  <c r="D349" i="15"/>
  <c r="D347" i="15"/>
  <c r="D345" i="15"/>
  <c r="D343" i="15"/>
  <c r="D341" i="15"/>
  <c r="D339" i="15"/>
  <c r="D337" i="15"/>
  <c r="B329" i="15"/>
  <c r="B328" i="15"/>
  <c r="B327" i="15"/>
  <c r="B263" i="15"/>
  <c r="B262" i="15"/>
  <c r="B261" i="15"/>
  <c r="B197" i="15"/>
  <c r="B196" i="15"/>
  <c r="B195" i="15"/>
  <c r="B132" i="15"/>
  <c r="B131" i="15"/>
  <c r="B130" i="15"/>
  <c r="B129" i="15"/>
  <c r="B65" i="15"/>
  <c r="B64" i="15"/>
  <c r="F59" i="15" s="1"/>
  <c r="F60" i="15" s="1"/>
  <c r="B63" i="15"/>
  <c r="E59" i="15" s="1"/>
  <c r="E60" i="15" s="1"/>
  <c r="B62" i="15"/>
  <c r="B464" i="14"/>
  <c r="B463" i="14"/>
  <c r="F459" i="14" s="1"/>
  <c r="B462" i="14"/>
  <c r="E459" i="14" s="1"/>
  <c r="B396" i="14"/>
  <c r="B395" i="14"/>
  <c r="F391" i="14" s="1"/>
  <c r="B394" i="14"/>
  <c r="E391" i="14" s="1"/>
  <c r="D385" i="14"/>
  <c r="D383" i="14"/>
  <c r="D377" i="14"/>
  <c r="D375" i="14"/>
  <c r="D373" i="14"/>
  <c r="D371" i="14"/>
  <c r="D369" i="14"/>
  <c r="D367" i="14"/>
  <c r="D365" i="14"/>
  <c r="D361" i="14"/>
  <c r="D359" i="14"/>
  <c r="D357" i="14"/>
  <c r="D355" i="14"/>
  <c r="D353" i="14"/>
  <c r="D351" i="14"/>
  <c r="D349" i="14"/>
  <c r="D347" i="14"/>
  <c r="D345" i="14"/>
  <c r="D343" i="14"/>
  <c r="D341" i="14"/>
  <c r="D339" i="14"/>
  <c r="D337" i="14"/>
  <c r="B329" i="14"/>
  <c r="B328" i="14"/>
  <c r="B327" i="14"/>
  <c r="D316" i="14"/>
  <c r="D308" i="14"/>
  <c r="D306" i="14"/>
  <c r="D304" i="14"/>
  <c r="D300" i="14"/>
  <c r="D292" i="14"/>
  <c r="D290" i="14"/>
  <c r="D288" i="14"/>
  <c r="D284" i="14"/>
  <c r="D276" i="14"/>
  <c r="D274" i="14"/>
  <c r="D272" i="14"/>
  <c r="B263" i="14"/>
  <c r="B262" i="14"/>
  <c r="B261" i="14"/>
  <c r="B197" i="14"/>
  <c r="B196" i="14"/>
  <c r="B195" i="14"/>
  <c r="B132" i="14"/>
  <c r="B131" i="14"/>
  <c r="B130" i="14"/>
  <c r="B129" i="14"/>
  <c r="B65" i="14"/>
  <c r="B64" i="14"/>
  <c r="F59" i="14" s="1"/>
  <c r="F60" i="14" s="1"/>
  <c r="B63" i="14"/>
  <c r="E59" i="14" s="1"/>
  <c r="E60" i="14" s="1"/>
  <c r="B62" i="14"/>
  <c r="D385" i="15" l="1"/>
  <c r="D383" i="15"/>
  <c r="D381" i="15"/>
  <c r="D379" i="15"/>
  <c r="D377" i="15"/>
  <c r="D375" i="15"/>
  <c r="D373" i="15"/>
  <c r="D371" i="15"/>
  <c r="D369" i="15"/>
  <c r="D367" i="15"/>
  <c r="D365" i="15"/>
  <c r="D363" i="15"/>
  <c r="D386" i="15"/>
  <c r="D384" i="15"/>
  <c r="D382" i="15"/>
  <c r="D380" i="15"/>
  <c r="D378" i="15"/>
  <c r="D376" i="15"/>
  <c r="D374" i="15"/>
  <c r="D372" i="15"/>
  <c r="D370" i="15"/>
  <c r="D368" i="15"/>
  <c r="D366" i="15"/>
  <c r="D364" i="15"/>
  <c r="D362" i="15"/>
  <c r="D360" i="15"/>
  <c r="D358" i="15"/>
  <c r="D356" i="15"/>
  <c r="D354" i="15"/>
  <c r="D352" i="15"/>
  <c r="D350" i="15"/>
  <c r="D348" i="15"/>
  <c r="D346" i="15"/>
  <c r="D344" i="15"/>
  <c r="D342" i="15"/>
  <c r="D340" i="15"/>
  <c r="D338" i="15"/>
  <c r="E401" i="15"/>
  <c r="F401" i="15"/>
  <c r="F401" i="14"/>
  <c r="E401" i="14"/>
  <c r="D319" i="14"/>
  <c r="D317" i="14"/>
  <c r="D315" i="14"/>
  <c r="D313" i="14"/>
  <c r="D311" i="14"/>
  <c r="D309" i="14"/>
  <c r="D307" i="14"/>
  <c r="D305" i="14"/>
  <c r="D303" i="14"/>
  <c r="D301" i="14"/>
  <c r="D299" i="14"/>
  <c r="D297" i="14"/>
  <c r="D295" i="14"/>
  <c r="D293" i="14"/>
  <c r="D291" i="14"/>
  <c r="D289" i="14"/>
  <c r="D287" i="14"/>
  <c r="D285" i="14"/>
  <c r="D283" i="14"/>
  <c r="D281" i="14"/>
  <c r="D279" i="14"/>
  <c r="D277" i="14"/>
  <c r="D275" i="14"/>
  <c r="D273" i="14"/>
  <c r="D271" i="14"/>
  <c r="D312" i="14"/>
  <c r="D296" i="14"/>
  <c r="D280" i="14"/>
  <c r="D318" i="14"/>
  <c r="D302" i="14"/>
  <c r="D286" i="14"/>
  <c r="D270" i="14"/>
  <c r="D314" i="14"/>
  <c r="D298" i="14"/>
  <c r="D282" i="14"/>
  <c r="D310" i="14"/>
  <c r="D294" i="14"/>
  <c r="D278" i="14"/>
  <c r="F333" i="14"/>
  <c r="D363" i="14"/>
  <c r="E333" i="14"/>
  <c r="D379" i="14"/>
  <c r="D386" i="14"/>
  <c r="D384" i="14"/>
  <c r="D382" i="14"/>
  <c r="D380" i="14"/>
  <c r="D378" i="14"/>
  <c r="D376" i="14"/>
  <c r="D374" i="14"/>
  <c r="D372" i="14"/>
  <c r="D370" i="14"/>
  <c r="D368" i="14"/>
  <c r="D366" i="14"/>
  <c r="D364" i="14"/>
  <c r="D362" i="14"/>
  <c r="D360" i="14"/>
  <c r="D358" i="14"/>
  <c r="D356" i="14"/>
  <c r="D354" i="14"/>
  <c r="D352" i="14"/>
  <c r="D350" i="14"/>
  <c r="D348" i="14"/>
  <c r="D346" i="14"/>
  <c r="D344" i="14"/>
  <c r="D342" i="14"/>
  <c r="D340" i="14"/>
  <c r="D338" i="14"/>
  <c r="D381" i="14"/>
  <c r="F266" i="14" l="1"/>
  <c r="E266" i="15"/>
  <c r="F134" i="15"/>
  <c r="E69" i="15"/>
  <c r="E333" i="15"/>
  <c r="E200" i="14"/>
  <c r="F134" i="14"/>
  <c r="E134" i="14"/>
  <c r="E69" i="14"/>
  <c r="F69" i="15"/>
  <c r="F266" i="15"/>
  <c r="E200" i="15"/>
  <c r="F333" i="15"/>
  <c r="E134" i="15"/>
  <c r="F200" i="15"/>
  <c r="F69" i="14"/>
  <c r="E266" i="14"/>
  <c r="F200" i="14"/>
  <c r="B464" i="13" l="1"/>
  <c r="B463" i="13"/>
  <c r="F457" i="13" s="1"/>
  <c r="F459" i="13" s="1"/>
  <c r="B462" i="13"/>
  <c r="E457" i="13" s="1"/>
  <c r="E459" i="13" s="1"/>
  <c r="B396" i="13"/>
  <c r="B395" i="13"/>
  <c r="B394" i="13"/>
  <c r="F391" i="13"/>
  <c r="E391" i="13"/>
  <c r="D386" i="13"/>
  <c r="D385" i="13"/>
  <c r="D384" i="13"/>
  <c r="D383" i="13"/>
  <c r="D382" i="13"/>
  <c r="D381" i="13"/>
  <c r="D380" i="13"/>
  <c r="D379" i="13"/>
  <c r="D378" i="13"/>
  <c r="D377" i="13"/>
  <c r="D376" i="13"/>
  <c r="D375" i="13"/>
  <c r="D374" i="13"/>
  <c r="D373" i="13"/>
  <c r="D372" i="13"/>
  <c r="D371" i="13"/>
  <c r="D370" i="13"/>
  <c r="D369" i="13"/>
  <c r="D368" i="13"/>
  <c r="D367" i="13"/>
  <c r="D366" i="13"/>
  <c r="D365" i="13"/>
  <c r="D364" i="13"/>
  <c r="D363" i="13"/>
  <c r="D362" i="13"/>
  <c r="D361" i="13"/>
  <c r="D360" i="13"/>
  <c r="D359" i="13"/>
  <c r="D358" i="13"/>
  <c r="D357" i="13"/>
  <c r="D356" i="13"/>
  <c r="D355" i="13"/>
  <c r="D354" i="13"/>
  <c r="D353" i="13"/>
  <c r="D352" i="13"/>
  <c r="D351" i="13"/>
  <c r="D350" i="13"/>
  <c r="D349" i="13"/>
  <c r="D348" i="13"/>
  <c r="D347" i="13"/>
  <c r="D346" i="13"/>
  <c r="D345" i="13"/>
  <c r="D344" i="13"/>
  <c r="D343" i="13"/>
  <c r="D342" i="13"/>
  <c r="D341" i="13"/>
  <c r="D340" i="13"/>
  <c r="D339" i="13"/>
  <c r="D338" i="13"/>
  <c r="D337" i="13"/>
  <c r="B329" i="13"/>
  <c r="B328" i="13"/>
  <c r="F324" i="13" s="1"/>
  <c r="B327" i="13"/>
  <c r="E324" i="13"/>
  <c r="D319" i="13"/>
  <c r="D318" i="13"/>
  <c r="D317" i="13"/>
  <c r="D316" i="13"/>
  <c r="D315" i="13"/>
  <c r="D314" i="13"/>
  <c r="D313" i="13"/>
  <c r="D312" i="13"/>
  <c r="D311" i="13"/>
  <c r="D310" i="13"/>
  <c r="D309" i="13"/>
  <c r="D308" i="13"/>
  <c r="D307" i="13"/>
  <c r="D306" i="13"/>
  <c r="D305" i="13"/>
  <c r="D304" i="13"/>
  <c r="D303" i="13"/>
  <c r="D302" i="13"/>
  <c r="D301" i="13"/>
  <c r="D300" i="13"/>
  <c r="D299" i="13"/>
  <c r="D298" i="13"/>
  <c r="D297" i="13"/>
  <c r="D296" i="13"/>
  <c r="D295" i="13"/>
  <c r="D294" i="13"/>
  <c r="D293" i="13"/>
  <c r="D292" i="13"/>
  <c r="D291" i="13"/>
  <c r="D290" i="13"/>
  <c r="D289" i="13"/>
  <c r="D288" i="13"/>
  <c r="D287" i="13"/>
  <c r="D286" i="13"/>
  <c r="D285" i="13"/>
  <c r="D284" i="13"/>
  <c r="D283" i="13"/>
  <c r="D282" i="13"/>
  <c r="D281" i="13"/>
  <c r="D280" i="13"/>
  <c r="D279" i="13"/>
  <c r="D278" i="13"/>
  <c r="D277" i="13"/>
  <c r="D276" i="13"/>
  <c r="D275" i="13"/>
  <c r="D274" i="13"/>
  <c r="D273" i="13"/>
  <c r="D272" i="13"/>
  <c r="D271" i="13"/>
  <c r="F266" i="13"/>
  <c r="D270" i="13"/>
  <c r="B263" i="13"/>
  <c r="B262" i="13"/>
  <c r="B261" i="13"/>
  <c r="B197" i="13"/>
  <c r="B196" i="13"/>
  <c r="B195" i="13"/>
  <c r="B132" i="13"/>
  <c r="B131" i="13"/>
  <c r="B130" i="13"/>
  <c r="B129" i="13"/>
  <c r="K101" i="13"/>
  <c r="J82" i="13"/>
  <c r="B65" i="13"/>
  <c r="B64" i="13"/>
  <c r="B63" i="13"/>
  <c r="B62" i="13"/>
  <c r="B464" i="12"/>
  <c r="B463" i="12"/>
  <c r="F457" i="12" s="1"/>
  <c r="F459" i="12" s="1"/>
  <c r="B462" i="12"/>
  <c r="E457" i="12" s="1"/>
  <c r="E459" i="12" s="1"/>
  <c r="B396" i="12"/>
  <c r="B395" i="12"/>
  <c r="B394" i="12"/>
  <c r="D386" i="12"/>
  <c r="D385" i="12"/>
  <c r="D384" i="12"/>
  <c r="D383" i="12"/>
  <c r="D382" i="12"/>
  <c r="D381" i="12"/>
  <c r="D380" i="12"/>
  <c r="D379" i="12"/>
  <c r="D378" i="12"/>
  <c r="D377" i="12"/>
  <c r="D376" i="12"/>
  <c r="D375" i="12"/>
  <c r="D374" i="12"/>
  <c r="D373" i="12"/>
  <c r="D372" i="12"/>
  <c r="D371" i="12"/>
  <c r="D370" i="12"/>
  <c r="D369" i="12"/>
  <c r="D368" i="12"/>
  <c r="D367" i="12"/>
  <c r="D366" i="12"/>
  <c r="D365" i="12"/>
  <c r="D364" i="12"/>
  <c r="D363" i="12"/>
  <c r="D362" i="12"/>
  <c r="D361" i="12"/>
  <c r="D360" i="12"/>
  <c r="D359" i="12"/>
  <c r="D358" i="12"/>
  <c r="D357" i="12"/>
  <c r="D356" i="12"/>
  <c r="D355" i="12"/>
  <c r="D354" i="12"/>
  <c r="D353" i="12"/>
  <c r="D352" i="12"/>
  <c r="D351" i="12"/>
  <c r="D350" i="12"/>
  <c r="D349" i="12"/>
  <c r="D348" i="12"/>
  <c r="D347" i="12"/>
  <c r="D346" i="12"/>
  <c r="D345" i="12"/>
  <c r="D344" i="12"/>
  <c r="D343" i="12"/>
  <c r="D342" i="12"/>
  <c r="D341" i="12"/>
  <c r="D340" i="12"/>
  <c r="D339" i="12"/>
  <c r="D338" i="12"/>
  <c r="F333" i="12"/>
  <c r="D337" i="12"/>
  <c r="B329" i="12"/>
  <c r="B328" i="12"/>
  <c r="B327" i="12"/>
  <c r="D319" i="12"/>
  <c r="D318" i="12"/>
  <c r="D317" i="12"/>
  <c r="D316" i="12"/>
  <c r="D315" i="12"/>
  <c r="D314" i="12"/>
  <c r="D313" i="12"/>
  <c r="D312" i="12"/>
  <c r="D311" i="12"/>
  <c r="D310" i="12"/>
  <c r="D309" i="12"/>
  <c r="D308" i="12"/>
  <c r="D307" i="12"/>
  <c r="D306" i="12"/>
  <c r="D305" i="12"/>
  <c r="D304" i="12"/>
  <c r="D303" i="12"/>
  <c r="D302" i="12"/>
  <c r="D301" i="12"/>
  <c r="D300" i="12"/>
  <c r="D299" i="12"/>
  <c r="D298" i="12"/>
  <c r="D297" i="12"/>
  <c r="D296" i="12"/>
  <c r="D295" i="12"/>
  <c r="D294" i="12"/>
  <c r="D293" i="12"/>
  <c r="D292" i="12"/>
  <c r="D291" i="12"/>
  <c r="D290" i="12"/>
  <c r="D289" i="12"/>
  <c r="D288" i="12"/>
  <c r="D287" i="12"/>
  <c r="D286" i="12"/>
  <c r="D285" i="12"/>
  <c r="D284" i="12"/>
  <c r="D283" i="12"/>
  <c r="D282" i="12"/>
  <c r="D281" i="12"/>
  <c r="D280" i="12"/>
  <c r="D279" i="12"/>
  <c r="D278" i="12"/>
  <c r="D277" i="12"/>
  <c r="D276" i="12"/>
  <c r="D275" i="12"/>
  <c r="D274" i="12"/>
  <c r="D273" i="12"/>
  <c r="D272" i="12"/>
  <c r="D271" i="12"/>
  <c r="D270" i="12"/>
  <c r="B263" i="12"/>
  <c r="B262" i="12"/>
  <c r="B261" i="12"/>
  <c r="B197" i="12"/>
  <c r="B196" i="12"/>
  <c r="F190" i="12" s="1"/>
  <c r="F192" i="12" s="1"/>
  <c r="B195" i="12"/>
  <c r="E190" i="12" s="1"/>
  <c r="E192" i="12" s="1"/>
  <c r="D187" i="12"/>
  <c r="D186" i="12"/>
  <c r="D185" i="12"/>
  <c r="D184" i="12"/>
  <c r="D183" i="12"/>
  <c r="D182" i="12"/>
  <c r="D181" i="12"/>
  <c r="D180" i="12"/>
  <c r="D179" i="12"/>
  <c r="D178" i="12"/>
  <c r="D177" i="12"/>
  <c r="D176" i="12"/>
  <c r="D175" i="12"/>
  <c r="D174" i="12"/>
  <c r="D173" i="12"/>
  <c r="D172" i="12"/>
  <c r="D171" i="12"/>
  <c r="D170" i="12"/>
  <c r="D169" i="12"/>
  <c r="D168" i="12"/>
  <c r="D167" i="12"/>
  <c r="D166" i="12"/>
  <c r="D165" i="12"/>
  <c r="D164" i="12"/>
  <c r="D163" i="12"/>
  <c r="D162" i="12"/>
  <c r="D161" i="12"/>
  <c r="D160" i="12"/>
  <c r="D159" i="12"/>
  <c r="D158" i="12"/>
  <c r="D157" i="12"/>
  <c r="D156" i="12"/>
  <c r="D155" i="12"/>
  <c r="D154" i="12"/>
  <c r="D153" i="12"/>
  <c r="D152" i="12"/>
  <c r="D151" i="12"/>
  <c r="D150" i="12"/>
  <c r="D149" i="12"/>
  <c r="D148" i="12"/>
  <c r="D147" i="12"/>
  <c r="D146" i="12"/>
  <c r="D145" i="12"/>
  <c r="D144" i="12"/>
  <c r="D143" i="12"/>
  <c r="D142" i="12"/>
  <c r="D141" i="12"/>
  <c r="D140" i="12"/>
  <c r="D139" i="12"/>
  <c r="F189" i="12"/>
  <c r="F134" i="12" s="1"/>
  <c r="D138" i="12"/>
  <c r="B132" i="12"/>
  <c r="B131" i="12"/>
  <c r="B130" i="12"/>
  <c r="B129" i="12"/>
  <c r="B65" i="12"/>
  <c r="B64" i="12"/>
  <c r="B63" i="12"/>
  <c r="B62" i="12"/>
  <c r="H45" i="13" l="1"/>
  <c r="H41" i="13"/>
  <c r="H48" i="13"/>
  <c r="H39" i="13"/>
  <c r="H104" i="13"/>
  <c r="H119" i="13"/>
  <c r="H102" i="13"/>
  <c r="H101" i="13"/>
  <c r="H114" i="13"/>
  <c r="H108" i="13"/>
  <c r="H44" i="13"/>
  <c r="H53" i="13"/>
  <c r="E401" i="13"/>
  <c r="E266" i="13"/>
  <c r="F401" i="13"/>
  <c r="E333" i="13"/>
  <c r="F333" i="13"/>
  <c r="E333" i="12"/>
  <c r="F266" i="12"/>
  <c r="E189" i="12"/>
  <c r="E134" i="12" s="1"/>
  <c r="E266" i="12"/>
  <c r="F456" i="12"/>
  <c r="F401" i="12" s="1"/>
  <c r="E456" i="12"/>
  <c r="E401" i="12" s="1"/>
  <c r="F200" i="12" l="1"/>
  <c r="F69" i="12"/>
  <c r="E2" i="13"/>
  <c r="F200" i="13"/>
  <c r="E200" i="13"/>
  <c r="E69" i="13"/>
  <c r="F134" i="13"/>
  <c r="E134" i="13"/>
  <c r="F69" i="13"/>
  <c r="F2" i="13"/>
  <c r="E2" i="12"/>
  <c r="E200" i="12"/>
  <c r="E69" i="12"/>
  <c r="F2" i="12"/>
  <c r="B396" i="10" l="1"/>
  <c r="B395" i="10"/>
  <c r="B394" i="10"/>
  <c r="B329" i="10"/>
  <c r="B328" i="10"/>
  <c r="B327" i="10"/>
  <c r="B263" i="10"/>
  <c r="B262" i="10"/>
  <c r="B261" i="10"/>
  <c r="B197" i="10"/>
  <c r="B196" i="10"/>
  <c r="B195" i="10"/>
  <c r="B132" i="10"/>
  <c r="B131" i="10"/>
  <c r="B130" i="10"/>
  <c r="B129" i="10"/>
  <c r="K101" i="10"/>
  <c r="J82" i="10"/>
  <c r="B65" i="10"/>
  <c r="B64" i="10"/>
  <c r="B63" i="10"/>
  <c r="B62" i="10"/>
  <c r="M455" i="5"/>
  <c r="N455" i="5" s="1"/>
  <c r="K454" i="5"/>
  <c r="H41" i="10" l="1"/>
  <c r="H119" i="10"/>
  <c r="H102" i="10"/>
  <c r="H104" i="10"/>
  <c r="H108" i="10"/>
  <c r="H101" i="10"/>
  <c r="H114" i="10"/>
  <c r="H48" i="10"/>
  <c r="H44" i="10"/>
  <c r="H39" i="10"/>
  <c r="H53" i="10"/>
  <c r="H45" i="10"/>
  <c r="B464" i="8"/>
  <c r="B463" i="8"/>
  <c r="F459" i="8" s="1"/>
  <c r="B462" i="8"/>
  <c r="E459" i="8"/>
  <c r="B396" i="8"/>
  <c r="B395" i="8"/>
  <c r="B394" i="8"/>
  <c r="B329" i="8"/>
  <c r="B328" i="8"/>
  <c r="B327" i="8"/>
  <c r="B263" i="8"/>
  <c r="B262" i="8"/>
  <c r="B261" i="8"/>
  <c r="B197" i="8"/>
  <c r="B196" i="8"/>
  <c r="B195" i="8"/>
  <c r="B132" i="8"/>
  <c r="B131" i="8"/>
  <c r="B130" i="8"/>
  <c r="B129" i="8"/>
  <c r="B65" i="8"/>
  <c r="B64" i="8"/>
  <c r="B63" i="8"/>
  <c r="B62" i="8"/>
  <c r="E200" i="10" l="1"/>
  <c r="F333" i="10"/>
  <c r="F401" i="8"/>
  <c r="E2" i="10"/>
  <c r="F266" i="10"/>
  <c r="E134" i="10"/>
  <c r="F200" i="10"/>
  <c r="E69" i="10"/>
  <c r="F69" i="10"/>
  <c r="E266" i="10"/>
  <c r="E333" i="10"/>
  <c r="F2" i="10"/>
  <c r="F134" i="10"/>
  <c r="E401" i="8"/>
  <c r="B458" i="7"/>
  <c r="B457" i="7"/>
  <c r="B456" i="7"/>
  <c r="F451" i="7" s="1"/>
  <c r="F453" i="7" s="1"/>
  <c r="F407" i="7" s="1"/>
  <c r="B455" i="7"/>
  <c r="E451" i="7"/>
  <c r="E453" i="7" s="1"/>
  <c r="D448" i="7" s="1"/>
  <c r="D420" i="7"/>
  <c r="B393" i="7"/>
  <c r="B392" i="7"/>
  <c r="B391" i="7"/>
  <c r="F386" i="7" s="1"/>
  <c r="F388" i="7" s="1"/>
  <c r="B390" i="7"/>
  <c r="E386" i="7"/>
  <c r="E388" i="7" s="1"/>
  <c r="D383" i="7"/>
  <c r="D382" i="7"/>
  <c r="D381" i="7"/>
  <c r="D380" i="7"/>
  <c r="D379" i="7"/>
  <c r="D378" i="7"/>
  <c r="D377" i="7"/>
  <c r="D376" i="7"/>
  <c r="D375" i="7"/>
  <c r="D374" i="7"/>
  <c r="D373" i="7"/>
  <c r="D372" i="7"/>
  <c r="D371" i="7"/>
  <c r="D370" i="7"/>
  <c r="D369" i="7"/>
  <c r="D368" i="7"/>
  <c r="D367" i="7"/>
  <c r="D366" i="7"/>
  <c r="D365" i="7"/>
  <c r="D364" i="7"/>
  <c r="D363" i="7"/>
  <c r="D362" i="7"/>
  <c r="D361" i="7"/>
  <c r="D360" i="7"/>
  <c r="D359" i="7"/>
  <c r="D358" i="7"/>
  <c r="D357" i="7"/>
  <c r="D356" i="7"/>
  <c r="D355" i="7"/>
  <c r="D354" i="7"/>
  <c r="D353" i="7"/>
  <c r="D352" i="7"/>
  <c r="D351" i="7"/>
  <c r="D350" i="7"/>
  <c r="D349" i="7"/>
  <c r="D348" i="7"/>
  <c r="D347" i="7"/>
  <c r="D346" i="7"/>
  <c r="D345" i="7"/>
  <c r="D344" i="7"/>
  <c r="D343" i="7"/>
  <c r="D342" i="7"/>
  <c r="D341" i="7"/>
  <c r="D340" i="7"/>
  <c r="D339" i="7"/>
  <c r="D338" i="7"/>
  <c r="D337" i="7"/>
  <c r="D336" i="7"/>
  <c r="D335" i="7"/>
  <c r="D334" i="7"/>
  <c r="B328" i="7"/>
  <c r="B327" i="7"/>
  <c r="B326" i="7"/>
  <c r="B325" i="7"/>
  <c r="B263" i="7"/>
  <c r="B262" i="7"/>
  <c r="B261" i="7"/>
  <c r="B260" i="7"/>
  <c r="B197" i="7"/>
  <c r="B196" i="7"/>
  <c r="B195" i="7"/>
  <c r="B194" i="7"/>
  <c r="B132" i="7"/>
  <c r="B131" i="7"/>
  <c r="B130" i="7"/>
  <c r="B129" i="7"/>
  <c r="B65" i="7"/>
  <c r="B64" i="7"/>
  <c r="B63" i="7"/>
  <c r="B62" i="7"/>
  <c r="B459" i="6"/>
  <c r="B458" i="6"/>
  <c r="B457" i="6"/>
  <c r="F454" i="6" s="1"/>
  <c r="B456" i="6"/>
  <c r="E454" i="6"/>
  <c r="D449" i="6"/>
  <c r="D448" i="6"/>
  <c r="D447" i="6"/>
  <c r="D446" i="6"/>
  <c r="D445" i="6"/>
  <c r="D444" i="6"/>
  <c r="D443" i="6"/>
  <c r="D442" i="6"/>
  <c r="D441" i="6"/>
  <c r="D440" i="6"/>
  <c r="D439" i="6"/>
  <c r="D438" i="6"/>
  <c r="D437" i="6"/>
  <c r="D436" i="6"/>
  <c r="D435" i="6"/>
  <c r="D434" i="6"/>
  <c r="D433" i="6"/>
  <c r="D432" i="6"/>
  <c r="D431" i="6"/>
  <c r="D430" i="6"/>
  <c r="D429" i="6"/>
  <c r="D428" i="6"/>
  <c r="D427" i="6"/>
  <c r="D426" i="6"/>
  <c r="D425" i="6"/>
  <c r="D424" i="6"/>
  <c r="D423" i="6"/>
  <c r="D422" i="6"/>
  <c r="D421" i="6"/>
  <c r="D420" i="6"/>
  <c r="D419" i="6"/>
  <c r="D418" i="6"/>
  <c r="D417" i="6"/>
  <c r="D416" i="6"/>
  <c r="D415" i="6"/>
  <c r="D414" i="6"/>
  <c r="D413" i="6"/>
  <c r="D412" i="6"/>
  <c r="D411" i="6"/>
  <c r="D410" i="6"/>
  <c r="D409" i="6"/>
  <c r="D408" i="6"/>
  <c r="D407" i="6"/>
  <c r="D406" i="6"/>
  <c r="D405" i="6"/>
  <c r="D404" i="6"/>
  <c r="D403" i="6"/>
  <c r="D402" i="6"/>
  <c r="D401" i="6"/>
  <c r="D400" i="6"/>
  <c r="B394" i="6"/>
  <c r="B393" i="6"/>
  <c r="B392" i="6"/>
  <c r="F387" i="6" s="1"/>
  <c r="F389" i="6" s="1"/>
  <c r="B391" i="6"/>
  <c r="E387" i="6"/>
  <c r="E389" i="6" s="1"/>
  <c r="D384" i="6"/>
  <c r="D383" i="6"/>
  <c r="D382" i="6"/>
  <c r="D381" i="6"/>
  <c r="D380" i="6"/>
  <c r="D379" i="6"/>
  <c r="D378" i="6"/>
  <c r="D377" i="6"/>
  <c r="D376" i="6"/>
  <c r="D375" i="6"/>
  <c r="D374" i="6"/>
  <c r="D373" i="6"/>
  <c r="D372" i="6"/>
  <c r="D371" i="6"/>
  <c r="D370" i="6"/>
  <c r="D369" i="6"/>
  <c r="D368" i="6"/>
  <c r="D367" i="6"/>
  <c r="D366" i="6"/>
  <c r="D365" i="6"/>
  <c r="D364" i="6"/>
  <c r="D363" i="6"/>
  <c r="D362" i="6"/>
  <c r="D361" i="6"/>
  <c r="D360" i="6"/>
  <c r="D359" i="6"/>
  <c r="D358" i="6"/>
  <c r="D357" i="6"/>
  <c r="D356" i="6"/>
  <c r="D355" i="6"/>
  <c r="D354" i="6"/>
  <c r="D353" i="6"/>
  <c r="D352" i="6"/>
  <c r="D351" i="6"/>
  <c r="D350" i="6"/>
  <c r="D349" i="6"/>
  <c r="D348" i="6"/>
  <c r="D347" i="6"/>
  <c r="D346" i="6"/>
  <c r="D345" i="6"/>
  <c r="D344" i="6"/>
  <c r="D343" i="6"/>
  <c r="D342" i="6"/>
  <c r="D341" i="6"/>
  <c r="D340" i="6"/>
  <c r="D339" i="6"/>
  <c r="D338" i="6"/>
  <c r="D337" i="6"/>
  <c r="D336" i="6"/>
  <c r="D335" i="6"/>
  <c r="B329" i="6"/>
  <c r="B328" i="6"/>
  <c r="B327" i="6"/>
  <c r="F324" i="6" s="1"/>
  <c r="B326" i="6"/>
  <c r="E324" i="6"/>
  <c r="D319" i="6"/>
  <c r="D318" i="6"/>
  <c r="D317" i="6"/>
  <c r="D316" i="6"/>
  <c r="D315" i="6"/>
  <c r="D314" i="6"/>
  <c r="D313" i="6"/>
  <c r="D312" i="6"/>
  <c r="D311" i="6"/>
  <c r="D310" i="6"/>
  <c r="D309" i="6"/>
  <c r="D308" i="6"/>
  <c r="D307" i="6"/>
  <c r="D306" i="6"/>
  <c r="D305" i="6"/>
  <c r="D304" i="6"/>
  <c r="D303" i="6"/>
  <c r="D302" i="6"/>
  <c r="D301" i="6"/>
  <c r="D300" i="6"/>
  <c r="D299" i="6"/>
  <c r="D298" i="6"/>
  <c r="D297" i="6"/>
  <c r="D296" i="6"/>
  <c r="D295" i="6"/>
  <c r="D294" i="6"/>
  <c r="D293" i="6"/>
  <c r="D292" i="6"/>
  <c r="D291" i="6"/>
  <c r="D290" i="6"/>
  <c r="D289" i="6"/>
  <c r="D288" i="6"/>
  <c r="D287" i="6"/>
  <c r="D286" i="6"/>
  <c r="D285" i="6"/>
  <c r="D284" i="6"/>
  <c r="D283" i="6"/>
  <c r="D282" i="6"/>
  <c r="D281" i="6"/>
  <c r="D280" i="6"/>
  <c r="D279" i="6"/>
  <c r="D278" i="6"/>
  <c r="D277" i="6"/>
  <c r="D276" i="6"/>
  <c r="D275" i="6"/>
  <c r="D274" i="6"/>
  <c r="D273" i="6"/>
  <c r="D272" i="6"/>
  <c r="D271" i="6"/>
  <c r="D270" i="6"/>
  <c r="B263" i="6"/>
  <c r="B262" i="6"/>
  <c r="B261" i="6"/>
  <c r="B260" i="6"/>
  <c r="B197" i="6"/>
  <c r="B196" i="6"/>
  <c r="B195" i="6"/>
  <c r="F192" i="6" s="1"/>
  <c r="B194" i="6"/>
  <c r="E192" i="6"/>
  <c r="D187" i="6"/>
  <c r="D186" i="6"/>
  <c r="D185" i="6"/>
  <c r="D184" i="6"/>
  <c r="D183" i="6"/>
  <c r="D182" i="6"/>
  <c r="D181" i="6"/>
  <c r="D180" i="6"/>
  <c r="D179" i="6"/>
  <c r="D178" i="6"/>
  <c r="D177" i="6"/>
  <c r="D176" i="6"/>
  <c r="D175" i="6"/>
  <c r="D174" i="6"/>
  <c r="D173" i="6"/>
  <c r="D172" i="6"/>
  <c r="D171" i="6"/>
  <c r="D170" i="6"/>
  <c r="D169" i="6"/>
  <c r="D168" i="6"/>
  <c r="D167" i="6"/>
  <c r="D166" i="6"/>
  <c r="D165" i="6"/>
  <c r="D164" i="6"/>
  <c r="D163" i="6"/>
  <c r="D162" i="6"/>
  <c r="D161" i="6"/>
  <c r="D160" i="6"/>
  <c r="D159" i="6"/>
  <c r="D158" i="6"/>
  <c r="D157" i="6"/>
  <c r="D156" i="6"/>
  <c r="D155" i="6"/>
  <c r="D154" i="6"/>
  <c r="D153" i="6"/>
  <c r="D152" i="6"/>
  <c r="D151" i="6"/>
  <c r="D150" i="6"/>
  <c r="D149" i="6"/>
  <c r="D148" i="6"/>
  <c r="D147" i="6"/>
  <c r="D146" i="6"/>
  <c r="D145" i="6"/>
  <c r="D144" i="6"/>
  <c r="D143" i="6"/>
  <c r="D142" i="6"/>
  <c r="D141" i="6"/>
  <c r="D140" i="6"/>
  <c r="D139" i="6"/>
  <c r="D138" i="6"/>
  <c r="B132" i="6"/>
  <c r="B131" i="6"/>
  <c r="B130" i="6"/>
  <c r="B129" i="6"/>
  <c r="B65" i="6"/>
  <c r="B64" i="6"/>
  <c r="B63" i="6"/>
  <c r="B62" i="6"/>
  <c r="B461" i="5"/>
  <c r="B460" i="5"/>
  <c r="B459" i="5"/>
  <c r="F454" i="5" s="1"/>
  <c r="F456" i="5" s="1"/>
  <c r="B458" i="5"/>
  <c r="E454" i="5"/>
  <c r="E456" i="5" s="1"/>
  <c r="D431" i="5" s="1"/>
  <c r="B396" i="5"/>
  <c r="B395" i="5"/>
  <c r="B394" i="5"/>
  <c r="B393" i="5"/>
  <c r="B329" i="5"/>
  <c r="B328" i="5"/>
  <c r="B327" i="5"/>
  <c r="B326" i="5"/>
  <c r="B263" i="5"/>
  <c r="B262" i="5"/>
  <c r="B261" i="5"/>
  <c r="B260" i="5"/>
  <c r="B197" i="5"/>
  <c r="B196" i="5"/>
  <c r="B195" i="5"/>
  <c r="B194" i="5"/>
  <c r="B132" i="5"/>
  <c r="B131" i="5"/>
  <c r="B130" i="5"/>
  <c r="B129" i="5"/>
  <c r="B65" i="5"/>
  <c r="B64" i="5"/>
  <c r="B63" i="5"/>
  <c r="B62" i="5"/>
  <c r="B459" i="4"/>
  <c r="B458" i="4"/>
  <c r="B457" i="4"/>
  <c r="F452" i="4" s="1"/>
  <c r="F454" i="4" s="1"/>
  <c r="B456" i="4"/>
  <c r="E452" i="4"/>
  <c r="E454" i="4" s="1"/>
  <c r="D449" i="4"/>
  <c r="D448" i="4"/>
  <c r="D447" i="4"/>
  <c r="D446" i="4"/>
  <c r="D445" i="4"/>
  <c r="D444" i="4"/>
  <c r="D443" i="4"/>
  <c r="D442" i="4"/>
  <c r="D441" i="4"/>
  <c r="D440" i="4"/>
  <c r="D439" i="4"/>
  <c r="D438" i="4"/>
  <c r="D437" i="4"/>
  <c r="D436" i="4"/>
  <c r="D435" i="4"/>
  <c r="D434" i="4"/>
  <c r="D433" i="4"/>
  <c r="D432" i="4"/>
  <c r="D431" i="4"/>
  <c r="D430" i="4"/>
  <c r="D429" i="4"/>
  <c r="D428" i="4"/>
  <c r="D427" i="4"/>
  <c r="D426" i="4"/>
  <c r="D425" i="4"/>
  <c r="D424" i="4"/>
  <c r="D423" i="4"/>
  <c r="D422" i="4"/>
  <c r="D421" i="4"/>
  <c r="D420" i="4"/>
  <c r="D419" i="4"/>
  <c r="D418" i="4"/>
  <c r="D417" i="4"/>
  <c r="D416" i="4"/>
  <c r="D415" i="4"/>
  <c r="D414" i="4"/>
  <c r="D413" i="4"/>
  <c r="D412" i="4"/>
  <c r="D411" i="4"/>
  <c r="D410" i="4"/>
  <c r="D409" i="4"/>
  <c r="D408" i="4"/>
  <c r="D407" i="4"/>
  <c r="D406" i="4"/>
  <c r="D405" i="4"/>
  <c r="D404" i="4"/>
  <c r="D403" i="4"/>
  <c r="D402" i="4"/>
  <c r="D401" i="4"/>
  <c r="D400" i="4"/>
  <c r="B394" i="4"/>
  <c r="B393" i="4"/>
  <c r="B392" i="4"/>
  <c r="F387" i="4" s="1"/>
  <c r="F389" i="4" s="1"/>
  <c r="B391" i="4"/>
  <c r="E387" i="4"/>
  <c r="E389" i="4" s="1"/>
  <c r="D384" i="4"/>
  <c r="D383" i="4"/>
  <c r="D382" i="4"/>
  <c r="D381" i="4"/>
  <c r="D380" i="4"/>
  <c r="D379" i="4"/>
  <c r="D378" i="4"/>
  <c r="D377" i="4"/>
  <c r="D376" i="4"/>
  <c r="D375" i="4"/>
  <c r="D374" i="4"/>
  <c r="D373" i="4"/>
  <c r="D372" i="4"/>
  <c r="D371" i="4"/>
  <c r="D370" i="4"/>
  <c r="D369" i="4"/>
  <c r="D368" i="4"/>
  <c r="D367" i="4"/>
  <c r="D366" i="4"/>
  <c r="D365" i="4"/>
  <c r="D364" i="4"/>
  <c r="D363" i="4"/>
  <c r="D362" i="4"/>
  <c r="D361" i="4"/>
  <c r="D360" i="4"/>
  <c r="D359" i="4"/>
  <c r="D358" i="4"/>
  <c r="D357" i="4"/>
  <c r="D356" i="4"/>
  <c r="D355" i="4"/>
  <c r="D354" i="4"/>
  <c r="D353" i="4"/>
  <c r="D352" i="4"/>
  <c r="D351" i="4"/>
  <c r="D350" i="4"/>
  <c r="D349" i="4"/>
  <c r="D348" i="4"/>
  <c r="D347" i="4"/>
  <c r="D346" i="4"/>
  <c r="D345" i="4"/>
  <c r="D344" i="4"/>
  <c r="D343" i="4"/>
  <c r="D342" i="4"/>
  <c r="D341" i="4"/>
  <c r="D340" i="4"/>
  <c r="D339" i="4"/>
  <c r="D338" i="4"/>
  <c r="D337" i="4"/>
  <c r="D336" i="4"/>
  <c r="D335" i="4"/>
  <c r="B329" i="4"/>
  <c r="B328" i="4"/>
  <c r="B327" i="4"/>
  <c r="F322" i="4" s="1"/>
  <c r="F324" i="4" s="1"/>
  <c r="B326" i="4"/>
  <c r="E322" i="4"/>
  <c r="E324" i="4" s="1"/>
  <c r="D319" i="4"/>
  <c r="D318" i="4"/>
  <c r="D317" i="4"/>
  <c r="D316" i="4"/>
  <c r="D315" i="4"/>
  <c r="D314" i="4"/>
  <c r="D313" i="4"/>
  <c r="D312" i="4"/>
  <c r="D311" i="4"/>
  <c r="D310" i="4"/>
  <c r="D309" i="4"/>
  <c r="D308" i="4"/>
  <c r="D307" i="4"/>
  <c r="D306" i="4"/>
  <c r="D305" i="4"/>
  <c r="D304" i="4"/>
  <c r="D303" i="4"/>
  <c r="D302" i="4"/>
  <c r="D301" i="4"/>
  <c r="D300" i="4"/>
  <c r="D299" i="4"/>
  <c r="D298" i="4"/>
  <c r="D297" i="4"/>
  <c r="D296" i="4"/>
  <c r="D295" i="4"/>
  <c r="D294" i="4"/>
  <c r="D293" i="4"/>
  <c r="D292" i="4"/>
  <c r="D291" i="4"/>
  <c r="D290" i="4"/>
  <c r="D289" i="4"/>
  <c r="D288" i="4"/>
  <c r="D287" i="4"/>
  <c r="D286" i="4"/>
  <c r="D285" i="4"/>
  <c r="D284" i="4"/>
  <c r="D283" i="4"/>
  <c r="D282" i="4"/>
  <c r="D281" i="4"/>
  <c r="D280" i="4"/>
  <c r="D279" i="4"/>
  <c r="D278" i="4"/>
  <c r="D277" i="4"/>
  <c r="D276" i="4"/>
  <c r="D275" i="4"/>
  <c r="D274" i="4"/>
  <c r="D273" i="4"/>
  <c r="D272" i="4"/>
  <c r="D271" i="4"/>
  <c r="D270" i="4"/>
  <c r="B263" i="4"/>
  <c r="B262" i="4"/>
  <c r="B261" i="4"/>
  <c r="B260" i="4"/>
  <c r="B197" i="4"/>
  <c r="B196" i="4"/>
  <c r="B195" i="4"/>
  <c r="B194" i="4"/>
  <c r="B132" i="4"/>
  <c r="B131" i="4"/>
  <c r="B130" i="4"/>
  <c r="B129" i="4"/>
  <c r="B65" i="4"/>
  <c r="B64" i="4"/>
  <c r="B63" i="4"/>
  <c r="B62" i="4"/>
  <c r="D413" i="5" l="1"/>
  <c r="D432" i="7"/>
  <c r="D403" i="7"/>
  <c r="E410" i="7"/>
  <c r="D433" i="5"/>
  <c r="D399" i="7"/>
  <c r="D407" i="7"/>
  <c r="D415" i="7"/>
  <c r="D427" i="7"/>
  <c r="E438" i="7"/>
  <c r="E401" i="7"/>
  <c r="D409" i="7"/>
  <c r="D418" i="7"/>
  <c r="D431" i="7"/>
  <c r="E442" i="7"/>
  <c r="D423" i="5"/>
  <c r="E405" i="7"/>
  <c r="E413" i="7"/>
  <c r="E424" i="7"/>
  <c r="E434" i="7"/>
  <c r="D417" i="5"/>
  <c r="D439" i="5"/>
  <c r="E402" i="7"/>
  <c r="E406" i="7"/>
  <c r="D410" i="7"/>
  <c r="E414" i="7"/>
  <c r="E426" i="7"/>
  <c r="F431" i="7"/>
  <c r="D437" i="7"/>
  <c r="D446" i="7"/>
  <c r="D407" i="5"/>
  <c r="D429" i="5"/>
  <c r="D400" i="7"/>
  <c r="D404" i="7"/>
  <c r="E411" i="7"/>
  <c r="D416" i="7"/>
  <c r="E421" i="7"/>
  <c r="E428" i="7"/>
  <c r="D433" i="7"/>
  <c r="E439" i="7"/>
  <c r="D403" i="5"/>
  <c r="D419" i="5"/>
  <c r="D435" i="5"/>
  <c r="E400" i="7"/>
  <c r="E404" i="7"/>
  <c r="D408" i="7"/>
  <c r="D412" i="7"/>
  <c r="E416" i="7"/>
  <c r="E422" i="7"/>
  <c r="E429" i="7"/>
  <c r="E435" i="7"/>
  <c r="E443" i="7"/>
  <c r="D405" i="5"/>
  <c r="D421" i="5"/>
  <c r="D437" i="5"/>
  <c r="D401" i="7"/>
  <c r="D405" i="7"/>
  <c r="E408" i="7"/>
  <c r="E412" i="7"/>
  <c r="E417" i="7"/>
  <c r="E423" i="7"/>
  <c r="E430" i="7"/>
  <c r="D436" i="7"/>
  <c r="E445" i="7"/>
  <c r="D409" i="5"/>
  <c r="D425" i="5"/>
  <c r="D441" i="5"/>
  <c r="D402" i="7"/>
  <c r="D406" i="7"/>
  <c r="E409" i="7"/>
  <c r="D414" i="7"/>
  <c r="D425" i="7"/>
  <c r="E437" i="7"/>
  <c r="E448" i="7"/>
  <c r="D411" i="5"/>
  <c r="D427" i="5"/>
  <c r="D445" i="5"/>
  <c r="D415" i="5"/>
  <c r="E399" i="7"/>
  <c r="E403" i="7"/>
  <c r="E407" i="7"/>
  <c r="D411" i="7"/>
  <c r="E415" i="7"/>
  <c r="D421" i="7"/>
  <c r="D428" i="7"/>
  <c r="D434" i="7"/>
  <c r="D440" i="7"/>
  <c r="E321" i="4"/>
  <c r="E266" i="4" s="1"/>
  <c r="F441" i="7"/>
  <c r="F419" i="7"/>
  <c r="F399" i="7"/>
  <c r="F425" i="7"/>
  <c r="F439" i="7"/>
  <c r="F435" i="7"/>
  <c r="F411" i="7"/>
  <c r="F401" i="7"/>
  <c r="F423" i="7"/>
  <c r="F417" i="7"/>
  <c r="E420" i="7"/>
  <c r="D424" i="7"/>
  <c r="E427" i="7"/>
  <c r="E431" i="7"/>
  <c r="D435" i="7"/>
  <c r="D438" i="7"/>
  <c r="E444" i="7"/>
  <c r="D419" i="7"/>
  <c r="D422" i="7"/>
  <c r="E425" i="7"/>
  <c r="D429" i="7"/>
  <c r="E432" i="7"/>
  <c r="E446" i="7"/>
  <c r="D413" i="7"/>
  <c r="D417" i="7"/>
  <c r="D423" i="7"/>
  <c r="D426" i="7"/>
  <c r="D430" i="7"/>
  <c r="E433" i="7"/>
  <c r="E436" i="7"/>
  <c r="D442" i="7"/>
  <c r="E266" i="8"/>
  <c r="F200" i="8"/>
  <c r="E2" i="8"/>
  <c r="F69" i="8"/>
  <c r="F266" i="8"/>
  <c r="F2" i="8"/>
  <c r="F333" i="8"/>
  <c r="E200" i="8"/>
  <c r="E69" i="8"/>
  <c r="E134" i="8"/>
  <c r="F134" i="8"/>
  <c r="E333" i="8"/>
  <c r="F433" i="7"/>
  <c r="E385" i="7"/>
  <c r="E330" i="7" s="1"/>
  <c r="F409" i="7"/>
  <c r="F415" i="7"/>
  <c r="F427" i="7"/>
  <c r="F445" i="7"/>
  <c r="F385" i="7"/>
  <c r="F330" i="7" s="1"/>
  <c r="F403" i="7"/>
  <c r="F448" i="7"/>
  <c r="F446" i="7"/>
  <c r="F444" i="7"/>
  <c r="F442" i="7"/>
  <c r="F440" i="7"/>
  <c r="F438" i="7"/>
  <c r="F436" i="7"/>
  <c r="F434" i="7"/>
  <c r="F432" i="7"/>
  <c r="F430" i="7"/>
  <c r="F428" i="7"/>
  <c r="F426" i="7"/>
  <c r="F424" i="7"/>
  <c r="F422" i="7"/>
  <c r="F420" i="7"/>
  <c r="F418" i="7"/>
  <c r="F416" i="7"/>
  <c r="F414" i="7"/>
  <c r="F412" i="7"/>
  <c r="F410" i="7"/>
  <c r="F408" i="7"/>
  <c r="F406" i="7"/>
  <c r="F404" i="7"/>
  <c r="F402" i="7"/>
  <c r="F400" i="7"/>
  <c r="F447" i="7"/>
  <c r="F437" i="7"/>
  <c r="F429" i="7"/>
  <c r="F421" i="7"/>
  <c r="F413" i="7"/>
  <c r="F405" i="7"/>
  <c r="F443" i="7"/>
  <c r="D447" i="7"/>
  <c r="D445" i="7"/>
  <c r="D443" i="7"/>
  <c r="D441" i="7"/>
  <c r="D439" i="7"/>
  <c r="E440" i="7"/>
  <c r="E447" i="7"/>
  <c r="E441" i="7"/>
  <c r="D444" i="7"/>
  <c r="E396" i="6"/>
  <c r="F266" i="6"/>
  <c r="F335" i="6"/>
  <c r="F386" i="6" s="1"/>
  <c r="F331" i="6" s="1"/>
  <c r="F396" i="6"/>
  <c r="E266" i="6"/>
  <c r="E335" i="6"/>
  <c r="E386" i="6" s="1"/>
  <c r="E331" i="6" s="1"/>
  <c r="F450" i="5"/>
  <c r="F448" i="5"/>
  <c r="F446" i="5"/>
  <c r="F444" i="5"/>
  <c r="F442" i="5"/>
  <c r="F440" i="5"/>
  <c r="F438" i="5"/>
  <c r="F436" i="5"/>
  <c r="F434" i="5"/>
  <c r="F432" i="5"/>
  <c r="F430" i="5"/>
  <c r="F428" i="5"/>
  <c r="F426" i="5"/>
  <c r="F424" i="5"/>
  <c r="F422" i="5"/>
  <c r="F420" i="5"/>
  <c r="F418" i="5"/>
  <c r="F416" i="5"/>
  <c r="F414" i="5"/>
  <c r="F412" i="5"/>
  <c r="F410" i="5"/>
  <c r="F408" i="5"/>
  <c r="F406" i="5"/>
  <c r="F404" i="5"/>
  <c r="F402" i="5"/>
  <c r="F451" i="5"/>
  <c r="F449" i="5"/>
  <c r="F447" i="5"/>
  <c r="F445" i="5"/>
  <c r="F443" i="5"/>
  <c r="F441" i="5"/>
  <c r="F439" i="5"/>
  <c r="F437" i="5"/>
  <c r="F435" i="5"/>
  <c r="F433" i="5"/>
  <c r="F431" i="5"/>
  <c r="F429" i="5"/>
  <c r="F427" i="5"/>
  <c r="F425" i="5"/>
  <c r="F423" i="5"/>
  <c r="F421" i="5"/>
  <c r="F419" i="5"/>
  <c r="F417" i="5"/>
  <c r="F415" i="5"/>
  <c r="F413" i="5"/>
  <c r="F411" i="5"/>
  <c r="F409" i="5"/>
  <c r="F407" i="5"/>
  <c r="F405" i="5"/>
  <c r="F403" i="5"/>
  <c r="E450" i="5"/>
  <c r="E448" i="5"/>
  <c r="E446" i="5"/>
  <c r="E444" i="5"/>
  <c r="E442" i="5"/>
  <c r="E440" i="5"/>
  <c r="E438" i="5"/>
  <c r="E436" i="5"/>
  <c r="E434" i="5"/>
  <c r="E432" i="5"/>
  <c r="E430" i="5"/>
  <c r="E428" i="5"/>
  <c r="E422" i="5"/>
  <c r="E420" i="5"/>
  <c r="E418" i="5"/>
  <c r="E416" i="5"/>
  <c r="E414" i="5"/>
  <c r="E412" i="5"/>
  <c r="E410" i="5"/>
  <c r="E408" i="5"/>
  <c r="E406" i="5"/>
  <c r="E404" i="5"/>
  <c r="E402" i="5"/>
  <c r="D450" i="5"/>
  <c r="D448" i="5"/>
  <c r="D446" i="5"/>
  <c r="D444" i="5"/>
  <c r="D442" i="5"/>
  <c r="D440" i="5"/>
  <c r="D438" i="5"/>
  <c r="D436" i="5"/>
  <c r="D434" i="5"/>
  <c r="D432" i="5"/>
  <c r="D430" i="5"/>
  <c r="D428" i="5"/>
  <c r="D426" i="5"/>
  <c r="D424" i="5"/>
  <c r="D422" i="5"/>
  <c r="D420" i="5"/>
  <c r="D418" i="5"/>
  <c r="D416" i="5"/>
  <c r="D414" i="5"/>
  <c r="D412" i="5"/>
  <c r="D410" i="5"/>
  <c r="D408" i="5"/>
  <c r="D406" i="5"/>
  <c r="D404" i="5"/>
  <c r="D402" i="5"/>
  <c r="E451" i="5"/>
  <c r="E449" i="5"/>
  <c r="E447" i="5"/>
  <c r="E445" i="5"/>
  <c r="E443" i="5"/>
  <c r="E441" i="5"/>
  <c r="E439" i="5"/>
  <c r="E437" i="5"/>
  <c r="E435" i="5"/>
  <c r="E433" i="5"/>
  <c r="E431" i="5"/>
  <c r="E429" i="5"/>
  <c r="E427" i="5"/>
  <c r="E423" i="5"/>
  <c r="E421" i="5"/>
  <c r="E419" i="5"/>
  <c r="E417" i="5"/>
  <c r="E415" i="5"/>
  <c r="E413" i="5"/>
  <c r="E411" i="5"/>
  <c r="E409" i="5"/>
  <c r="E407" i="5"/>
  <c r="E405" i="5"/>
  <c r="E403" i="5"/>
  <c r="D447" i="5"/>
  <c r="D449" i="5"/>
  <c r="D443" i="5"/>
  <c r="D451" i="5"/>
  <c r="E320" i="4"/>
  <c r="E385" i="4"/>
  <c r="F321" i="4"/>
  <c r="F266" i="4" s="1"/>
  <c r="F386" i="4"/>
  <c r="F331" i="4" s="1"/>
  <c r="F396" i="4"/>
  <c r="E396" i="4"/>
  <c r="E386" i="4"/>
  <c r="E331" i="4" s="1"/>
  <c r="B197" i="2"/>
  <c r="B196" i="2"/>
  <c r="B195" i="2"/>
  <c r="B263" i="2"/>
  <c r="B262" i="2"/>
  <c r="B261" i="2"/>
  <c r="B464" i="2"/>
  <c r="B463" i="2"/>
  <c r="B462" i="2"/>
  <c r="B396" i="2"/>
  <c r="B395" i="2"/>
  <c r="B394" i="2"/>
  <c r="B327" i="2"/>
  <c r="B329" i="2"/>
  <c r="B328" i="2"/>
  <c r="B129" i="2"/>
  <c r="B59" i="2"/>
  <c r="B132" i="2"/>
  <c r="B131" i="2"/>
  <c r="B130" i="2"/>
  <c r="B62" i="2"/>
  <c r="B61" i="2"/>
  <c r="B60" i="2"/>
  <c r="F69" i="6" l="1"/>
  <c r="E200" i="4"/>
  <c r="E2" i="6"/>
  <c r="F200" i="5"/>
  <c r="E200" i="6"/>
  <c r="E450" i="7"/>
  <c r="E395" i="7" s="1"/>
  <c r="F134" i="4"/>
  <c r="E134" i="4"/>
  <c r="E69" i="4"/>
  <c r="F69" i="5"/>
  <c r="E265" i="7"/>
  <c r="E200" i="7"/>
  <c r="E69" i="6"/>
  <c r="F450" i="7"/>
  <c r="F395" i="7" s="1"/>
  <c r="F200" i="7"/>
  <c r="F69" i="7"/>
  <c r="F2" i="7"/>
  <c r="E134" i="7"/>
  <c r="E2" i="7"/>
  <c r="F265" i="7"/>
  <c r="E69" i="7"/>
  <c r="F134" i="7"/>
  <c r="F2" i="6"/>
  <c r="F200" i="6"/>
  <c r="E453" i="5"/>
  <c r="E398" i="5" s="1"/>
  <c r="F266" i="5"/>
  <c r="F453" i="5"/>
  <c r="F398" i="5" s="1"/>
  <c r="F2" i="5"/>
  <c r="E2" i="5"/>
  <c r="E69" i="5"/>
  <c r="E266" i="5"/>
  <c r="E134" i="5"/>
  <c r="E200" i="5"/>
  <c r="F134" i="5"/>
  <c r="F200" i="4"/>
  <c r="F69" i="4"/>
  <c r="F2" i="4"/>
  <c r="E2" i="4"/>
  <c r="J27" i="42" l="1"/>
  <c r="J30" i="42"/>
  <c r="J31" i="42"/>
  <c r="J26" i="42"/>
  <c r="F134" i="2"/>
  <c r="E134" i="2"/>
  <c r="E69" i="2"/>
  <c r="F266" i="2"/>
  <c r="F69" i="2"/>
  <c r="F401" i="2"/>
  <c r="E401" i="2"/>
  <c r="E333" i="2"/>
  <c r="F333" i="2"/>
  <c r="E266" i="2"/>
  <c r="F64" i="2"/>
  <c r="F2" i="2" s="1"/>
  <c r="E200" i="2"/>
  <c r="F200" i="2"/>
  <c r="E64" i="2" l="1"/>
  <c r="F1" i="2" s="1"/>
  <c r="F333" i="5" l="1"/>
  <c r="E333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konstantin</author>
  </authors>
  <commentList>
    <comment ref="A58" authorId="0" shapeId="0" xr:uid="{00000000-0006-0000-0300-000001000000}">
      <text>
        <r>
          <rPr>
            <b/>
            <sz val="9"/>
            <color indexed="81"/>
            <rFont val="Tahoma"/>
            <family val="2"/>
            <charset val="204"/>
          </rPr>
          <t xml:space="preserve">Konstantin:
</t>
        </r>
        <r>
          <rPr>
            <sz val="9"/>
            <color indexed="81"/>
            <rFont val="Tahoma"/>
            <family val="2"/>
            <charset val="204"/>
          </rPr>
          <t xml:space="preserve">Показатель принят по СТО НОП 2.1.-2014 для учреждений физкультурно-оздоровительной направленности и учитывает потребление электроэнергии только на освещение и бытовое оборудование.
</t>
        </r>
      </text>
    </comment>
    <comment ref="B58" authorId="0" shapeId="0" xr:uid="{00000000-0006-0000-0300-000002000000}">
      <text>
        <r>
          <rPr>
            <b/>
            <sz val="9"/>
            <color indexed="81"/>
            <rFont val="Tahoma"/>
            <family val="2"/>
            <charset val="204"/>
          </rPr>
          <t>konstantin:</t>
        </r>
        <r>
          <rPr>
            <sz val="9"/>
            <color indexed="81"/>
            <rFont val="Tahoma"/>
            <family val="2"/>
            <charset val="204"/>
          </rPr>
          <t xml:space="preserve">
Показатель принят по СТО НОП 2.1.-2014 для учреждений физкультурно-оздоровительной направленности и учитывает потребление электроэнергии только на освещение и бытовое оборудование.</t>
        </r>
      </text>
    </comment>
    <comment ref="A60" authorId="0" shapeId="0" xr:uid="{00000000-0006-0000-0300-000003000000}">
      <text>
        <r>
          <rPr>
            <b/>
            <sz val="9"/>
            <color indexed="81"/>
            <rFont val="Tahoma"/>
            <family val="2"/>
            <charset val="204"/>
          </rPr>
          <t xml:space="preserve">Konstantin:
</t>
        </r>
        <r>
          <rPr>
            <sz val="9"/>
            <color indexed="81"/>
            <rFont val="Tahoma"/>
            <family val="2"/>
            <charset val="204"/>
          </rPr>
          <t xml:space="preserve">Учитывает потребление электроэнергии на наружное и внутреннее освещение, бытовое оборудование и инженерные системы
</t>
        </r>
      </text>
    </comment>
    <comment ref="B60" authorId="0" shapeId="0" xr:uid="{00000000-0006-0000-0300-000004000000}">
      <text>
        <r>
          <rPr>
            <b/>
            <sz val="9"/>
            <color indexed="81"/>
            <rFont val="Tahoma"/>
            <family val="2"/>
            <charset val="204"/>
          </rPr>
          <t>konstantin:</t>
        </r>
        <r>
          <rPr>
            <sz val="9"/>
            <color indexed="81"/>
            <rFont val="Tahoma"/>
            <family val="2"/>
            <charset val="204"/>
          </rPr>
          <t xml:space="preserve">
Учитывает потребление электроэнергии на наружное и внутреннее освещение, бытовое оборудование и инженерные системы</t>
        </r>
      </text>
    </comment>
    <comment ref="B125" authorId="0" shapeId="0" xr:uid="{00000000-0006-0000-0300-000005000000}">
      <text>
        <r>
          <rPr>
            <b/>
            <sz val="9"/>
            <color indexed="81"/>
            <rFont val="Tahoma"/>
            <family val="2"/>
            <charset val="204"/>
          </rPr>
          <t xml:space="preserve">Konstantin:
</t>
        </r>
        <r>
          <rPr>
            <sz val="9"/>
            <color indexed="81"/>
            <rFont val="Tahoma"/>
            <family val="2"/>
            <charset val="204"/>
          </rPr>
          <t xml:space="preserve">Принятое значение базового уровня удельного расхода тепловой энергии на отопление и вентиляцию (27,5 по СТО НОП 2.1.-2014), соответствующее учреждениям физкультурно-оздоровительной направленности  не подходит для бассейнов.
Причина следующая.
В залах с ваннами бассейнов должна поддерживаться более высокая температура внутреннего воздуха, по сравнению с  учреждениями физкультурно-оздоровительной направленности.
- в залах с ваннами бассейнов: 24-34 С (спортивные, детские и оздоровительные бассейны);
- в помещениях учреждений физкультурно-оздоровительной направленности: 20-17 С. 
Соответственно и расход тепловой энергии (отопление и вентиляция) на поддержание более высокой температуры внутреннего воздуха для бассейнов будет больше. 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konstantin</author>
  </authors>
  <commentList>
    <comment ref="A58" authorId="0" shapeId="0" xr:uid="{00000000-0006-0000-1C00-000001000000}">
      <text>
        <r>
          <rPr>
            <b/>
            <sz val="9"/>
            <color indexed="81"/>
            <rFont val="Tahoma"/>
            <family val="2"/>
            <charset val="204"/>
          </rPr>
          <t>Konstantin:
Показатель учитывает потребление электроэнергии только на освещение и бытовое оборудование.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60" authorId="0" shapeId="0" xr:uid="{00000000-0006-0000-1C00-000002000000}">
      <text>
        <r>
          <rPr>
            <b/>
            <sz val="9"/>
            <color indexed="81"/>
            <rFont val="Tahoma"/>
            <family val="2"/>
            <charset val="204"/>
          </rPr>
          <t>Konstantin:
Учитывает потребление электроэнергии на наружное и внутреннее освещение, бытовое оборудование и инженерные системы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konstantin</author>
  </authors>
  <commentList>
    <comment ref="A58" authorId="0" shapeId="0" xr:uid="{00000000-0006-0000-1D00-000001000000}">
      <text>
        <r>
          <rPr>
            <b/>
            <sz val="9"/>
            <color indexed="81"/>
            <rFont val="Tahoma"/>
            <family val="2"/>
            <charset val="204"/>
          </rPr>
          <t xml:space="preserve">Konstantin:
</t>
        </r>
        <r>
          <rPr>
            <sz val="9"/>
            <color indexed="81"/>
            <rFont val="Tahoma"/>
            <family val="2"/>
            <charset val="204"/>
          </rPr>
          <t xml:space="preserve">Показатель принят по СТО НОП 2.1.-2014 для учреждений физкультурно-оздоровительной направленности и учитывает потребление электроэнергии только на освещение и бытовое оборудование.
</t>
        </r>
      </text>
    </comment>
    <comment ref="B58" authorId="0" shapeId="0" xr:uid="{00000000-0006-0000-1D00-000002000000}">
      <text>
        <r>
          <rPr>
            <b/>
            <sz val="9"/>
            <color indexed="81"/>
            <rFont val="Tahoma"/>
            <family val="2"/>
            <charset val="204"/>
          </rPr>
          <t>konstantin:</t>
        </r>
        <r>
          <rPr>
            <sz val="9"/>
            <color indexed="81"/>
            <rFont val="Tahoma"/>
            <family val="2"/>
            <charset val="204"/>
          </rPr>
          <t xml:space="preserve">
Показатель принят по СТО НОП 2.1.-2014 для учреждений физкультурно-оздоровительной направленности и учитывает потребление электроэнергии только на освещение и бытовое оборудование.</t>
        </r>
      </text>
    </comment>
    <comment ref="A60" authorId="0" shapeId="0" xr:uid="{00000000-0006-0000-1D00-000003000000}">
      <text>
        <r>
          <rPr>
            <b/>
            <sz val="9"/>
            <color indexed="81"/>
            <rFont val="Tahoma"/>
            <family val="2"/>
            <charset val="204"/>
          </rPr>
          <t xml:space="preserve">Konstantin:
</t>
        </r>
        <r>
          <rPr>
            <sz val="9"/>
            <color indexed="81"/>
            <rFont val="Tahoma"/>
            <family val="2"/>
            <charset val="204"/>
          </rPr>
          <t xml:space="preserve">Учитывает потребление электроэнергии на наружное и внутреннее освещение, бытовое оборудование и инженерные системы
</t>
        </r>
      </text>
    </comment>
    <comment ref="B60" authorId="0" shapeId="0" xr:uid="{00000000-0006-0000-1D00-000004000000}">
      <text>
        <r>
          <rPr>
            <b/>
            <sz val="9"/>
            <color indexed="81"/>
            <rFont val="Tahoma"/>
            <family val="2"/>
            <charset val="204"/>
          </rPr>
          <t>konstantin:</t>
        </r>
        <r>
          <rPr>
            <sz val="9"/>
            <color indexed="81"/>
            <rFont val="Tahoma"/>
            <family val="2"/>
            <charset val="204"/>
          </rPr>
          <t xml:space="preserve">
Учитывает потребление электроэнергии на наружное и внутреннее освещение, бытовое оборудование и инженерные системы</t>
        </r>
      </text>
    </comment>
    <comment ref="B190" authorId="0" shapeId="0" xr:uid="{00000000-0006-0000-1D00-000005000000}">
      <text>
        <r>
          <rPr>
            <b/>
            <sz val="9"/>
            <color indexed="81"/>
            <rFont val="Tahoma"/>
            <family val="2"/>
            <charset val="204"/>
          </rPr>
          <t>konstantin:</t>
        </r>
        <r>
          <rPr>
            <sz val="9"/>
            <color indexed="81"/>
            <rFont val="Tahoma"/>
            <family val="2"/>
            <charset val="204"/>
          </rPr>
          <t xml:space="preserve">
На одного зрителя 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konstantin</author>
  </authors>
  <commentList>
    <comment ref="A58" authorId="0" shapeId="0" xr:uid="{00000000-0006-0000-1E00-000001000000}">
      <text>
        <r>
          <rPr>
            <b/>
            <sz val="9"/>
            <color indexed="81"/>
            <rFont val="Tahoma"/>
            <family val="2"/>
            <charset val="204"/>
          </rPr>
          <t>Konstantin:
Показатель учитывает потребление электроэнергии только на освещение и бытовое оборудование.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60" authorId="0" shapeId="0" xr:uid="{00000000-0006-0000-1E00-000002000000}">
      <text>
        <r>
          <rPr>
            <b/>
            <sz val="9"/>
            <color indexed="81"/>
            <rFont val="Tahoma"/>
            <family val="2"/>
            <charset val="204"/>
          </rPr>
          <t>Konstantin:
Учитывает потребление электроэнергии на наружное и внутреннее освещение, бытовое оборудование и инженерные системы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190" authorId="0" shapeId="0" xr:uid="{00000000-0006-0000-1E00-000003000000}">
      <text>
        <r>
          <rPr>
            <b/>
            <sz val="9"/>
            <color indexed="81"/>
            <rFont val="Tahoma"/>
            <family val="2"/>
            <charset val="204"/>
          </rPr>
          <t>Konstantin:
Для спортивных и физкультурно-оздоровительных комплексов явно завышенный базовый (нормативный) удельный расход горячей воды.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56" authorId="0" shapeId="0" xr:uid="{00000000-0006-0000-1E00-000004000000}">
      <text>
        <r>
          <rPr>
            <b/>
            <sz val="9"/>
            <color indexed="81"/>
            <rFont val="Tahoma"/>
            <family val="2"/>
            <charset val="204"/>
          </rPr>
          <t>Konstantin:
Для спортивных и физкультурно-оздоровительных комплексов явно завышенный базовый (нормативный) удельный расход холодной воды.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<sst xmlns="http://schemas.openxmlformats.org/spreadsheetml/2006/main" count="10818" uniqueCount="1043">
  <si>
    <t>Квантили ранжированных групп объектов</t>
  </si>
  <si>
    <t>Электроэнергия</t>
  </si>
  <si>
    <t>Тепловая энергия (отопление и вентиляции)</t>
  </si>
  <si>
    <t>Холодная вода</t>
  </si>
  <si>
    <t>Фактическое удельное годовое потребление</t>
  </si>
  <si>
    <t>Целевой уровень снижения удельного расхода ресурса</t>
  </si>
  <si>
    <t>кВт*ч / кв. м</t>
  </si>
  <si>
    <t>%</t>
  </si>
  <si>
    <t>Вт*ч/(кв. м*ГСОП)</t>
  </si>
  <si>
    <t>куб. м / чел.</t>
  </si>
  <si>
    <t>0-2</t>
  </si>
  <si>
    <t>14-16</t>
  </si>
  <si>
    <t>16-18</t>
  </si>
  <si>
    <t>18-20</t>
  </si>
  <si>
    <t>20-22</t>
  </si>
  <si>
    <t>22-24</t>
  </si>
  <si>
    <t>24-26</t>
  </si>
  <si>
    <t>26-28</t>
  </si>
  <si>
    <t>28-30</t>
  </si>
  <si>
    <t>30-32</t>
  </si>
  <si>
    <t>32-34</t>
  </si>
  <si>
    <t>34-36</t>
  </si>
  <si>
    <t>36-38</t>
  </si>
  <si>
    <t>38-40</t>
  </si>
  <si>
    <t>40-42</t>
  </si>
  <si>
    <t>42-44</t>
  </si>
  <si>
    <t>44-46</t>
  </si>
  <si>
    <t>46-48</t>
  </si>
  <si>
    <t>48-50</t>
  </si>
  <si>
    <t>50-52</t>
  </si>
  <si>
    <t>52-54</t>
  </si>
  <si>
    <t>54-56</t>
  </si>
  <si>
    <t>56-58</t>
  </si>
  <si>
    <t>58-60</t>
  </si>
  <si>
    <t>60-62</t>
  </si>
  <si>
    <t>62-64</t>
  </si>
  <si>
    <t>64-66</t>
  </si>
  <si>
    <t>66-68</t>
  </si>
  <si>
    <t>68-70</t>
  </si>
  <si>
    <t>70-72</t>
  </si>
  <si>
    <t>72-74</t>
  </si>
  <si>
    <t>74-76</t>
  </si>
  <si>
    <t>76-78</t>
  </si>
  <si>
    <t>78-80</t>
  </si>
  <si>
    <t>80-82</t>
  </si>
  <si>
    <t>82-84</t>
  </si>
  <si>
    <t>84-86</t>
  </si>
  <si>
    <t>86-88</t>
  </si>
  <si>
    <t>88-90</t>
  </si>
  <si>
    <t>90-92</t>
  </si>
  <si>
    <t>92-94</t>
  </si>
  <si>
    <t>94-96</t>
  </si>
  <si>
    <t>96-98</t>
  </si>
  <si>
    <t>98-100</t>
  </si>
  <si>
    <t>&gt;134,3</t>
  </si>
  <si>
    <t>Базовый уровень удельного показателя</t>
  </si>
  <si>
    <t>Среднее значение удельного показателя</t>
  </si>
  <si>
    <t>Значение удельного показателя для класса энергоэффективности А</t>
  </si>
  <si>
    <t>2-4</t>
  </si>
  <si>
    <t>4-6</t>
  </si>
  <si>
    <t>6-8</t>
  </si>
  <si>
    <t>8-10</t>
  </si>
  <si>
    <t>10-12</t>
  </si>
  <si>
    <t>12-14</t>
  </si>
  <si>
    <t>+-10% Среднее</t>
  </si>
  <si>
    <t>+-20% Среднее</t>
  </si>
  <si>
    <t>+-30% Среднее</t>
  </si>
  <si>
    <t>Природный газ</t>
  </si>
  <si>
    <t>куб. м / кв. м</t>
  </si>
  <si>
    <t>-</t>
  </si>
  <si>
    <t>Твердое топливо</t>
  </si>
  <si>
    <t>Жидкое топливо</t>
  </si>
  <si>
    <t>Вт*ч/(кв.*ГСОП)</t>
  </si>
  <si>
    <t>кгут / кв. м</t>
  </si>
  <si>
    <t>&gt;366</t>
  </si>
  <si>
    <t>&gt;103,6</t>
  </si>
  <si>
    <t>&gt;926,9</t>
  </si>
  <si>
    <t>&gt;66,8</t>
  </si>
  <si>
    <t>Горячая вода</t>
  </si>
  <si>
    <t>&gt;42,9</t>
  </si>
  <si>
    <t>Потенциал экономии</t>
  </si>
  <si>
    <t xml:space="preserve"> </t>
  </si>
  <si>
    <t>+-10%</t>
  </si>
  <si>
    <t>+-20%</t>
  </si>
  <si>
    <t>&gt;106,5</t>
  </si>
  <si>
    <t>&gt;159,8</t>
  </si>
  <si>
    <t>&gt;36,45</t>
  </si>
  <si>
    <t>&gt;65,5</t>
  </si>
  <si>
    <t>Вт*ч/(кв.м*ГСОП)</t>
  </si>
  <si>
    <t>Моторное топливо</t>
  </si>
  <si>
    <t>кгут/кв.м</t>
  </si>
  <si>
    <t>&gt;642,8</t>
  </si>
  <si>
    <t>&gt;299,2</t>
  </si>
  <si>
    <t>&gt;37,81</t>
  </si>
  <si>
    <t>&gt;175,0</t>
  </si>
  <si>
    <t>&gt;296,6</t>
  </si>
  <si>
    <t>&gt;1208,0</t>
  </si>
  <si>
    <t>&gt;2383,1</t>
  </si>
  <si>
    <t>&gt;314,8</t>
  </si>
  <si>
    <t>&gt;222,1</t>
  </si>
  <si>
    <t>&gt;151,6</t>
  </si>
  <si>
    <t>&gt;281,8</t>
  </si>
  <si>
    <t>&gt;224,5</t>
  </si>
  <si>
    <t>&gt;30,38</t>
  </si>
  <si>
    <t>&gt;45,3</t>
  </si>
  <si>
    <t>&gt;85,6</t>
  </si>
  <si>
    <t>&gt;374,2</t>
  </si>
  <si>
    <t>&gt;303,2</t>
  </si>
  <si>
    <t>&gt;185,4</t>
  </si>
  <si>
    <t>&gt;7,286</t>
  </si>
  <si>
    <t>&gt;44,69</t>
  </si>
  <si>
    <t>&gt;136,1</t>
  </si>
  <si>
    <t>&gt;572,2</t>
  </si>
  <si>
    <t>&gt;41,8</t>
  </si>
  <si>
    <t xml:space="preserve">Базовый уровень удельного показателя </t>
  </si>
  <si>
    <t>&gt;81,4</t>
  </si>
  <si>
    <t>&gt;8,69</t>
  </si>
  <si>
    <t>&gt;16,22</t>
  </si>
  <si>
    <t>&gt;82,01</t>
  </si>
  <si>
    <t>&gt;347,3</t>
  </si>
  <si>
    <t>&gt;106,1</t>
  </si>
  <si>
    <t>&gt;115,3</t>
  </si>
  <si>
    <t>&gt;8,40</t>
  </si>
  <si>
    <t>&gt;11,63</t>
  </si>
  <si>
    <t>&gt;382,82</t>
  </si>
  <si>
    <t>&gt;251,78</t>
  </si>
  <si>
    <t>&gt;482,865</t>
  </si>
  <si>
    <t>&gt;345</t>
  </si>
  <si>
    <t>&gt;263,8</t>
  </si>
  <si>
    <t>&gt;25,43</t>
  </si>
  <si>
    <t>&gt;36,27</t>
  </si>
  <si>
    <t>&gt;375</t>
  </si>
  <si>
    <t>&gt;820</t>
  </si>
  <si>
    <t>&gt;96</t>
  </si>
  <si>
    <t>&gt;223,8</t>
  </si>
  <si>
    <t>&gt;1391,35</t>
  </si>
  <si>
    <t>&gt;461,2</t>
  </si>
  <si>
    <t>&gt;129,3</t>
  </si>
  <si>
    <t>&gt;619,1</t>
  </si>
  <si>
    <t>&gt;138,2</t>
  </si>
  <si>
    <t>&gt;554,38</t>
  </si>
  <si>
    <t>&gt;269,98</t>
  </si>
  <si>
    <t>&gt;146,6</t>
  </si>
  <si>
    <t>&gt;238,3</t>
  </si>
  <si>
    <t>&gt;137,5</t>
  </si>
  <si>
    <t>&gt;</t>
  </si>
  <si>
    <t>&gt;18,39</t>
  </si>
  <si>
    <t>&gt;437,6</t>
  </si>
  <si>
    <t>&gt;209,8</t>
  </si>
  <si>
    <t>&gt;14,8</t>
  </si>
  <si>
    <t>&gt;167,88</t>
  </si>
  <si>
    <t>&gt;147,1</t>
  </si>
  <si>
    <t>&gt;34,93</t>
  </si>
  <si>
    <t>&gt;225,01</t>
  </si>
  <si>
    <t>&gt;176,8</t>
  </si>
  <si>
    <t>&gt;1,79</t>
  </si>
  <si>
    <t>&gt;9,38</t>
  </si>
  <si>
    <t>&gt;90,93</t>
  </si>
  <si>
    <t>&gt;140,2</t>
  </si>
  <si>
    <t>&gt;4,83</t>
  </si>
  <si>
    <t>&gt;21,07</t>
  </si>
  <si>
    <t>Показатель</t>
  </si>
  <si>
    <t>1 смена</t>
  </si>
  <si>
    <t>Благовещенск</t>
  </si>
  <si>
    <t>Амурская область</t>
  </si>
  <si>
    <t>Субъект Российской Федерации</t>
  </si>
  <si>
    <t>Ввод</t>
  </si>
  <si>
    <t>Наименование поля ввода</t>
  </si>
  <si>
    <t>этажность здания</t>
  </si>
  <si>
    <t>Наиболее распространенная этажность</t>
  </si>
  <si>
    <t>Фактическая</t>
  </si>
  <si>
    <r>
      <t>t</t>
    </r>
    <r>
      <rPr>
        <vertAlign val="subscript"/>
        <sz val="12"/>
        <color rgb="FF000000"/>
        <rFont val="Times New Roman"/>
        <family val="1"/>
        <charset val="204"/>
      </rPr>
      <t>вн</t>
    </r>
    <r>
      <rPr>
        <sz val="12"/>
        <color rgb="FF000000"/>
        <rFont val="Times New Roman"/>
        <family val="1"/>
        <charset val="204"/>
      </rPr>
      <t>=13-17</t>
    </r>
    <r>
      <rPr>
        <vertAlign val="superscript"/>
        <sz val="12"/>
        <color rgb="FF000000"/>
        <rFont val="Times New Roman"/>
        <family val="1"/>
        <charset val="204"/>
      </rPr>
      <t>о</t>
    </r>
    <r>
      <rPr>
        <sz val="12"/>
        <color rgb="FF000000"/>
        <rFont val="Times New Roman"/>
        <family val="1"/>
        <charset val="204"/>
      </rPr>
      <t>С</t>
    </r>
  </si>
  <si>
    <r>
      <t>t</t>
    </r>
    <r>
      <rPr>
        <vertAlign val="subscript"/>
        <sz val="12"/>
        <color rgb="FF000000"/>
        <rFont val="Times New Roman"/>
        <family val="1"/>
        <charset val="204"/>
      </rPr>
      <t>вн</t>
    </r>
    <r>
      <rPr>
        <sz val="12"/>
        <color rgb="FF000000"/>
        <rFont val="Times New Roman"/>
        <family val="1"/>
        <charset val="204"/>
      </rPr>
      <t>=18</t>
    </r>
    <r>
      <rPr>
        <vertAlign val="superscript"/>
        <sz val="12"/>
        <color rgb="FF000000"/>
        <rFont val="Times New Roman"/>
        <family val="1"/>
        <charset val="204"/>
      </rPr>
      <t>о</t>
    </r>
    <r>
      <rPr>
        <sz val="12"/>
        <color rgb="FF000000"/>
        <rFont val="Times New Roman"/>
        <family val="1"/>
        <charset val="204"/>
      </rPr>
      <t>С</t>
    </r>
  </si>
  <si>
    <r>
      <t>t</t>
    </r>
    <r>
      <rPr>
        <vertAlign val="subscript"/>
        <sz val="12"/>
        <color rgb="FF000000"/>
        <rFont val="Times New Roman"/>
        <family val="1"/>
        <charset val="204"/>
      </rPr>
      <t>вн</t>
    </r>
    <r>
      <rPr>
        <sz val="12"/>
        <color rgb="FF000000"/>
        <rFont val="Times New Roman"/>
        <family val="1"/>
        <charset val="204"/>
      </rPr>
      <t>=20</t>
    </r>
    <r>
      <rPr>
        <vertAlign val="superscript"/>
        <sz val="12"/>
        <color rgb="FF000000"/>
        <rFont val="Times New Roman"/>
        <family val="1"/>
        <charset val="204"/>
      </rPr>
      <t>о</t>
    </r>
    <r>
      <rPr>
        <sz val="12"/>
        <color rgb="FF000000"/>
        <rFont val="Times New Roman"/>
        <family val="1"/>
        <charset val="204"/>
      </rPr>
      <t>С</t>
    </r>
  </si>
  <si>
    <t>Расчетные (нормативные) температуры внутреннего воздуха в помещениях</t>
  </si>
  <si>
    <t>Таблица П3-5. Корректировочные коэффициенты на этажность и режим работы для зданий сервисного обслуживания, культурно-досуговой и физкультурно-оздоровительной направленности</t>
  </si>
  <si>
    <t>Корректировочные коэффициенты на этажность для зданий лечебных учреждений с круглосуточным режимом работы</t>
  </si>
  <si>
    <t>Таблица П3-4.</t>
  </si>
  <si>
    <t>Корректировочные коэффициенты на этажность зданий поликлиник и лечебных учреждений с полуторасменным режимом работы</t>
  </si>
  <si>
    <t>Таблица П3-3.</t>
  </si>
  <si>
    <t>1,5 смены</t>
  </si>
  <si>
    <t>режим - 1,5 смены</t>
  </si>
  <si>
    <t>режим - 1 смена</t>
  </si>
  <si>
    <t>Наиболее распространенная этажность = 3</t>
  </si>
  <si>
    <t>Наиболее распространенная этажность = 2</t>
  </si>
  <si>
    <t>Наиболее распространенная этажность =1</t>
  </si>
  <si>
    <t>Таблица П3-2. Корректировочные коэффициенты на этажность и режим работы зданий административного и общеобразовательного назначения</t>
  </si>
  <si>
    <t>нет оценки</t>
  </si>
  <si>
    <t>Темп</t>
  </si>
  <si>
    <t>Выбор к-та коррекции</t>
  </si>
  <si>
    <t>Эфф</t>
  </si>
  <si>
    <t>Среднее</t>
  </si>
  <si>
    <t>Модальная этажность</t>
  </si>
  <si>
    <t>м3/м2</t>
  </si>
  <si>
    <t>м3/чел</t>
  </si>
  <si>
    <t>Вт·ч/ (кв.м×°С×сутки)</t>
  </si>
  <si>
    <t>кВтч/м2</t>
  </si>
  <si>
    <t>Газ</t>
  </si>
  <si>
    <t>ХВС</t>
  </si>
  <si>
    <t xml:space="preserve">ГВС </t>
  </si>
  <si>
    <t>Тепло отопление</t>
  </si>
  <si>
    <t>ЭЭ</t>
  </si>
  <si>
    <t>Тв т</t>
  </si>
  <si>
    <t>&gt;201,2</t>
  </si>
  <si>
    <t>&gt;124,2</t>
  </si>
  <si>
    <t>&gt;23,08</t>
  </si>
  <si>
    <t>&gt;235,6</t>
  </si>
  <si>
    <t>&gt;161,1</t>
  </si>
  <si>
    <t>&gt;40,46</t>
  </si>
  <si>
    <t>Задания</t>
  </si>
  <si>
    <t>Потенциал</t>
  </si>
  <si>
    <t>Регион</t>
  </si>
  <si>
    <t>Республика Адыгея</t>
  </si>
  <si>
    <t>Майкоп</t>
  </si>
  <si>
    <t>Алтайский край</t>
  </si>
  <si>
    <t>Алейск</t>
  </si>
  <si>
    <t>Барнаул</t>
  </si>
  <si>
    <t>Бийск-Зональная</t>
  </si>
  <si>
    <t>Змеиногорск</t>
  </si>
  <si>
    <t>Родино</t>
  </si>
  <si>
    <t>Рубцовск</t>
  </si>
  <si>
    <t>Славгород</t>
  </si>
  <si>
    <t>Тогул</t>
  </si>
  <si>
    <t>Республика Алтай</t>
  </si>
  <si>
    <t>Катанда</t>
  </si>
  <si>
    <t>Кош-Агач</t>
  </si>
  <si>
    <t>Онгудай</t>
  </si>
  <si>
    <t>Архара</t>
  </si>
  <si>
    <t>Белогорск</t>
  </si>
  <si>
    <t>Бомнак</t>
  </si>
  <si>
    <t>Братолюбовка</t>
  </si>
  <si>
    <t>Бысса</t>
  </si>
  <si>
    <t>Гош</t>
  </si>
  <si>
    <t>Дамбуки</t>
  </si>
  <si>
    <t>Ерофей Павлович</t>
  </si>
  <si>
    <t>Завитинск</t>
  </si>
  <si>
    <t>Зея</t>
  </si>
  <si>
    <t>Норский Склад</t>
  </si>
  <si>
    <t>Огорон</t>
  </si>
  <si>
    <t>Поярково</t>
  </si>
  <si>
    <t>Свободный</t>
  </si>
  <si>
    <t>Сковородино</t>
  </si>
  <si>
    <t>Средняя Нюкжа</t>
  </si>
  <si>
    <t>Тыган-Уркан</t>
  </si>
  <si>
    <t>Тында</t>
  </si>
  <si>
    <t>Унаха</t>
  </si>
  <si>
    <t>Усть-Нюкжа</t>
  </si>
  <si>
    <t>Черняево</t>
  </si>
  <si>
    <t>Шимановск</t>
  </si>
  <si>
    <t>Экимчан</t>
  </si>
  <si>
    <t>Архангельская область</t>
  </si>
  <si>
    <t>Архангельск</t>
  </si>
  <si>
    <t>Борковская</t>
  </si>
  <si>
    <t>Емецк</t>
  </si>
  <si>
    <t>Койнас</t>
  </si>
  <si>
    <t>Котлас</t>
  </si>
  <si>
    <t>Мезень</t>
  </si>
  <si>
    <t>Онега</t>
  </si>
  <si>
    <t>Астраханская область</t>
  </si>
  <si>
    <t>Астрахань</t>
  </si>
  <si>
    <t>Верхний Баскунчак</t>
  </si>
  <si>
    <t>Республика Башкортостан</t>
  </si>
  <si>
    <t>Белорецк</t>
  </si>
  <si>
    <t>Дуван</t>
  </si>
  <si>
    <t>Мелеуз</t>
  </si>
  <si>
    <t>Уфа</t>
  </si>
  <si>
    <t>Янаул</t>
  </si>
  <si>
    <t>Белгородская область</t>
  </si>
  <si>
    <t>Белгород</t>
  </si>
  <si>
    <t>Брянская область</t>
  </si>
  <si>
    <t>Брянск</t>
  </si>
  <si>
    <t>Республика Бурятия</t>
  </si>
  <si>
    <t>Бабушкин</t>
  </si>
  <si>
    <t>Багдарин</t>
  </si>
  <si>
    <t>Баргузин</t>
  </si>
  <si>
    <t>Кяхта</t>
  </si>
  <si>
    <t>Монды</t>
  </si>
  <si>
    <t>Нижнеангарск</t>
  </si>
  <si>
    <t>Сосново-Озерское</t>
  </si>
  <si>
    <t>Уакит</t>
  </si>
  <si>
    <t>Улан-Удэ</t>
  </si>
  <si>
    <t>Хоринск</t>
  </si>
  <si>
    <t>Владимирская область</t>
  </si>
  <si>
    <t>Владимир</t>
  </si>
  <si>
    <t>Муром</t>
  </si>
  <si>
    <t>Волгоградская область</t>
  </si>
  <si>
    <t>Волгоград</t>
  </si>
  <si>
    <t>Камышин</t>
  </si>
  <si>
    <t>Костычевка</t>
  </si>
  <si>
    <t>Котельниково</t>
  </si>
  <si>
    <t>Новоаннинский</t>
  </si>
  <si>
    <t>Эльтон</t>
  </si>
  <si>
    <t>Вологодская область</t>
  </si>
  <si>
    <t>Бабаево</t>
  </si>
  <si>
    <t>Вологда</t>
  </si>
  <si>
    <t>Вытегра</t>
  </si>
  <si>
    <t>Никольск</t>
  </si>
  <si>
    <t>Тотьма</t>
  </si>
  <si>
    <t>Воронежская область</t>
  </si>
  <si>
    <t>Воронеж</t>
  </si>
  <si>
    <t>Республика Дагестан</t>
  </si>
  <si>
    <t>Дербент</t>
  </si>
  <si>
    <t>Махачкала</t>
  </si>
  <si>
    <t>Южно-Сухокумск</t>
  </si>
  <si>
    <t>Еврейская автономная область</t>
  </si>
  <si>
    <t>Биробиджан</t>
  </si>
  <si>
    <t>Облучье</t>
  </si>
  <si>
    <t>Забайкальский край</t>
  </si>
  <si>
    <t>Агинское</t>
  </si>
  <si>
    <t>Акша</t>
  </si>
  <si>
    <t>Александровский Завод</t>
  </si>
  <si>
    <t>Борзя</t>
  </si>
  <si>
    <t>Дарасун</t>
  </si>
  <si>
    <t>Калакан</t>
  </si>
  <si>
    <t>Красный Чикой</t>
  </si>
  <si>
    <t>Могоча</t>
  </si>
  <si>
    <t>Нерчинск</t>
  </si>
  <si>
    <t>Нерчинский Завод</t>
  </si>
  <si>
    <t>Средний Калар</t>
  </si>
  <si>
    <t>Тунгокочен</t>
  </si>
  <si>
    <t>Тупик</t>
  </si>
  <si>
    <t>Чара</t>
  </si>
  <si>
    <t>Чита</t>
  </si>
  <si>
    <t>Ивановская область</t>
  </si>
  <si>
    <t>Иваново</t>
  </si>
  <si>
    <t>Кинешма</t>
  </si>
  <si>
    <t>Республика Ингушетия</t>
  </si>
  <si>
    <t>Магас</t>
  </si>
  <si>
    <t>Назрань</t>
  </si>
  <si>
    <t>Иркутская область</t>
  </si>
  <si>
    <t>Алыгджер</t>
  </si>
  <si>
    <t>Бодайбо</t>
  </si>
  <si>
    <t>Братск</t>
  </si>
  <si>
    <t>Верхняя Гутара</t>
  </si>
  <si>
    <t>Дубровское</t>
  </si>
  <si>
    <t>Ербогачен</t>
  </si>
  <si>
    <t>Жигалово</t>
  </si>
  <si>
    <t>Зима</t>
  </si>
  <si>
    <t>Ика</t>
  </si>
  <si>
    <t>Илимск</t>
  </si>
  <si>
    <t>Иркутск</t>
  </si>
  <si>
    <t>Ичера</t>
  </si>
  <si>
    <t>Киренск</t>
  </si>
  <si>
    <t>Мама</t>
  </si>
  <si>
    <t>Марково</t>
  </si>
  <si>
    <t>Наканно</t>
  </si>
  <si>
    <t>Невон</t>
  </si>
  <si>
    <t>Непа</t>
  </si>
  <si>
    <t>Орлинга</t>
  </si>
  <si>
    <t>Перевоз</t>
  </si>
  <si>
    <t>Преображенка</t>
  </si>
  <si>
    <t>Саянск</t>
  </si>
  <si>
    <t>Слюдянка</t>
  </si>
  <si>
    <t>Тайшет</t>
  </si>
  <si>
    <t>Тулун</t>
  </si>
  <si>
    <t>Усть-Ордынский</t>
  </si>
  <si>
    <t>Кабардино-Балкарская республика</t>
  </si>
  <si>
    <t>Нальчик</t>
  </si>
  <si>
    <t>Калининградская область</t>
  </si>
  <si>
    <t>Калининград</t>
  </si>
  <si>
    <t>Республика Калмыкия</t>
  </si>
  <si>
    <t>Элиста</t>
  </si>
  <si>
    <t>Калужская область</t>
  </si>
  <si>
    <t>Калуга</t>
  </si>
  <si>
    <t>Камчатский край</t>
  </si>
  <si>
    <t>Апука</t>
  </si>
  <si>
    <t>Ича</t>
  </si>
  <si>
    <t>Ключи</t>
  </si>
  <si>
    <t>Козыревск</t>
  </si>
  <si>
    <t xml:space="preserve">Корф </t>
  </si>
  <si>
    <t>Кроноки</t>
  </si>
  <si>
    <t>Лопатка, мыс</t>
  </si>
  <si>
    <t>Мильково</t>
  </si>
  <si>
    <t>Начики</t>
  </si>
  <si>
    <t>о.Беринга</t>
  </si>
  <si>
    <t xml:space="preserve">Оссора </t>
  </si>
  <si>
    <t>Октябрьская</t>
  </si>
  <si>
    <t>Петропавловск- Камчатский</t>
  </si>
  <si>
    <t>Семлячики</t>
  </si>
  <si>
    <t>Соболево</t>
  </si>
  <si>
    <t>Ука</t>
  </si>
  <si>
    <t xml:space="preserve">Усть- Воямполка </t>
  </si>
  <si>
    <t>Усть-Камчатск</t>
  </si>
  <si>
    <t>Усть- Хайрюзово</t>
  </si>
  <si>
    <t>Карачаево-Черкесская Республика</t>
  </si>
  <si>
    <t>Черкесск</t>
  </si>
  <si>
    <t>Республика Карелия</t>
  </si>
  <si>
    <t>Кемь</t>
  </si>
  <si>
    <t>Лоухи</t>
  </si>
  <si>
    <t>Олонец</t>
  </si>
  <si>
    <t>Паданы</t>
  </si>
  <si>
    <t>Петрозаводск</t>
  </si>
  <si>
    <t>Реболы</t>
  </si>
  <si>
    <t>Сортавала</t>
  </si>
  <si>
    <t>Кемеровская область</t>
  </si>
  <si>
    <t>Кемерово</t>
  </si>
  <si>
    <t>Киселевск</t>
  </si>
  <si>
    <t>Кондома</t>
  </si>
  <si>
    <t>Мариинск</t>
  </si>
  <si>
    <t>Тайга</t>
  </si>
  <si>
    <t>Тисуль</t>
  </si>
  <si>
    <t>Топки</t>
  </si>
  <si>
    <t>Усть-Кабырза</t>
  </si>
  <si>
    <t>Кировская область</t>
  </si>
  <si>
    <t>Киров</t>
  </si>
  <si>
    <t>Нагорское</t>
  </si>
  <si>
    <t>Савали</t>
  </si>
  <si>
    <t>Республика Коми</t>
  </si>
  <si>
    <t>Вендинга</t>
  </si>
  <si>
    <t>Воркута</t>
  </si>
  <si>
    <t>Объячево</t>
  </si>
  <si>
    <t>Петрунь</t>
  </si>
  <si>
    <t>Печора</t>
  </si>
  <si>
    <t>Сыктывкар</t>
  </si>
  <si>
    <t>Троицко- Печорск</t>
  </si>
  <si>
    <t>Усть-Уса</t>
  </si>
  <si>
    <t>Усть-Цильма</t>
  </si>
  <si>
    <t>Усть-Щугор</t>
  </si>
  <si>
    <t>Ухта</t>
  </si>
  <si>
    <t>Костромская область</t>
  </si>
  <si>
    <t>Кострома</t>
  </si>
  <si>
    <t>Чухлома</t>
  </si>
  <si>
    <t>Шарья</t>
  </si>
  <si>
    <t>Краснодарский край</t>
  </si>
  <si>
    <t>Красная Поляна</t>
  </si>
  <si>
    <t>Краснодар</t>
  </si>
  <si>
    <t>Приморско-Ахтарск</t>
  </si>
  <si>
    <t>Сочи</t>
  </si>
  <si>
    <t>Тихорецк</t>
  </si>
  <si>
    <t>Красноярский край</t>
  </si>
  <si>
    <t>Агата</t>
  </si>
  <si>
    <t>Ачинск</t>
  </si>
  <si>
    <t>Байкит</t>
  </si>
  <si>
    <t>Боготол</t>
  </si>
  <si>
    <t>Богучаны</t>
  </si>
  <si>
    <t>Ванавара</t>
  </si>
  <si>
    <t>Вельмо</t>
  </si>
  <si>
    <t>Верхнеимбатск</t>
  </si>
  <si>
    <t>Волочанка</t>
  </si>
  <si>
    <t>Диксон</t>
  </si>
  <si>
    <t xml:space="preserve">Дудинка </t>
  </si>
  <si>
    <t>Енисейск</t>
  </si>
  <si>
    <t xml:space="preserve">Ессей </t>
  </si>
  <si>
    <t>Игарка</t>
  </si>
  <si>
    <t>Канск</t>
  </si>
  <si>
    <t>Кежма</t>
  </si>
  <si>
    <t>Красноярск</t>
  </si>
  <si>
    <t>Минусинск</t>
  </si>
  <si>
    <t>Таимба</t>
  </si>
  <si>
    <t>Троицкое</t>
  </si>
  <si>
    <t>Тура</t>
  </si>
  <si>
    <t>Туруханск</t>
  </si>
  <si>
    <t>Хатанга</t>
  </si>
  <si>
    <t xml:space="preserve">Челюскин, мыс </t>
  </si>
  <si>
    <t>Ярцево</t>
  </si>
  <si>
    <t>Республика Крым</t>
  </si>
  <si>
    <t>Ай-Петри</t>
  </si>
  <si>
    <t>Клепнино</t>
  </si>
  <si>
    <t>Симферополь</t>
  </si>
  <si>
    <t>Феодосия</t>
  </si>
  <si>
    <t>Ялта</t>
  </si>
  <si>
    <t>Севастополь г.</t>
  </si>
  <si>
    <t>Севастополь</t>
  </si>
  <si>
    <t>Курганская область</t>
  </si>
  <si>
    <t>Курган</t>
  </si>
  <si>
    <t>Курская область</t>
  </si>
  <si>
    <t>Курск</t>
  </si>
  <si>
    <t>Липецкая область</t>
  </si>
  <si>
    <t>Липецк</t>
  </si>
  <si>
    <t>Санкт-Петербург г.</t>
  </si>
  <si>
    <t>Санкт-Петербург</t>
  </si>
  <si>
    <t>Ленинградская область</t>
  </si>
  <si>
    <t>Свирица</t>
  </si>
  <si>
    <t>Тихвин</t>
  </si>
  <si>
    <t>Магаданская область</t>
  </si>
  <si>
    <t>Аркагала</t>
  </si>
  <si>
    <t>Брохово</t>
  </si>
  <si>
    <t>Магадан (Нагаева, бухта)</t>
  </si>
  <si>
    <t>Омсукчан</t>
  </si>
  <si>
    <t>Палатка</t>
  </si>
  <si>
    <t>Среднекан</t>
  </si>
  <si>
    <t>Сусуман</t>
  </si>
  <si>
    <t>Республика Марий Эл</t>
  </si>
  <si>
    <t>Йошкар-Ола</t>
  </si>
  <si>
    <t>Республика Мордовия</t>
  </si>
  <si>
    <t>Саранск</t>
  </si>
  <si>
    <t>Московская область</t>
  </si>
  <si>
    <t>Дмитров</t>
  </si>
  <si>
    <t>Кашира</t>
  </si>
  <si>
    <t>Москва г.</t>
  </si>
  <si>
    <t>Москва</t>
  </si>
  <si>
    <t>Мурманская область</t>
  </si>
  <si>
    <t>Вайда-Губа</t>
  </si>
  <si>
    <t>Кандалакша</t>
  </si>
  <si>
    <t>Ковдор</t>
  </si>
  <si>
    <t>Краснощелье</t>
  </si>
  <si>
    <t>Ловозеро</t>
  </si>
  <si>
    <t>Мончегорск</t>
  </si>
  <si>
    <t>Мурманск</t>
  </si>
  <si>
    <t>Ниванкюль</t>
  </si>
  <si>
    <t>Пулозеро</t>
  </si>
  <si>
    <t>Пялица</t>
  </si>
  <si>
    <t>Териберка</t>
  </si>
  <si>
    <t>Терско-Орловский</t>
  </si>
  <si>
    <t>Умба</t>
  </si>
  <si>
    <t>Юкспор</t>
  </si>
  <si>
    <t>Ненецкий АО (Архангельская область)</t>
  </si>
  <si>
    <t>Варандей</t>
  </si>
  <si>
    <t>Индига</t>
  </si>
  <si>
    <t>Канин Нос</t>
  </si>
  <si>
    <t>Коткино</t>
  </si>
  <si>
    <t>Нарьян-Мар</t>
  </si>
  <si>
    <t>Ходовариха</t>
  </si>
  <si>
    <t>Хоседа-Хард</t>
  </si>
  <si>
    <t>Нижегородская область</t>
  </si>
  <si>
    <t>Арзамас</t>
  </si>
  <si>
    <t>Выкса</t>
  </si>
  <si>
    <t>Нижний Новгород</t>
  </si>
  <si>
    <t>Новгородская область</t>
  </si>
  <si>
    <t>Боровичи</t>
  </si>
  <si>
    <t>Великий Новгород</t>
  </si>
  <si>
    <t>Новосибирская область</t>
  </si>
  <si>
    <t>Барабинск</t>
  </si>
  <si>
    <t>Болотное</t>
  </si>
  <si>
    <t>Карасук</t>
  </si>
  <si>
    <t>Кочки</t>
  </si>
  <si>
    <t>Купино</t>
  </si>
  <si>
    <t>Кыштовка</t>
  </si>
  <si>
    <t>Новосибирск</t>
  </si>
  <si>
    <t>Татарск</t>
  </si>
  <si>
    <t>Чулым</t>
  </si>
  <si>
    <t>Омская область</t>
  </si>
  <si>
    <t>Исиль-Куль</t>
  </si>
  <si>
    <t>Омск</t>
  </si>
  <si>
    <t>Тара</t>
  </si>
  <si>
    <t>Черлак</t>
  </si>
  <si>
    <t>Оренбургская область</t>
  </si>
  <si>
    <t>Кувандык</t>
  </si>
  <si>
    <t>Оренбург</t>
  </si>
  <si>
    <t>Сорочинск</t>
  </si>
  <si>
    <t>Орловская область</t>
  </si>
  <si>
    <t>Орел</t>
  </si>
  <si>
    <t>Пензенская область</t>
  </si>
  <si>
    <t>Земетчино</t>
  </si>
  <si>
    <t>Пенза</t>
  </si>
  <si>
    <t>Пермский край</t>
  </si>
  <si>
    <t>Бисер</t>
  </si>
  <si>
    <t>Ножовка</t>
  </si>
  <si>
    <t>Пермь</t>
  </si>
  <si>
    <t>Чердынь</t>
  </si>
  <si>
    <t>Приморский край</t>
  </si>
  <si>
    <t>Агзу</t>
  </si>
  <si>
    <t>Анучино</t>
  </si>
  <si>
    <t>Астраханка</t>
  </si>
  <si>
    <t>Богополь</t>
  </si>
  <si>
    <t>Владивосток</t>
  </si>
  <si>
    <t>Дальнереченск</t>
  </si>
  <si>
    <t>Кировский</t>
  </si>
  <si>
    <t>Красный Яр</t>
  </si>
  <si>
    <t>Маргаритово</t>
  </si>
  <si>
    <t>Мельничное</t>
  </si>
  <si>
    <t>Партизанск</t>
  </si>
  <si>
    <t>Посьет</t>
  </si>
  <si>
    <t>Преображение</t>
  </si>
  <si>
    <t>Рудная Пристань</t>
  </si>
  <si>
    <t>Сосуново</t>
  </si>
  <si>
    <t>Чугуевка</t>
  </si>
  <si>
    <t>Псковская область</t>
  </si>
  <si>
    <t>Великие Луки</t>
  </si>
  <si>
    <t>Псков</t>
  </si>
  <si>
    <t>Ростовская область</t>
  </si>
  <si>
    <t>Миллерово</t>
  </si>
  <si>
    <t>Ростов-на-Дону</t>
  </si>
  <si>
    <t>Таганрог</t>
  </si>
  <si>
    <t>Рязанская область</t>
  </si>
  <si>
    <t>Рязань</t>
  </si>
  <si>
    <t>Самарская область</t>
  </si>
  <si>
    <t>Самара</t>
  </si>
  <si>
    <t>Саратовская область</t>
  </si>
  <si>
    <t>Александров Гай</t>
  </si>
  <si>
    <t>Балашов</t>
  </si>
  <si>
    <t>Саратов</t>
  </si>
  <si>
    <t>Сахалинская область</t>
  </si>
  <si>
    <t>Александровск-Сахалинский</t>
  </si>
  <si>
    <t>Долинск</t>
  </si>
  <si>
    <t>Кировское</t>
  </si>
  <si>
    <t>Корсаков</t>
  </si>
  <si>
    <t>Курильск</t>
  </si>
  <si>
    <t>Макаров</t>
  </si>
  <si>
    <t>Невельск</t>
  </si>
  <si>
    <t>Ноглики</t>
  </si>
  <si>
    <t>Оха</t>
  </si>
  <si>
    <t>Погиби</t>
  </si>
  <si>
    <t>Поронайск</t>
  </si>
  <si>
    <t>Рыбновск</t>
  </si>
  <si>
    <t>Холмск</t>
  </si>
  <si>
    <t>Южно-Курильск</t>
  </si>
  <si>
    <t>Южно-Сахалинск</t>
  </si>
  <si>
    <t>Свердловская область</t>
  </si>
  <si>
    <t>Верхотурье</t>
  </si>
  <si>
    <t>Екатеринбург</t>
  </si>
  <si>
    <t>Ивдель</t>
  </si>
  <si>
    <t>Каменск-Уральский</t>
  </si>
  <si>
    <t>Туринск</t>
  </si>
  <si>
    <t>Шамары</t>
  </si>
  <si>
    <t>Республика Северная Осетия</t>
  </si>
  <si>
    <t>Владикавказ</t>
  </si>
  <si>
    <t>Смоленская область</t>
  </si>
  <si>
    <t>Вязьма</t>
  </si>
  <si>
    <t>Смоленск</t>
  </si>
  <si>
    <t>Ставропольский край</t>
  </si>
  <si>
    <t>Арзгир</t>
  </si>
  <si>
    <t>Кисловодск</t>
  </si>
  <si>
    <t>Невинномысск</t>
  </si>
  <si>
    <t>Пятигорск</t>
  </si>
  <si>
    <t>Ставрополь</t>
  </si>
  <si>
    <t>Тамбовская область</t>
  </si>
  <si>
    <t>Тамбов</t>
  </si>
  <si>
    <t>Республика Татарстан</t>
  </si>
  <si>
    <t>Бугульма</t>
  </si>
  <si>
    <t>Елабуга</t>
  </si>
  <si>
    <t>Казань</t>
  </si>
  <si>
    <t>Тверская область</t>
  </si>
  <si>
    <t>Бежецк</t>
  </si>
  <si>
    <t>Ржев</t>
  </si>
  <si>
    <t>Тверь</t>
  </si>
  <si>
    <t>Томская область</t>
  </si>
  <si>
    <t xml:space="preserve">Александровское </t>
  </si>
  <si>
    <t>Колпашево</t>
  </si>
  <si>
    <t>Средний Васюган</t>
  </si>
  <si>
    <t>Томск</t>
  </si>
  <si>
    <t>Усть-Озерное</t>
  </si>
  <si>
    <t>Республика Тыва</t>
  </si>
  <si>
    <t>Кызыл</t>
  </si>
  <si>
    <t>Тульская область</t>
  </si>
  <si>
    <t>Тула</t>
  </si>
  <si>
    <t>Ханты-Мансийский АО</t>
  </si>
  <si>
    <t>Березово</t>
  </si>
  <si>
    <t>Тюменская область</t>
  </si>
  <si>
    <t>Демьянское</t>
  </si>
  <si>
    <t>Кондинское</t>
  </si>
  <si>
    <t>Леуши</t>
  </si>
  <si>
    <t>Марресаля</t>
  </si>
  <si>
    <t>Ямало-Ненецкий АО</t>
  </si>
  <si>
    <t>Надым</t>
  </si>
  <si>
    <t>Октябрьское</t>
  </si>
  <si>
    <t>Салехард</t>
  </si>
  <si>
    <t>Сосьва</t>
  </si>
  <si>
    <t>Сургут</t>
  </si>
  <si>
    <t>Тарко-Сале</t>
  </si>
  <si>
    <t>Тобольск</t>
  </si>
  <si>
    <t>Тюмень</t>
  </si>
  <si>
    <t>Угут</t>
  </si>
  <si>
    <t xml:space="preserve">Уренгой </t>
  </si>
  <si>
    <t>Ханты-Мансийск</t>
  </si>
  <si>
    <t>Глазов</t>
  </si>
  <si>
    <t>Ижевск</t>
  </si>
  <si>
    <t>Сарапул</t>
  </si>
  <si>
    <t>Ульяновская область</t>
  </si>
  <si>
    <t>Сурское</t>
  </si>
  <si>
    <t>Ульяновск</t>
  </si>
  <si>
    <t>Хабаровский край</t>
  </si>
  <si>
    <t>Аян</t>
  </si>
  <si>
    <t>Байдуков</t>
  </si>
  <si>
    <t>Бикин</t>
  </si>
  <si>
    <t>Бира</t>
  </si>
  <si>
    <t>Вяземский</t>
  </si>
  <si>
    <t>Гвасюги</t>
  </si>
  <si>
    <t>Гроссевичи</t>
  </si>
  <si>
    <t>Де-Кастри</t>
  </si>
  <si>
    <t>Джаорэ</t>
  </si>
  <si>
    <t>Екатерино-Никольское</t>
  </si>
  <si>
    <t>Им. Полины Осипенко</t>
  </si>
  <si>
    <t>Комсомольск-на-Амуре</t>
  </si>
  <si>
    <t xml:space="preserve">Нижнетамбовское </t>
  </si>
  <si>
    <t>Николаевск-на-Амуре</t>
  </si>
  <si>
    <t>Охотск</t>
  </si>
  <si>
    <t>Сизиман</t>
  </si>
  <si>
    <t>Советская Гавань</t>
  </si>
  <si>
    <t>Софийский Прииск</t>
  </si>
  <si>
    <t>Средний Ургал</t>
  </si>
  <si>
    <t>Хабаровск</t>
  </si>
  <si>
    <t>Чумикан</t>
  </si>
  <si>
    <t>Энкэн</t>
  </si>
  <si>
    <t>Республика Хакасия</t>
  </si>
  <si>
    <t>Абакан</t>
  </si>
  <si>
    <t>Шира</t>
  </si>
  <si>
    <t>Челябинская область</t>
  </si>
  <si>
    <t>Верхнеуральск</t>
  </si>
  <si>
    <t>Нязепетровск</t>
  </si>
  <si>
    <t>Челябинск</t>
  </si>
  <si>
    <t>Грозный</t>
  </si>
  <si>
    <t>Чувашская республика</t>
  </si>
  <si>
    <t>Порецкое</t>
  </si>
  <si>
    <t>Чебоксары</t>
  </si>
  <si>
    <t>Чукотский АО</t>
  </si>
  <si>
    <t>Анадырь</t>
  </si>
  <si>
    <t>Омолон</t>
  </si>
  <si>
    <t>Островное</t>
  </si>
  <si>
    <t>Усть-Олой</t>
  </si>
  <si>
    <t>Эньмувеем</t>
  </si>
  <si>
    <t>Республика Саха (Якутия)</t>
  </si>
  <si>
    <t>Алдан</t>
  </si>
  <si>
    <t>Аллах-Юнь</t>
  </si>
  <si>
    <t>Амга</t>
  </si>
  <si>
    <t>Батамай</t>
  </si>
  <si>
    <t>Бердигястях</t>
  </si>
  <si>
    <t>Буяга</t>
  </si>
  <si>
    <t>Верхоянск</t>
  </si>
  <si>
    <t>Вилюйск</t>
  </si>
  <si>
    <t>Витим</t>
  </si>
  <si>
    <t>Воронцово</t>
  </si>
  <si>
    <t>Джалинда</t>
  </si>
  <si>
    <t>Джарджан</t>
  </si>
  <si>
    <t>Джикимда</t>
  </si>
  <si>
    <t>Дружина</t>
  </si>
  <si>
    <t>Екючю</t>
  </si>
  <si>
    <t>Жиганск</t>
  </si>
  <si>
    <t>Зырянка</t>
  </si>
  <si>
    <t>Исить</t>
  </si>
  <si>
    <t>Иэма</t>
  </si>
  <si>
    <t>Крест- Хальджай</t>
  </si>
  <si>
    <t>Кюсюр</t>
  </si>
  <si>
    <t>Ленск</t>
  </si>
  <si>
    <t>Нагорный</t>
  </si>
  <si>
    <t>Нера</t>
  </si>
  <si>
    <t>Нюрба</t>
  </si>
  <si>
    <t>Нюя</t>
  </si>
  <si>
    <t>Оймякон</t>
  </si>
  <si>
    <t>Олекминск</t>
  </si>
  <si>
    <t>Оленек</t>
  </si>
  <si>
    <t>Охотский Перевоз</t>
  </si>
  <si>
    <t>Сангар</t>
  </si>
  <si>
    <t>Саскылах</t>
  </si>
  <si>
    <t>Среднеколымск</t>
  </si>
  <si>
    <t>Сунтар</t>
  </si>
  <si>
    <t>Сухана</t>
  </si>
  <si>
    <t>Сюльдюкар</t>
  </si>
  <si>
    <t>Сюрен-Кюель</t>
  </si>
  <si>
    <t>Токо</t>
  </si>
  <si>
    <t>Томмот</t>
  </si>
  <si>
    <t>Томпо</t>
  </si>
  <si>
    <t>Туой-Хая</t>
  </si>
  <si>
    <t>Тяня</t>
  </si>
  <si>
    <t>Усть-Мая</t>
  </si>
  <si>
    <t>Усть-Миль</t>
  </si>
  <si>
    <t>Усть-Мома</t>
  </si>
  <si>
    <t>Чульман</t>
  </si>
  <si>
    <t>Чурапча</t>
  </si>
  <si>
    <t>Шелагонцы</t>
  </si>
  <si>
    <t>Эйк</t>
  </si>
  <si>
    <t>Якутск</t>
  </si>
  <si>
    <t>Ярославская область</t>
  </si>
  <si>
    <t>Ярославль</t>
  </si>
  <si>
    <t>Регионы</t>
  </si>
  <si>
    <t>Пожалуйста, выберите…</t>
  </si>
  <si>
    <t>Город</t>
  </si>
  <si>
    <t>Кабардино-Балкарская Республика</t>
  </si>
  <si>
    <t>республика Алтай</t>
  </si>
  <si>
    <t>Удмуртская Республика</t>
  </si>
  <si>
    <t>Чеченская Республика</t>
  </si>
  <si>
    <t xml:space="preserve">Чувашская Республика </t>
  </si>
  <si>
    <t>П3-2</t>
  </si>
  <si>
    <t>П3-5</t>
  </si>
  <si>
    <t>П3-3</t>
  </si>
  <si>
    <t>П3-4</t>
  </si>
  <si>
    <t xml:space="preserve">административного и общеобразовательного </t>
  </si>
  <si>
    <t>поликлиник и лечебных учреждений с полуторасменным режимом работы</t>
  </si>
  <si>
    <t>лечебных учреждений с круглосуточным режимом работы</t>
  </si>
  <si>
    <t>сервисного обслуживания, культурно-досуговой и физкультурно-оздоровительной направленности</t>
  </si>
  <si>
    <t>Совместный</t>
  </si>
  <si>
    <t>Раздельный</t>
  </si>
  <si>
    <t>Расчет с коррекцией на потребление ГВС при совместном учете, Гкал</t>
  </si>
  <si>
    <t>Грузоподъемность</t>
  </si>
  <si>
    <t>Лифты (при наличии, отдельно для каждого)</t>
  </si>
  <si>
    <t>При наличии в здании бассейна:</t>
  </si>
  <si>
    <t>суточный норматив потребления горячей воды на одного пользователя бассейном, куб. м/чел</t>
  </si>
  <si>
    <t>Пояснение</t>
  </si>
  <si>
    <t>Уровень высокой эффективности (справочно)</t>
  </si>
  <si>
    <t>Нетиповое учреждение</t>
  </si>
  <si>
    <t>неприменимо</t>
  </si>
  <si>
    <t>неприменимо*</t>
  </si>
  <si>
    <t>Детские сады различного типа</t>
  </si>
  <si>
    <t>ДЮСШ (включая спортивные школы, школы олимпийского резерва и т.п.)</t>
  </si>
  <si>
    <t>Школы искусств (художественные, хореографические)</t>
  </si>
  <si>
    <t>Музыкальные школы</t>
  </si>
  <si>
    <t>Лечебные учреждения со стационаром, медицинские центры и т.д.</t>
  </si>
  <si>
    <t>Аптеки, молочные кухни, ветеринарные аптеки</t>
  </si>
  <si>
    <t>Бассейны, водно-спортивные комплексы</t>
  </si>
  <si>
    <t>Библиотеки, читальные залы, медиатеки</t>
  </si>
  <si>
    <t>Музеи, выставки и т.п.</t>
  </si>
  <si>
    <t>Театры и кинотеатры</t>
  </si>
  <si>
    <t>Административные здания</t>
  </si>
  <si>
    <t>Собесы, биржи труда, центры занятости</t>
  </si>
  <si>
    <t>НИИ, проектные и конструкторские организации</t>
  </si>
  <si>
    <t xml:space="preserve">Общеобразовательные учреждения </t>
  </si>
  <si>
    <t>Учреждения профессионального образования</t>
  </si>
  <si>
    <t>Амбулаторно-поликлинические организации</t>
  </si>
  <si>
    <t>Больницы, в т.ч. корпуса, отделения</t>
  </si>
  <si>
    <t>Фельдшерско-акушерские пункты</t>
  </si>
  <si>
    <t>Типовые открытые спортивные сооружения</t>
  </si>
  <si>
    <t>Крытые спортивные сооружения</t>
  </si>
  <si>
    <t>Клубы</t>
  </si>
  <si>
    <t>тонн</t>
  </si>
  <si>
    <t>Топливо дизельное</t>
  </si>
  <si>
    <t>Топливо моторное</t>
  </si>
  <si>
    <t>Бензин автомобильный</t>
  </si>
  <si>
    <t>Ед.изм.</t>
  </si>
  <si>
    <t>К-т тут/ед.изм</t>
  </si>
  <si>
    <t>Легковые автомобили и автобусы</t>
  </si>
  <si>
    <t>Транспортное средство №</t>
  </si>
  <si>
    <t>Грузовые автомобили</t>
  </si>
  <si>
    <t>Пересчет на тонны условного топлива</t>
  </si>
  <si>
    <t>расчетная величина</t>
  </si>
  <si>
    <t>Ввод параметров используемых организацией транспортных средств  для определения удельного расхода</t>
  </si>
  <si>
    <t>Переходы на листы:</t>
  </si>
  <si>
    <t>Число пользователей (работников и посетителей), чел</t>
  </si>
  <si>
    <t>Способ учета потребления тепловой энергии (ТЭ)</t>
  </si>
  <si>
    <t>Потребление электрической энергии, кВтч/м2</t>
  </si>
  <si>
    <t>Потребление природного газа, м3/м2</t>
  </si>
  <si>
    <t>Функционально-типологическая группа объектов</t>
  </si>
  <si>
    <t>Потребление горячей воды, м3</t>
  </si>
  <si>
    <t>Потребление горячей воды, м3/чел</t>
  </si>
  <si>
    <t>Потребление холодной воды, м3</t>
  </si>
  <si>
    <t>Потребление холодной воды, м3/чел</t>
  </si>
  <si>
    <t>Сжиженный углеводородный газ (пропано-бутановая смесь)</t>
  </si>
  <si>
    <t>Потребление тепловой энергии на нужды отопления и вентиляции, Гкал</t>
  </si>
  <si>
    <t>Оценка удельного годового расхода электроэнергии лифтами (ф.12 Методики), кВтч/м2</t>
  </si>
  <si>
    <t>Потребление тепловой энергии на нужды отопления и вентиляции и горячего водоснабжения (ГВС), Гкал</t>
  </si>
  <si>
    <t>Потребление тепловой энергии на отопление и вентиляцию, Втч/м2/ГСОП</t>
  </si>
  <si>
    <t>Компримированный (сжатый) природный газ</t>
  </si>
  <si>
    <t>куб.м.</t>
  </si>
  <si>
    <t>кВтч</t>
  </si>
  <si>
    <t>да</t>
  </si>
  <si>
    <t>нет</t>
  </si>
  <si>
    <t>Справочно: коэффициенты пересчета тут/ед.изм</t>
  </si>
  <si>
    <t>Объем потребления</t>
  </si>
  <si>
    <t>Потребление моторного топлива, тут/л</t>
  </si>
  <si>
    <t>№ пункта Декларации</t>
  </si>
  <si>
    <t>Раздел Декларации</t>
  </si>
  <si>
    <t>Сведения об объеме используемых ресурсов в зданиях, строениях , сооружениях</t>
  </si>
  <si>
    <t>Совместный - при учете потребления теплоэнергии на отопление и вентиляцию вместе с ГВС</t>
  </si>
  <si>
    <t>Потребление электрической энергии, кВтч</t>
  </si>
  <si>
    <t>Потребление природного газа, м3</t>
  </si>
  <si>
    <t xml:space="preserve"> 12.1</t>
  </si>
  <si>
    <t xml:space="preserve"> 4.3</t>
  </si>
  <si>
    <t>Потребление топлива транспортом по видам</t>
  </si>
  <si>
    <t>Таблица П2-2. Градусо-сутки отопительного периода за 2019 г. для субъектов Российской Федерации  (°С×сутки)</t>
  </si>
  <si>
    <r>
      <t>при температуре воздуха внутри помещений (в соответствии с</t>
    </r>
    <r>
      <rPr>
        <sz val="12"/>
        <color rgb="FF000000"/>
        <rFont val="Times New Roman"/>
        <family val="1"/>
        <charset val="204"/>
      </rPr>
      <t xml:space="preserve"> </t>
    </r>
    <r>
      <rPr>
        <b/>
        <sz val="12"/>
        <color rgb="FF000000"/>
        <rFont val="Times New Roman"/>
        <family val="1"/>
        <charset val="204"/>
      </rPr>
      <t xml:space="preserve">Таблицей П2-1) </t>
    </r>
  </si>
  <si>
    <r>
      <t>18</t>
    </r>
    <r>
      <rPr>
        <vertAlign val="superscript"/>
        <sz val="12"/>
        <color rgb="FF000000"/>
        <rFont val="Times New Roman"/>
        <family val="1"/>
        <charset val="204"/>
      </rPr>
      <t>о</t>
    </r>
    <r>
      <rPr>
        <sz val="12"/>
        <color rgb="FF000000"/>
        <rFont val="Times New Roman"/>
        <family val="1"/>
        <charset val="204"/>
      </rPr>
      <t>С</t>
    </r>
  </si>
  <si>
    <r>
      <t>20</t>
    </r>
    <r>
      <rPr>
        <vertAlign val="superscript"/>
        <sz val="12"/>
        <color rgb="FF000000"/>
        <rFont val="Times New Roman"/>
        <family val="1"/>
        <charset val="204"/>
      </rPr>
      <t>о</t>
    </r>
    <r>
      <rPr>
        <sz val="12"/>
        <color rgb="FF000000"/>
        <rFont val="Times New Roman"/>
        <family val="1"/>
        <charset val="204"/>
      </rPr>
      <t>С</t>
    </r>
  </si>
  <si>
    <r>
      <t>21</t>
    </r>
    <r>
      <rPr>
        <vertAlign val="superscript"/>
        <sz val="12"/>
        <color rgb="FF000000"/>
        <rFont val="Times New Roman"/>
        <family val="1"/>
        <charset val="204"/>
      </rPr>
      <t>о</t>
    </r>
    <r>
      <rPr>
        <sz val="12"/>
        <color rgb="FF000000"/>
        <rFont val="Times New Roman"/>
        <family val="1"/>
        <charset val="204"/>
      </rPr>
      <t>С</t>
    </r>
  </si>
  <si>
    <r>
      <t>24</t>
    </r>
    <r>
      <rPr>
        <vertAlign val="superscript"/>
        <sz val="12"/>
        <color rgb="FF000000"/>
        <rFont val="Times New Roman"/>
        <family val="1"/>
        <charset val="204"/>
      </rPr>
      <t>о</t>
    </r>
    <r>
      <rPr>
        <sz val="12"/>
        <color rgb="FF000000"/>
        <rFont val="Times New Roman"/>
        <family val="1"/>
        <charset val="204"/>
      </rPr>
      <t>С</t>
    </r>
  </si>
  <si>
    <t>Республика Адыгея (Адыгея)</t>
  </si>
  <si>
    <t>Республика Саха (Якутия) (зона 1 – Якутск)</t>
  </si>
  <si>
    <t>Республика Саха (Якутия) (зона 2 - Жиганск)</t>
  </si>
  <si>
    <t>Республика Саха (Якутия) (зона 3 – Тикси)</t>
  </si>
  <si>
    <t>Республика Северная Осетия - Алания</t>
  </si>
  <si>
    <t>Чувашская Республика - Чувашия</t>
  </si>
  <si>
    <t>Красноярский край (зона 1 - Красноярск)</t>
  </si>
  <si>
    <t>Красноярский край (зона 2 – Тура)</t>
  </si>
  <si>
    <t>Красноярский край (зона 3 – Норильск)</t>
  </si>
  <si>
    <t>Тюменская область (без ХМАО и ЯНАО)</t>
  </si>
  <si>
    <t>г. Москва</t>
  </si>
  <si>
    <t>г. Санкт-Петербург</t>
  </si>
  <si>
    <t>Ненецкий автономный округ</t>
  </si>
  <si>
    <t>Ханты-Мансийский автономный округ - Югра</t>
  </si>
  <si>
    <t>Чукотский автономный округ</t>
  </si>
  <si>
    <t>Ямало-Ненецкий автономный округ</t>
  </si>
  <si>
    <t>г. Севастополь</t>
  </si>
  <si>
    <t>определяется автоматически по Приложению 2 Методических рекомендаций</t>
  </si>
  <si>
    <t>Расчет потенциала и целевого уровня снижения (ЦУС) потребления ресурсов</t>
  </si>
  <si>
    <t>Перейти к результатам расчета потенциала и ЦУС</t>
  </si>
  <si>
    <t>УР - удельный расход</t>
  </si>
  <si>
    <t>Определение УР теплоэнергии на нужды отопления и вентиляции</t>
  </si>
  <si>
    <t>Определение УР электроэнергии</t>
  </si>
  <si>
    <t>Определение УР горячей воды</t>
  </si>
  <si>
    <t>Определение УР холодной воды</t>
  </si>
  <si>
    <t>Определение УР природного газа</t>
  </si>
  <si>
    <t>Определение УР твердого топлива</t>
  </si>
  <si>
    <t>Определение УР моторного топлива</t>
  </si>
  <si>
    <t>Наличие централизованной подачи ГВС от ЦТП</t>
  </si>
  <si>
    <t>Расчет ГСОП</t>
  </si>
  <si>
    <t>Расчеты проводятся в соответствии с Методическими Рекомендациями по определению в сопоставимых условиях целевого уровня снижения государственными (муниципальными) учреждениями суммарного объема потребляемых ими дизельного и иного топлива, мазута, природного газа, тепловой энергии, электрической энергии, угля, а также объема потребляемой ими воды</t>
  </si>
  <si>
    <t>Проверка заполнения листа</t>
  </si>
  <si>
    <t>Наличие централизованной подачи ХВС</t>
  </si>
  <si>
    <t>Наличие в бюджетном учреждении собственных транспортных средств</t>
  </si>
  <si>
    <t>Рекомендации</t>
  </si>
  <si>
    <t>ПУ ТЭ</t>
  </si>
  <si>
    <t>ПУ ГВС</t>
  </si>
  <si>
    <t>ПУ ХВС</t>
  </si>
  <si>
    <t>ПУ ЭЭ</t>
  </si>
  <si>
    <t>ПУ ПГ</t>
  </si>
  <si>
    <t>Энергоаудит</t>
  </si>
  <si>
    <t>Моложе 5 лет</t>
  </si>
  <si>
    <t>Низкая темп</t>
  </si>
  <si>
    <t>Удельный расход тепловой энергии на нужды отопления и вентиляции</t>
  </si>
  <si>
    <t>Удельный расход горячей воды</t>
  </si>
  <si>
    <t>Удельный расход холодной воды</t>
  </si>
  <si>
    <t>Удельный расход электрической энергии</t>
  </si>
  <si>
    <t>Удельный расход природного газа для целей приготовления пищи</t>
  </si>
  <si>
    <t>Удельный расход топлива для целей отопления и вентиляции</t>
  </si>
  <si>
    <t>Удельный расход моторного топлива</t>
  </si>
  <si>
    <t>Пояснение: вводите отдельно по каждому пассажирскому и грузовому ТС</t>
  </si>
  <si>
    <t>Наличие на объекте газовых котлов (нагревателей), вырабатывающих тепловую энергию на нужды отопления и ГВС</t>
  </si>
  <si>
    <t xml:space="preserve">Потенциал снижения потребления </t>
  </si>
  <si>
    <t>Удельное годовое значение</t>
  </si>
  <si>
    <t>Целевой уровень экономии</t>
  </si>
  <si>
    <t>Выберите субъект</t>
  </si>
  <si>
    <t>Впишите год ввода в эксплуатацию здания</t>
  </si>
  <si>
    <t>Год ввода в эксплуатацию</t>
  </si>
  <si>
    <t>Этажность</t>
  </si>
  <si>
    <t>Без учета подвальных помещений</t>
  </si>
  <si>
    <t>Определяется автоматически согласно Приложения П2-1 Методических рекомендаций</t>
  </si>
  <si>
    <t>Общие данные по зданию</t>
  </si>
  <si>
    <t>При раздельном учете. Без учета выработки на теплонасосной установке и ВИЭ (возобновляемыми источниками энергии)</t>
  </si>
  <si>
    <t>При совместном учете. Без учета выработки на теплонасосной установке и ВИЭ (возобновляемыми источниками энергии)</t>
  </si>
  <si>
    <t>Подключение здания к централизованному теплоснабжению</t>
  </si>
  <si>
    <t>Рекомендуемое значение, можно уточнить в соответствии с технической документацией по данному бассейну</t>
  </si>
  <si>
    <t>Наличие бассейна</t>
  </si>
  <si>
    <t>При наличии, потребление электрической энергии теплонасосной установкой в календарном году, кВтч</t>
  </si>
  <si>
    <t>Указывается при наличии теплонасосной установки</t>
  </si>
  <si>
    <t>Наличие лифтов в здании</t>
  </si>
  <si>
    <t>Включает ли объем потребления, показанный выше, потребление газовыми котлами?</t>
  </si>
  <si>
    <t>Потребление топлива, тут</t>
  </si>
  <si>
    <t>Годовой пробег, км</t>
  </si>
  <si>
    <t>Паспортный расход топлива (смешанный цикл), л/100</t>
  </si>
  <si>
    <t>Базовый календарный год</t>
  </si>
  <si>
    <t>Выберите да или нет</t>
  </si>
  <si>
    <t>Введите базовый год</t>
  </si>
  <si>
    <t>Укажите наличие…</t>
  </si>
  <si>
    <t>есть</t>
  </si>
  <si>
    <t>Вид топлива</t>
  </si>
  <si>
    <t>Единицы измерения</t>
  </si>
  <si>
    <t>Коэффициенты пересчета в условное топливо по угольному эквиваленту*</t>
  </si>
  <si>
    <t>Уголь каменный</t>
  </si>
  <si>
    <t>Уголь бурый</t>
  </si>
  <si>
    <t>Сланцы горючие</t>
  </si>
  <si>
    <t>Торф топливный</t>
  </si>
  <si>
    <t>Дрова для отопления</t>
  </si>
  <si>
    <r>
      <t>м</t>
    </r>
    <r>
      <rPr>
        <vertAlign val="superscript"/>
        <sz val="12"/>
        <color rgb="FF000000"/>
        <rFont val="Times New Roman"/>
        <family val="1"/>
        <charset val="204"/>
      </rPr>
      <t>3</t>
    </r>
    <r>
      <rPr>
        <sz val="12"/>
        <color rgb="FF000000"/>
        <rFont val="Times New Roman"/>
        <family val="1"/>
        <charset val="204"/>
      </rPr>
      <t xml:space="preserve"> (плотн.)</t>
    </r>
  </si>
  <si>
    <t>Кокс металлургический</t>
  </si>
  <si>
    <t>Брикеты угольные</t>
  </si>
  <si>
    <t>Брикеты и п/брикеты торфяные</t>
  </si>
  <si>
    <t>вводите, если есть данные о суммарном потреблении в т.у.т.</t>
  </si>
  <si>
    <t>тут</t>
  </si>
  <si>
    <t>Сумма</t>
  </si>
  <si>
    <t>Расчетная величина</t>
  </si>
  <si>
    <t xml:space="preserve">Фактическая численность пользователей (работников и посетителей) здания в среднем за сутки в течение календарного года </t>
  </si>
  <si>
    <t>Режим работы</t>
  </si>
  <si>
    <t>3.2/5.2</t>
  </si>
  <si>
    <t>2/4</t>
  </si>
  <si>
    <t>4.7/6.7</t>
  </si>
  <si>
    <t>№ пункта Декларации для ГО/для Ф</t>
  </si>
  <si>
    <t xml:space="preserve"> 4.2/6.2</t>
  </si>
  <si>
    <t>11/13</t>
  </si>
  <si>
    <t>Общая площадь, м2</t>
  </si>
  <si>
    <t>5.3/7.3</t>
  </si>
  <si>
    <t xml:space="preserve"> 12.1/14.1</t>
  </si>
  <si>
    <t xml:space="preserve"> 8.2/10.2</t>
  </si>
  <si>
    <t>5.4/7.4</t>
  </si>
  <si>
    <t xml:space="preserve"> 8.4/10.4</t>
  </si>
  <si>
    <t xml:space="preserve"> 12.3/14.3</t>
  </si>
  <si>
    <t xml:space="preserve"> 8.3/10.3</t>
  </si>
  <si>
    <t xml:space="preserve"> 8.1/10.1</t>
  </si>
  <si>
    <t>5.2/7.2</t>
  </si>
  <si>
    <t xml:space="preserve"> 8.5/10.5</t>
  </si>
  <si>
    <t>6/8</t>
  </si>
  <si>
    <t>8.2/5.2</t>
  </si>
  <si>
    <t>12.2/14.2</t>
  </si>
  <si>
    <t>7.1/4.1</t>
  </si>
  <si>
    <t>7.3/4.3</t>
  </si>
  <si>
    <t>Группа определяется на основании сравнения сведений из декларации о потреблении энергетических ресурсов и Приложения П1-1 Методических рекомендаций. Если тип здания, указанный в декларации, не соответствует ни одному из перечисленных в списке Приложения П1-1 учреждений, то выбирается тип «Нетиповое учреждение»</t>
  </si>
  <si>
    <t>Если централизованная подача горячей воды отсутствует и горячая вода оплачивается по двухкомпонентному тарифу, то холодная вода на горячее водоснабжение из п. 12.3 декларации должна суммироваться с прочей холодной водой из того же пункта. Полученная сумма должна проставляться в ячейку C6 листа «4.УР холодной воды»</t>
  </si>
  <si>
    <t>Учитывается только потребление газа зданием для приготовления пищи, без учета потребления газа на выработку любых других видов энергии</t>
  </si>
  <si>
    <t>Указать, используется ли в здании топливо для выработки тепловой энергии на нужды отопления и вентиляции?</t>
  </si>
  <si>
    <t>Дата заполнения</t>
  </si>
  <si>
    <t>ФИО заполняющего</t>
  </si>
  <si>
    <t>Должность заполняющего</t>
  </si>
  <si>
    <t>Наименование учреждения</t>
  </si>
  <si>
    <t>ИНН учреждения</t>
  </si>
  <si>
    <t>Наименование здания, строения, сооружения</t>
  </si>
  <si>
    <t>Бензин</t>
  </si>
  <si>
    <t>Дизельное топливо</t>
  </si>
  <si>
    <t xml:space="preserve">Сжиженный углеводородный газ (пропан - бутан) </t>
  </si>
  <si>
    <t>Проверка заполнения листа (твердое топливо)</t>
  </si>
  <si>
    <t>Проверка заполнения листа (иное топливо)</t>
  </si>
  <si>
    <t>Сжиженный природный газ</t>
  </si>
  <si>
    <t>СПГ</t>
  </si>
  <si>
    <t xml:space="preserve"> 4.1/6.1</t>
  </si>
  <si>
    <t>4.3/6.3</t>
  </si>
  <si>
    <t>Общие сведения об объеме используемых ресурсов</t>
  </si>
  <si>
    <t>Температура внутреннего воздуха (нормативная), ⁰С</t>
  </si>
  <si>
    <t>Число дней работы в году*</t>
  </si>
  <si>
    <t>*При отсутствии точных данных, число дней работы в году принимается как число дней работы учреждения в году</t>
  </si>
  <si>
    <r>
      <t>м</t>
    </r>
    <r>
      <rPr>
        <vertAlign val="superscript"/>
        <sz val="11"/>
        <color rgb="FF000000"/>
        <rFont val="Stem"/>
        <family val="2"/>
      </rPr>
      <t>3</t>
    </r>
    <r>
      <rPr>
        <sz val="11"/>
        <color rgb="FF000000"/>
        <rFont val="Stem"/>
        <family val="2"/>
      </rPr>
      <t xml:space="preserve"> (плотн.)</t>
    </r>
  </si>
  <si>
    <t>Введите объем потреблением иного вида топлива в тут</t>
  </si>
  <si>
    <t>Потребление твердого топлива для выработки тепловой энергии на нужды отопления и вентиляции</t>
  </si>
  <si>
    <t xml:space="preserve">Иной вид топлива для выработки тепловой энергии на нужды отопления и вентиляции </t>
  </si>
  <si>
    <t>Фактическая температура внутреннего воздуха в зданиив течение отопительного периода в среднем соответствует нормативному значению?</t>
  </si>
  <si>
    <t>Впишите общую площадь здания</t>
  </si>
  <si>
    <t xml:space="preserve">Наличие прибора коммерческого учета тепловой энергии </t>
  </si>
  <si>
    <t>Наличие прибора коммерческого учета горячей воды</t>
  </si>
  <si>
    <t>Наличие прибора коммерческого учета холодной воды</t>
  </si>
  <si>
    <t>Наличие прибора коммерческого учета электрической энергии</t>
  </si>
  <si>
    <t>Наличие прибора коммерческого учета газа</t>
  </si>
  <si>
    <t>Потребление твердого топлива на нужды отопления и вентиляции, Втч/м2/ГСОП</t>
  </si>
  <si>
    <t>Потребление иного энергетического ресурса на  нужды отопления и вентиляции, Втч/м2/ГСОП</t>
  </si>
  <si>
    <t>Используется ли в здании иной вид энергетических ресурсов для выработки тепловой энергии на нужды отопления и вентиляции?</t>
  </si>
  <si>
    <t>Целевой уровень снижения 
за первый год</t>
  </si>
  <si>
    <t>Целевой уровень снижения 
за первый и второй год</t>
  </si>
  <si>
    <t>Целевой уровень снижения 
за трехлетний период</t>
  </si>
  <si>
    <t>Число дней работы бассейна в течение календарного года</t>
  </si>
  <si>
    <t>Доля пользователей бассейна от общей численности пользователей здания в течение года</t>
  </si>
  <si>
    <t>При наличии бассейна</t>
  </si>
  <si>
    <t xml:space="preserve">Величина от 0 до 100%, например, здание рассчитано на 500 пользователей, бассейн - на 250. </t>
  </si>
  <si>
    <t>ГО - здание или здание головной организации. Ф - здание филиала</t>
  </si>
  <si>
    <t>Период эксплуатации увеличенной или выбывшей полезной площади, дней</t>
  </si>
  <si>
    <t>Среднегодовая полезная площадь, м2</t>
  </si>
  <si>
    <t>Полезная площадь на начало календарного года, м2</t>
  </si>
  <si>
    <t>Изменение полезной площади в календарном году, м2</t>
  </si>
  <si>
    <t>Впишите полезную площадь здания на начало календарного года (при расчете целевого уровня снижения за календарный принимается базовый год)</t>
  </si>
  <si>
    <t>Если площадь не изменялесь, впишите 0.
Например, если площадь изменилась в середине года, значение составит 180 дней.</t>
  </si>
  <si>
    <t>Впишите 0, если площадь не изменялась. 
В случае выбытия полезной площади впишите ее значение со знаком "минус"
(при расчете целевого уровня снижения за календарный принимается базовый год)</t>
  </si>
  <si>
    <t>Наличие централизованного газоснабжения на цели приготовления  пищи</t>
  </si>
  <si>
    <t>Выберите значение для зданий административного и общеобразовательного назначения: 
- 1 смена – 8 часов в сутки; 
- 1,5 смены – 11-12 часов в сутки. 
Для других типов зданий оставьте значение по умолчанию (1 смена). 
Для типов учреждений, предполагающих круглосуточный режим (больницы, стационары), форма автоматически применяет круглосуточный режим работы.</t>
  </si>
  <si>
    <t xml:space="preserve">Автоматизированная расчетная форма для определения в сопоставимых условиях целевого уровня снижения государственными (муниципальными) учреждениями потребляемых каждым зданием этого учреждения дизельного и иного топлива, мазута, природного газа, тепловой энергии, электрической энергии, угля, объема потребляемой ими воды, а также моторного топлива транспортными средствами на балансе данного учреждения
</t>
  </si>
  <si>
    <t>Таблица П2-2. Градусо-сутки отопительного периода за 2020 г. для субъектов Российской Федерации  (°С×сутки)</t>
  </si>
  <si>
    <t>Таблица . Градусо-сутки отопительного периода за 2025 г. для субъектов Российской Федерации  (°С×сутки)</t>
  </si>
  <si>
    <t>Таблица . Градусо-сутки отопительного периода за 2024 г. для субъектов Российской Федерации  (°С×сутки)</t>
  </si>
  <si>
    <t>Таблица . Градусо-сутки отопительного периода за 2023 г. для субъектов Российской Федерации  (°С×сутки)</t>
  </si>
  <si>
    <t>Таблица . Градусо-сутки отопительного периода за 2022 г. для субъектов Российской Федерации  (°С×сутки)</t>
  </si>
  <si>
    <t>Таблица . Градусо-сутки отопительного периода за 2021 г. для субъектов Российской Федерации  (°С×сутки)</t>
  </si>
  <si>
    <t>Сбор ГСОП</t>
  </si>
  <si>
    <t>Донецкая Народная Республика</t>
  </si>
  <si>
    <t>Луганская Народная Республика</t>
  </si>
  <si>
    <t>Херсонская область</t>
  </si>
  <si>
    <t>Запорожская область</t>
  </si>
  <si>
    <t>На листе "1.Общие данные по зданию" обязательно должно быть выбрано значение да/нет в ячейке "Наличие бассейна". Если выбрано "да", то должны быть заполнены ячейки В21, В22, относящиеся к бассейну</t>
  </si>
  <si>
    <t>Такмазян Артем Юрьевич</t>
  </si>
  <si>
    <t>МБУ МО ГК «Парк культуры и отдыха»</t>
  </si>
  <si>
    <t>Административное здание</t>
  </si>
  <si>
    <t>Директор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</si>
</sst>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00"/>
    <numFmt numFmtId="165" formatCode="0.0%"/>
    <numFmt numFmtId="166" formatCode="0.0"/>
    <numFmt numFmtId="167" formatCode="0.0000"/>
    <numFmt numFmtId="168" formatCode="[$-F800]dddd\,\ mmmm\ dd\,\ yyyy"/>
    <numFmt numFmtId="169" formatCode="0.00000"/>
  </numFmts>
  <fonts count="60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9"/>
      <color theme="1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9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i/>
      <sz val="10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9"/>
      <color rgb="FF000000"/>
      <name val="Calibri"/>
      <family val="2"/>
      <charset val="204"/>
      <scheme val="minor"/>
    </font>
    <font>
      <sz val="8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vertAlign val="subscript"/>
      <sz val="12"/>
      <color rgb="FF000000"/>
      <name val="Times New Roman"/>
      <family val="1"/>
      <charset val="204"/>
    </font>
    <font>
      <vertAlign val="superscript"/>
      <sz val="12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Arial"/>
      <family val="2"/>
      <charset val="204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</font>
    <font>
      <sz val="11"/>
      <color theme="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b/>
      <sz val="14"/>
      <color theme="1"/>
      <name val="Stem"/>
      <family val="2"/>
    </font>
    <font>
      <sz val="11"/>
      <color theme="1"/>
      <name val="Stem"/>
      <family val="2"/>
    </font>
    <font>
      <sz val="14"/>
      <color theme="1"/>
      <name val="Stem"/>
      <family val="2"/>
    </font>
    <font>
      <sz val="10"/>
      <color theme="1"/>
      <name val="Stem"/>
      <family val="2"/>
    </font>
    <font>
      <sz val="10"/>
      <name val="Stem"/>
      <family val="2"/>
    </font>
    <font>
      <b/>
      <sz val="11"/>
      <color theme="1"/>
      <name val="Stem"/>
      <family val="2"/>
    </font>
    <font>
      <u/>
      <sz val="14"/>
      <color theme="10"/>
      <name val="Stem"/>
      <family val="2"/>
    </font>
    <font>
      <sz val="9"/>
      <color theme="1"/>
      <name val="Stem"/>
      <family val="2"/>
    </font>
    <font>
      <i/>
      <sz val="11"/>
      <color theme="1"/>
      <name val="Stem"/>
      <family val="2"/>
    </font>
    <font>
      <sz val="8"/>
      <color theme="1"/>
      <name val="Stem"/>
      <family val="2"/>
    </font>
    <font>
      <u/>
      <sz val="11"/>
      <color theme="10"/>
      <name val="Stem"/>
      <family val="2"/>
    </font>
    <font>
      <sz val="11"/>
      <color theme="0" tint="-0.14999847407452621"/>
      <name val="Stem"/>
      <family val="2"/>
    </font>
    <font>
      <sz val="11"/>
      <color rgb="FF000000"/>
      <name val="Stem"/>
      <family val="2"/>
    </font>
    <font>
      <sz val="12"/>
      <color rgb="FF000000"/>
      <name val="Stem"/>
      <family val="2"/>
    </font>
    <font>
      <vertAlign val="superscript"/>
      <sz val="11"/>
      <color rgb="FF000000"/>
      <name val="Stem"/>
      <family val="2"/>
    </font>
    <font>
      <sz val="10"/>
      <color rgb="FF000000"/>
      <name val="Stem"/>
      <family val="2"/>
    </font>
    <font>
      <sz val="12"/>
      <color theme="1"/>
      <name val="Stem"/>
      <family val="2"/>
    </font>
    <font>
      <sz val="10"/>
      <color rgb="FFFF0000"/>
      <name val="Stem"/>
      <family val="2"/>
    </font>
  </fonts>
  <fills count="22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lightUp">
        <fgColor theme="0" tint="-0.14996795556505021"/>
        <bgColor theme="0" tint="-4.9989318521683403E-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E69F"/>
        <bgColor indexed="64"/>
      </patternFill>
    </fill>
    <fill>
      <patternFill patternType="lightUp">
        <fgColor theme="0" tint="-0.14996795556505021"/>
        <bgColor rgb="FFFFE69F"/>
      </patternFill>
    </fill>
    <fill>
      <patternFill patternType="lightUp">
        <fgColor theme="0" tint="-0.14996795556505021"/>
        <bgColor rgb="FFE4F0F8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/>
        <bgColor indexed="64"/>
      </patternFill>
    </fill>
    <fill>
      <patternFill patternType="solid">
        <fgColor rgb="FFEBFFFF"/>
        <bgColor indexed="64"/>
      </patternFill>
    </fill>
    <fill>
      <patternFill patternType="lightUp">
        <fgColor theme="0" tint="-0.14996795556505021"/>
        <bgColor theme="2" tint="-9.9978637043366805E-2"/>
      </patternFill>
    </fill>
    <fill>
      <patternFill patternType="solid">
        <fgColor rgb="FF00B0F0"/>
        <bgColor indexed="64"/>
      </patternFill>
    </fill>
    <fill>
      <patternFill patternType="solid">
        <fgColor auto="1"/>
        <bgColor auto="1"/>
      </patternFill>
    </fill>
    <fill>
      <patternFill patternType="solid">
        <fgColor rgb="FF42B3AA"/>
        <bgColor indexed="64"/>
      </patternFill>
    </fill>
    <fill>
      <patternFill patternType="solid">
        <fgColor rgb="FF34A0C3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00FFCC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9" fontId="8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6" fillId="0" borderId="0"/>
    <xf numFmtId="0" fontId="35" fillId="0" borderId="0" applyNumberFormat="0" applyFont="0" applyFill="0" applyBorder="0" applyAlignment="0" applyProtection="0">
      <alignment vertical="top"/>
    </xf>
    <xf numFmtId="0" fontId="37" fillId="0" borderId="0"/>
    <xf numFmtId="0" fontId="41" fillId="0" borderId="0" applyNumberFormat="0" applyFill="0" applyBorder="0" applyAlignment="0" applyProtection="0"/>
  </cellStyleXfs>
  <cellXfs count="548">
    <xf numFmtId="0" fontId="0" fillId="0" borderId="0" xfId="0"/>
    <xf numFmtId="0" fontId="9" fillId="0" borderId="7" xfId="0" applyFont="1" applyBorder="1" applyAlignment="1">
      <alignment horizontal="center" vertical="top" wrapText="1"/>
    </xf>
    <xf numFmtId="0" fontId="10" fillId="0" borderId="4" xfId="0" applyFont="1" applyBorder="1" applyAlignment="1">
      <alignment horizontal="center" wrapText="1"/>
    </xf>
    <xf numFmtId="0" fontId="9" fillId="0" borderId="4" xfId="0" applyFont="1" applyBorder="1" applyAlignment="1">
      <alignment horizontal="center" wrapText="1"/>
    </xf>
    <xf numFmtId="0" fontId="9" fillId="0" borderId="7" xfId="0" applyFont="1" applyBorder="1" applyAlignment="1">
      <alignment horizontal="center" wrapText="1"/>
    </xf>
    <xf numFmtId="0" fontId="9" fillId="0" borderId="4" xfId="0" applyFont="1" applyBorder="1" applyAlignment="1">
      <alignment vertical="top" wrapText="1"/>
    </xf>
    <xf numFmtId="0" fontId="9" fillId="0" borderId="4" xfId="0" applyFont="1" applyBorder="1" applyAlignment="1">
      <alignment wrapText="1"/>
    </xf>
    <xf numFmtId="0" fontId="9" fillId="0" borderId="4" xfId="0" applyFont="1" applyBorder="1" applyAlignment="1">
      <alignment horizontal="center" vertical="top" wrapText="1"/>
    </xf>
    <xf numFmtId="0" fontId="9" fillId="0" borderId="4" xfId="0" quotePrefix="1" applyFont="1" applyBorder="1" applyAlignment="1">
      <alignment horizontal="center" wrapText="1"/>
    </xf>
    <xf numFmtId="0" fontId="0" fillId="0" borderId="0" xfId="0" quotePrefix="1"/>
    <xf numFmtId="0" fontId="11" fillId="0" borderId="10" xfId="0" applyFont="1" applyBorder="1" applyAlignment="1">
      <alignment horizontal="center" wrapText="1"/>
    </xf>
    <xf numFmtId="0" fontId="9" fillId="0" borderId="9" xfId="0" applyFont="1" applyBorder="1" applyAlignment="1">
      <alignment horizontal="center" vertical="top" wrapText="1"/>
    </xf>
    <xf numFmtId="164" fontId="9" fillId="0" borderId="7" xfId="0" applyNumberFormat="1" applyFont="1" applyBorder="1" applyAlignment="1">
      <alignment horizontal="center" vertical="top" wrapText="1"/>
    </xf>
    <xf numFmtId="0" fontId="13" fillId="3" borderId="0" xfId="0" applyFont="1" applyFill="1" applyAlignment="1">
      <alignment horizontal="center"/>
    </xf>
    <xf numFmtId="165" fontId="9" fillId="0" borderId="9" xfId="1" applyNumberFormat="1" applyFont="1" applyBorder="1" applyAlignment="1">
      <alignment horizontal="center" vertical="top" wrapText="1"/>
    </xf>
    <xf numFmtId="165" fontId="9" fillId="0" borderId="0" xfId="0" applyNumberFormat="1" applyFont="1" applyAlignment="1">
      <alignment horizontal="center" vertical="top" wrapText="1"/>
    </xf>
    <xf numFmtId="0" fontId="0" fillId="3" borderId="0" xfId="0" quotePrefix="1" applyFill="1"/>
    <xf numFmtId="0" fontId="0" fillId="3" borderId="0" xfId="0" applyFill="1"/>
    <xf numFmtId="164" fontId="0" fillId="3" borderId="0" xfId="0" applyNumberFormat="1" applyFill="1"/>
    <xf numFmtId="165" fontId="9" fillId="4" borderId="6" xfId="0" applyNumberFormat="1" applyFont="1" applyFill="1" applyBorder="1" applyAlignment="1">
      <alignment horizontal="center" vertical="top" wrapText="1"/>
    </xf>
    <xf numFmtId="0" fontId="15" fillId="0" borderId="7" xfId="0" applyFont="1" applyBorder="1" applyAlignment="1">
      <alignment horizontal="center" wrapText="1"/>
    </xf>
    <xf numFmtId="0" fontId="10" fillId="0" borderId="7" xfId="0" applyFont="1" applyBorder="1" applyAlignment="1">
      <alignment horizontal="center" wrapText="1"/>
    </xf>
    <xf numFmtId="0" fontId="16" fillId="0" borderId="7" xfId="0" applyFont="1" applyBorder="1" applyAlignment="1">
      <alignment horizontal="center" wrapText="1"/>
    </xf>
    <xf numFmtId="0" fontId="9" fillId="2" borderId="4" xfId="0" applyFont="1" applyFill="1" applyBorder="1" applyAlignment="1">
      <alignment horizont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165" fontId="9" fillId="4" borderId="0" xfId="0" applyNumberFormat="1" applyFont="1" applyFill="1" applyAlignment="1">
      <alignment horizontal="center" vertical="top" wrapText="1"/>
    </xf>
    <xf numFmtId="0" fontId="9" fillId="0" borderId="9" xfId="0" quotePrefix="1" applyFont="1" applyBorder="1" applyAlignment="1">
      <alignment horizontal="center" wrapText="1"/>
    </xf>
    <xf numFmtId="0" fontId="12" fillId="2" borderId="9" xfId="0" applyFont="1" applyFill="1" applyBorder="1" applyAlignment="1">
      <alignment horizontal="center" wrapText="1"/>
    </xf>
    <xf numFmtId="0" fontId="9" fillId="0" borderId="9" xfId="0" applyFont="1" applyBorder="1" applyAlignment="1">
      <alignment horizontal="center" wrapText="1"/>
    </xf>
    <xf numFmtId="166" fontId="12" fillId="2" borderId="9" xfId="0" applyNumberFormat="1" applyFont="1" applyFill="1" applyBorder="1" applyAlignment="1">
      <alignment horizontal="center" wrapText="1"/>
    </xf>
    <xf numFmtId="0" fontId="12" fillId="0" borderId="9" xfId="0" applyFont="1" applyBorder="1" applyAlignment="1">
      <alignment horizontal="center" wrapText="1"/>
    </xf>
    <xf numFmtId="165" fontId="9" fillId="0" borderId="9" xfId="0" applyNumberFormat="1" applyFont="1" applyBorder="1" applyAlignment="1">
      <alignment horizontal="center" vertical="top" wrapText="1"/>
    </xf>
    <xf numFmtId="0" fontId="9" fillId="0" borderId="9" xfId="0" applyFont="1" applyBorder="1" applyAlignment="1">
      <alignment vertical="top" wrapText="1"/>
    </xf>
    <xf numFmtId="164" fontId="9" fillId="0" borderId="9" xfId="0" applyNumberFormat="1" applyFont="1" applyBorder="1" applyAlignment="1">
      <alignment horizontal="center" vertical="top" wrapText="1"/>
    </xf>
    <xf numFmtId="0" fontId="9" fillId="0" borderId="9" xfId="0" applyFont="1" applyBorder="1" applyAlignment="1">
      <alignment wrapText="1"/>
    </xf>
    <xf numFmtId="0" fontId="0" fillId="4" borderId="0" xfId="0" applyFill="1"/>
    <xf numFmtId="0" fontId="9" fillId="4" borderId="7" xfId="0" applyFont="1" applyFill="1" applyBorder="1" applyAlignment="1">
      <alignment horizontal="center" vertical="top" wrapText="1"/>
    </xf>
    <xf numFmtId="165" fontId="9" fillId="4" borderId="9" xfId="1" applyNumberFormat="1" applyFont="1" applyFill="1" applyBorder="1" applyAlignment="1">
      <alignment horizontal="center" vertical="top" wrapText="1"/>
    </xf>
    <xf numFmtId="0" fontId="9" fillId="4" borderId="9" xfId="0" applyFont="1" applyFill="1" applyBorder="1" applyAlignment="1">
      <alignment horizontal="center" vertical="top" wrapText="1"/>
    </xf>
    <xf numFmtId="165" fontId="9" fillId="4" borderId="9" xfId="0" applyNumberFormat="1" applyFont="1" applyFill="1" applyBorder="1" applyAlignment="1">
      <alignment horizontal="center" vertical="top" wrapText="1"/>
    </xf>
    <xf numFmtId="164" fontId="9" fillId="4" borderId="9" xfId="0" applyNumberFormat="1" applyFont="1" applyFill="1" applyBorder="1" applyAlignment="1">
      <alignment horizontal="center" vertical="top" wrapText="1"/>
    </xf>
    <xf numFmtId="164" fontId="12" fillId="4" borderId="9" xfId="0" applyNumberFormat="1" applyFont="1" applyFill="1" applyBorder="1" applyAlignment="1">
      <alignment horizontal="center" wrapText="1"/>
    </xf>
    <xf numFmtId="0" fontId="11" fillId="4" borderId="12" xfId="0" applyFont="1" applyFill="1" applyBorder="1" applyAlignment="1">
      <alignment horizontal="center" wrapText="1"/>
    </xf>
    <xf numFmtId="0" fontId="11" fillId="4" borderId="10" xfId="0" applyFont="1" applyFill="1" applyBorder="1" applyAlignment="1">
      <alignment horizontal="center" wrapText="1"/>
    </xf>
    <xf numFmtId="164" fontId="9" fillId="4" borderId="7" xfId="0" applyNumberFormat="1" applyFont="1" applyFill="1" applyBorder="1" applyAlignment="1">
      <alignment horizontal="center" vertical="top" wrapText="1"/>
    </xf>
    <xf numFmtId="164" fontId="12" fillId="4" borderId="7" xfId="0" applyNumberFormat="1" applyFont="1" applyFill="1" applyBorder="1" applyAlignment="1">
      <alignment horizontal="center" wrapText="1"/>
    </xf>
    <xf numFmtId="0" fontId="9" fillId="4" borderId="11" xfId="0" applyFont="1" applyFill="1" applyBorder="1" applyAlignment="1">
      <alignment horizontal="center" vertical="top" wrapText="1"/>
    </xf>
    <xf numFmtId="0" fontId="0" fillId="4" borderId="0" xfId="0" quotePrefix="1" applyFill="1"/>
    <xf numFmtId="165" fontId="9" fillId="5" borderId="9" xfId="0" applyNumberFormat="1" applyFont="1" applyFill="1" applyBorder="1" applyAlignment="1">
      <alignment horizontal="center" vertical="top" wrapText="1"/>
    </xf>
    <xf numFmtId="0" fontId="10" fillId="0" borderId="9" xfId="0" applyFont="1" applyBorder="1" applyAlignment="1">
      <alignment horizontal="center" wrapText="1"/>
    </xf>
    <xf numFmtId="0" fontId="11" fillId="0" borderId="9" xfId="0" applyFont="1" applyBorder="1" applyAlignment="1">
      <alignment horizontal="center" wrapText="1"/>
    </xf>
    <xf numFmtId="0" fontId="11" fillId="4" borderId="9" xfId="0" applyFont="1" applyFill="1" applyBorder="1" applyAlignment="1">
      <alignment horizontal="center" wrapText="1"/>
    </xf>
    <xf numFmtId="0" fontId="9" fillId="2" borderId="9" xfId="0" applyFont="1" applyFill="1" applyBorder="1" applyAlignment="1">
      <alignment horizontal="center" wrapText="1"/>
    </xf>
    <xf numFmtId="0" fontId="9" fillId="2" borderId="4" xfId="0" applyFont="1" applyFill="1" applyBorder="1" applyAlignment="1">
      <alignment horizontal="center" vertical="center" wrapText="1"/>
    </xf>
    <xf numFmtId="0" fontId="0" fillId="0" borderId="9" xfId="0" quotePrefix="1" applyBorder="1"/>
    <xf numFmtId="0" fontId="0" fillId="4" borderId="9" xfId="0" quotePrefix="1" applyFill="1" applyBorder="1"/>
    <xf numFmtId="0" fontId="9" fillId="0" borderId="9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wrapText="1"/>
    </xf>
    <xf numFmtId="0" fontId="15" fillId="0" borderId="0" xfId="0" applyFont="1"/>
    <xf numFmtId="0" fontId="17" fillId="3" borderId="8" xfId="0" applyFont="1" applyFill="1" applyBorder="1" applyAlignment="1">
      <alignment horizontal="center"/>
    </xf>
    <xf numFmtId="0" fontId="17" fillId="3" borderId="1" xfId="0" applyFont="1" applyFill="1" applyBorder="1" applyAlignment="1">
      <alignment horizontal="center"/>
    </xf>
    <xf numFmtId="165" fontId="15" fillId="4" borderId="8" xfId="0" applyNumberFormat="1" applyFont="1" applyFill="1" applyBorder="1" applyAlignment="1">
      <alignment horizontal="center" vertical="center" wrapText="1"/>
    </xf>
    <xf numFmtId="165" fontId="15" fillId="4" borderId="1" xfId="0" applyNumberFormat="1" applyFont="1" applyFill="1" applyBorder="1" applyAlignment="1">
      <alignment horizontal="center" vertical="center" wrapText="1"/>
    </xf>
    <xf numFmtId="165" fontId="15" fillId="4" borderId="5" xfId="0" applyNumberFormat="1" applyFont="1" applyFill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top" wrapText="1"/>
    </xf>
    <xf numFmtId="0" fontId="15" fillId="0" borderId="7" xfId="0" applyFont="1" applyBorder="1" applyAlignment="1">
      <alignment horizontal="center" vertical="center" wrapText="1"/>
    </xf>
    <xf numFmtId="0" fontId="15" fillId="0" borderId="8" xfId="0" quotePrefix="1" applyFont="1" applyBorder="1" applyAlignment="1">
      <alignment horizontal="center" vertical="center"/>
    </xf>
    <xf numFmtId="0" fontId="15" fillId="0" borderId="1" xfId="0" quotePrefix="1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5" fillId="0" borderId="13" xfId="0" quotePrefix="1" applyFont="1" applyBorder="1" applyAlignment="1">
      <alignment horizontal="center" vertical="center" wrapText="1"/>
    </xf>
    <xf numFmtId="0" fontId="14" fillId="2" borderId="14" xfId="0" applyFont="1" applyFill="1" applyBorder="1" applyAlignment="1">
      <alignment horizontal="center" vertical="center" wrapText="1"/>
    </xf>
    <xf numFmtId="165" fontId="9" fillId="0" borderId="15" xfId="1" applyNumberFormat="1" applyFont="1" applyBorder="1" applyAlignment="1">
      <alignment horizontal="center" vertical="top" wrapText="1"/>
    </xf>
    <xf numFmtId="165" fontId="15" fillId="0" borderId="16" xfId="1" applyNumberFormat="1" applyFont="1" applyBorder="1" applyAlignment="1">
      <alignment horizontal="center" vertical="center" wrapText="1"/>
    </xf>
    <xf numFmtId="165" fontId="15" fillId="0" borderId="17" xfId="1" applyNumberFormat="1" applyFont="1" applyBorder="1" applyAlignment="1">
      <alignment horizontal="center" vertical="center" wrapText="1"/>
    </xf>
    <xf numFmtId="0" fontId="15" fillId="0" borderId="18" xfId="0" quotePrefix="1" applyFont="1" applyBorder="1" applyAlignment="1">
      <alignment horizontal="center" vertical="center" wrapText="1"/>
    </xf>
    <xf numFmtId="0" fontId="14" fillId="2" borderId="19" xfId="0" applyFont="1" applyFill="1" applyBorder="1" applyAlignment="1">
      <alignment horizontal="center" vertical="center" wrapText="1"/>
    </xf>
    <xf numFmtId="165" fontId="15" fillId="0" borderId="9" xfId="1" applyNumberFormat="1" applyFont="1" applyBorder="1" applyAlignment="1">
      <alignment horizontal="center" vertical="center" wrapText="1"/>
    </xf>
    <xf numFmtId="165" fontId="15" fillId="0" borderId="20" xfId="1" applyNumberFormat="1" applyFont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center" wrapText="1"/>
    </xf>
    <xf numFmtId="0" fontId="15" fillId="0" borderId="21" xfId="0" applyFont="1" applyBorder="1" applyAlignment="1">
      <alignment horizontal="center" vertical="center" wrapText="1"/>
    </xf>
    <xf numFmtId="166" fontId="9" fillId="0" borderId="22" xfId="0" applyNumberFormat="1" applyFont="1" applyBorder="1" applyAlignment="1">
      <alignment horizontal="center" vertical="center" wrapText="1"/>
    </xf>
    <xf numFmtId="166" fontId="15" fillId="0" borderId="23" xfId="0" applyNumberFormat="1" applyFont="1" applyBorder="1" applyAlignment="1">
      <alignment horizontal="center" vertical="center" wrapText="1"/>
    </xf>
    <xf numFmtId="0" fontId="15" fillId="0" borderId="23" xfId="0" applyFont="1" applyBorder="1" applyAlignment="1">
      <alignment horizontal="center" vertical="center" wrapText="1"/>
    </xf>
    <xf numFmtId="0" fontId="15" fillId="0" borderId="24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wrapText="1"/>
    </xf>
    <xf numFmtId="0" fontId="14" fillId="0" borderId="25" xfId="0" applyFont="1" applyBorder="1" applyAlignment="1">
      <alignment horizontal="center" vertical="center" wrapText="1"/>
    </xf>
    <xf numFmtId="0" fontId="15" fillId="0" borderId="26" xfId="0" applyFont="1" applyBorder="1" applyAlignment="1">
      <alignment horizontal="center" vertical="center" wrapText="1"/>
    </xf>
    <xf numFmtId="165" fontId="15" fillId="0" borderId="26" xfId="0" applyNumberFormat="1" applyFont="1" applyBorder="1" applyAlignment="1">
      <alignment horizontal="center" vertical="center" wrapText="1"/>
    </xf>
    <xf numFmtId="165" fontId="15" fillId="0" borderId="27" xfId="0" applyNumberFormat="1" applyFont="1" applyBorder="1" applyAlignment="1">
      <alignment horizontal="center" vertical="center" wrapText="1"/>
    </xf>
    <xf numFmtId="0" fontId="15" fillId="0" borderId="28" xfId="0" applyFont="1" applyBorder="1" applyAlignment="1">
      <alignment vertical="top" wrapText="1"/>
    </xf>
    <xf numFmtId="166" fontId="14" fillId="0" borderId="29" xfId="0" applyNumberFormat="1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166" fontId="14" fillId="0" borderId="15" xfId="0" applyNumberFormat="1" applyFont="1" applyBorder="1" applyAlignment="1">
      <alignment horizontal="center" vertical="center" wrapText="1"/>
    </xf>
    <xf numFmtId="166" fontId="15" fillId="0" borderId="15" xfId="0" applyNumberFormat="1" applyFont="1" applyBorder="1" applyAlignment="1">
      <alignment horizontal="center" vertical="center" wrapText="1"/>
    </xf>
    <xf numFmtId="166" fontId="15" fillId="0" borderId="30" xfId="0" applyNumberFormat="1" applyFont="1" applyBorder="1" applyAlignment="1">
      <alignment horizontal="center" vertical="center" wrapText="1"/>
    </xf>
    <xf numFmtId="0" fontId="15" fillId="0" borderId="31" xfId="0" applyFont="1" applyBorder="1" applyAlignment="1">
      <alignment vertical="top" wrapText="1"/>
    </xf>
    <xf numFmtId="166" fontId="14" fillId="0" borderId="19" xfId="0" applyNumberFormat="1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166" fontId="15" fillId="0" borderId="9" xfId="0" applyNumberFormat="1" applyFont="1" applyBorder="1" applyAlignment="1">
      <alignment horizontal="center" vertical="center" wrapText="1"/>
    </xf>
    <xf numFmtId="166" fontId="15" fillId="0" borderId="20" xfId="0" applyNumberFormat="1" applyFont="1" applyBorder="1" applyAlignment="1">
      <alignment horizontal="center" vertical="center" wrapText="1"/>
    </xf>
    <xf numFmtId="0" fontId="15" fillId="0" borderId="32" xfId="0" applyFont="1" applyBorder="1" applyAlignment="1">
      <alignment wrapText="1"/>
    </xf>
    <xf numFmtId="166" fontId="15" fillId="0" borderId="22" xfId="0" applyNumberFormat="1" applyFont="1" applyBorder="1" applyAlignment="1">
      <alignment horizontal="center" vertical="center" wrapText="1"/>
    </xf>
    <xf numFmtId="166" fontId="15" fillId="0" borderId="24" xfId="0" applyNumberFormat="1" applyFont="1" applyBorder="1" applyAlignment="1">
      <alignment horizontal="center" vertical="center" wrapText="1"/>
    </xf>
    <xf numFmtId="0" fontId="15" fillId="0" borderId="8" xfId="0" applyFont="1" applyBorder="1" applyAlignment="1">
      <alignment vertical="top" wrapText="1"/>
    </xf>
    <xf numFmtId="0" fontId="15" fillId="0" borderId="1" xfId="0" applyFont="1" applyBorder="1" applyAlignment="1">
      <alignment horizontal="center" vertical="center"/>
    </xf>
    <xf numFmtId="0" fontId="15" fillId="3" borderId="33" xfId="0" quotePrefix="1" applyFont="1" applyFill="1" applyBorder="1"/>
    <xf numFmtId="166" fontId="15" fillId="3" borderId="28" xfId="0" applyNumberFormat="1" applyFont="1" applyFill="1" applyBorder="1" applyAlignment="1">
      <alignment horizontal="center" vertical="center"/>
    </xf>
    <xf numFmtId="0" fontId="15" fillId="3" borderId="18" xfId="0" quotePrefix="1" applyFont="1" applyFill="1" applyBorder="1"/>
    <xf numFmtId="166" fontId="15" fillId="3" borderId="31" xfId="0" applyNumberFormat="1" applyFont="1" applyFill="1" applyBorder="1" applyAlignment="1">
      <alignment horizontal="center" vertical="center"/>
    </xf>
    <xf numFmtId="0" fontId="15" fillId="3" borderId="21" xfId="0" quotePrefix="1" applyFont="1" applyFill="1" applyBorder="1"/>
    <xf numFmtId="166" fontId="15" fillId="3" borderId="32" xfId="0" applyNumberFormat="1" applyFont="1" applyFill="1" applyBorder="1" applyAlignment="1">
      <alignment horizontal="center" vertical="center"/>
    </xf>
    <xf numFmtId="0" fontId="19" fillId="0" borderId="7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5" fillId="0" borderId="34" xfId="0" quotePrefix="1" applyFont="1" applyBorder="1" applyAlignment="1">
      <alignment horizontal="center" vertical="center" wrapText="1"/>
    </xf>
    <xf numFmtId="166" fontId="14" fillId="2" borderId="35" xfId="0" applyNumberFormat="1" applyFont="1" applyFill="1" applyBorder="1" applyAlignment="1">
      <alignment horizontal="center" vertical="center" wrapText="1"/>
    </xf>
    <xf numFmtId="0" fontId="15" fillId="0" borderId="31" xfId="0" quotePrefix="1" applyFont="1" applyBorder="1" applyAlignment="1">
      <alignment horizontal="center" vertical="center" wrapText="1"/>
    </xf>
    <xf numFmtId="166" fontId="14" fillId="2" borderId="12" xfId="0" applyNumberFormat="1" applyFont="1" applyFill="1" applyBorder="1" applyAlignment="1">
      <alignment horizontal="center" vertical="center" wrapText="1"/>
    </xf>
    <xf numFmtId="0" fontId="15" fillId="0" borderId="31" xfId="0" applyFont="1" applyBorder="1" applyAlignment="1">
      <alignment horizontal="center" vertical="center" wrapText="1"/>
    </xf>
    <xf numFmtId="0" fontId="15" fillId="0" borderId="32" xfId="0" applyFont="1" applyBorder="1" applyAlignment="1">
      <alignment horizontal="center" vertical="center" wrapText="1"/>
    </xf>
    <xf numFmtId="0" fontId="14" fillId="0" borderId="36" xfId="0" applyFont="1" applyBorder="1" applyAlignment="1">
      <alignment horizontal="center" vertical="center" wrapText="1"/>
    </xf>
    <xf numFmtId="0" fontId="14" fillId="0" borderId="37" xfId="0" applyFont="1" applyBorder="1" applyAlignment="1">
      <alignment horizontal="center" vertical="center" wrapText="1"/>
    </xf>
    <xf numFmtId="0" fontId="15" fillId="0" borderId="38" xfId="0" applyFont="1" applyBorder="1" applyAlignment="1">
      <alignment horizontal="center" vertical="center" wrapText="1"/>
    </xf>
    <xf numFmtId="165" fontId="15" fillId="0" borderId="38" xfId="0" applyNumberFormat="1" applyFont="1" applyBorder="1" applyAlignment="1">
      <alignment horizontal="center" vertical="center" wrapText="1"/>
    </xf>
    <xf numFmtId="165" fontId="15" fillId="0" borderId="39" xfId="0" applyNumberFormat="1" applyFont="1" applyBorder="1" applyAlignment="1">
      <alignment horizontal="center" vertical="center" wrapText="1"/>
    </xf>
    <xf numFmtId="0" fontId="14" fillId="0" borderId="29" xfId="0" applyFont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2" fontId="14" fillId="2" borderId="14" xfId="0" applyNumberFormat="1" applyFont="1" applyFill="1" applyBorder="1" applyAlignment="1">
      <alignment horizontal="center" vertical="center" wrapText="1"/>
    </xf>
    <xf numFmtId="2" fontId="14" fillId="2" borderId="19" xfId="0" applyNumberFormat="1" applyFont="1" applyFill="1" applyBorder="1" applyAlignment="1">
      <alignment horizontal="center" vertical="center" wrapText="1"/>
    </xf>
    <xf numFmtId="2" fontId="14" fillId="0" borderId="22" xfId="0" applyNumberFormat="1" applyFont="1" applyBorder="1" applyAlignment="1">
      <alignment horizontal="center" vertical="center" wrapText="1"/>
    </xf>
    <xf numFmtId="2" fontId="14" fillId="0" borderId="15" xfId="0" applyNumberFormat="1" applyFont="1" applyBorder="1" applyAlignment="1">
      <alignment horizontal="center" vertical="center" wrapText="1"/>
    </xf>
    <xf numFmtId="2" fontId="15" fillId="0" borderId="15" xfId="0" applyNumberFormat="1" applyFont="1" applyBorder="1" applyAlignment="1">
      <alignment horizontal="center" vertical="center" wrapText="1"/>
    </xf>
    <xf numFmtId="2" fontId="15" fillId="0" borderId="30" xfId="0" applyNumberFormat="1" applyFont="1" applyBorder="1" applyAlignment="1">
      <alignment horizontal="center" vertical="center" wrapText="1"/>
    </xf>
    <xf numFmtId="2" fontId="15" fillId="0" borderId="9" xfId="0" applyNumberFormat="1" applyFont="1" applyBorder="1" applyAlignment="1">
      <alignment horizontal="center" vertical="center" wrapText="1"/>
    </xf>
    <xf numFmtId="2" fontId="15" fillId="0" borderId="20" xfId="0" applyNumberFormat="1" applyFont="1" applyBorder="1" applyAlignment="1">
      <alignment horizontal="center" vertical="center" wrapText="1"/>
    </xf>
    <xf numFmtId="2" fontId="15" fillId="0" borderId="23" xfId="0" applyNumberFormat="1" applyFont="1" applyBorder="1" applyAlignment="1">
      <alignment horizontal="center" vertical="center" wrapText="1"/>
    </xf>
    <xf numFmtId="2" fontId="15" fillId="0" borderId="24" xfId="0" applyNumberFormat="1" applyFont="1" applyBorder="1" applyAlignment="1">
      <alignment horizontal="center" vertical="center" wrapText="1"/>
    </xf>
    <xf numFmtId="2" fontId="15" fillId="3" borderId="28" xfId="0" applyNumberFormat="1" applyFont="1" applyFill="1" applyBorder="1" applyAlignment="1">
      <alignment horizontal="center" vertical="center"/>
    </xf>
    <xf numFmtId="2" fontId="15" fillId="3" borderId="31" xfId="0" applyNumberFormat="1" applyFont="1" applyFill="1" applyBorder="1" applyAlignment="1">
      <alignment horizontal="center" vertical="center"/>
    </xf>
    <xf numFmtId="2" fontId="15" fillId="3" borderId="32" xfId="0" applyNumberFormat="1" applyFont="1" applyFill="1" applyBorder="1" applyAlignment="1">
      <alignment horizontal="center" vertical="center"/>
    </xf>
    <xf numFmtId="166" fontId="14" fillId="0" borderId="36" xfId="0" applyNumberFormat="1" applyFont="1" applyBorder="1" applyAlignment="1">
      <alignment horizontal="center" vertical="center" wrapText="1"/>
    </xf>
    <xf numFmtId="0" fontId="14" fillId="2" borderId="35" xfId="0" applyFont="1" applyFill="1" applyBorder="1" applyAlignment="1">
      <alignment horizontal="center" vertical="center" wrapText="1"/>
    </xf>
    <xf numFmtId="0" fontId="14" fillId="2" borderId="12" xfId="0" applyFont="1" applyFill="1" applyBorder="1" applyAlignment="1">
      <alignment horizontal="center" vertical="center" wrapText="1"/>
    </xf>
    <xf numFmtId="0" fontId="15" fillId="3" borderId="28" xfId="0" applyFont="1" applyFill="1" applyBorder="1" applyAlignment="1">
      <alignment horizontal="center" vertical="center"/>
    </xf>
    <xf numFmtId="164" fontId="15" fillId="3" borderId="31" xfId="0" applyNumberFormat="1" applyFont="1" applyFill="1" applyBorder="1" applyAlignment="1">
      <alignment horizontal="center" vertical="center"/>
    </xf>
    <xf numFmtId="164" fontId="15" fillId="3" borderId="32" xfId="0" applyNumberFormat="1" applyFont="1" applyFill="1" applyBorder="1" applyAlignment="1">
      <alignment horizontal="center" vertical="center"/>
    </xf>
    <xf numFmtId="166" fontId="14" fillId="2" borderId="14" xfId="0" applyNumberFormat="1" applyFont="1" applyFill="1" applyBorder="1" applyAlignment="1">
      <alignment horizontal="center" vertical="center" wrapText="1"/>
    </xf>
    <xf numFmtId="166" fontId="14" fillId="2" borderId="19" xfId="0" applyNumberFormat="1" applyFont="1" applyFill="1" applyBorder="1" applyAlignment="1">
      <alignment horizontal="center" vertical="center" wrapText="1"/>
    </xf>
    <xf numFmtId="166" fontId="9" fillId="2" borderId="9" xfId="0" applyNumberFormat="1" applyFont="1" applyFill="1" applyBorder="1" applyAlignment="1">
      <alignment horizontal="center" wrapText="1"/>
    </xf>
    <xf numFmtId="166" fontId="9" fillId="0" borderId="9" xfId="0" applyNumberFormat="1" applyFont="1" applyBorder="1" applyAlignment="1">
      <alignment horizontal="center" wrapText="1"/>
    </xf>
    <xf numFmtId="0" fontId="9" fillId="0" borderId="40" xfId="0" quotePrefix="1" applyFont="1" applyBorder="1" applyAlignment="1">
      <alignment horizontal="center" wrapText="1"/>
    </xf>
    <xf numFmtId="0" fontId="9" fillId="0" borderId="40" xfId="0" applyFont="1" applyBorder="1" applyAlignment="1">
      <alignment horizontal="center" wrapText="1"/>
    </xf>
    <xf numFmtId="165" fontId="9" fillId="0" borderId="12" xfId="1" applyNumberFormat="1" applyFont="1" applyBorder="1" applyAlignment="1">
      <alignment horizontal="center" vertical="top" wrapText="1"/>
    </xf>
    <xf numFmtId="0" fontId="11" fillId="0" borderId="41" xfId="0" applyFont="1" applyBorder="1" applyAlignment="1">
      <alignment horizontal="center" wrapText="1"/>
    </xf>
    <xf numFmtId="2" fontId="9" fillId="0" borderId="9" xfId="0" applyNumberFormat="1" applyFont="1" applyBorder="1" applyAlignment="1">
      <alignment horizontal="center" vertical="top" wrapText="1"/>
    </xf>
    <xf numFmtId="0" fontId="20" fillId="0" borderId="0" xfId="0" applyFont="1"/>
    <xf numFmtId="10" fontId="15" fillId="0" borderId="0" xfId="0" applyNumberFormat="1" applyFont="1"/>
    <xf numFmtId="0" fontId="12" fillId="0" borderId="9" xfId="0" applyFont="1" applyBorder="1" applyAlignment="1">
      <alignment horizontal="center" vertical="center" wrapText="1"/>
    </xf>
    <xf numFmtId="166" fontId="9" fillId="0" borderId="9" xfId="0" applyNumberFormat="1" applyFont="1" applyBorder="1" applyAlignment="1">
      <alignment horizontal="center" vertical="center" wrapText="1"/>
    </xf>
    <xf numFmtId="164" fontId="9" fillId="4" borderId="9" xfId="0" applyNumberFormat="1" applyFont="1" applyFill="1" applyBorder="1" applyAlignment="1">
      <alignment horizontal="center" vertical="center" wrapText="1"/>
    </xf>
    <xf numFmtId="166" fontId="12" fillId="4" borderId="9" xfId="0" applyNumberFormat="1" applyFont="1" applyFill="1" applyBorder="1" applyAlignment="1">
      <alignment horizontal="center" vertical="center" wrapText="1"/>
    </xf>
    <xf numFmtId="0" fontId="9" fillId="0" borderId="9" xfId="0" applyFont="1" applyBorder="1" applyAlignment="1">
      <alignment vertical="center" wrapText="1"/>
    </xf>
    <xf numFmtId="0" fontId="9" fillId="4" borderId="9" xfId="0" applyFont="1" applyFill="1" applyBorder="1" applyAlignment="1">
      <alignment horizontal="center" vertical="center" wrapText="1"/>
    </xf>
    <xf numFmtId="0" fontId="0" fillId="0" borderId="9" xfId="0" applyBorder="1"/>
    <xf numFmtId="164" fontId="9" fillId="0" borderId="9" xfId="0" applyNumberFormat="1" applyFont="1" applyBorder="1" applyAlignment="1">
      <alignment horizontal="center" vertical="center" wrapText="1"/>
    </xf>
    <xf numFmtId="164" fontId="12" fillId="4" borderId="9" xfId="0" applyNumberFormat="1" applyFont="1" applyFill="1" applyBorder="1" applyAlignment="1">
      <alignment horizontal="center" vertical="center" wrapText="1"/>
    </xf>
    <xf numFmtId="0" fontId="10" fillId="0" borderId="15" xfId="0" applyFont="1" applyBorder="1" applyAlignment="1">
      <alignment horizontal="center" wrapText="1"/>
    </xf>
    <xf numFmtId="0" fontId="11" fillId="0" borderId="15" xfId="0" applyFont="1" applyBorder="1" applyAlignment="1">
      <alignment horizontal="center" wrapText="1"/>
    </xf>
    <xf numFmtId="0" fontId="11" fillId="4" borderId="15" xfId="0" applyFont="1" applyFill="1" applyBorder="1" applyAlignment="1">
      <alignment horizontal="center" wrapText="1"/>
    </xf>
    <xf numFmtId="2" fontId="21" fillId="5" borderId="9" xfId="0" applyNumberFormat="1" applyFont="1" applyFill="1" applyBorder="1" applyAlignment="1">
      <alignment horizontal="center" vertical="center"/>
    </xf>
    <xf numFmtId="0" fontId="16" fillId="0" borderId="0" xfId="0" applyFont="1" applyAlignment="1">
      <alignment horizontal="center" wrapText="1"/>
    </xf>
    <xf numFmtId="0" fontId="9" fillId="0" borderId="43" xfId="0" applyFont="1" applyBorder="1" applyAlignment="1">
      <alignment horizontal="center" wrapText="1"/>
    </xf>
    <xf numFmtId="0" fontId="15" fillId="0" borderId="9" xfId="0" quotePrefix="1" applyFont="1" applyBorder="1" applyAlignment="1">
      <alignment horizontal="center" vertical="center"/>
    </xf>
    <xf numFmtId="0" fontId="15" fillId="4" borderId="9" xfId="0" applyFont="1" applyFill="1" applyBorder="1" applyAlignment="1">
      <alignment horizontal="center" vertical="center" wrapText="1"/>
    </xf>
    <xf numFmtId="0" fontId="15" fillId="4" borderId="9" xfId="0" quotePrefix="1" applyFont="1" applyFill="1" applyBorder="1" applyAlignment="1">
      <alignment horizontal="center" vertical="center"/>
    </xf>
    <xf numFmtId="0" fontId="9" fillId="5" borderId="9" xfId="0" applyFont="1" applyFill="1" applyBorder="1" applyAlignment="1">
      <alignment horizontal="center" vertical="center" wrapText="1"/>
    </xf>
    <xf numFmtId="0" fontId="9" fillId="5" borderId="9" xfId="0" applyFont="1" applyFill="1" applyBorder="1" applyAlignment="1">
      <alignment horizontal="center" wrapText="1"/>
    </xf>
    <xf numFmtId="165" fontId="9" fillId="4" borderId="44" xfId="0" applyNumberFormat="1" applyFont="1" applyFill="1" applyBorder="1" applyAlignment="1">
      <alignment horizontal="center" vertical="top" wrapText="1"/>
    </xf>
    <xf numFmtId="0" fontId="9" fillId="4" borderId="12" xfId="0" applyFont="1" applyFill="1" applyBorder="1" applyAlignment="1">
      <alignment horizontal="center" vertical="top" wrapText="1"/>
    </xf>
    <xf numFmtId="0" fontId="15" fillId="0" borderId="9" xfId="0" applyFont="1" applyBorder="1" applyAlignment="1">
      <alignment horizontal="center" wrapText="1"/>
    </xf>
    <xf numFmtId="0" fontId="15" fillId="0" borderId="12" xfId="0" applyFont="1" applyBorder="1" applyAlignment="1">
      <alignment horizontal="center" wrapText="1"/>
    </xf>
    <xf numFmtId="2" fontId="21" fillId="5" borderId="20" xfId="0" applyNumberFormat="1" applyFont="1" applyFill="1" applyBorder="1" applyAlignment="1">
      <alignment horizontal="center" vertical="center"/>
    </xf>
    <xf numFmtId="2" fontId="21" fillId="0" borderId="20" xfId="0" applyNumberFormat="1" applyFont="1" applyBorder="1" applyAlignment="1">
      <alignment horizontal="center" vertical="center"/>
    </xf>
    <xf numFmtId="165" fontId="9" fillId="4" borderId="9" xfId="0" applyNumberFormat="1" applyFont="1" applyFill="1" applyBorder="1" applyAlignment="1">
      <alignment horizontal="center" wrapText="1"/>
    </xf>
    <xf numFmtId="0" fontId="9" fillId="4" borderId="9" xfId="0" applyFont="1" applyFill="1" applyBorder="1" applyAlignment="1">
      <alignment horizontal="center" wrapText="1"/>
    </xf>
    <xf numFmtId="2" fontId="9" fillId="5" borderId="9" xfId="0" applyNumberFormat="1" applyFont="1" applyFill="1" applyBorder="1" applyAlignment="1">
      <alignment horizontal="center" wrapText="1"/>
    </xf>
    <xf numFmtId="165" fontId="9" fillId="0" borderId="9" xfId="1" applyNumberFormat="1" applyFont="1" applyBorder="1" applyAlignment="1">
      <alignment horizontal="center" wrapText="1"/>
    </xf>
    <xf numFmtId="165" fontId="9" fillId="4" borderId="9" xfId="1" applyNumberFormat="1" applyFont="1" applyFill="1" applyBorder="1" applyAlignment="1">
      <alignment horizontal="center" wrapText="1"/>
    </xf>
    <xf numFmtId="165" fontId="9" fillId="0" borderId="9" xfId="0" applyNumberFormat="1" applyFont="1" applyBorder="1" applyAlignment="1">
      <alignment horizontal="center" wrapText="1"/>
    </xf>
    <xf numFmtId="166" fontId="9" fillId="4" borderId="9" xfId="0" applyNumberFormat="1" applyFont="1" applyFill="1" applyBorder="1" applyAlignment="1">
      <alignment horizontal="center" vertical="center" wrapText="1"/>
    </xf>
    <xf numFmtId="2" fontId="9" fillId="0" borderId="9" xfId="0" applyNumberFormat="1" applyFont="1" applyBorder="1" applyAlignment="1">
      <alignment horizontal="center" vertical="center" wrapText="1"/>
    </xf>
    <xf numFmtId="2" fontId="9" fillId="4" borderId="9" xfId="0" applyNumberFormat="1" applyFont="1" applyFill="1" applyBorder="1" applyAlignment="1">
      <alignment horizontal="center" vertical="center" wrapText="1"/>
    </xf>
    <xf numFmtId="2" fontId="12" fillId="4" borderId="9" xfId="0" applyNumberFormat="1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 vertical="center" wrapText="1"/>
    </xf>
    <xf numFmtId="2" fontId="9" fillId="5" borderId="9" xfId="0" applyNumberFormat="1" applyFont="1" applyFill="1" applyBorder="1" applyAlignment="1">
      <alignment horizontal="center" vertical="center" wrapText="1"/>
    </xf>
    <xf numFmtId="0" fontId="12" fillId="0" borderId="7" xfId="0" applyFont="1" applyBorder="1" applyAlignment="1">
      <alignment horizont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2" fillId="2" borderId="42" xfId="0" applyFont="1" applyFill="1" applyBorder="1" applyAlignment="1">
      <alignment horizontal="center" wrapText="1"/>
    </xf>
    <xf numFmtId="0" fontId="24" fillId="0" borderId="9" xfId="0" applyFont="1" applyBorder="1" applyAlignment="1">
      <alignment horizontal="center" vertical="center"/>
    </xf>
    <xf numFmtId="0" fontId="12" fillId="2" borderId="9" xfId="0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4" fontId="24" fillId="0" borderId="0" xfId="0" applyNumberFormat="1" applyFont="1" applyAlignment="1">
      <alignment horizontal="center" vertical="center"/>
    </xf>
    <xf numFmtId="0" fontId="21" fillId="2" borderId="9" xfId="0" applyFont="1" applyFill="1" applyBorder="1" applyAlignment="1">
      <alignment horizontal="center" wrapText="1"/>
    </xf>
    <xf numFmtId="0" fontId="21" fillId="0" borderId="9" xfId="0" applyFont="1" applyBorder="1" applyAlignment="1">
      <alignment horizontal="center" vertical="center"/>
    </xf>
    <xf numFmtId="165" fontId="9" fillId="0" borderId="9" xfId="1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9" fillId="0" borderId="45" xfId="0" quotePrefix="1" applyFont="1" applyBorder="1" applyAlignment="1">
      <alignment horizontal="center" wrapText="1"/>
    </xf>
    <xf numFmtId="0" fontId="9" fillId="0" borderId="45" xfId="0" applyFont="1" applyBorder="1" applyAlignment="1">
      <alignment horizontal="center" wrapText="1"/>
    </xf>
    <xf numFmtId="0" fontId="21" fillId="0" borderId="9" xfId="0" applyFont="1" applyBorder="1" applyAlignment="1">
      <alignment horizontal="center" vertical="center" wrapText="1"/>
    </xf>
    <xf numFmtId="0" fontId="25" fillId="0" borderId="9" xfId="0" applyFont="1" applyBorder="1" applyAlignment="1">
      <alignment horizontal="center" vertical="center" wrapText="1"/>
    </xf>
    <xf numFmtId="0" fontId="25" fillId="0" borderId="9" xfId="0" applyFont="1" applyBorder="1" applyAlignment="1">
      <alignment horizontal="center" vertical="center"/>
    </xf>
    <xf numFmtId="0" fontId="21" fillId="0" borderId="9" xfId="0" applyFont="1" applyBorder="1"/>
    <xf numFmtId="0" fontId="16" fillId="0" borderId="12" xfId="0" applyFont="1" applyBorder="1" applyAlignment="1">
      <alignment horizontal="center" wrapText="1"/>
    </xf>
    <xf numFmtId="0" fontId="9" fillId="0" borderId="15" xfId="0" applyFont="1" applyBorder="1" applyAlignment="1">
      <alignment horizontal="center" wrapText="1"/>
    </xf>
    <xf numFmtId="2" fontId="21" fillId="0" borderId="9" xfId="0" applyNumberFormat="1" applyFont="1" applyBorder="1" applyAlignment="1">
      <alignment horizontal="center" vertical="center"/>
    </xf>
    <xf numFmtId="2" fontId="16" fillId="3" borderId="9" xfId="0" applyNumberFormat="1" applyFont="1" applyFill="1" applyBorder="1" applyAlignment="1">
      <alignment horizontal="center" vertical="top" wrapText="1"/>
    </xf>
    <xf numFmtId="2" fontId="16" fillId="0" borderId="9" xfId="0" applyNumberFormat="1" applyFont="1" applyBorder="1" applyAlignment="1">
      <alignment horizontal="center" vertical="top" wrapText="1"/>
    </xf>
    <xf numFmtId="0" fontId="9" fillId="2" borderId="9" xfId="0" applyFont="1" applyFill="1" applyBorder="1" applyAlignment="1">
      <alignment horizontal="center" vertical="center" wrapText="1"/>
    </xf>
    <xf numFmtId="2" fontId="9" fillId="0" borderId="9" xfId="0" applyNumberFormat="1" applyFont="1" applyBorder="1" applyAlignment="1">
      <alignment horizont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2" fontId="9" fillId="2" borderId="4" xfId="0" applyNumberFormat="1" applyFont="1" applyFill="1" applyBorder="1" applyAlignment="1">
      <alignment horizontal="center" vertical="center" wrapText="1"/>
    </xf>
    <xf numFmtId="2" fontId="9" fillId="2" borderId="4" xfId="0" applyNumberFormat="1" applyFont="1" applyFill="1" applyBorder="1" applyAlignment="1">
      <alignment horizontal="center" wrapText="1"/>
    </xf>
    <xf numFmtId="164" fontId="9" fillId="0" borderId="4" xfId="0" applyNumberFormat="1" applyFont="1" applyBorder="1" applyAlignment="1">
      <alignment horizontal="center" wrapText="1"/>
    </xf>
    <xf numFmtId="164" fontId="9" fillId="2" borderId="4" xfId="0" applyNumberFormat="1" applyFont="1" applyFill="1" applyBorder="1" applyAlignment="1">
      <alignment horizontal="center" vertical="center" wrapText="1"/>
    </xf>
    <xf numFmtId="164" fontId="9" fillId="2" borderId="4" xfId="0" applyNumberFormat="1" applyFont="1" applyFill="1" applyBorder="1" applyAlignment="1">
      <alignment horizontal="center" wrapText="1"/>
    </xf>
    <xf numFmtId="2" fontId="9" fillId="0" borderId="1" xfId="0" applyNumberFormat="1" applyFont="1" applyBorder="1" applyAlignment="1">
      <alignment horizontal="center" vertical="center" wrapText="1"/>
    </xf>
    <xf numFmtId="2" fontId="9" fillId="0" borderId="4" xfId="0" applyNumberFormat="1" applyFont="1" applyBorder="1" applyAlignment="1">
      <alignment horizontal="center" vertical="center" wrapText="1"/>
    </xf>
    <xf numFmtId="0" fontId="7" fillId="0" borderId="0" xfId="2"/>
    <xf numFmtId="0" fontId="28" fillId="0" borderId="0" xfId="2" applyFont="1" applyAlignment="1">
      <alignment horizontal="center" vertical="center" wrapText="1"/>
    </xf>
    <xf numFmtId="0" fontId="28" fillId="0" borderId="0" xfId="2" applyFont="1" applyAlignment="1">
      <alignment horizontal="center" vertical="center"/>
    </xf>
    <xf numFmtId="0" fontId="28" fillId="0" borderId="0" xfId="2" applyFont="1" applyAlignment="1">
      <alignment vertical="center"/>
    </xf>
    <xf numFmtId="0" fontId="29" fillId="0" borderId="0" xfId="2" applyFont="1" applyAlignment="1">
      <alignment horizontal="center" vertical="center" wrapText="1"/>
    </xf>
    <xf numFmtId="0" fontId="29" fillId="0" borderId="0" xfId="2" applyFont="1" applyAlignment="1">
      <alignment horizontal="center" vertical="center"/>
    </xf>
    <xf numFmtId="0" fontId="29" fillId="0" borderId="0" xfId="2" applyFont="1" applyAlignment="1">
      <alignment vertical="center"/>
    </xf>
    <xf numFmtId="0" fontId="20" fillId="0" borderId="0" xfId="2" applyFont="1" applyAlignment="1">
      <alignment horizontal="left" vertical="center"/>
    </xf>
    <xf numFmtId="0" fontId="32" fillId="0" borderId="0" xfId="2" applyFont="1" applyAlignment="1">
      <alignment horizontal="justify" vertical="center"/>
    </xf>
    <xf numFmtId="0" fontId="33" fillId="0" borderId="0" xfId="2" applyFont="1" applyAlignment="1">
      <alignment horizontal="left" vertical="center"/>
    </xf>
    <xf numFmtId="0" fontId="7" fillId="0" borderId="0" xfId="2" applyAlignment="1">
      <alignment horizontal="left"/>
    </xf>
    <xf numFmtId="0" fontId="34" fillId="0" borderId="0" xfId="2" applyFont="1" applyAlignment="1">
      <alignment horizontal="left" vertical="center"/>
    </xf>
    <xf numFmtId="0" fontId="14" fillId="0" borderId="0" xfId="2" applyFont="1" applyAlignment="1">
      <alignment horizontal="center" vertical="center" wrapText="1"/>
    </xf>
    <xf numFmtId="0" fontId="14" fillId="0" borderId="0" xfId="2" applyFont="1" applyAlignment="1">
      <alignment vertical="center"/>
    </xf>
    <xf numFmtId="0" fontId="26" fillId="0" borderId="0" xfId="2" applyFont="1"/>
    <xf numFmtId="0" fontId="15" fillId="0" borderId="0" xfId="2" applyFont="1" applyAlignment="1">
      <alignment horizontal="left" vertical="center"/>
    </xf>
    <xf numFmtId="0" fontId="15" fillId="0" borderId="0" xfId="2" applyFont="1" applyAlignment="1">
      <alignment horizontal="right" vertical="center"/>
    </xf>
    <xf numFmtId="0" fontId="16" fillId="0" borderId="0" xfId="2" applyFont="1" applyAlignment="1">
      <alignment horizontal="left" vertical="center"/>
    </xf>
    <xf numFmtId="2" fontId="7" fillId="0" borderId="0" xfId="2" applyNumberFormat="1"/>
    <xf numFmtId="0" fontId="12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top" wrapText="1"/>
    </xf>
    <xf numFmtId="0" fontId="9" fillId="2" borderId="0" xfId="0" applyFont="1" applyFill="1" applyAlignment="1">
      <alignment horizontal="center" vertical="center" wrapText="1"/>
    </xf>
    <xf numFmtId="0" fontId="9" fillId="0" borderId="0" xfId="0" applyFont="1" applyAlignment="1">
      <alignment horizontal="center" wrapText="1"/>
    </xf>
    <xf numFmtId="0" fontId="12" fillId="0" borderId="42" xfId="0" applyFont="1" applyBorder="1" applyAlignment="1">
      <alignment horizontal="center" vertical="center" wrapText="1"/>
    </xf>
    <xf numFmtId="0" fontId="9" fillId="0" borderId="0" xfId="0" applyFont="1" applyAlignment="1">
      <alignment wrapText="1"/>
    </xf>
    <xf numFmtId="2" fontId="9" fillId="0" borderId="0" xfId="0" applyNumberFormat="1" applyFont="1" applyAlignment="1">
      <alignment horizontal="center" vertical="top" wrapText="1"/>
    </xf>
    <xf numFmtId="0" fontId="9" fillId="4" borderId="0" xfId="0" applyFont="1" applyFill="1" applyAlignment="1">
      <alignment horizontal="center" vertical="top" wrapText="1"/>
    </xf>
    <xf numFmtId="0" fontId="12" fillId="0" borderId="42" xfId="0" applyFont="1" applyBorder="1" applyAlignment="1">
      <alignment horizontal="center" wrapText="1"/>
    </xf>
    <xf numFmtId="165" fontId="7" fillId="0" borderId="0" xfId="1" applyNumberFormat="1" applyFont="1" applyBorder="1"/>
    <xf numFmtId="0" fontId="12" fillId="3" borderId="9" xfId="0" applyFont="1" applyFill="1" applyBorder="1" applyAlignment="1">
      <alignment horizontal="center" vertical="center" wrapText="1"/>
    </xf>
    <xf numFmtId="2" fontId="0" fillId="3" borderId="0" xfId="0" applyNumberFormat="1" applyFill="1"/>
    <xf numFmtId="0" fontId="0" fillId="0" borderId="0" xfId="0" applyAlignment="1">
      <alignment horizontal="center" vertical="center"/>
    </xf>
    <xf numFmtId="0" fontId="15" fillId="3" borderId="0" xfId="0" quotePrefix="1" applyFont="1" applyFill="1"/>
    <xf numFmtId="166" fontId="15" fillId="3" borderId="0" xfId="0" applyNumberFormat="1" applyFont="1" applyFill="1" applyAlignment="1">
      <alignment horizontal="center" vertical="center"/>
    </xf>
    <xf numFmtId="0" fontId="13" fillId="9" borderId="0" xfId="4" applyFont="1" applyFill="1"/>
    <xf numFmtId="0" fontId="6" fillId="9" borderId="0" xfId="4" applyFill="1"/>
    <xf numFmtId="0" fontId="6" fillId="10" borderId="0" xfId="4" applyFill="1"/>
    <xf numFmtId="0" fontId="6" fillId="0" borderId="0" xfId="4"/>
    <xf numFmtId="0" fontId="6" fillId="11" borderId="0" xfId="4" applyFill="1"/>
    <xf numFmtId="0" fontId="35" fillId="0" borderId="0" xfId="5" applyNumberFormat="1" applyFont="1" applyFill="1" applyBorder="1" applyAlignment="1" applyProtection="1">
      <alignment vertical="top"/>
    </xf>
    <xf numFmtId="0" fontId="7" fillId="6" borderId="0" xfId="2" applyFill="1" applyProtection="1">
      <protection hidden="1"/>
    </xf>
    <xf numFmtId="0" fontId="6" fillId="0" borderId="0" xfId="4" applyProtection="1">
      <protection hidden="1"/>
    </xf>
    <xf numFmtId="0" fontId="6" fillId="12" borderId="52" xfId="4" applyFill="1" applyBorder="1" applyProtection="1">
      <protection hidden="1"/>
    </xf>
    <xf numFmtId="0" fontId="6" fillId="12" borderId="46" xfId="4" applyFill="1" applyBorder="1" applyProtection="1">
      <protection hidden="1"/>
    </xf>
    <xf numFmtId="0" fontId="36" fillId="0" borderId="46" xfId="4" applyFont="1" applyBorder="1" applyProtection="1">
      <protection hidden="1"/>
    </xf>
    <xf numFmtId="0" fontId="36" fillId="0" borderId="52" xfId="4" applyFont="1" applyBorder="1" applyProtection="1">
      <protection hidden="1"/>
    </xf>
    <xf numFmtId="0" fontId="37" fillId="0" borderId="45" xfId="6" applyBorder="1" applyProtection="1">
      <protection hidden="1"/>
    </xf>
    <xf numFmtId="0" fontId="37" fillId="0" borderId="9" xfId="6" applyBorder="1" applyProtection="1">
      <protection hidden="1"/>
    </xf>
    <xf numFmtId="0" fontId="6" fillId="0" borderId="53" xfId="4" applyBorder="1" applyProtection="1">
      <protection hidden="1"/>
    </xf>
    <xf numFmtId="0" fontId="37" fillId="12" borderId="45" xfId="6" applyFill="1" applyBorder="1" applyProtection="1">
      <protection hidden="1"/>
    </xf>
    <xf numFmtId="0" fontId="37" fillId="12" borderId="9" xfId="6" applyFill="1" applyBorder="1" applyProtection="1">
      <protection hidden="1"/>
    </xf>
    <xf numFmtId="0" fontId="37" fillId="0" borderId="12" xfId="6" applyBorder="1" applyProtection="1">
      <protection hidden="1"/>
    </xf>
    <xf numFmtId="0" fontId="38" fillId="0" borderId="45" xfId="6" applyFont="1" applyBorder="1" applyProtection="1">
      <protection hidden="1"/>
    </xf>
    <xf numFmtId="0" fontId="6" fillId="0" borderId="45" xfId="4" applyBorder="1" applyProtection="1">
      <protection hidden="1"/>
    </xf>
    <xf numFmtId="0" fontId="38" fillId="0" borderId="9" xfId="6" applyFont="1" applyBorder="1" applyProtection="1">
      <protection hidden="1"/>
    </xf>
    <xf numFmtId="0" fontId="6" fillId="0" borderId="0" xfId="4" applyProtection="1">
      <protection locked="0" hidden="1"/>
    </xf>
    <xf numFmtId="0" fontId="38" fillId="0" borderId="9" xfId="6" applyFont="1" applyBorder="1"/>
    <xf numFmtId="0" fontId="38" fillId="0" borderId="12" xfId="6" applyFont="1" applyBorder="1" applyProtection="1">
      <protection hidden="1"/>
    </xf>
    <xf numFmtId="0" fontId="37" fillId="0" borderId="47" xfId="6" applyBorder="1" applyProtection="1">
      <protection hidden="1"/>
    </xf>
    <xf numFmtId="0" fontId="38" fillId="13" borderId="9" xfId="6" applyFont="1" applyFill="1" applyBorder="1" applyProtection="1">
      <protection hidden="1"/>
    </xf>
    <xf numFmtId="0" fontId="38" fillId="0" borderId="47" xfId="6" applyFont="1" applyBorder="1" applyProtection="1">
      <protection hidden="1"/>
    </xf>
    <xf numFmtId="0" fontId="6" fillId="0" borderId="0" xfId="2" applyFont="1"/>
    <xf numFmtId="165" fontId="7" fillId="0" borderId="0" xfId="1" applyNumberFormat="1" applyFont="1" applyFill="1" applyBorder="1"/>
    <xf numFmtId="0" fontId="27" fillId="0" borderId="0" xfId="2" applyFont="1"/>
    <xf numFmtId="165" fontId="7" fillId="3" borderId="0" xfId="1" applyNumberFormat="1" applyFont="1" applyFill="1" applyBorder="1"/>
    <xf numFmtId="0" fontId="5" fillId="12" borderId="46" xfId="4" applyFont="1" applyFill="1" applyBorder="1"/>
    <xf numFmtId="0" fontId="5" fillId="0" borderId="0" xfId="4" applyFont="1" applyProtection="1">
      <protection hidden="1"/>
    </xf>
    <xf numFmtId="0" fontId="5" fillId="0" borderId="0" xfId="2" applyFont="1"/>
    <xf numFmtId="0" fontId="40" fillId="0" borderId="9" xfId="0" applyFont="1" applyBorder="1" applyAlignment="1">
      <alignment vertical="center"/>
    </xf>
    <xf numFmtId="0" fontId="40" fillId="0" borderId="9" xfId="0" applyFont="1" applyBorder="1" applyAlignment="1">
      <alignment horizontal="center" vertical="center"/>
    </xf>
    <xf numFmtId="0" fontId="39" fillId="0" borderId="9" xfId="0" applyFont="1" applyBorder="1" applyAlignment="1">
      <alignment vertical="center"/>
    </xf>
    <xf numFmtId="0" fontId="26" fillId="6" borderId="0" xfId="2" applyFont="1" applyFill="1" applyAlignment="1" applyProtection="1">
      <alignment vertical="center" wrapText="1"/>
      <protection hidden="1"/>
    </xf>
    <xf numFmtId="0" fontId="4" fillId="0" borderId="0" xfId="4" applyFont="1" applyProtection="1">
      <protection hidden="1"/>
    </xf>
    <xf numFmtId="0" fontId="28" fillId="0" borderId="9" xfId="0" applyFont="1" applyBorder="1" applyAlignment="1">
      <alignment horizontal="center" vertical="center"/>
    </xf>
    <xf numFmtId="0" fontId="28" fillId="0" borderId="9" xfId="0" applyFont="1" applyBorder="1" applyAlignment="1">
      <alignment vertical="center"/>
    </xf>
    <xf numFmtId="0" fontId="3" fillId="0" borderId="0" xfId="2" applyFont="1"/>
    <xf numFmtId="0" fontId="29" fillId="0" borderId="9" xfId="0" applyFont="1" applyBorder="1" applyAlignment="1">
      <alignment vertical="center"/>
    </xf>
    <xf numFmtId="0" fontId="3" fillId="0" borderId="0" xfId="4" applyFont="1" applyProtection="1">
      <protection hidden="1"/>
    </xf>
    <xf numFmtId="166" fontId="14" fillId="13" borderId="15" xfId="0" applyNumberFormat="1" applyFont="1" applyFill="1" applyBorder="1" applyAlignment="1">
      <alignment horizontal="center" vertical="center" wrapText="1"/>
    </xf>
    <xf numFmtId="167" fontId="40" fillId="0" borderId="9" xfId="0" applyNumberFormat="1" applyFont="1" applyBorder="1" applyAlignment="1">
      <alignment horizontal="center" vertical="center"/>
    </xf>
    <xf numFmtId="0" fontId="2" fillId="0" borderId="0" xfId="4" applyFont="1" applyProtection="1">
      <protection hidden="1"/>
    </xf>
    <xf numFmtId="169" fontId="0" fillId="0" borderId="0" xfId="0" applyNumberFormat="1"/>
    <xf numFmtId="0" fontId="43" fillId="16" borderId="0" xfId="2" applyFont="1" applyFill="1" applyProtection="1">
      <protection hidden="1"/>
    </xf>
    <xf numFmtId="0" fontId="43" fillId="9" borderId="0" xfId="2" applyFont="1" applyFill="1" applyProtection="1">
      <protection hidden="1"/>
    </xf>
    <xf numFmtId="0" fontId="43" fillId="0" borderId="0" xfId="2" applyFont="1" applyProtection="1">
      <protection hidden="1"/>
    </xf>
    <xf numFmtId="0" fontId="43" fillId="6" borderId="0" xfId="2" applyFont="1" applyFill="1" applyProtection="1">
      <protection hidden="1"/>
    </xf>
    <xf numFmtId="0" fontId="43" fillId="0" borderId="0" xfId="0" applyFont="1" applyProtection="1">
      <protection hidden="1"/>
    </xf>
    <xf numFmtId="0" fontId="43" fillId="6" borderId="0" xfId="2" applyFont="1" applyFill="1" applyAlignment="1" applyProtection="1">
      <alignment horizontal="right"/>
      <protection hidden="1"/>
    </xf>
    <xf numFmtId="0" fontId="43" fillId="6" borderId="0" xfId="2" applyFont="1" applyFill="1" applyAlignment="1" applyProtection="1">
      <alignment horizontal="right" vertical="center" wrapText="1"/>
      <protection hidden="1"/>
    </xf>
    <xf numFmtId="0" fontId="45" fillId="7" borderId="9" xfId="2" applyFont="1" applyFill="1" applyBorder="1" applyAlignment="1" applyProtection="1">
      <alignment horizontal="right" vertical="center" wrapText="1"/>
      <protection hidden="1"/>
    </xf>
    <xf numFmtId="0" fontId="45" fillId="6" borderId="9" xfId="2" applyFont="1" applyFill="1" applyBorder="1" applyAlignment="1" applyProtection="1">
      <alignment wrapText="1"/>
      <protection hidden="1"/>
    </xf>
    <xf numFmtId="0" fontId="45" fillId="7" borderId="9" xfId="0" applyFont="1" applyFill="1" applyBorder="1" applyAlignment="1" applyProtection="1">
      <alignment horizontal="right" vertical="center" wrapText="1"/>
      <protection hidden="1"/>
    </xf>
    <xf numFmtId="0" fontId="46" fillId="7" borderId="9" xfId="2" applyFont="1" applyFill="1" applyBorder="1" applyAlignment="1" applyProtection="1">
      <alignment horizontal="right" vertical="center" wrapText="1"/>
      <protection hidden="1"/>
    </xf>
    <xf numFmtId="0" fontId="44" fillId="16" borderId="0" xfId="2" applyFont="1" applyFill="1" applyProtection="1">
      <protection hidden="1"/>
    </xf>
    <xf numFmtId="0" fontId="43" fillId="6" borderId="0" xfId="2" applyFont="1" applyFill="1" applyAlignment="1" applyProtection="1">
      <alignment horizontal="center"/>
      <protection hidden="1"/>
    </xf>
    <xf numFmtId="49" fontId="43" fillId="6" borderId="0" xfId="2" applyNumberFormat="1" applyFont="1" applyFill="1" applyProtection="1">
      <protection hidden="1"/>
    </xf>
    <xf numFmtId="0" fontId="43" fillId="8" borderId="9" xfId="2" applyFont="1" applyFill="1" applyBorder="1" applyAlignment="1" applyProtection="1">
      <alignment horizontal="center" vertical="center" wrapText="1"/>
      <protection hidden="1"/>
    </xf>
    <xf numFmtId="0" fontId="43" fillId="8" borderId="9" xfId="2" applyFont="1" applyFill="1" applyBorder="1" applyAlignment="1" applyProtection="1">
      <alignment horizontal="center" vertical="center"/>
      <protection hidden="1"/>
    </xf>
    <xf numFmtId="49" fontId="45" fillId="8" borderId="9" xfId="2" applyNumberFormat="1" applyFont="1" applyFill="1" applyBorder="1" applyAlignment="1" applyProtection="1">
      <alignment horizontal="center" vertical="center" wrapText="1"/>
      <protection hidden="1"/>
    </xf>
    <xf numFmtId="0" fontId="45" fillId="8" borderId="9" xfId="2" applyFont="1" applyFill="1" applyBorder="1" applyAlignment="1" applyProtection="1">
      <alignment horizontal="center" vertical="center" wrapText="1"/>
      <protection hidden="1"/>
    </xf>
    <xf numFmtId="0" fontId="45" fillId="8" borderId="9" xfId="2" applyFont="1" applyFill="1" applyBorder="1" applyAlignment="1" applyProtection="1">
      <alignment horizontal="right" vertical="center" wrapText="1"/>
      <protection hidden="1"/>
    </xf>
    <xf numFmtId="0" fontId="45" fillId="0" borderId="9" xfId="2" applyFont="1" applyBorder="1" applyAlignment="1" applyProtection="1">
      <alignment horizontal="left" vertical="center" wrapText="1"/>
      <protection hidden="1"/>
    </xf>
    <xf numFmtId="0" fontId="43" fillId="0" borderId="9" xfId="2" applyFont="1" applyBorder="1" applyAlignment="1" applyProtection="1">
      <alignment horizontal="center" vertical="center" wrapText="1"/>
      <protection locked="0"/>
    </xf>
    <xf numFmtId="49" fontId="43" fillId="6" borderId="9" xfId="2" applyNumberFormat="1" applyFont="1" applyFill="1" applyBorder="1" applyAlignment="1" applyProtection="1">
      <alignment horizontal="center" vertical="center"/>
      <protection hidden="1"/>
    </xf>
    <xf numFmtId="0" fontId="45" fillId="6" borderId="9" xfId="2" applyFont="1" applyFill="1" applyBorder="1" applyAlignment="1" applyProtection="1">
      <alignment horizontal="left" vertical="center" wrapText="1"/>
      <protection hidden="1"/>
    </xf>
    <xf numFmtId="0" fontId="43" fillId="6" borderId="0" xfId="2" applyFont="1" applyFill="1" applyAlignment="1" applyProtection="1">
      <alignment horizontal="left"/>
      <protection hidden="1"/>
    </xf>
    <xf numFmtId="0" fontId="43" fillId="0" borderId="9" xfId="2" applyFont="1" applyBorder="1" applyAlignment="1" applyProtection="1">
      <alignment horizontal="center" vertical="center"/>
      <protection locked="0"/>
    </xf>
    <xf numFmtId="0" fontId="43" fillId="7" borderId="9" xfId="2" applyFont="1" applyFill="1" applyBorder="1" applyAlignment="1" applyProtection="1">
      <alignment horizontal="center" vertical="center"/>
      <protection hidden="1"/>
    </xf>
    <xf numFmtId="0" fontId="45" fillId="0" borderId="9" xfId="0" applyFont="1" applyBorder="1" applyAlignment="1" applyProtection="1">
      <alignment horizontal="center" vertical="center"/>
      <protection locked="0"/>
    </xf>
    <xf numFmtId="0" fontId="50" fillId="7" borderId="9" xfId="2" applyFont="1" applyFill="1" applyBorder="1" applyAlignment="1" applyProtection="1">
      <alignment horizontal="center" vertical="center"/>
      <protection hidden="1"/>
    </xf>
    <xf numFmtId="0" fontId="51" fillId="6" borderId="9" xfId="2" applyFont="1" applyFill="1" applyBorder="1" applyAlignment="1" applyProtection="1">
      <alignment horizontal="left" vertical="center" wrapText="1"/>
      <protection hidden="1"/>
    </xf>
    <xf numFmtId="0" fontId="43" fillId="0" borderId="0" xfId="0" applyFont="1"/>
    <xf numFmtId="0" fontId="45" fillId="8" borderId="9" xfId="0" applyFont="1" applyFill="1" applyBorder="1" applyAlignment="1">
      <alignment horizontal="right" vertical="center" wrapText="1"/>
    </xf>
    <xf numFmtId="0" fontId="43" fillId="0" borderId="9" xfId="0" applyFont="1" applyBorder="1" applyAlignment="1" applyProtection="1">
      <alignment horizontal="center"/>
      <protection locked="0"/>
    </xf>
    <xf numFmtId="9" fontId="43" fillId="0" borderId="9" xfId="1" applyFont="1" applyBorder="1" applyAlignment="1" applyProtection="1">
      <alignment horizontal="center"/>
      <protection locked="0"/>
    </xf>
    <xf numFmtId="0" fontId="50" fillId="6" borderId="0" xfId="2" applyFont="1" applyFill="1" applyProtection="1">
      <protection hidden="1"/>
    </xf>
    <xf numFmtId="0" fontId="47" fillId="13" borderId="47" xfId="2" applyFont="1" applyFill="1" applyBorder="1" applyProtection="1">
      <protection hidden="1"/>
    </xf>
    <xf numFmtId="0" fontId="43" fillId="13" borderId="48" xfId="2" applyFont="1" applyFill="1" applyBorder="1" applyProtection="1">
      <protection hidden="1"/>
    </xf>
    <xf numFmtId="0" fontId="52" fillId="13" borderId="50" xfId="7" applyFont="1" applyFill="1" applyBorder="1" applyAlignment="1" applyProtection="1">
      <alignment vertical="center"/>
      <protection hidden="1"/>
    </xf>
    <xf numFmtId="0" fontId="43" fillId="13" borderId="51" xfId="2" applyFont="1" applyFill="1" applyBorder="1" applyProtection="1">
      <protection hidden="1"/>
    </xf>
    <xf numFmtId="0" fontId="52" fillId="13" borderId="52" xfId="7" applyFont="1" applyFill="1" applyBorder="1" applyAlignment="1" applyProtection="1">
      <alignment vertical="center"/>
      <protection hidden="1"/>
    </xf>
    <xf numFmtId="0" fontId="43" fillId="13" borderId="46" xfId="2" applyFont="1" applyFill="1" applyBorder="1" applyProtection="1">
      <protection hidden="1"/>
    </xf>
    <xf numFmtId="0" fontId="43" fillId="8" borderId="9" xfId="0" applyFont="1" applyFill="1" applyBorder="1" applyAlignment="1">
      <alignment horizontal="right" vertical="center" wrapText="1"/>
    </xf>
    <xf numFmtId="49" fontId="43" fillId="0" borderId="0" xfId="2" applyNumberFormat="1" applyFont="1" applyProtection="1">
      <protection hidden="1"/>
    </xf>
    <xf numFmtId="0" fontId="43" fillId="6" borderId="53" xfId="2" applyFont="1" applyFill="1" applyBorder="1" applyProtection="1">
      <protection hidden="1"/>
    </xf>
    <xf numFmtId="49" fontId="45" fillId="6" borderId="9" xfId="2" applyNumberFormat="1" applyFont="1" applyFill="1" applyBorder="1" applyAlignment="1" applyProtection="1">
      <alignment horizontal="center" vertical="center"/>
      <protection hidden="1"/>
    </xf>
    <xf numFmtId="0" fontId="45" fillId="8" borderId="9" xfId="2" applyFont="1" applyFill="1" applyBorder="1" applyAlignment="1" applyProtection="1">
      <alignment horizontal="right" vertical="center"/>
      <protection hidden="1"/>
    </xf>
    <xf numFmtId="0" fontId="45" fillId="0" borderId="9" xfId="2" applyFont="1" applyBorder="1" applyAlignment="1" applyProtection="1">
      <alignment horizontal="center" vertical="center"/>
      <protection locked="0"/>
    </xf>
    <xf numFmtId="49" fontId="45" fillId="8" borderId="9" xfId="2" applyNumberFormat="1" applyFont="1" applyFill="1" applyBorder="1" applyAlignment="1" applyProtection="1">
      <alignment horizontal="right" vertical="center" wrapText="1"/>
      <protection hidden="1"/>
    </xf>
    <xf numFmtId="0" fontId="45" fillId="7" borderId="9" xfId="2" applyFont="1" applyFill="1" applyBorder="1" applyAlignment="1" applyProtection="1">
      <alignment horizontal="center" vertical="center"/>
      <protection hidden="1"/>
    </xf>
    <xf numFmtId="49" fontId="45" fillId="6" borderId="0" xfId="2" applyNumberFormat="1" applyFont="1" applyFill="1" applyProtection="1">
      <protection hidden="1"/>
    </xf>
    <xf numFmtId="0" fontId="45" fillId="6" borderId="0" xfId="2" applyFont="1" applyFill="1" applyProtection="1">
      <protection hidden="1"/>
    </xf>
    <xf numFmtId="0" fontId="43" fillId="0" borderId="0" xfId="0" applyFont="1" applyAlignment="1">
      <alignment horizontal="left" vertical="center"/>
    </xf>
    <xf numFmtId="49" fontId="43" fillId="0" borderId="0" xfId="0" applyNumberFormat="1" applyFont="1"/>
    <xf numFmtId="0" fontId="43" fillId="6" borderId="9" xfId="2" applyFont="1" applyFill="1" applyBorder="1" applyAlignment="1" applyProtection="1">
      <alignment horizontal="center" vertical="center"/>
      <protection hidden="1"/>
    </xf>
    <xf numFmtId="16" fontId="43" fillId="6" borderId="9" xfId="2" applyNumberFormat="1" applyFont="1" applyFill="1" applyBorder="1" applyAlignment="1" applyProtection="1">
      <alignment horizontal="center" vertical="center"/>
      <protection hidden="1"/>
    </xf>
    <xf numFmtId="0" fontId="53" fillId="6" borderId="0" xfId="2" applyFont="1" applyFill="1" applyProtection="1">
      <protection hidden="1"/>
    </xf>
    <xf numFmtId="0" fontId="43" fillId="0" borderId="9" xfId="0" applyFont="1" applyBorder="1" applyAlignment="1" applyProtection="1">
      <alignment vertical="center"/>
      <protection locked="0"/>
    </xf>
    <xf numFmtId="0" fontId="43" fillId="6" borderId="0" xfId="2" applyFont="1" applyFill="1" applyAlignment="1" applyProtection="1">
      <alignment vertical="center"/>
      <protection hidden="1"/>
    </xf>
    <xf numFmtId="0" fontId="43" fillId="0" borderId="9" xfId="0" applyFont="1" applyBorder="1" applyAlignment="1">
      <alignment horizontal="right" wrapText="1"/>
    </xf>
    <xf numFmtId="0" fontId="43" fillId="7" borderId="9" xfId="0" applyFont="1" applyFill="1" applyBorder="1" applyAlignment="1" applyProtection="1">
      <alignment horizontal="center" vertical="center"/>
      <protection hidden="1"/>
    </xf>
    <xf numFmtId="0" fontId="46" fillId="8" borderId="9" xfId="2" applyFont="1" applyFill="1" applyBorder="1" applyAlignment="1" applyProtection="1">
      <alignment horizontal="right" vertical="center" wrapText="1"/>
      <protection hidden="1"/>
    </xf>
    <xf numFmtId="0" fontId="45" fillId="8" borderId="0" xfId="2" applyFont="1" applyFill="1" applyAlignment="1" applyProtection="1">
      <alignment horizontal="right" vertical="center" wrapText="1"/>
      <protection hidden="1"/>
    </xf>
    <xf numFmtId="2" fontId="45" fillId="0" borderId="0" xfId="0" applyNumberFormat="1" applyFont="1" applyAlignment="1" applyProtection="1">
      <alignment horizontal="center" vertical="center"/>
      <protection locked="0"/>
    </xf>
    <xf numFmtId="0" fontId="45" fillId="0" borderId="0" xfId="2" applyFont="1" applyAlignment="1" applyProtection="1">
      <alignment horizontal="left" vertical="center" wrapText="1"/>
      <protection hidden="1"/>
    </xf>
    <xf numFmtId="0" fontId="43" fillId="6" borderId="0" xfId="2" applyFont="1" applyFill="1" applyAlignment="1" applyProtection="1">
      <alignment horizontal="center" vertical="center"/>
      <protection hidden="1"/>
    </xf>
    <xf numFmtId="0" fontId="51" fillId="6" borderId="0" xfId="2" applyFont="1" applyFill="1" applyAlignment="1" applyProtection="1">
      <alignment horizontal="center" vertical="center" wrapText="1"/>
      <protection hidden="1"/>
    </xf>
    <xf numFmtId="0" fontId="45" fillId="0" borderId="9" xfId="0" applyFont="1" applyBorder="1" applyAlignment="1">
      <alignment vertical="center" wrapText="1"/>
    </xf>
    <xf numFmtId="0" fontId="43" fillId="7" borderId="9" xfId="2" applyFont="1" applyFill="1" applyBorder="1" applyAlignment="1" applyProtection="1">
      <alignment horizontal="right" vertical="center" wrapText="1"/>
      <protection hidden="1"/>
    </xf>
    <xf numFmtId="0" fontId="54" fillId="0" borderId="9" xfId="0" applyFont="1" applyBorder="1" applyAlignment="1">
      <alignment horizontal="center" vertical="center"/>
    </xf>
    <xf numFmtId="0" fontId="55" fillId="0" borderId="9" xfId="0" applyFont="1" applyBorder="1" applyAlignment="1" applyProtection="1">
      <alignment horizontal="center" vertical="center"/>
      <protection locked="0"/>
    </xf>
    <xf numFmtId="166" fontId="43" fillId="0" borderId="0" xfId="4" applyNumberFormat="1" applyFont="1" applyProtection="1">
      <protection hidden="1"/>
    </xf>
    <xf numFmtId="0" fontId="43" fillId="0" borderId="0" xfId="4" applyFont="1" applyProtection="1">
      <protection hidden="1"/>
    </xf>
    <xf numFmtId="166" fontId="55" fillId="0" borderId="9" xfId="0" applyNumberFormat="1" applyFont="1" applyBorder="1" applyAlignment="1" applyProtection="1">
      <alignment horizontal="center" vertical="center"/>
      <protection hidden="1"/>
    </xf>
    <xf numFmtId="0" fontId="54" fillId="8" borderId="9" xfId="0" applyFont="1" applyFill="1" applyBorder="1" applyAlignment="1">
      <alignment horizontal="center" vertical="center"/>
    </xf>
    <xf numFmtId="0" fontId="54" fillId="0" borderId="9" xfId="0" applyFont="1" applyBorder="1" applyAlignment="1" applyProtection="1">
      <alignment horizontal="center" vertical="center"/>
      <protection locked="0"/>
    </xf>
    <xf numFmtId="0" fontId="45" fillId="6" borderId="0" xfId="2" applyFont="1" applyFill="1" applyAlignment="1" applyProtection="1">
      <alignment vertical="center" wrapText="1"/>
      <protection hidden="1"/>
    </xf>
    <xf numFmtId="0" fontId="54" fillId="14" borderId="9" xfId="0" applyFont="1" applyFill="1" applyBorder="1" applyAlignment="1">
      <alignment horizontal="center" vertical="center"/>
    </xf>
    <xf numFmtId="0" fontId="45" fillId="15" borderId="9" xfId="2" applyFont="1" applyFill="1" applyBorder="1" applyAlignment="1" applyProtection="1">
      <alignment horizontal="left" vertical="center" wrapText="1"/>
      <protection hidden="1"/>
    </xf>
    <xf numFmtId="0" fontId="43" fillId="0" borderId="9" xfId="0" applyFont="1" applyBorder="1" applyAlignment="1" applyProtection="1">
      <alignment horizontal="center" vertical="center"/>
      <protection locked="0"/>
    </xf>
    <xf numFmtId="0" fontId="43" fillId="6" borderId="54" xfId="2" applyFont="1" applyFill="1" applyBorder="1" applyProtection="1">
      <protection hidden="1"/>
    </xf>
    <xf numFmtId="0" fontId="43" fillId="6" borderId="12" xfId="2" applyFont="1" applyFill="1" applyBorder="1" applyProtection="1">
      <protection hidden="1"/>
    </xf>
    <xf numFmtId="166" fontId="45" fillId="7" borderId="9" xfId="2" applyNumberFormat="1" applyFont="1" applyFill="1" applyBorder="1" applyAlignment="1" applyProtection="1">
      <alignment horizontal="center" vertical="center" wrapText="1"/>
      <protection hidden="1"/>
    </xf>
    <xf numFmtId="9" fontId="45" fillId="7" borderId="9" xfId="3" applyFont="1" applyFill="1" applyBorder="1" applyAlignment="1" applyProtection="1">
      <alignment horizontal="center" vertical="center" wrapText="1"/>
      <protection hidden="1"/>
    </xf>
    <xf numFmtId="0" fontId="43" fillId="13" borderId="0" xfId="0" applyFont="1" applyFill="1" applyProtection="1">
      <protection hidden="1"/>
    </xf>
    <xf numFmtId="2" fontId="45" fillId="7" borderId="9" xfId="2" applyNumberFormat="1" applyFont="1" applyFill="1" applyBorder="1" applyAlignment="1" applyProtection="1">
      <alignment horizontal="center" vertical="center" wrapText="1"/>
      <protection hidden="1"/>
    </xf>
    <xf numFmtId="169" fontId="45" fillId="7" borderId="9" xfId="2" applyNumberFormat="1" applyFont="1" applyFill="1" applyBorder="1" applyAlignment="1" applyProtection="1">
      <alignment horizontal="center" vertical="center" wrapText="1"/>
      <protection hidden="1"/>
    </xf>
    <xf numFmtId="0" fontId="58" fillId="18" borderId="9" xfId="2" applyFont="1" applyFill="1" applyBorder="1" applyAlignment="1" applyProtection="1">
      <alignment horizontal="center" vertical="center" wrapText="1"/>
      <protection hidden="1"/>
    </xf>
    <xf numFmtId="2" fontId="45" fillId="18" borderId="9" xfId="2" applyNumberFormat="1" applyFont="1" applyFill="1" applyBorder="1" applyAlignment="1" applyProtection="1">
      <alignment horizontal="center" vertical="center" wrapText="1"/>
      <protection hidden="1"/>
    </xf>
    <xf numFmtId="169" fontId="45" fillId="18" borderId="9" xfId="2" applyNumberFormat="1" applyFont="1" applyFill="1" applyBorder="1" applyAlignment="1" applyProtection="1">
      <alignment horizontal="center" vertical="center" wrapText="1"/>
      <protection hidden="1"/>
    </xf>
    <xf numFmtId="0" fontId="42" fillId="19" borderId="0" xfId="2" applyFont="1" applyFill="1" applyProtection="1">
      <protection hidden="1"/>
    </xf>
    <xf numFmtId="0" fontId="42" fillId="19" borderId="0" xfId="2" applyFont="1" applyFill="1" applyAlignment="1" applyProtection="1">
      <alignment vertical="center"/>
      <protection hidden="1"/>
    </xf>
    <xf numFmtId="0" fontId="43" fillId="19" borderId="0" xfId="2" applyFont="1" applyFill="1" applyProtection="1">
      <protection hidden="1"/>
    </xf>
    <xf numFmtId="0" fontId="44" fillId="19" borderId="0" xfId="2" applyFont="1" applyFill="1" applyAlignment="1" applyProtection="1">
      <alignment vertical="center"/>
      <protection hidden="1"/>
    </xf>
    <xf numFmtId="0" fontId="43" fillId="19" borderId="0" xfId="2" applyFont="1" applyFill="1" applyAlignment="1" applyProtection="1">
      <alignment vertical="center"/>
      <protection hidden="1"/>
    </xf>
    <xf numFmtId="0" fontId="48" fillId="19" borderId="0" xfId="7" applyFont="1" applyFill="1" applyAlignment="1" applyProtection="1">
      <alignment vertical="center"/>
      <protection hidden="1"/>
    </xf>
    <xf numFmtId="49" fontId="43" fillId="19" borderId="0" xfId="2" applyNumberFormat="1" applyFont="1" applyFill="1" applyAlignment="1" applyProtection="1">
      <alignment vertical="center"/>
      <protection hidden="1"/>
    </xf>
    <xf numFmtId="0" fontId="43" fillId="16" borderId="0" xfId="2" applyFont="1" applyFill="1" applyAlignment="1" applyProtection="1">
      <alignment vertical="center"/>
      <protection hidden="1"/>
    </xf>
    <xf numFmtId="0" fontId="43" fillId="9" borderId="0" xfId="2" applyFont="1" applyFill="1" applyAlignment="1" applyProtection="1">
      <alignment vertical="center"/>
      <protection hidden="1"/>
    </xf>
    <xf numFmtId="0" fontId="43" fillId="0" borderId="0" xfId="2" applyFont="1" applyAlignment="1" applyProtection="1">
      <alignment vertical="center"/>
      <protection hidden="1"/>
    </xf>
    <xf numFmtId="49" fontId="43" fillId="6" borderId="0" xfId="2" applyNumberFormat="1" applyFont="1" applyFill="1" applyAlignment="1" applyProtection="1">
      <alignment vertical="center"/>
      <protection hidden="1"/>
    </xf>
    <xf numFmtId="0" fontId="43" fillId="0" borderId="0" xfId="2" applyFont="1" applyAlignment="1" applyProtection="1">
      <alignment horizontal="center" vertical="center"/>
      <protection hidden="1"/>
    </xf>
    <xf numFmtId="49" fontId="44" fillId="19" borderId="0" xfId="2" applyNumberFormat="1" applyFont="1" applyFill="1" applyAlignment="1" applyProtection="1">
      <alignment vertical="center"/>
      <protection hidden="1"/>
    </xf>
    <xf numFmtId="0" fontId="43" fillId="0" borderId="0" xfId="2" applyFont="1" applyAlignment="1" applyProtection="1">
      <alignment horizontal="center"/>
      <protection hidden="1"/>
    </xf>
    <xf numFmtId="49" fontId="43" fillId="8" borderId="9" xfId="2" applyNumberFormat="1" applyFont="1" applyFill="1" applyBorder="1" applyAlignment="1" applyProtection="1">
      <alignment horizontal="center" vertical="center" wrapText="1"/>
      <protection hidden="1"/>
    </xf>
    <xf numFmtId="0" fontId="43" fillId="7" borderId="9" xfId="0" applyFont="1" applyFill="1" applyBorder="1" applyAlignment="1">
      <alignment horizontal="center" vertical="center" wrapText="1"/>
    </xf>
    <xf numFmtId="0" fontId="43" fillId="0" borderId="0" xfId="0" applyFont="1" applyAlignment="1">
      <alignment vertical="center"/>
    </xf>
    <xf numFmtId="0" fontId="57" fillId="8" borderId="9" xfId="0" applyFont="1" applyFill="1" applyBorder="1" applyAlignment="1">
      <alignment horizontal="right" vertical="center" wrapText="1"/>
    </xf>
    <xf numFmtId="0" fontId="57" fillId="8" borderId="9" xfId="0" applyFont="1" applyFill="1" applyBorder="1" applyAlignment="1">
      <alignment horizontal="right" vertical="center"/>
    </xf>
    <xf numFmtId="0" fontId="43" fillId="0" borderId="9" xfId="0" applyFont="1" applyBorder="1" applyAlignment="1">
      <alignment horizontal="center" vertical="center"/>
    </xf>
    <xf numFmtId="0" fontId="43" fillId="8" borderId="9" xfId="0" applyFont="1" applyFill="1" applyBorder="1" applyAlignment="1">
      <alignment horizontal="center" vertical="center"/>
    </xf>
    <xf numFmtId="0" fontId="45" fillId="0" borderId="9" xfId="0" applyFont="1" applyBorder="1" applyAlignment="1">
      <alignment vertical="center"/>
    </xf>
    <xf numFmtId="0" fontId="59" fillId="0" borderId="9" xfId="2" applyFont="1" applyBorder="1" applyAlignment="1" applyProtection="1">
      <alignment horizontal="left" vertical="center" wrapText="1"/>
      <protection hidden="1"/>
    </xf>
    <xf numFmtId="1" fontId="43" fillId="7" borderId="9" xfId="2" applyNumberFormat="1" applyFont="1" applyFill="1" applyBorder="1" applyAlignment="1" applyProtection="1">
      <alignment horizontal="center" vertical="center"/>
      <protection hidden="1"/>
    </xf>
    <xf numFmtId="3" fontId="35" fillId="0" borderId="0" xfId="5" applyNumberFormat="1" applyFont="1" applyFill="1" applyBorder="1" applyAlignment="1" applyProtection="1">
      <alignment vertical="top"/>
    </xf>
    <xf numFmtId="0" fontId="1" fillId="0" borderId="0" xfId="4" applyFont="1" applyProtection="1">
      <protection hidden="1"/>
    </xf>
    <xf numFmtId="165" fontId="7" fillId="20" borderId="0" xfId="1" applyNumberFormat="1" applyFont="1" applyFill="1" applyBorder="1"/>
    <xf numFmtId="0" fontId="7" fillId="21" borderId="0" xfId="2" applyFill="1"/>
    <xf numFmtId="0" fontId="27" fillId="21" borderId="0" xfId="2" applyFont="1" applyFill="1"/>
    <xf numFmtId="165" fontId="7" fillId="21" borderId="0" xfId="1" applyNumberFormat="1" applyFont="1" applyFill="1" applyBorder="1"/>
    <xf numFmtId="0" fontId="6" fillId="21" borderId="0" xfId="2" applyFont="1" applyFill="1"/>
    <xf numFmtId="1" fontId="28" fillId="0" borderId="1" xfId="0" applyNumberFormat="1" applyFont="1" applyBorder="1" applyAlignment="1">
      <alignment horizontal="center" vertical="center" wrapText="1"/>
    </xf>
    <xf numFmtId="1" fontId="28" fillId="0" borderId="5" xfId="0" applyNumberFormat="1" applyFont="1" applyBorder="1" applyAlignment="1">
      <alignment horizontal="center" vertical="center" wrapText="1"/>
    </xf>
    <xf numFmtId="1" fontId="28" fillId="0" borderId="4" xfId="0" applyNumberFormat="1" applyFont="1" applyBorder="1" applyAlignment="1">
      <alignment horizontal="center" vertical="center" wrapText="1"/>
    </xf>
    <xf numFmtId="1" fontId="28" fillId="0" borderId="7" xfId="0" applyNumberFormat="1" applyFont="1" applyBorder="1" applyAlignment="1">
      <alignment horizontal="center" vertical="center" wrapText="1"/>
    </xf>
    <xf numFmtId="3" fontId="28" fillId="0" borderId="1" xfId="0" applyNumberFormat="1" applyFont="1" applyBorder="1" applyAlignment="1">
      <alignment horizontal="center" vertical="center" wrapText="1"/>
    </xf>
    <xf numFmtId="3" fontId="28" fillId="0" borderId="5" xfId="0" applyNumberFormat="1" applyFont="1" applyBorder="1" applyAlignment="1">
      <alignment horizontal="center" vertical="center" wrapText="1"/>
    </xf>
    <xf numFmtId="3" fontId="28" fillId="0" borderId="4" xfId="0" applyNumberFormat="1" applyFont="1" applyBorder="1" applyAlignment="1">
      <alignment horizontal="center" vertical="center" wrapText="1"/>
    </xf>
    <xf numFmtId="3" fontId="28" fillId="0" borderId="7" xfId="0" applyNumberFormat="1" applyFont="1" applyBorder="1" applyAlignment="1">
      <alignment horizontal="center" vertical="center" wrapText="1"/>
    </xf>
    <xf numFmtId="0" fontId="28" fillId="0" borderId="4" xfId="0" applyFont="1" applyBorder="1" applyAlignment="1">
      <alignment horizontal="center" vertical="center" wrapText="1"/>
    </xf>
    <xf numFmtId="0" fontId="28" fillId="0" borderId="7" xfId="0" applyFont="1" applyBorder="1" applyAlignment="1">
      <alignment horizontal="center" vertical="center" wrapText="1"/>
    </xf>
    <xf numFmtId="0" fontId="28" fillId="0" borderId="42" xfId="0" applyFont="1" applyBorder="1" applyAlignment="1">
      <alignment vertical="center"/>
    </xf>
    <xf numFmtId="0" fontId="28" fillId="0" borderId="45" xfId="0" applyFont="1" applyBorder="1" applyAlignment="1">
      <alignment vertical="center"/>
    </xf>
    <xf numFmtId="0" fontId="43" fillId="8" borderId="9" xfId="0" applyFont="1" applyFill="1" applyBorder="1" applyAlignment="1" applyProtection="1">
      <alignment horizontal="center" vertical="center" wrapText="1"/>
      <protection hidden="1"/>
    </xf>
    <xf numFmtId="0" fontId="43" fillId="13" borderId="0" xfId="2" applyFont="1" applyFill="1" applyAlignment="1" applyProtection="1">
      <alignment horizontal="center"/>
      <protection hidden="1"/>
    </xf>
    <xf numFmtId="0" fontId="44" fillId="0" borderId="0" xfId="0" applyFont="1" applyAlignment="1" applyProtection="1">
      <alignment horizontal="left" vertical="center" wrapText="1"/>
      <protection hidden="1"/>
    </xf>
    <xf numFmtId="0" fontId="43" fillId="0" borderId="0" xfId="0" applyFont="1" applyAlignment="1" applyProtection="1">
      <alignment horizontal="left" vertical="center" wrapText="1"/>
      <protection hidden="1"/>
    </xf>
    <xf numFmtId="0" fontId="43" fillId="6" borderId="53" xfId="2" applyFont="1" applyFill="1" applyBorder="1" applyAlignment="1" applyProtection="1">
      <alignment horizontal="center"/>
      <protection hidden="1"/>
    </xf>
    <xf numFmtId="0" fontId="43" fillId="0" borderId="0" xfId="0" applyFont="1" applyAlignment="1" applyProtection="1">
      <alignment horizontal="left" vertical="top" wrapText="1"/>
      <protection hidden="1"/>
    </xf>
    <xf numFmtId="168" fontId="43" fillId="13" borderId="53" xfId="2" applyNumberFormat="1" applyFont="1" applyFill="1" applyBorder="1" applyAlignment="1" applyProtection="1">
      <alignment horizontal="center"/>
      <protection locked="0" hidden="1"/>
    </xf>
    <xf numFmtId="49" fontId="43" fillId="13" borderId="54" xfId="2" applyNumberFormat="1" applyFont="1" applyFill="1" applyBorder="1" applyAlignment="1" applyProtection="1">
      <alignment horizontal="center"/>
      <protection locked="0" hidden="1"/>
    </xf>
    <xf numFmtId="1" fontId="43" fillId="13" borderId="54" xfId="2" applyNumberFormat="1" applyFont="1" applyFill="1" applyBorder="1" applyAlignment="1" applyProtection="1">
      <alignment horizontal="center"/>
      <protection locked="0" hidden="1"/>
    </xf>
    <xf numFmtId="49" fontId="43" fillId="13" borderId="53" xfId="2" applyNumberFormat="1" applyFont="1" applyFill="1" applyBorder="1" applyAlignment="1" applyProtection="1">
      <alignment horizontal="center"/>
      <protection locked="0" hidden="1"/>
    </xf>
    <xf numFmtId="0" fontId="14" fillId="0" borderId="0" xfId="2" applyFont="1" applyAlignment="1">
      <alignment horizontal="center" vertical="center" wrapText="1"/>
    </xf>
    <xf numFmtId="0" fontId="33" fillId="0" borderId="0" xfId="2" applyFont="1" applyAlignment="1">
      <alignment horizontal="left" vertical="center" wrapText="1"/>
    </xf>
    <xf numFmtId="0" fontId="28" fillId="0" borderId="0" xfId="2" applyFont="1" applyAlignment="1">
      <alignment horizontal="center" vertical="center" wrapText="1"/>
    </xf>
    <xf numFmtId="0" fontId="28" fillId="0" borderId="0" xfId="2" applyFont="1" applyAlignment="1">
      <alignment horizontal="center" vertical="center"/>
    </xf>
    <xf numFmtId="0" fontId="6" fillId="0" borderId="0" xfId="2" applyFont="1" applyAlignment="1">
      <alignment horizontal="center"/>
    </xf>
    <xf numFmtId="0" fontId="7" fillId="0" borderId="0" xfId="2" applyAlignment="1">
      <alignment horizontal="center"/>
    </xf>
    <xf numFmtId="0" fontId="49" fillId="6" borderId="9" xfId="2" applyFont="1" applyFill="1" applyBorder="1" applyAlignment="1" applyProtection="1">
      <alignment horizontal="left" vertical="center" wrapText="1"/>
      <protection hidden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1" xfId="0" applyFont="1" applyBorder="1" applyAlignment="1">
      <alignment horizontal="center" vertical="center" wrapText="1"/>
    </xf>
    <xf numFmtId="0" fontId="9" fillId="0" borderId="42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top" wrapText="1"/>
    </xf>
    <xf numFmtId="0" fontId="43" fillId="8" borderId="9" xfId="2" applyFont="1" applyFill="1" applyBorder="1" applyAlignment="1" applyProtection="1">
      <alignment horizontal="center" vertical="center" wrapText="1"/>
      <protection hidden="1"/>
    </xf>
    <xf numFmtId="0" fontId="49" fillId="6" borderId="9" xfId="2" applyFont="1" applyFill="1" applyBorder="1" applyAlignment="1" applyProtection="1">
      <alignment horizontal="center" vertical="center" wrapText="1"/>
      <protection hidden="1"/>
    </xf>
    <xf numFmtId="0" fontId="45" fillId="6" borderId="47" xfId="2" applyFont="1" applyFill="1" applyBorder="1" applyAlignment="1" applyProtection="1">
      <alignment horizontal="left" vertical="center" wrapText="1"/>
      <protection hidden="1"/>
    </xf>
    <xf numFmtId="0" fontId="45" fillId="6" borderId="49" xfId="2" applyFont="1" applyFill="1" applyBorder="1" applyAlignment="1" applyProtection="1">
      <alignment horizontal="left" vertical="center" wrapText="1"/>
      <protection hidden="1"/>
    </xf>
    <xf numFmtId="0" fontId="45" fillId="6" borderId="48" xfId="2" applyFont="1" applyFill="1" applyBorder="1" applyAlignment="1" applyProtection="1">
      <alignment horizontal="left" vertical="center" wrapText="1"/>
      <protection hidden="1"/>
    </xf>
    <xf numFmtId="0" fontId="45" fillId="6" borderId="52" xfId="2" applyFont="1" applyFill="1" applyBorder="1" applyAlignment="1" applyProtection="1">
      <alignment horizontal="left" vertical="center" wrapText="1"/>
      <protection hidden="1"/>
    </xf>
    <xf numFmtId="0" fontId="45" fillId="6" borderId="53" xfId="2" applyFont="1" applyFill="1" applyBorder="1" applyAlignment="1" applyProtection="1">
      <alignment horizontal="left" vertical="center" wrapText="1"/>
      <protection hidden="1"/>
    </xf>
    <xf numFmtId="0" fontId="45" fillId="6" borderId="46" xfId="2" applyFont="1" applyFill="1" applyBorder="1" applyAlignment="1" applyProtection="1">
      <alignment horizontal="left" vertical="center" wrapText="1"/>
      <protection hidden="1"/>
    </xf>
    <xf numFmtId="0" fontId="45" fillId="6" borderId="9" xfId="2" applyFont="1" applyFill="1" applyBorder="1" applyAlignment="1" applyProtection="1">
      <alignment horizontal="left" vertical="center" wrapText="1"/>
      <protection hidden="1"/>
    </xf>
    <xf numFmtId="0" fontId="43" fillId="8" borderId="9" xfId="0" applyFont="1" applyFill="1" applyBorder="1" applyAlignment="1">
      <alignment horizontal="center"/>
    </xf>
    <xf numFmtId="0" fontId="45" fillId="6" borderId="9" xfId="2" applyFont="1" applyFill="1" applyBorder="1" applyAlignment="1" applyProtection="1">
      <alignment vertical="center" wrapText="1"/>
      <protection hidden="1"/>
    </xf>
    <xf numFmtId="0" fontId="45" fillId="6" borderId="47" xfId="2" applyFont="1" applyFill="1" applyBorder="1" applyAlignment="1" applyProtection="1">
      <alignment horizontal="left" wrapText="1"/>
      <protection hidden="1"/>
    </xf>
    <xf numFmtId="0" fontId="45" fillId="6" borderId="49" xfId="2" applyFont="1" applyFill="1" applyBorder="1" applyAlignment="1" applyProtection="1">
      <alignment horizontal="left" wrapText="1"/>
      <protection hidden="1"/>
    </xf>
    <xf numFmtId="0" fontId="45" fillId="6" borderId="50" xfId="2" applyFont="1" applyFill="1" applyBorder="1" applyAlignment="1" applyProtection="1">
      <alignment horizontal="left" wrapText="1"/>
      <protection hidden="1"/>
    </xf>
    <xf numFmtId="0" fontId="45" fillId="6" borderId="0" xfId="2" applyFont="1" applyFill="1" applyAlignment="1" applyProtection="1">
      <alignment horizontal="left" wrapText="1"/>
      <protection hidden="1"/>
    </xf>
    <xf numFmtId="0" fontId="45" fillId="6" borderId="9" xfId="2" applyFont="1" applyFill="1" applyBorder="1" applyAlignment="1" applyProtection="1">
      <alignment horizontal="left" vertical="top" wrapText="1"/>
      <protection hidden="1"/>
    </xf>
    <xf numFmtId="16" fontId="43" fillId="6" borderId="9" xfId="2" applyNumberFormat="1" applyFont="1" applyFill="1" applyBorder="1" applyAlignment="1" applyProtection="1">
      <alignment horizontal="center" vertical="center"/>
      <protection hidden="1"/>
    </xf>
    <xf numFmtId="0" fontId="45" fillId="0" borderId="47" xfId="4" applyFont="1" applyBorder="1" applyAlignment="1" applyProtection="1">
      <alignment horizontal="center" vertical="center" wrapText="1"/>
      <protection hidden="1"/>
    </xf>
    <xf numFmtId="0" fontId="45" fillId="0" borderId="49" xfId="4" applyFont="1" applyBorder="1" applyAlignment="1" applyProtection="1">
      <alignment horizontal="center" vertical="center" wrapText="1"/>
      <protection hidden="1"/>
    </xf>
    <xf numFmtId="0" fontId="45" fillId="0" borderId="48" xfId="4" applyFont="1" applyBorder="1" applyAlignment="1" applyProtection="1">
      <alignment horizontal="center" vertical="center" wrapText="1"/>
      <protection hidden="1"/>
    </xf>
    <xf numFmtId="0" fontId="45" fillId="0" borderId="50" xfId="4" applyFont="1" applyBorder="1" applyAlignment="1" applyProtection="1">
      <alignment horizontal="center" vertical="center" wrapText="1"/>
      <protection hidden="1"/>
    </xf>
    <xf numFmtId="0" fontId="45" fillId="0" borderId="0" xfId="4" applyFont="1" applyAlignment="1" applyProtection="1">
      <alignment horizontal="center" vertical="center" wrapText="1"/>
      <protection hidden="1"/>
    </xf>
    <xf numFmtId="0" fontId="45" fillId="0" borderId="51" xfId="4" applyFont="1" applyBorder="1" applyAlignment="1" applyProtection="1">
      <alignment horizontal="center" vertical="center" wrapText="1"/>
      <protection hidden="1"/>
    </xf>
    <xf numFmtId="0" fontId="45" fillId="0" borderId="52" xfId="4" applyFont="1" applyBorder="1" applyAlignment="1" applyProtection="1">
      <alignment horizontal="center" vertical="center" wrapText="1"/>
      <protection hidden="1"/>
    </xf>
    <xf numFmtId="0" fontId="45" fillId="0" borderId="53" xfId="4" applyFont="1" applyBorder="1" applyAlignment="1" applyProtection="1">
      <alignment horizontal="center" vertical="center" wrapText="1"/>
      <protection hidden="1"/>
    </xf>
    <xf numFmtId="0" fontId="45" fillId="0" borderId="46" xfId="4" applyFont="1" applyBorder="1" applyAlignment="1" applyProtection="1">
      <alignment horizontal="center" vertical="center" wrapText="1"/>
      <protection hidden="1"/>
    </xf>
    <xf numFmtId="0" fontId="45" fillId="6" borderId="47" xfId="2" applyFont="1" applyFill="1" applyBorder="1" applyAlignment="1" applyProtection="1">
      <alignment horizontal="left" vertical="top" wrapText="1"/>
      <protection hidden="1"/>
    </xf>
    <xf numFmtId="0" fontId="45" fillId="6" borderId="49" xfId="2" applyFont="1" applyFill="1" applyBorder="1" applyAlignment="1" applyProtection="1">
      <alignment horizontal="left" vertical="top" wrapText="1"/>
      <protection hidden="1"/>
    </xf>
    <xf numFmtId="0" fontId="45" fillId="6" borderId="48" xfId="2" applyFont="1" applyFill="1" applyBorder="1" applyAlignment="1" applyProtection="1">
      <alignment horizontal="left" vertical="top" wrapText="1"/>
      <protection hidden="1"/>
    </xf>
    <xf numFmtId="0" fontId="45" fillId="6" borderId="52" xfId="2" applyFont="1" applyFill="1" applyBorder="1" applyAlignment="1" applyProtection="1">
      <alignment horizontal="left" vertical="top" wrapText="1"/>
      <protection hidden="1"/>
    </xf>
    <xf numFmtId="0" fontId="45" fillId="6" borderId="53" xfId="2" applyFont="1" applyFill="1" applyBorder="1" applyAlignment="1" applyProtection="1">
      <alignment horizontal="left" vertical="top" wrapText="1"/>
      <protection hidden="1"/>
    </xf>
    <xf numFmtId="0" fontId="45" fillId="6" borderId="46" xfId="2" applyFont="1" applyFill="1" applyBorder="1" applyAlignment="1" applyProtection="1">
      <alignment horizontal="left" vertical="top" wrapText="1"/>
      <protection hidden="1"/>
    </xf>
    <xf numFmtId="16" fontId="43" fillId="6" borderId="41" xfId="2" applyNumberFormat="1" applyFont="1" applyFill="1" applyBorder="1" applyAlignment="1" applyProtection="1">
      <alignment horizontal="center" vertical="center"/>
      <protection hidden="1"/>
    </xf>
    <xf numFmtId="16" fontId="43" fillId="6" borderId="15" xfId="2" applyNumberFormat="1" applyFont="1" applyFill="1" applyBorder="1" applyAlignment="1" applyProtection="1">
      <alignment horizontal="center" vertical="center"/>
      <protection hidden="1"/>
    </xf>
    <xf numFmtId="0" fontId="45" fillId="17" borderId="45" xfId="4" applyFont="1" applyFill="1" applyBorder="1" applyAlignment="1" applyProtection="1">
      <alignment horizontal="left" vertical="center" wrapText="1"/>
      <protection hidden="1"/>
    </xf>
    <xf numFmtId="0" fontId="45" fillId="17" borderId="54" xfId="4" applyFont="1" applyFill="1" applyBorder="1" applyAlignment="1" applyProtection="1">
      <alignment horizontal="left" vertical="center" wrapText="1"/>
      <protection hidden="1"/>
    </xf>
    <xf numFmtId="0" fontId="45" fillId="17" borderId="12" xfId="4" applyFont="1" applyFill="1" applyBorder="1" applyAlignment="1" applyProtection="1">
      <alignment horizontal="left" vertical="center" wrapText="1"/>
      <protection hidden="1"/>
    </xf>
    <xf numFmtId="0" fontId="45" fillId="0" borderId="9" xfId="4" applyFont="1" applyBorder="1" applyAlignment="1" applyProtection="1">
      <alignment horizontal="left" vertical="center" wrapText="1"/>
      <protection hidden="1"/>
    </xf>
    <xf numFmtId="0" fontId="54" fillId="7" borderId="45" xfId="0" applyFont="1" applyFill="1" applyBorder="1" applyAlignment="1">
      <alignment horizontal="left" vertical="center"/>
    </xf>
    <xf numFmtId="0" fontId="54" fillId="7" borderId="54" xfId="0" applyFont="1" applyFill="1" applyBorder="1" applyAlignment="1">
      <alignment horizontal="left" vertical="center"/>
    </xf>
    <xf numFmtId="0" fontId="54" fillId="7" borderId="12" xfId="0" applyFont="1" applyFill="1" applyBorder="1" applyAlignment="1">
      <alignment horizontal="left" vertical="center"/>
    </xf>
    <xf numFmtId="0" fontId="45" fillId="8" borderId="9" xfId="2" applyFont="1" applyFill="1" applyBorder="1" applyAlignment="1" applyProtection="1">
      <alignment horizontal="center" vertical="center" wrapText="1"/>
      <protection hidden="1"/>
    </xf>
    <xf numFmtId="0" fontId="43" fillId="0" borderId="9" xfId="0" applyFont="1" applyBorder="1" applyAlignment="1">
      <alignment horizontal="center" vertical="center"/>
    </xf>
    <xf numFmtId="0" fontId="54" fillId="7" borderId="45" xfId="0" applyFont="1" applyFill="1" applyBorder="1" applyAlignment="1">
      <alignment horizontal="center" vertical="center"/>
    </xf>
    <xf numFmtId="0" fontId="54" fillId="7" borderId="54" xfId="0" applyFont="1" applyFill="1" applyBorder="1" applyAlignment="1">
      <alignment horizontal="center" vertical="center"/>
    </xf>
    <xf numFmtId="0" fontId="54" fillId="7" borderId="12" xfId="0" applyFont="1" applyFill="1" applyBorder="1" applyAlignment="1">
      <alignment horizontal="center" vertical="center"/>
    </xf>
    <xf numFmtId="0" fontId="43" fillId="7" borderId="9" xfId="0" applyFont="1" applyFill="1" applyBorder="1" applyAlignment="1">
      <alignment horizontal="center" vertical="center"/>
    </xf>
    <xf numFmtId="0" fontId="43" fillId="7" borderId="9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8" xfId="0" applyFont="1" applyBorder="1" applyAlignment="1">
      <alignment horizontal="center" wrapText="1"/>
    </xf>
    <xf numFmtId="0" fontId="9" fillId="0" borderId="6" xfId="0" applyFont="1" applyBorder="1" applyAlignment="1">
      <alignment horizontal="center" wrapText="1"/>
    </xf>
    <xf numFmtId="0" fontId="9" fillId="0" borderId="5" xfId="0" applyFont="1" applyBorder="1" applyAlignment="1">
      <alignment horizontal="center" wrapText="1"/>
    </xf>
    <xf numFmtId="0" fontId="16" fillId="3" borderId="9" xfId="0" applyFont="1" applyFill="1" applyBorder="1" applyAlignment="1">
      <alignment horizontal="center" wrapText="1"/>
    </xf>
    <xf numFmtId="0" fontId="16" fillId="0" borderId="9" xfId="0" applyFont="1" applyBorder="1" applyAlignment="1">
      <alignment horizontal="center" vertical="top" wrapText="1"/>
    </xf>
    <xf numFmtId="0" fontId="9" fillId="0" borderId="9" xfId="0" applyFont="1" applyBorder="1" applyAlignment="1">
      <alignment horizontal="center" wrapText="1"/>
    </xf>
    <xf numFmtId="0" fontId="16" fillId="0" borderId="9" xfId="0" applyFont="1" applyBorder="1" applyAlignment="1">
      <alignment horizontal="center" wrapText="1"/>
    </xf>
    <xf numFmtId="0" fontId="9" fillId="3" borderId="8" xfId="0" applyFont="1" applyFill="1" applyBorder="1" applyAlignment="1">
      <alignment horizontal="center" wrapText="1"/>
    </xf>
    <xf numFmtId="0" fontId="9" fillId="3" borderId="6" xfId="0" applyFont="1" applyFill="1" applyBorder="1" applyAlignment="1">
      <alignment horizontal="center" wrapText="1"/>
    </xf>
    <xf numFmtId="0" fontId="9" fillId="3" borderId="5" xfId="0" applyFont="1" applyFill="1" applyBorder="1" applyAlignment="1">
      <alignment horizontal="center" wrapText="1"/>
    </xf>
    <xf numFmtId="0" fontId="15" fillId="0" borderId="2" xfId="0" applyFont="1" applyBorder="1" applyAlignment="1">
      <alignment horizontal="center" vertical="top" wrapText="1"/>
    </xf>
    <xf numFmtId="0" fontId="15" fillId="0" borderId="3" xfId="0" applyFont="1" applyBorder="1" applyAlignment="1">
      <alignment horizontal="center" vertical="top" wrapText="1"/>
    </xf>
    <xf numFmtId="0" fontId="15" fillId="0" borderId="4" xfId="0" applyFont="1" applyBorder="1" applyAlignment="1">
      <alignment horizontal="center" vertical="top" wrapText="1"/>
    </xf>
    <xf numFmtId="0" fontId="15" fillId="0" borderId="8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29" fillId="0" borderId="9" xfId="0" applyFont="1" applyBorder="1" applyAlignment="1">
      <alignment vertical="center"/>
    </xf>
    <xf numFmtId="0" fontId="29" fillId="0" borderId="9" xfId="0" applyFont="1" applyBorder="1" applyAlignment="1">
      <alignment horizontal="center" vertical="center"/>
    </xf>
    <xf numFmtId="0" fontId="28" fillId="0" borderId="9" xfId="0" applyFont="1" applyBorder="1" applyAlignment="1">
      <alignment vertical="center"/>
    </xf>
    <xf numFmtId="0" fontId="40" fillId="0" borderId="45" xfId="0" applyFont="1" applyBorder="1" applyAlignment="1">
      <alignment horizontal="center" vertical="center"/>
    </xf>
    <xf numFmtId="0" fontId="40" fillId="0" borderId="54" xfId="0" applyFont="1" applyBorder="1" applyAlignment="1">
      <alignment horizontal="center" vertical="center"/>
    </xf>
    <xf numFmtId="0" fontId="40" fillId="0" borderId="12" xfId="0" applyFont="1" applyBorder="1" applyAlignment="1">
      <alignment horizontal="center" vertical="center"/>
    </xf>
  </cellXfs>
  <cellStyles count="8">
    <cellStyle name="Normal 2" xfId="6" xr:uid="{00000000-0005-0000-0000-000000000000}"/>
    <cellStyle name="Гиперссылка" xfId="7" builtinId="8"/>
    <cellStyle name="Обычный" xfId="0" builtinId="0"/>
    <cellStyle name="Обычный 2" xfId="2" xr:uid="{00000000-0005-0000-0000-000003000000}"/>
    <cellStyle name="Обычный 2 2" xfId="5" xr:uid="{00000000-0005-0000-0000-000004000000}"/>
    <cellStyle name="Обычный 3" xfId="4" xr:uid="{00000000-0005-0000-0000-000005000000}"/>
    <cellStyle name="Процентный" xfId="1" builtinId="5"/>
    <cellStyle name="Процентный 2" xfId="3" xr:uid="{00000000-0005-0000-0000-000007000000}"/>
  </cellStyles>
  <dxfs count="81">
    <dxf>
      <font>
        <color rgb="FFFF0000"/>
      </font>
      <fill>
        <patternFill>
          <bgColor theme="5" tint="0.59996337778862885"/>
        </patternFill>
      </fill>
    </dxf>
    <dxf>
      <font>
        <color theme="9" tint="-0.24994659260841701"/>
      </font>
      <fill>
        <patternFill>
          <bgColor theme="9" tint="0.59996337778862885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9" tint="-0.24994659260841701"/>
      </font>
      <fill>
        <patternFill>
          <bgColor theme="9" tint="0.59996337778862885"/>
        </patternFill>
      </fill>
    </dxf>
    <dxf>
      <font>
        <color theme="0" tint="-0.499984740745262"/>
      </font>
      <fill>
        <patternFill>
          <bgColor theme="0" tint="-0.24994659260841701"/>
        </patternFill>
      </fill>
    </dxf>
    <dxf>
      <font>
        <color theme="0" tint="-0.499984740745262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0" tint="-0.499984740745262"/>
      </font>
      <fill>
        <patternFill>
          <bgColor theme="0" tint="-0.24994659260841701"/>
        </patternFill>
      </fill>
    </dxf>
    <dxf>
      <font>
        <color theme="0" tint="-0.499984740745262"/>
      </font>
      <fill>
        <patternFill>
          <bgColor theme="0" tint="-0.24994659260841701"/>
        </patternFill>
      </fill>
    </dxf>
    <dxf>
      <font>
        <color theme="0" tint="-0.499984740745262"/>
      </font>
      <fill>
        <patternFill>
          <bgColor theme="0" tint="-0.24994659260841701"/>
        </patternFill>
      </fill>
    </dxf>
    <dxf>
      <font>
        <color theme="0" tint="-0.499984740745262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9" tint="-0.24994659260841701"/>
      </font>
      <fill>
        <patternFill>
          <bgColor theme="9" tint="0.59996337778862885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0" tint="-0.499984740745262"/>
      </font>
      <fill>
        <patternFill>
          <bgColor theme="0" tint="-0.24994659260841701"/>
        </patternFill>
      </fill>
    </dxf>
    <dxf>
      <font>
        <color theme="0" tint="-0.499984740745262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9" tint="-0.24994659260841701"/>
      </font>
      <fill>
        <patternFill>
          <bgColor theme="9" tint="0.59996337778862885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0" tint="-0.499984740745262"/>
      </font>
      <fill>
        <patternFill>
          <bgColor theme="0" tint="-0.24994659260841701"/>
        </patternFill>
      </fill>
    </dxf>
    <dxf>
      <font>
        <color theme="0" tint="-0.499984740745262"/>
      </font>
      <fill>
        <patternFill>
          <bgColor theme="0" tint="-0.24994659260841701"/>
        </patternFill>
      </fill>
    </dxf>
    <dxf>
      <font>
        <color theme="0" tint="-0.499984740745262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9" tint="-0.24994659260841701"/>
      </font>
      <fill>
        <patternFill>
          <bgColor theme="9" tint="0.59996337778862885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0" tint="-0.499984740745262"/>
      </font>
      <fill>
        <patternFill>
          <bgColor theme="0" tint="-0.24994659260841701"/>
        </patternFill>
      </fill>
    </dxf>
    <dxf>
      <font>
        <color theme="0" tint="-0.499984740745262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0" tint="-0.499984740745262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0" tint="-0.499984740745262"/>
      </font>
      <fill>
        <patternFill>
          <bgColor theme="0" tint="-0.24994659260841701"/>
        </patternFill>
      </fill>
    </dxf>
    <dxf>
      <font>
        <color theme="0" tint="-0.499984740745262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9" tint="-0.24994659260841701"/>
      </font>
      <fill>
        <patternFill>
          <bgColor theme="9" tint="0.59996337778862885"/>
        </patternFill>
      </fill>
    </dxf>
    <dxf>
      <font>
        <color theme="0" tint="-0.499984740745262"/>
      </font>
      <fill>
        <patternFill>
          <bgColor theme="6" tint="0.39994506668294322"/>
        </patternFill>
      </fill>
    </dxf>
    <dxf>
      <font>
        <color theme="0" tint="-0.499984740745262"/>
      </font>
      <fill>
        <patternFill>
          <bgColor theme="0" tint="-0.14996795556505021"/>
        </patternFill>
      </fill>
    </dxf>
    <dxf>
      <font>
        <color theme="0" tint="-0.499984740745262"/>
      </font>
      <fill>
        <patternFill>
          <bgColor theme="0" tint="-0.24994659260841701"/>
        </patternFill>
      </fill>
    </dxf>
    <dxf>
      <font>
        <color theme="0" tint="-0.499984740745262"/>
      </font>
      <fill>
        <patternFill>
          <bgColor theme="0" tint="-0.24994659260841701"/>
        </patternFill>
      </fill>
    </dxf>
    <dxf>
      <font>
        <color theme="0" tint="-0.499984740745262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9" tint="-0.24994659260841701"/>
      </font>
      <fill>
        <patternFill>
          <bgColor theme="9" tint="0.59996337778862885"/>
        </patternFill>
      </fill>
    </dxf>
    <dxf>
      <font>
        <color theme="0" tint="-0.499984740745262"/>
      </font>
      <fill>
        <patternFill>
          <bgColor theme="0" tint="-0.24994659260841701"/>
        </patternFill>
      </fill>
    </dxf>
    <dxf>
      <font>
        <color theme="0" tint="-0.499984740745262"/>
      </font>
      <fill>
        <patternFill>
          <bgColor theme="0" tint="-0.24994659260841701"/>
        </patternFill>
      </fill>
    </dxf>
    <dxf>
      <font>
        <color theme="0" tint="-0.499984740745262"/>
      </font>
      <fill>
        <patternFill>
          <bgColor theme="0" tint="-0.24994659260841701"/>
        </patternFill>
      </fill>
    </dxf>
    <dxf>
      <font>
        <color theme="0" tint="-0.499984740745262"/>
      </font>
      <fill>
        <patternFill>
          <bgColor theme="0" tint="-0.24994659260841701"/>
        </patternFill>
      </fill>
    </dxf>
    <dxf>
      <font>
        <color theme="0" tint="-0.499984740745262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9" tint="-0.24994659260841701"/>
      </font>
      <fill>
        <patternFill>
          <bgColor theme="9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ont>
        <color theme="0" tint="-0.499984740745262"/>
      </font>
      <fill>
        <patternFill>
          <bgColor theme="0" tint="-0.24994659260841701"/>
        </patternFill>
      </fill>
    </dxf>
    <dxf>
      <font>
        <color theme="0" tint="-0.499984740745262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9" tint="-0.24994659260841701"/>
      </font>
      <fill>
        <patternFill>
          <bgColor theme="9" tint="0.59996337778862885"/>
        </patternFill>
      </fill>
    </dxf>
    <dxf>
      <font>
        <color theme="0" tint="-0.499984740745262"/>
      </font>
      <fill>
        <patternFill>
          <bgColor theme="0" tint="-0.24994659260841701"/>
        </patternFill>
      </fill>
    </dxf>
    <dxf>
      <font>
        <color theme="0" tint="-0.499984740745262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9" tint="-0.24994659260841701"/>
      </font>
      <fill>
        <patternFill>
          <bgColor theme="9" tint="0.59996337778862885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none"/>
      </font>
      <alignment horizontal="general" vertical="bottom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</border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none"/>
      </font>
      <alignment horizontal="general" vertical="bottom" textRotation="0" wrapText="0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</border>
      <protection hidden="1"/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0" indent="0" justifyLastLine="0" shrinkToFit="0" readingOrder="0"/>
      <protection hidden="1"/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</border>
      <protection hidden="1"/>
    </dxf>
  </dxfs>
  <tableStyles count="0" defaultTableStyle="TableStyleMedium9" defaultPivotStyle="PivotStyleLight16"/>
  <colors>
    <mruColors>
      <color rgb="FFFFCCCC"/>
      <color rgb="FF00FFCC"/>
      <color rgb="FF34A0C3"/>
      <color rgb="FF42B3AA"/>
      <color rgb="FF1B5755"/>
      <color rgb="FF76D6FF"/>
      <color rgb="FF73FDD6"/>
      <color rgb="FF73FEFF"/>
      <color rgb="FFF1F4CC"/>
      <color rgb="FFEB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alcChain" Target="calcChain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684758155230649"/>
          <c:y val="4.9188385705429896E-2"/>
          <c:w val="0.57520880202474778"/>
          <c:h val="0.83982325921807"/>
        </c:manualLayout>
      </c:layout>
      <c:lineChart>
        <c:grouping val="standard"/>
        <c:varyColors val="0"/>
        <c:ser>
          <c:idx val="0"/>
          <c:order val="0"/>
          <c:tx>
            <c:strRef>
              <c:f>Бассейны!$D$135</c:f>
              <c:strCache>
                <c:ptCount val="1"/>
                <c:pt idx="0">
                  <c:v>Потенциал экономии</c:v>
                </c:pt>
              </c:strCache>
            </c:strRef>
          </c:tx>
          <c:marker>
            <c:symbol val="none"/>
          </c:marker>
          <c:val>
            <c:numRef>
              <c:f>Бассейны!$D$138:$D$187</c:f>
              <c:numCache>
                <c:formatCode>0.0%</c:formatCode>
                <c:ptCount val="5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0.16052785923753693</c:v>
                </c:pt>
                <c:pt idx="25">
                  <c:v>0.29055762081784409</c:v>
                </c:pt>
                <c:pt idx="26">
                  <c:v>0.38833333333333347</c:v>
                </c:pt>
                <c:pt idx="27">
                  <c:v>0.4320238095238097</c:v>
                </c:pt>
                <c:pt idx="28">
                  <c:v>0.47135734072022178</c:v>
                </c:pt>
                <c:pt idx="29">
                  <c:v>0.49734855136084299</c:v>
                </c:pt>
                <c:pt idx="30">
                  <c:v>0.53301794453507356</c:v>
                </c:pt>
                <c:pt idx="31">
                  <c:v>0.56660105980317954</c:v>
                </c:pt>
                <c:pt idx="32">
                  <c:v>0.58662815884476538</c:v>
                </c:pt>
                <c:pt idx="33">
                  <c:v>0.61290060851926997</c:v>
                </c:pt>
                <c:pt idx="34">
                  <c:v>0.62750813272608985</c:v>
                </c:pt>
                <c:pt idx="35">
                  <c:v>0.65676258992805769</c:v>
                </c:pt>
                <c:pt idx="36">
                  <c:v>0.6752580828133864</c:v>
                </c:pt>
                <c:pt idx="37">
                  <c:v>0.69069692058346854</c:v>
                </c:pt>
                <c:pt idx="38">
                  <c:v>0.70893746822572457</c:v>
                </c:pt>
                <c:pt idx="39">
                  <c:v>0.7388138686131388</c:v>
                </c:pt>
                <c:pt idx="40">
                  <c:v>0.75151041666666674</c:v>
                </c:pt>
                <c:pt idx="41">
                  <c:v>0.76351920693928144</c:v>
                </c:pt>
                <c:pt idx="42">
                  <c:v>0.78055960137983915</c:v>
                </c:pt>
                <c:pt idx="43">
                  <c:v>0.7942795544376573</c:v>
                </c:pt>
                <c:pt idx="44">
                  <c:v>0.80460068259385675</c:v>
                </c:pt>
                <c:pt idx="45">
                  <c:v>0.8110495049504951</c:v>
                </c:pt>
                <c:pt idx="46">
                  <c:v>0.81726141078838177</c:v>
                </c:pt>
                <c:pt idx="47">
                  <c:v>0.82614029760097185</c:v>
                </c:pt>
                <c:pt idx="48">
                  <c:v>0.84601398601398603</c:v>
                </c:pt>
                <c:pt idx="49">
                  <c:v>0.85849728126544733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DB-4782-9DA5-A7CEBF8D6FEE}"/>
            </c:ext>
          </c:extLst>
        </c:ser>
        <c:ser>
          <c:idx val="1"/>
          <c:order val="1"/>
          <c:marker>
            <c:symbol val="none"/>
          </c:marker>
          <c:val>
            <c:numRef>
              <c:f>Бассейны!$E$138:$E$187</c:f>
              <c:numCache>
                <c:formatCode>0.0%</c:formatCode>
                <c:ptCount val="5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1.6052785923753695E-2</c:v>
                </c:pt>
                <c:pt idx="25">
                  <c:v>2.9055762081784411E-2</c:v>
                </c:pt>
                <c:pt idx="26">
                  <c:v>3.8833333333333352E-2</c:v>
                </c:pt>
                <c:pt idx="27">
                  <c:v>5.9214285714285796E-2</c:v>
                </c:pt>
                <c:pt idx="28">
                  <c:v>8.2814404432133046E-2</c:v>
                </c:pt>
                <c:pt idx="29">
                  <c:v>9.8409130816505791E-2</c:v>
                </c:pt>
                <c:pt idx="30">
                  <c:v>0.11981076672104411</c:v>
                </c:pt>
                <c:pt idx="31">
                  <c:v>0.13996063588190771</c:v>
                </c:pt>
                <c:pt idx="32">
                  <c:v>0.15197689530685926</c:v>
                </c:pt>
                <c:pt idx="33">
                  <c:v>0.16774036511156193</c:v>
                </c:pt>
                <c:pt idx="34">
                  <c:v>0.17650487963565389</c:v>
                </c:pt>
                <c:pt idx="35">
                  <c:v>0.19405755395683461</c:v>
                </c:pt>
                <c:pt idx="36">
                  <c:v>0.20515484968803183</c:v>
                </c:pt>
                <c:pt idx="37">
                  <c:v>0.21441815235008108</c:v>
                </c:pt>
                <c:pt idx="38">
                  <c:v>0.22536248093543473</c:v>
                </c:pt>
                <c:pt idx="39">
                  <c:v>0.24328832116788329</c:v>
                </c:pt>
                <c:pt idx="40">
                  <c:v>0.25090625000000005</c:v>
                </c:pt>
                <c:pt idx="41">
                  <c:v>0.25811152416356881</c:v>
                </c:pt>
                <c:pt idx="42">
                  <c:v>0.26833576082790345</c:v>
                </c:pt>
                <c:pt idx="43">
                  <c:v>0.27656773266259438</c:v>
                </c:pt>
                <c:pt idx="44">
                  <c:v>0.28276040955631404</c:v>
                </c:pt>
                <c:pt idx="45">
                  <c:v>0.28662970297029705</c:v>
                </c:pt>
                <c:pt idx="46">
                  <c:v>0.29035684647302906</c:v>
                </c:pt>
                <c:pt idx="47">
                  <c:v>0.2956841785605831</c:v>
                </c:pt>
                <c:pt idx="48">
                  <c:v>0.3076083916083916</c:v>
                </c:pt>
                <c:pt idx="49">
                  <c:v>0.31509836875926844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DB-4782-9DA5-A7CEBF8D6FEE}"/>
            </c:ext>
          </c:extLst>
        </c:ser>
        <c:ser>
          <c:idx val="2"/>
          <c:order val="2"/>
          <c:marker>
            <c:symbol val="none"/>
          </c:marker>
          <c:val>
            <c:numRef>
              <c:f>Бассейны!$F$138:$F$187</c:f>
              <c:numCache>
                <c:formatCode>0.0%</c:formatCode>
                <c:ptCount val="5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1.0685714285714283E-2</c:v>
                </c:pt>
                <c:pt idx="24">
                  <c:v>2.6662756598240477E-2</c:v>
                </c:pt>
                <c:pt idx="25">
                  <c:v>3.8022304832713759E-2</c:v>
                </c:pt>
                <c:pt idx="26">
                  <c:v>7.9384615384615359E-2</c:v>
                </c:pt>
                <c:pt idx="27">
                  <c:v>0.10228571428571429</c:v>
                </c:pt>
                <c:pt idx="28">
                  <c:v>0.12290304709141274</c:v>
                </c:pt>
                <c:pt idx="29">
                  <c:v>0.13652677787532927</c:v>
                </c:pt>
                <c:pt idx="30">
                  <c:v>0.15522349102773245</c:v>
                </c:pt>
                <c:pt idx="31">
                  <c:v>0.17282664647993945</c:v>
                </c:pt>
                <c:pt idx="32">
                  <c:v>0.18332418772563178</c:v>
                </c:pt>
                <c:pt idx="33">
                  <c:v>0.19709533468559837</c:v>
                </c:pt>
                <c:pt idx="34">
                  <c:v>0.20475211450878333</c:v>
                </c:pt>
                <c:pt idx="35">
                  <c:v>0.22008633093525182</c:v>
                </c:pt>
                <c:pt idx="36">
                  <c:v>0.22978105501985252</c:v>
                </c:pt>
                <c:pt idx="37">
                  <c:v>0.23787358184764995</c:v>
                </c:pt>
                <c:pt idx="38">
                  <c:v>0.24743467208947639</c:v>
                </c:pt>
                <c:pt idx="39">
                  <c:v>0.26309489051094898</c:v>
                </c:pt>
                <c:pt idx="40">
                  <c:v>0.26974999999999999</c:v>
                </c:pt>
                <c:pt idx="41">
                  <c:v>0.27604460966542754</c:v>
                </c:pt>
                <c:pt idx="42">
                  <c:v>0.284976619394404</c:v>
                </c:pt>
                <c:pt idx="43">
                  <c:v>0.29216816385195837</c:v>
                </c:pt>
                <c:pt idx="44">
                  <c:v>0.29757815699658702</c:v>
                </c:pt>
                <c:pt idx="45">
                  <c:v>0.30095841584158417</c:v>
                </c:pt>
                <c:pt idx="46">
                  <c:v>0.30421449090328756</c:v>
                </c:pt>
                <c:pt idx="47">
                  <c:v>0.30886850895839663</c:v>
                </c:pt>
                <c:pt idx="48">
                  <c:v>0.31928563743948363</c:v>
                </c:pt>
                <c:pt idx="49">
                  <c:v>0.32582896688087004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DB-4782-9DA5-A7CEBF8D6F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474517888"/>
        <c:axId val="-474517344"/>
      </c:lineChart>
      <c:catAx>
        <c:axId val="-474517888"/>
        <c:scaling>
          <c:orientation val="minMax"/>
        </c:scaling>
        <c:delete val="0"/>
        <c:axPos val="b"/>
        <c:majorTickMark val="out"/>
        <c:minorTickMark val="none"/>
        <c:tickLblPos val="nextTo"/>
        <c:crossAx val="-474517344"/>
        <c:crosses val="autoZero"/>
        <c:auto val="1"/>
        <c:lblAlgn val="ctr"/>
        <c:lblOffset val="100"/>
        <c:noMultiLvlLbl val="0"/>
      </c:catAx>
      <c:valAx>
        <c:axId val="-474517344"/>
        <c:scaling>
          <c:orientation val="minMax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crossAx val="-47451788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322" l="0.70000000000000062" r="0.70000000000000062" t="0.75000000000000322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Мед.стационар!$D$267</c:f>
              <c:strCache>
                <c:ptCount val="1"/>
                <c:pt idx="0">
                  <c:v>Потенциал экономии</c:v>
                </c:pt>
              </c:strCache>
            </c:strRef>
          </c:tx>
          <c:marker>
            <c:symbol val="none"/>
          </c:marker>
          <c:val>
            <c:numRef>
              <c:f>Мед.стационар!$D$270:$D$319</c:f>
              <c:numCache>
                <c:formatCode>0.0%</c:formatCode>
                <c:ptCount val="5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A0-4A61-BAB1-51F24481F664}"/>
            </c:ext>
          </c:extLst>
        </c:ser>
        <c:ser>
          <c:idx val="1"/>
          <c:order val="1"/>
          <c:marker>
            <c:symbol val="none"/>
          </c:marker>
          <c:val>
            <c:numRef>
              <c:f>Мед.стационар!$E$270:$E$319</c:f>
              <c:numCache>
                <c:formatCode>0.0%</c:formatCode>
                <c:ptCount val="5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A0-4A61-BAB1-51F24481F664}"/>
            </c:ext>
          </c:extLst>
        </c:ser>
        <c:ser>
          <c:idx val="2"/>
          <c:order val="2"/>
          <c:marker>
            <c:symbol val="none"/>
          </c:marker>
          <c:val>
            <c:numRef>
              <c:f>Мед.стационар!$F$270:$F$319</c:f>
              <c:numCache>
                <c:formatCode>0.0%</c:formatCode>
                <c:ptCount val="5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5A0-4A61-BAB1-51F24481F6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661917872"/>
        <c:axId val="-661914608"/>
      </c:lineChart>
      <c:catAx>
        <c:axId val="-661917872"/>
        <c:scaling>
          <c:orientation val="minMax"/>
        </c:scaling>
        <c:delete val="0"/>
        <c:axPos val="b"/>
        <c:majorTickMark val="out"/>
        <c:minorTickMark val="none"/>
        <c:tickLblPos val="nextTo"/>
        <c:crossAx val="-661914608"/>
        <c:crosses val="autoZero"/>
        <c:auto val="1"/>
        <c:lblAlgn val="ctr"/>
        <c:lblOffset val="100"/>
        <c:noMultiLvlLbl val="0"/>
      </c:catAx>
      <c:valAx>
        <c:axId val="-661914608"/>
        <c:scaling>
          <c:orientation val="minMax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crossAx val="-66191787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Мед.стационар!$D$334</c:f>
              <c:strCache>
                <c:ptCount val="1"/>
                <c:pt idx="0">
                  <c:v>Потенциал экономии</c:v>
                </c:pt>
              </c:strCache>
            </c:strRef>
          </c:tx>
          <c:marker>
            <c:symbol val="none"/>
          </c:marker>
          <c:val>
            <c:numRef>
              <c:f>Мед.стационар!$D$337:$D$386</c:f>
              <c:numCache>
                <c:formatCode>0.0%</c:formatCode>
                <c:ptCount val="5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2D-4867-A6C2-9616A589E336}"/>
            </c:ext>
          </c:extLst>
        </c:ser>
        <c:ser>
          <c:idx val="1"/>
          <c:order val="1"/>
          <c:marker>
            <c:symbol val="none"/>
          </c:marker>
          <c:val>
            <c:numRef>
              <c:f>Мед.стационар!$E$337:$E$386</c:f>
              <c:numCache>
                <c:formatCode>0.0%</c:formatCode>
                <c:ptCount val="5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2D-4867-A6C2-9616A589E336}"/>
            </c:ext>
          </c:extLst>
        </c:ser>
        <c:ser>
          <c:idx val="2"/>
          <c:order val="2"/>
          <c:marker>
            <c:symbol val="none"/>
          </c:marker>
          <c:val>
            <c:numRef>
              <c:f>Мед.стационар!$F$337:$F$386</c:f>
              <c:numCache>
                <c:formatCode>0.0%</c:formatCode>
                <c:ptCount val="5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2D-4867-A6C2-9616A589E3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661917328"/>
        <c:axId val="-661921136"/>
      </c:lineChart>
      <c:catAx>
        <c:axId val="-661917328"/>
        <c:scaling>
          <c:orientation val="minMax"/>
        </c:scaling>
        <c:delete val="0"/>
        <c:axPos val="b"/>
        <c:majorTickMark val="out"/>
        <c:minorTickMark val="none"/>
        <c:tickLblPos val="nextTo"/>
        <c:crossAx val="-661921136"/>
        <c:crosses val="autoZero"/>
        <c:auto val="1"/>
        <c:lblAlgn val="ctr"/>
        <c:lblOffset val="100"/>
        <c:noMultiLvlLbl val="0"/>
      </c:catAx>
      <c:valAx>
        <c:axId val="-661921136"/>
        <c:scaling>
          <c:orientation val="minMax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crossAx val="-66191732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marker>
            <c:symbol val="none"/>
          </c:marker>
          <c:val>
            <c:numRef>
              <c:f>'Поликлиника,амбулаторий'!$E$73:$E$122</c:f>
              <c:numCache>
                <c:formatCode>0.0%</c:formatCode>
                <c:ptCount val="5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1.8554687500001168E-4</c:v>
                </c:pt>
                <c:pt idx="10">
                  <c:v>1.2190721649484548E-2</c:v>
                </c:pt>
                <c:pt idx="11">
                  <c:v>1.4253355704697995E-2</c:v>
                </c:pt>
                <c:pt idx="12">
                  <c:v>1.6495098039215696E-2</c:v>
                </c:pt>
                <c:pt idx="13">
                  <c:v>1.8362619808306717E-2</c:v>
                </c:pt>
                <c:pt idx="14">
                  <c:v>1.9898119122257054E-2</c:v>
                </c:pt>
                <c:pt idx="15">
                  <c:v>2.1376923076923082E-2</c:v>
                </c:pt>
                <c:pt idx="16">
                  <c:v>2.372388059701493E-2</c:v>
                </c:pt>
                <c:pt idx="17">
                  <c:v>2.5285087719298258E-2</c:v>
                </c:pt>
                <c:pt idx="18">
                  <c:v>2.6573275862068965E-2</c:v>
                </c:pt>
                <c:pt idx="19">
                  <c:v>2.8021126760563387E-2</c:v>
                </c:pt>
                <c:pt idx="20">
                  <c:v>2.9217451523545712E-2</c:v>
                </c:pt>
                <c:pt idx="21">
                  <c:v>3.0752032520325209E-2</c:v>
                </c:pt>
                <c:pt idx="22">
                  <c:v>3.2221485411140595E-2</c:v>
                </c:pt>
                <c:pt idx="23">
                  <c:v>3.3457031250000005E-2</c:v>
                </c:pt>
                <c:pt idx="24">
                  <c:v>3.4980916030534354E-2</c:v>
                </c:pt>
                <c:pt idx="25">
                  <c:v>3.6118750000000005E-2</c:v>
                </c:pt>
                <c:pt idx="26">
                  <c:v>3.7676829268292689E-2</c:v>
                </c:pt>
                <c:pt idx="27">
                  <c:v>3.9305225653206662E-2</c:v>
                </c:pt>
                <c:pt idx="28">
                  <c:v>4.4280742459396776E-2</c:v>
                </c:pt>
                <c:pt idx="29">
                  <c:v>5.3133484162895962E-2</c:v>
                </c:pt>
                <c:pt idx="30">
                  <c:v>6.0055432372505567E-2</c:v>
                </c:pt>
                <c:pt idx="31">
                  <c:v>6.8866090712742967E-2</c:v>
                </c:pt>
                <c:pt idx="32">
                  <c:v>7.3797872340425549E-2</c:v>
                </c:pt>
                <c:pt idx="33">
                  <c:v>8.518480492813145E-2</c:v>
                </c:pt>
                <c:pt idx="34">
                  <c:v>9.1519114688128816E-2</c:v>
                </c:pt>
                <c:pt idx="35">
                  <c:v>0.10402509652509652</c:v>
                </c:pt>
                <c:pt idx="36">
                  <c:v>0.11127118644067799</c:v>
                </c:pt>
                <c:pt idx="37">
                  <c:v>0.11971663619744062</c:v>
                </c:pt>
                <c:pt idx="38">
                  <c:v>0.12864601769911507</c:v>
                </c:pt>
                <c:pt idx="39">
                  <c:v>0.13792307692307693</c:v>
                </c:pt>
                <c:pt idx="40">
                  <c:v>0.14783717105263158</c:v>
                </c:pt>
                <c:pt idx="41">
                  <c:v>0.15817823343848583</c:v>
                </c:pt>
                <c:pt idx="42">
                  <c:v>0.16945112781954888</c:v>
                </c:pt>
                <c:pt idx="43">
                  <c:v>0.18375881523272217</c:v>
                </c:pt>
                <c:pt idx="44">
                  <c:v>0.19906290956749673</c:v>
                </c:pt>
                <c:pt idx="45">
                  <c:v>0.21638922155688622</c:v>
                </c:pt>
                <c:pt idx="46">
                  <c:v>0.23844573234984195</c:v>
                </c:pt>
                <c:pt idx="47">
                  <c:v>0.26137884267631101</c:v>
                </c:pt>
                <c:pt idx="48">
                  <c:v>0.29939960629921258</c:v>
                </c:pt>
                <c:pt idx="49">
                  <c:v>0.34188210765731619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FC-4CB2-9D40-97457A5620C0}"/>
            </c:ext>
          </c:extLst>
        </c:ser>
        <c:ser>
          <c:idx val="2"/>
          <c:order val="1"/>
          <c:marker>
            <c:symbol val="none"/>
          </c:marker>
          <c:val>
            <c:numRef>
              <c:f>'Поликлиника,амбулаторий'!$F$73:$F$122</c:f>
              <c:numCache>
                <c:formatCode>0.0%</c:formatCode>
                <c:ptCount val="5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3.6406249999999946E-3</c:v>
                </c:pt>
                <c:pt idx="7">
                  <c:v>6.913207547169801E-3</c:v>
                </c:pt>
                <c:pt idx="8">
                  <c:v>1.0623188405797096E-2</c:v>
                </c:pt>
                <c:pt idx="9">
                  <c:v>1.2524822695035451E-2</c:v>
                </c:pt>
                <c:pt idx="10">
                  <c:v>1.5230240549828173E-2</c:v>
                </c:pt>
                <c:pt idx="11">
                  <c:v>1.7221476510067106E-2</c:v>
                </c:pt>
                <c:pt idx="12">
                  <c:v>1.9385620915032674E-2</c:v>
                </c:pt>
                <c:pt idx="13">
                  <c:v>2.1188498402555902E-2</c:v>
                </c:pt>
                <c:pt idx="14">
                  <c:v>2.2670846394984314E-2</c:v>
                </c:pt>
                <c:pt idx="15">
                  <c:v>2.409846153846153E-2</c:v>
                </c:pt>
                <c:pt idx="16">
                  <c:v>2.6364179104477605E-2</c:v>
                </c:pt>
                <c:pt idx="17">
                  <c:v>2.7871345029239766E-2</c:v>
                </c:pt>
                <c:pt idx="18">
                  <c:v>2.9114942528735619E-2</c:v>
                </c:pt>
                <c:pt idx="19">
                  <c:v>3.051267605633802E-2</c:v>
                </c:pt>
                <c:pt idx="20">
                  <c:v>3.166759002770083E-2</c:v>
                </c:pt>
                <c:pt idx="21">
                  <c:v>3.3149051490514898E-2</c:v>
                </c:pt>
                <c:pt idx="22">
                  <c:v>3.4567639257294433E-2</c:v>
                </c:pt>
                <c:pt idx="23">
                  <c:v>3.5760416666666663E-2</c:v>
                </c:pt>
                <c:pt idx="24">
                  <c:v>3.7231552162849867E-2</c:v>
                </c:pt>
                <c:pt idx="25">
                  <c:v>3.8329999999999996E-2</c:v>
                </c:pt>
                <c:pt idx="26">
                  <c:v>3.9834146341463407E-2</c:v>
                </c:pt>
                <c:pt idx="27">
                  <c:v>4.8437054631828957E-2</c:v>
                </c:pt>
                <c:pt idx="28">
                  <c:v>5.6593967517401374E-2</c:v>
                </c:pt>
                <c:pt idx="29">
                  <c:v>6.5140271493212665E-2</c:v>
                </c:pt>
                <c:pt idx="30">
                  <c:v>7.1822616407982251E-2</c:v>
                </c:pt>
                <c:pt idx="31">
                  <c:v>8.0328293736501036E-2</c:v>
                </c:pt>
                <c:pt idx="32">
                  <c:v>8.5089361702127636E-2</c:v>
                </c:pt>
                <c:pt idx="33">
                  <c:v>9.6082135523613957E-2</c:v>
                </c:pt>
                <c:pt idx="34">
                  <c:v>0.10219718309859155</c:v>
                </c:pt>
                <c:pt idx="35">
                  <c:v>0.11427027027027023</c:v>
                </c:pt>
                <c:pt idx="36">
                  <c:v>0.12126553672316383</c:v>
                </c:pt>
                <c:pt idx="37">
                  <c:v>0.12941864716636198</c:v>
                </c:pt>
                <c:pt idx="38">
                  <c:v>0.13803893805309733</c:v>
                </c:pt>
                <c:pt idx="39">
                  <c:v>0.14699487179487178</c:v>
                </c:pt>
                <c:pt idx="40">
                  <c:v>0.15656578947368419</c:v>
                </c:pt>
                <c:pt idx="41">
                  <c:v>0.16654889589905361</c:v>
                </c:pt>
                <c:pt idx="42">
                  <c:v>0.17743157894736841</c:v>
                </c:pt>
                <c:pt idx="43">
                  <c:v>0.19124400564174895</c:v>
                </c:pt>
                <c:pt idx="44">
                  <c:v>0.20601834862385321</c:v>
                </c:pt>
                <c:pt idx="45">
                  <c:v>0.22274491017964068</c:v>
                </c:pt>
                <c:pt idx="46">
                  <c:v>0.24403793466807169</c:v>
                </c:pt>
                <c:pt idx="47">
                  <c:v>0.26617721518987336</c:v>
                </c:pt>
                <c:pt idx="48">
                  <c:v>0.30288188976377955</c:v>
                </c:pt>
                <c:pt idx="49">
                  <c:v>0.34389385898407882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FC-4CB2-9D40-97457A5620C0}"/>
            </c:ext>
          </c:extLst>
        </c:ser>
        <c:ser>
          <c:idx val="0"/>
          <c:order val="2"/>
          <c:tx>
            <c:strRef>
              <c:f>'Поликлиника,амбулаторий'!$D$70</c:f>
              <c:strCache>
                <c:ptCount val="1"/>
                <c:pt idx="0">
                  <c:v>Потенциал экономии</c:v>
                </c:pt>
              </c:strCache>
            </c:strRef>
          </c:tx>
          <c:marker>
            <c:symbol val="none"/>
          </c:marker>
          <c:val>
            <c:numRef>
              <c:f>'Поликлиника,амбулаторий'!$D$73:$D$122</c:f>
              <c:numCache>
                <c:formatCode>0.0%</c:formatCode>
                <c:ptCount val="5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1.8554687500001166E-3</c:v>
                </c:pt>
                <c:pt idx="7">
                  <c:v>3.5754716981132133E-2</c:v>
                </c:pt>
                <c:pt idx="8">
                  <c:v>7.4184782608695751E-2</c:v>
                </c:pt>
                <c:pt idx="9">
                  <c:v>9.3882978723404287E-2</c:v>
                </c:pt>
                <c:pt idx="10">
                  <c:v>0.12190721649484546</c:v>
                </c:pt>
                <c:pt idx="11">
                  <c:v>0.14253355704697993</c:v>
                </c:pt>
                <c:pt idx="12">
                  <c:v>0.16495098039215694</c:v>
                </c:pt>
                <c:pt idx="13">
                  <c:v>0.18362619808306715</c:v>
                </c:pt>
                <c:pt idx="14">
                  <c:v>0.19898119122257055</c:v>
                </c:pt>
                <c:pt idx="15">
                  <c:v>0.21376923076923082</c:v>
                </c:pt>
                <c:pt idx="16">
                  <c:v>0.23723880597014929</c:v>
                </c:pt>
                <c:pt idx="17">
                  <c:v>0.25285087719298255</c:v>
                </c:pt>
                <c:pt idx="18">
                  <c:v>0.26573275862068962</c:v>
                </c:pt>
                <c:pt idx="19">
                  <c:v>0.28021126760563386</c:v>
                </c:pt>
                <c:pt idx="20">
                  <c:v>0.29217451523545712</c:v>
                </c:pt>
                <c:pt idx="21">
                  <c:v>0.30752032520325207</c:v>
                </c:pt>
                <c:pt idx="22">
                  <c:v>0.32221485411140594</c:v>
                </c:pt>
                <c:pt idx="23">
                  <c:v>0.33457031250000002</c:v>
                </c:pt>
                <c:pt idx="24">
                  <c:v>0.34980916030534348</c:v>
                </c:pt>
                <c:pt idx="25">
                  <c:v>0.36118750000000005</c:v>
                </c:pt>
                <c:pt idx="26">
                  <c:v>0.37676829268292689</c:v>
                </c:pt>
                <c:pt idx="27">
                  <c:v>0.39305225653206655</c:v>
                </c:pt>
                <c:pt idx="28">
                  <c:v>0.40713457076566129</c:v>
                </c:pt>
                <c:pt idx="29">
                  <c:v>0.42188914027149327</c:v>
                </c:pt>
                <c:pt idx="30">
                  <c:v>0.43342572062084261</c:v>
                </c:pt>
                <c:pt idx="31">
                  <c:v>0.44811015118790498</c:v>
                </c:pt>
                <c:pt idx="32">
                  <c:v>0.45632978723404261</c:v>
                </c:pt>
                <c:pt idx="33">
                  <c:v>0.4753080082135524</c:v>
                </c:pt>
                <c:pt idx="34">
                  <c:v>0.48586519114688137</c:v>
                </c:pt>
                <c:pt idx="35">
                  <c:v>0.50670849420849418</c:v>
                </c:pt>
                <c:pt idx="36">
                  <c:v>0.51878531073446332</c:v>
                </c:pt>
                <c:pt idx="37">
                  <c:v>0.53286106032906766</c:v>
                </c:pt>
                <c:pt idx="38">
                  <c:v>0.54774336283185843</c:v>
                </c:pt>
                <c:pt idx="39">
                  <c:v>0.56320512820512825</c:v>
                </c:pt>
                <c:pt idx="40">
                  <c:v>0.57972861842105272</c:v>
                </c:pt>
                <c:pt idx="41">
                  <c:v>0.5969637223974763</c:v>
                </c:pt>
                <c:pt idx="42">
                  <c:v>0.61575187969924816</c:v>
                </c:pt>
                <c:pt idx="43">
                  <c:v>0.63959802538787036</c:v>
                </c:pt>
                <c:pt idx="44">
                  <c:v>0.66510484927916125</c:v>
                </c:pt>
                <c:pt idx="45">
                  <c:v>0.69398203592814378</c:v>
                </c:pt>
                <c:pt idx="46">
                  <c:v>0.73074288724973668</c:v>
                </c:pt>
                <c:pt idx="47">
                  <c:v>0.76896473779385177</c:v>
                </c:pt>
                <c:pt idx="48">
                  <c:v>0.83233267716535442</c:v>
                </c:pt>
                <c:pt idx="49">
                  <c:v>0.90313684609552691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FFC-4CB2-9D40-97457A5620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661913520"/>
        <c:axId val="-661920048"/>
      </c:lineChart>
      <c:catAx>
        <c:axId val="-661913520"/>
        <c:scaling>
          <c:orientation val="minMax"/>
        </c:scaling>
        <c:delete val="0"/>
        <c:axPos val="b"/>
        <c:majorTickMark val="out"/>
        <c:minorTickMark val="none"/>
        <c:tickLblPos val="nextTo"/>
        <c:crossAx val="-661920048"/>
        <c:crosses val="autoZero"/>
        <c:auto val="1"/>
        <c:lblAlgn val="ctr"/>
        <c:lblOffset val="100"/>
        <c:noMultiLvlLbl val="0"/>
      </c:catAx>
      <c:valAx>
        <c:axId val="-661920048"/>
        <c:scaling>
          <c:orientation val="minMax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crossAx val="-66191352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'Крыт.спорт.сооруж-е'!$D$201</c:f>
              <c:strCache>
                <c:ptCount val="1"/>
                <c:pt idx="0">
                  <c:v>Потенциал экономии</c:v>
                </c:pt>
              </c:strCache>
            </c:strRef>
          </c:tx>
          <c:marker>
            <c:symbol val="none"/>
          </c:marker>
          <c:val>
            <c:numRef>
              <c:f>'Крыт.спорт.сооруж-е'!$D$204:$D$253</c:f>
              <c:numCache>
                <c:formatCode>0.0%</c:formatCode>
                <c:ptCount val="5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6.0943396226415189E-2</c:v>
                </c:pt>
                <c:pt idx="25">
                  <c:v>0.1635294117647059</c:v>
                </c:pt>
                <c:pt idx="26">
                  <c:v>0.2571641791044777</c:v>
                </c:pt>
                <c:pt idx="27">
                  <c:v>0.3182191780821918</c:v>
                </c:pt>
                <c:pt idx="28">
                  <c:v>0.36192307692307696</c:v>
                </c:pt>
                <c:pt idx="29">
                  <c:v>0.40750000000000003</c:v>
                </c:pt>
                <c:pt idx="30">
                  <c:v>0.44391061452513969</c:v>
                </c:pt>
                <c:pt idx="31">
                  <c:v>0.4997989949748744</c:v>
                </c:pt>
                <c:pt idx="32">
                  <c:v>0.54754545454545456</c:v>
                </c:pt>
                <c:pt idx="33">
                  <c:v>0.58524999999999994</c:v>
                </c:pt>
                <c:pt idx="34">
                  <c:v>0.6156756756756756</c:v>
                </c:pt>
                <c:pt idx="35">
                  <c:v>0.64576512455516011</c:v>
                </c:pt>
                <c:pt idx="36">
                  <c:v>0.67363934426229499</c:v>
                </c:pt>
                <c:pt idx="37">
                  <c:v>0.70637168141592921</c:v>
                </c:pt>
                <c:pt idx="38">
                  <c:v>0.72426592797783929</c:v>
                </c:pt>
                <c:pt idx="39">
                  <c:v>0.73385026737967918</c:v>
                </c:pt>
                <c:pt idx="40">
                  <c:v>0.75781021897810219</c:v>
                </c:pt>
                <c:pt idx="41">
                  <c:v>0.77221967963386728</c:v>
                </c:pt>
                <c:pt idx="42">
                  <c:v>0.78866242038216561</c:v>
                </c:pt>
                <c:pt idx="43">
                  <c:v>0.80857692307692308</c:v>
                </c:pt>
                <c:pt idx="44">
                  <c:v>0.83492537313432835</c:v>
                </c:pt>
                <c:pt idx="45">
                  <c:v>0.85698275862068962</c:v>
                </c:pt>
                <c:pt idx="46">
                  <c:v>0.86988235294117644</c:v>
                </c:pt>
                <c:pt idx="47">
                  <c:v>0.89262135922330099</c:v>
                </c:pt>
                <c:pt idx="48">
                  <c:v>0.90714552238805968</c:v>
                </c:pt>
                <c:pt idx="49">
                  <c:v>0.91441100601891656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DB-4782-9DA5-A7CEBF8D6FEE}"/>
            </c:ext>
          </c:extLst>
        </c:ser>
        <c:ser>
          <c:idx val="1"/>
          <c:order val="1"/>
          <c:marker>
            <c:symbol val="none"/>
          </c:marker>
          <c:val>
            <c:numRef>
              <c:f>'Крыт.спорт.сооруж-е'!$E$204:$E$253</c:f>
              <c:numCache>
                <c:formatCode>0.0%</c:formatCode>
                <c:ptCount val="5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5">
                  <c:v>1.6352941176470591E-2</c:v>
                </c:pt>
                <c:pt idx="26">
                  <c:v>2.5716417910447768E-2</c:v>
                </c:pt>
                <c:pt idx="27">
                  <c:v>3.1821917808219177E-2</c:v>
                </c:pt>
                <c:pt idx="28">
                  <c:v>3.6192307692307697E-2</c:v>
                </c:pt>
                <c:pt idx="29">
                  <c:v>4.4499999999999991E-2</c:v>
                </c:pt>
                <c:pt idx="30">
                  <c:v>6.6346368715083814E-2</c:v>
                </c:pt>
                <c:pt idx="31">
                  <c:v>9.9879396984924623E-2</c:v>
                </c:pt>
                <c:pt idx="32">
                  <c:v>0.12852727272727274</c:v>
                </c:pt>
                <c:pt idx="33">
                  <c:v>0.15115000000000001</c:v>
                </c:pt>
                <c:pt idx="34">
                  <c:v>0.16940540540540541</c:v>
                </c:pt>
                <c:pt idx="35">
                  <c:v>0.18745907473309609</c:v>
                </c:pt>
                <c:pt idx="36">
                  <c:v>0.20418360655737702</c:v>
                </c:pt>
                <c:pt idx="37">
                  <c:v>0.22382300884955755</c:v>
                </c:pt>
                <c:pt idx="38">
                  <c:v>0.23455955678670359</c:v>
                </c:pt>
                <c:pt idx="39">
                  <c:v>0.24031016042780753</c:v>
                </c:pt>
                <c:pt idx="40">
                  <c:v>0.25468613138686136</c:v>
                </c:pt>
                <c:pt idx="41">
                  <c:v>0.26333180778032039</c:v>
                </c:pt>
                <c:pt idx="42">
                  <c:v>0.27319745222929936</c:v>
                </c:pt>
                <c:pt idx="43">
                  <c:v>0.28514615384615388</c:v>
                </c:pt>
                <c:pt idx="44">
                  <c:v>0.30095522388059703</c:v>
                </c:pt>
                <c:pt idx="45">
                  <c:v>0.31418965517241382</c:v>
                </c:pt>
                <c:pt idx="46">
                  <c:v>0.32192941176470591</c:v>
                </c:pt>
                <c:pt idx="47">
                  <c:v>0.33557281553398061</c:v>
                </c:pt>
                <c:pt idx="48">
                  <c:v>0.34428731343283581</c:v>
                </c:pt>
                <c:pt idx="49">
                  <c:v>0.34864660361135003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DB-4782-9DA5-A7CEBF8D6FEE}"/>
            </c:ext>
          </c:extLst>
        </c:ser>
        <c:ser>
          <c:idx val="2"/>
          <c:order val="2"/>
          <c:marker>
            <c:symbol val="none"/>
          </c:marker>
          <c:val>
            <c:numRef>
              <c:f>'Крыт.спорт.сооруж-е'!$F$204:$F$253</c:f>
              <c:numCache>
                <c:formatCode>0.0%</c:formatCode>
                <c:ptCount val="5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8.3076923076923076E-3</c:v>
                </c:pt>
                <c:pt idx="24">
                  <c:v>2.1283018867924532E-2</c:v>
                </c:pt>
                <c:pt idx="25">
                  <c:v>2.9882352941176468E-2</c:v>
                </c:pt>
                <c:pt idx="26">
                  <c:v>3.7731343283582096E-2</c:v>
                </c:pt>
                <c:pt idx="27">
                  <c:v>5.7095890410958888E-2</c:v>
                </c:pt>
                <c:pt idx="28">
                  <c:v>7.9076923076923086E-2</c:v>
                </c:pt>
                <c:pt idx="29">
                  <c:v>0.10199999999999998</c:v>
                </c:pt>
                <c:pt idx="30">
                  <c:v>0.12031284916201117</c:v>
                </c:pt>
                <c:pt idx="31">
                  <c:v>0.14842211055276383</c:v>
                </c:pt>
                <c:pt idx="32">
                  <c:v>0.17243636363636367</c:v>
                </c:pt>
                <c:pt idx="33">
                  <c:v>0.19139999999999999</c:v>
                </c:pt>
                <c:pt idx="34">
                  <c:v>0.20670270270270269</c:v>
                </c:pt>
                <c:pt idx="35">
                  <c:v>0.22183629893238435</c:v>
                </c:pt>
                <c:pt idx="36">
                  <c:v>0.23585573770491805</c:v>
                </c:pt>
                <c:pt idx="37">
                  <c:v>0.25231858407079649</c:v>
                </c:pt>
                <c:pt idx="38">
                  <c:v>0.26131855955678673</c:v>
                </c:pt>
                <c:pt idx="39">
                  <c:v>0.26613903743315509</c:v>
                </c:pt>
                <c:pt idx="40">
                  <c:v>0.27818978102189784</c:v>
                </c:pt>
                <c:pt idx="41">
                  <c:v>0.28543707093821508</c:v>
                </c:pt>
                <c:pt idx="42">
                  <c:v>0.29370700636942676</c:v>
                </c:pt>
                <c:pt idx="43">
                  <c:v>0.30372307692307693</c:v>
                </c:pt>
                <c:pt idx="44">
                  <c:v>0.31697512437810943</c:v>
                </c:pt>
                <c:pt idx="45">
                  <c:v>0.32806896551724135</c:v>
                </c:pt>
                <c:pt idx="46">
                  <c:v>0.33455686274509805</c:v>
                </c:pt>
                <c:pt idx="47">
                  <c:v>0.34599352750809065</c:v>
                </c:pt>
                <c:pt idx="48">
                  <c:v>0.3532985074626866</c:v>
                </c:pt>
                <c:pt idx="49">
                  <c:v>0.35695270851246785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DB-4782-9DA5-A7CEBF8D6F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474513536"/>
        <c:axId val="-474515168"/>
      </c:lineChart>
      <c:catAx>
        <c:axId val="-474513536"/>
        <c:scaling>
          <c:orientation val="minMax"/>
        </c:scaling>
        <c:delete val="0"/>
        <c:axPos val="b"/>
        <c:majorTickMark val="out"/>
        <c:minorTickMark val="none"/>
        <c:tickLblPos val="nextTo"/>
        <c:crossAx val="-474515168"/>
        <c:crosses val="autoZero"/>
        <c:auto val="1"/>
        <c:lblAlgn val="ctr"/>
        <c:lblOffset val="100"/>
        <c:noMultiLvlLbl val="0"/>
      </c:catAx>
      <c:valAx>
        <c:axId val="-474515168"/>
        <c:scaling>
          <c:orientation val="minMax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crossAx val="-47451353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289" l="0.70000000000000062" r="0.70000000000000062" t="0.75000000000000289" header="0.30000000000000032" footer="0.3000000000000003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601424821897271"/>
          <c:y val="5.3249494892275158E-2"/>
          <c:w val="0.6109230877390327"/>
          <c:h val="0.82659868955229521"/>
        </c:manualLayout>
      </c:layout>
      <c:lineChart>
        <c:grouping val="standard"/>
        <c:varyColors val="0"/>
        <c:ser>
          <c:idx val="1"/>
          <c:order val="0"/>
          <c:marker>
            <c:symbol val="none"/>
          </c:marker>
          <c:val>
            <c:numRef>
              <c:f>'Крыт.спорт.сооруж-е'!$E$138:$E$187</c:f>
              <c:numCache>
                <c:formatCode>0.0%</c:formatCode>
                <c:ptCount val="5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1.2197183098591536E-2</c:v>
                </c:pt>
                <c:pt idx="29">
                  <c:v>1.7973684210526308E-2</c:v>
                </c:pt>
                <c:pt idx="30">
                  <c:v>2.2074999999999997E-2</c:v>
                </c:pt>
                <c:pt idx="31">
                  <c:v>2.9955056179775275E-2</c:v>
                </c:pt>
                <c:pt idx="32">
                  <c:v>6.6035714285714281E-2</c:v>
                </c:pt>
                <c:pt idx="33">
                  <c:v>0.11876691729323306</c:v>
                </c:pt>
                <c:pt idx="34">
                  <c:v>0.14727027027027023</c:v>
                </c:pt>
                <c:pt idx="35">
                  <c:v>0.16326582278481011</c:v>
                </c:pt>
                <c:pt idx="36">
                  <c:v>0.19103910614525141</c:v>
                </c:pt>
                <c:pt idx="37">
                  <c:v>0.22356603773584907</c:v>
                </c:pt>
                <c:pt idx="38">
                  <c:v>0.24150847457627117</c:v>
                </c:pt>
                <c:pt idx="39">
                  <c:v>0.25831818181818184</c:v>
                </c:pt>
                <c:pt idx="40">
                  <c:v>0.27234129692832765</c:v>
                </c:pt>
                <c:pt idx="41">
                  <c:v>0.28801197604790418</c:v>
                </c:pt>
                <c:pt idx="42">
                  <c:v>0.30025600000000002</c:v>
                </c:pt>
                <c:pt idx="43">
                  <c:v>0.30625563909774439</c:v>
                </c:pt>
                <c:pt idx="44">
                  <c:v>0.32041702127659577</c:v>
                </c:pt>
                <c:pt idx="45">
                  <c:v>0.32519200000000004</c:v>
                </c:pt>
                <c:pt idx="46">
                  <c:v>0.33368085106382978</c:v>
                </c:pt>
                <c:pt idx="47">
                  <c:v>0.34341301059001517</c:v>
                </c:pt>
                <c:pt idx="48">
                  <c:v>0.34847933884297527</c:v>
                </c:pt>
                <c:pt idx="49">
                  <c:v>0.3554714285714286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CD-4183-B028-EDFD1E98EFBC}"/>
            </c:ext>
          </c:extLst>
        </c:ser>
        <c:ser>
          <c:idx val="2"/>
          <c:order val="1"/>
          <c:marker>
            <c:symbol val="none"/>
          </c:marker>
          <c:val>
            <c:numRef>
              <c:f>'Крыт.спорт.сооруж-е'!$F$138:$F$187</c:f>
              <c:numCache>
                <c:formatCode>0.0%</c:formatCode>
                <c:ptCount val="5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5.3333333333333366E-3</c:v>
                </c:pt>
                <c:pt idx="25">
                  <c:v>1.0901960784313734E-2</c:v>
                </c:pt>
                <c:pt idx="26">
                  <c:v>1.5851851851851863E-2</c:v>
                </c:pt>
                <c:pt idx="27">
                  <c:v>2.670967741935484E-2</c:v>
                </c:pt>
                <c:pt idx="28">
                  <c:v>3.6000000000000004E-2</c:v>
                </c:pt>
                <c:pt idx="29">
                  <c:v>4.126315789473687E-2</c:v>
                </c:pt>
                <c:pt idx="30">
                  <c:v>5.9200000000000037E-2</c:v>
                </c:pt>
                <c:pt idx="31">
                  <c:v>9.3662921348314623E-2</c:v>
                </c:pt>
                <c:pt idx="32">
                  <c:v>0.15657142857142861</c:v>
                </c:pt>
                <c:pt idx="33">
                  <c:v>0.19500751879699249</c:v>
                </c:pt>
                <c:pt idx="34">
                  <c:v>0.21578378378378379</c:v>
                </c:pt>
                <c:pt idx="35">
                  <c:v>0.22744303797468357</c:v>
                </c:pt>
                <c:pt idx="36">
                  <c:v>0.24768715083798884</c:v>
                </c:pt>
                <c:pt idx="37">
                  <c:v>0.27139622641509431</c:v>
                </c:pt>
                <c:pt idx="38">
                  <c:v>0.28447457627118644</c:v>
                </c:pt>
                <c:pt idx="39">
                  <c:v>0.29672727272727273</c:v>
                </c:pt>
                <c:pt idx="40">
                  <c:v>0.30694880546075087</c:v>
                </c:pt>
                <c:pt idx="41">
                  <c:v>0.31837125748502992</c:v>
                </c:pt>
                <c:pt idx="42">
                  <c:v>0.32729599999999998</c:v>
                </c:pt>
                <c:pt idx="43">
                  <c:v>0.33166917293233084</c:v>
                </c:pt>
                <c:pt idx="44">
                  <c:v>0.34199148936170215</c:v>
                </c:pt>
                <c:pt idx="45">
                  <c:v>0.345472</c:v>
                </c:pt>
                <c:pt idx="46">
                  <c:v>0.3516595744680851</c:v>
                </c:pt>
                <c:pt idx="47">
                  <c:v>0.35875340393343419</c:v>
                </c:pt>
                <c:pt idx="48">
                  <c:v>0.36244628099173554</c:v>
                </c:pt>
                <c:pt idx="49">
                  <c:v>0.36754285714285717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CD-4183-B028-EDFD1E98EFBC}"/>
            </c:ext>
          </c:extLst>
        </c:ser>
        <c:ser>
          <c:idx val="0"/>
          <c:order val="2"/>
          <c:tx>
            <c:strRef>
              <c:f>'Крыт.спорт.сооруж-е'!$D$135</c:f>
              <c:strCache>
                <c:ptCount val="1"/>
                <c:pt idx="0">
                  <c:v>Потенциал экономии</c:v>
                </c:pt>
              </c:strCache>
            </c:strRef>
          </c:tx>
          <c:marker>
            <c:symbol val="none"/>
          </c:marker>
          <c:val>
            <c:numRef>
              <c:f>'Крыт.спорт.сооруж-е'!$D$138:$D$187</c:f>
              <c:numCache>
                <c:formatCode>0.0%</c:formatCode>
                <c:ptCount val="5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0.12197183098591535</c:v>
                </c:pt>
                <c:pt idx="29">
                  <c:v>0.17973684210526308</c:v>
                </c:pt>
                <c:pt idx="30">
                  <c:v>0.22074999999999997</c:v>
                </c:pt>
                <c:pt idx="31">
                  <c:v>0.29955056179775275</c:v>
                </c:pt>
                <c:pt idx="32">
                  <c:v>0.44339285714285714</c:v>
                </c:pt>
                <c:pt idx="33">
                  <c:v>0.53127819548872179</c:v>
                </c:pt>
                <c:pt idx="34">
                  <c:v>0.5787837837837837</c:v>
                </c:pt>
                <c:pt idx="35">
                  <c:v>0.60544303797468357</c:v>
                </c:pt>
                <c:pt idx="36">
                  <c:v>0.65173184357541891</c:v>
                </c:pt>
                <c:pt idx="37">
                  <c:v>0.705943396226415</c:v>
                </c:pt>
                <c:pt idx="38">
                  <c:v>0.73584745762711856</c:v>
                </c:pt>
                <c:pt idx="39">
                  <c:v>0.7638636363636363</c:v>
                </c:pt>
                <c:pt idx="40">
                  <c:v>0.78723549488054601</c:v>
                </c:pt>
                <c:pt idx="41">
                  <c:v>0.81335329341317364</c:v>
                </c:pt>
                <c:pt idx="42">
                  <c:v>0.83375999999999995</c:v>
                </c:pt>
                <c:pt idx="43">
                  <c:v>0.8437593984962406</c:v>
                </c:pt>
                <c:pt idx="44">
                  <c:v>0.86736170212765951</c:v>
                </c:pt>
                <c:pt idx="45">
                  <c:v>0.87531999999999999</c:v>
                </c:pt>
                <c:pt idx="46">
                  <c:v>0.88946808510638298</c:v>
                </c:pt>
                <c:pt idx="47">
                  <c:v>0.90568835098335854</c:v>
                </c:pt>
                <c:pt idx="48">
                  <c:v>0.9141322314049587</c:v>
                </c:pt>
                <c:pt idx="49">
                  <c:v>0.92578571428571432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0CD-4183-B028-EDFD1E98EF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474523328"/>
        <c:axId val="-474521152"/>
      </c:lineChart>
      <c:catAx>
        <c:axId val="-474523328"/>
        <c:scaling>
          <c:orientation val="minMax"/>
        </c:scaling>
        <c:delete val="0"/>
        <c:axPos val="b"/>
        <c:majorTickMark val="out"/>
        <c:minorTickMark val="none"/>
        <c:tickLblPos val="nextTo"/>
        <c:crossAx val="-474521152"/>
        <c:crosses val="autoZero"/>
        <c:auto val="1"/>
        <c:lblAlgn val="ctr"/>
        <c:lblOffset val="100"/>
        <c:noMultiLvlLbl val="0"/>
      </c:catAx>
      <c:valAx>
        <c:axId val="-474521152"/>
        <c:scaling>
          <c:orientation val="minMax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crossAx val="-47452332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3" l="0.70000000000000062" r="0.70000000000000062" t="0.750000000000003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Музеи!$D$201</c:f>
              <c:strCache>
                <c:ptCount val="1"/>
                <c:pt idx="0">
                  <c:v>Потенциал экономии</c:v>
                </c:pt>
              </c:strCache>
            </c:strRef>
          </c:tx>
          <c:marker>
            <c:symbol val="none"/>
          </c:marker>
          <c:val>
            <c:numRef>
              <c:f>Музеи!$D$204:$D$253</c:f>
              <c:numCache>
                <c:formatCode>0.0%</c:formatCode>
                <c:ptCount val="5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7.5083333333333183E-2</c:v>
                </c:pt>
                <c:pt idx="37">
                  <c:v>0.42591379310344818</c:v>
                </c:pt>
                <c:pt idx="38">
                  <c:v>0.7079210526315789</c:v>
                </c:pt>
                <c:pt idx="39">
                  <c:v>0.82098387096774195</c:v>
                </c:pt>
                <c:pt idx="40">
                  <c:v>0.8513526785714286</c:v>
                </c:pt>
                <c:pt idx="41">
                  <c:v>0.87575746268656718</c:v>
                </c:pt>
                <c:pt idx="42">
                  <c:v>0.90431896551724134</c:v>
                </c:pt>
                <c:pt idx="43">
                  <c:v>0.92034210526315785</c:v>
                </c:pt>
                <c:pt idx="44">
                  <c:v>0.93176844262295078</c:v>
                </c:pt>
                <c:pt idx="45">
                  <c:v>0.94298458904109583</c:v>
                </c:pt>
                <c:pt idx="46">
                  <c:v>0.95731153846153838</c:v>
                </c:pt>
                <c:pt idx="47">
                  <c:v>0.97037633451957295</c:v>
                </c:pt>
                <c:pt idx="48">
                  <c:v>0.98308079268292681</c:v>
                </c:pt>
                <c:pt idx="49">
                  <c:v>0.98875101351351358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8E-4DF6-9E99-0D21C757A268}"/>
            </c:ext>
          </c:extLst>
        </c:ser>
        <c:ser>
          <c:idx val="1"/>
          <c:order val="1"/>
          <c:marker>
            <c:symbol val="none"/>
          </c:marker>
          <c:val>
            <c:numRef>
              <c:f>Музеи!$E$204:$E$253</c:f>
              <c:numCache>
                <c:formatCode>0.0%</c:formatCode>
                <c:ptCount val="5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7">
                  <c:v>5.5548275862068917E-2</c:v>
                </c:pt>
                <c:pt idx="38">
                  <c:v>0.22475263157894734</c:v>
                </c:pt>
                <c:pt idx="39">
                  <c:v>0.29259032258064521</c:v>
                </c:pt>
                <c:pt idx="40">
                  <c:v>0.31081160714285716</c:v>
                </c:pt>
                <c:pt idx="41">
                  <c:v>0.3254544776119403</c:v>
                </c:pt>
                <c:pt idx="42">
                  <c:v>0.34259137931034478</c:v>
                </c:pt>
                <c:pt idx="43">
                  <c:v>0.35220526315789474</c:v>
                </c:pt>
                <c:pt idx="44">
                  <c:v>0.35906106557377049</c:v>
                </c:pt>
                <c:pt idx="45">
                  <c:v>0.36579075342465756</c:v>
                </c:pt>
                <c:pt idx="46">
                  <c:v>0.37438692307692312</c:v>
                </c:pt>
                <c:pt idx="47">
                  <c:v>0.38222580071174383</c:v>
                </c:pt>
                <c:pt idx="48">
                  <c:v>0.38984847560975611</c:v>
                </c:pt>
                <c:pt idx="49">
                  <c:v>0.39325060810810814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8E-4DF6-9E99-0D21C757A268}"/>
            </c:ext>
          </c:extLst>
        </c:ser>
        <c:ser>
          <c:idx val="2"/>
          <c:order val="2"/>
          <c:marker>
            <c:symbol val="none"/>
          </c:marker>
          <c:val>
            <c:numRef>
              <c:f>Музеи!$F$204:$F$253</c:f>
              <c:numCache>
                <c:formatCode>0.0%</c:formatCode>
                <c:ptCount val="5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5.8000000000000135E-3</c:v>
                </c:pt>
                <c:pt idx="37">
                  <c:v>0.30255172413793108</c:v>
                </c:pt>
                <c:pt idx="38">
                  <c:v>0.35042105263157897</c:v>
                </c:pt>
                <c:pt idx="39">
                  <c:v>0.36961290322580642</c:v>
                </c:pt>
                <c:pt idx="40">
                  <c:v>0.37476785714285715</c:v>
                </c:pt>
                <c:pt idx="41">
                  <c:v>0.37891044776119409</c:v>
                </c:pt>
                <c:pt idx="42">
                  <c:v>0.38375862068965522</c:v>
                </c:pt>
                <c:pt idx="43">
                  <c:v>0.38647846889952159</c:v>
                </c:pt>
                <c:pt idx="44">
                  <c:v>0.38841803278688525</c:v>
                </c:pt>
                <c:pt idx="45">
                  <c:v>0.39032191780821918</c:v>
                </c:pt>
                <c:pt idx="46">
                  <c:v>0.39275384615384612</c:v>
                </c:pt>
                <c:pt idx="47">
                  <c:v>0.39497153024911036</c:v>
                </c:pt>
                <c:pt idx="48">
                  <c:v>0.39712804878048785</c:v>
                </c:pt>
                <c:pt idx="49">
                  <c:v>0.39809054054054055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08E-4DF6-9E99-0D21C757A2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544306864"/>
        <c:axId val="-544312304"/>
      </c:lineChart>
      <c:catAx>
        <c:axId val="-544306864"/>
        <c:scaling>
          <c:orientation val="minMax"/>
        </c:scaling>
        <c:delete val="0"/>
        <c:axPos val="b"/>
        <c:majorTickMark val="out"/>
        <c:minorTickMark val="none"/>
        <c:tickLblPos val="nextTo"/>
        <c:crossAx val="-544312304"/>
        <c:crosses val="autoZero"/>
        <c:auto val="1"/>
        <c:lblAlgn val="ctr"/>
        <c:lblOffset val="100"/>
        <c:noMultiLvlLbl val="0"/>
      </c:catAx>
      <c:valAx>
        <c:axId val="-544312304"/>
        <c:scaling>
          <c:orientation val="minMax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crossAx val="-54430686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Музеи!$D$267</c:f>
              <c:strCache>
                <c:ptCount val="1"/>
                <c:pt idx="0">
                  <c:v>Потенциал экономии</c:v>
                </c:pt>
              </c:strCache>
            </c:strRef>
          </c:tx>
          <c:marker>
            <c:symbol val="none"/>
          </c:marker>
          <c:val>
            <c:numRef>
              <c:f>Музеи!$D$270:$D$319</c:f>
              <c:numCache>
                <c:formatCode>0.0%</c:formatCode>
                <c:ptCount val="5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5B-42E3-AB03-D560E393908C}"/>
            </c:ext>
          </c:extLst>
        </c:ser>
        <c:ser>
          <c:idx val="1"/>
          <c:order val="1"/>
          <c:marker>
            <c:symbol val="none"/>
          </c:marker>
          <c:val>
            <c:numRef>
              <c:f>Музеи!$E$270:$E$319</c:f>
              <c:numCache>
                <c:formatCode>0.0%</c:formatCode>
                <c:ptCount val="5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5B-42E3-AB03-D560E393908C}"/>
            </c:ext>
          </c:extLst>
        </c:ser>
        <c:ser>
          <c:idx val="2"/>
          <c:order val="2"/>
          <c:marker>
            <c:symbol val="none"/>
          </c:marker>
          <c:val>
            <c:numRef>
              <c:f>Музеи!$F$270:$F$319</c:f>
              <c:numCache>
                <c:formatCode>0.0%</c:formatCode>
                <c:ptCount val="5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25B-42E3-AB03-D560E39390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544310672"/>
        <c:axId val="-544309584"/>
      </c:lineChart>
      <c:catAx>
        <c:axId val="-544310672"/>
        <c:scaling>
          <c:orientation val="minMax"/>
        </c:scaling>
        <c:delete val="0"/>
        <c:axPos val="b"/>
        <c:majorTickMark val="out"/>
        <c:minorTickMark val="none"/>
        <c:tickLblPos val="nextTo"/>
        <c:crossAx val="-544309584"/>
        <c:crosses val="autoZero"/>
        <c:auto val="1"/>
        <c:lblAlgn val="ctr"/>
        <c:lblOffset val="100"/>
        <c:noMultiLvlLbl val="0"/>
      </c:catAx>
      <c:valAx>
        <c:axId val="-544309584"/>
        <c:scaling>
          <c:orientation val="minMax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crossAx val="-54431067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marker>
            <c:symbol val="none"/>
          </c:marker>
          <c:val>
            <c:numRef>
              <c:f>ДЮСШ!$E$73:$E$122</c:f>
              <c:numCache>
                <c:formatCode>0.0%</c:formatCode>
                <c:ptCount val="5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12">
                  <c:v>9.9432163581099752E-3</c:v>
                </c:pt>
                <c:pt idx="13">
                  <c:v>1.2081062854059894E-2</c:v>
                </c:pt>
                <c:pt idx="14">
                  <c:v>1.4681806282722525E-2</c:v>
                </c:pt>
                <c:pt idx="15">
                  <c:v>1.5500259268861817E-2</c:v>
                </c:pt>
                <c:pt idx="16">
                  <c:v>1.7781155398587292E-2</c:v>
                </c:pt>
                <c:pt idx="17">
                  <c:v>1.984370388588293E-2</c:v>
                </c:pt>
                <c:pt idx="18">
                  <c:v>2.169257568476694E-2</c:v>
                </c:pt>
                <c:pt idx="19">
                  <c:v>2.2787135749822322E-2</c:v>
                </c:pt>
                <c:pt idx="20">
                  <c:v>2.4730831408775984E-2</c:v>
                </c:pt>
                <c:pt idx="21">
                  <c:v>2.8053973509933775E-2</c:v>
                </c:pt>
                <c:pt idx="22">
                  <c:v>2.9547016861219199E-2</c:v>
                </c:pt>
                <c:pt idx="23">
                  <c:v>3.1168848996832112E-2</c:v>
                </c:pt>
                <c:pt idx="24">
                  <c:v>3.3227719729563621E-2</c:v>
                </c:pt>
                <c:pt idx="25">
                  <c:v>3.4555120481927715E-2</c:v>
                </c:pt>
                <c:pt idx="26">
                  <c:v>3.6443935257410305E-2</c:v>
                </c:pt>
                <c:pt idx="27">
                  <c:v>3.7873522683949681E-2</c:v>
                </c:pt>
                <c:pt idx="28">
                  <c:v>3.9454672115920499E-2</c:v>
                </c:pt>
                <c:pt idx="29">
                  <c:v>4.380819672131149E-2</c:v>
                </c:pt>
                <c:pt idx="30">
                  <c:v>5.5115873015873056E-2</c:v>
                </c:pt>
                <c:pt idx="31">
                  <c:v>6.3600034405642561E-2</c:v>
                </c:pt>
                <c:pt idx="32">
                  <c:v>7.1124621594349166E-2</c:v>
                </c:pt>
                <c:pt idx="33">
                  <c:v>8.2601363415030049E-2</c:v>
                </c:pt>
                <c:pt idx="34">
                  <c:v>9.7292105263157888E-2</c:v>
                </c:pt>
                <c:pt idx="35">
                  <c:v>0.11230057378255114</c:v>
                </c:pt>
                <c:pt idx="36">
                  <c:v>0.12542923336141534</c:v>
                </c:pt>
                <c:pt idx="37">
                  <c:v>0.13303849829351538</c:v>
                </c:pt>
                <c:pt idx="38">
                  <c:v>0.14235928853754945</c:v>
                </c:pt>
                <c:pt idx="39">
                  <c:v>0.15528807408334377</c:v>
                </c:pt>
                <c:pt idx="40">
                  <c:v>0.17091225398313029</c:v>
                </c:pt>
                <c:pt idx="41">
                  <c:v>0.18204491752117699</c:v>
                </c:pt>
                <c:pt idx="42">
                  <c:v>0.19300381073356623</c:v>
                </c:pt>
                <c:pt idx="43">
                  <c:v>0.20185500050663696</c:v>
                </c:pt>
                <c:pt idx="44">
                  <c:v>0.2093318057722309</c:v>
                </c:pt>
                <c:pt idx="45">
                  <c:v>0.22554259969667234</c:v>
                </c:pt>
                <c:pt idx="46">
                  <c:v>0.24980852534562215</c:v>
                </c:pt>
                <c:pt idx="47">
                  <c:v>0.27268925781250003</c:v>
                </c:pt>
                <c:pt idx="48">
                  <c:v>0.29364228217121724</c:v>
                </c:pt>
                <c:pt idx="49">
                  <c:v>0.32756896807170899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56-440D-A9CB-9746988F0EE0}"/>
            </c:ext>
          </c:extLst>
        </c:ser>
        <c:ser>
          <c:idx val="2"/>
          <c:order val="1"/>
          <c:marker>
            <c:symbol val="none"/>
          </c:marker>
          <c:val>
            <c:numRef>
              <c:f>ДЮСШ!$F$73:$F$122</c:f>
              <c:numCache>
                <c:formatCode>0.0%</c:formatCode>
                <c:ptCount val="5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2.5269801199116516E-3</c:v>
                </c:pt>
                <c:pt idx="12">
                  <c:v>1.4647140093948602E-2</c:v>
                </c:pt>
                <c:pt idx="13">
                  <c:v>1.6673320744537368E-2</c:v>
                </c:pt>
                <c:pt idx="14">
                  <c:v>1.9138219895287967E-2</c:v>
                </c:pt>
                <c:pt idx="15">
                  <c:v>1.9913922737879185E-2</c:v>
                </c:pt>
                <c:pt idx="16">
                  <c:v>2.2075681130171547E-2</c:v>
                </c:pt>
                <c:pt idx="17">
                  <c:v>2.4030496802754549E-2</c:v>
                </c:pt>
                <c:pt idx="18">
                  <c:v>2.5782796732340216E-2</c:v>
                </c:pt>
                <c:pt idx="19">
                  <c:v>2.6820184790334049E-2</c:v>
                </c:pt>
                <c:pt idx="20">
                  <c:v>2.8662355658198614E-2</c:v>
                </c:pt>
                <c:pt idx="21">
                  <c:v>3.1811920529801321E-2</c:v>
                </c:pt>
                <c:pt idx="22">
                  <c:v>3.322697795071336E-2</c:v>
                </c:pt>
                <c:pt idx="23">
                  <c:v>3.476409714889124E-2</c:v>
                </c:pt>
                <c:pt idx="24">
                  <c:v>3.6715427166564236E-2</c:v>
                </c:pt>
                <c:pt idx="25">
                  <c:v>3.7973493975903612E-2</c:v>
                </c:pt>
                <c:pt idx="26">
                  <c:v>3.9763650546021843E-2</c:v>
                </c:pt>
                <c:pt idx="27">
                  <c:v>4.6711399161265738E-2</c:v>
                </c:pt>
                <c:pt idx="28">
                  <c:v>5.5702767973249113E-2</c:v>
                </c:pt>
                <c:pt idx="29">
                  <c:v>6.2413114754098359E-2</c:v>
                </c:pt>
                <c:pt idx="30">
                  <c:v>7.3130158730158767E-2</c:v>
                </c:pt>
                <c:pt idx="31">
                  <c:v>8.1171168071563757E-2</c:v>
                </c:pt>
                <c:pt idx="32">
                  <c:v>8.8302724520686202E-2</c:v>
                </c:pt>
                <c:pt idx="33">
                  <c:v>9.9180003246226278E-2</c:v>
                </c:pt>
                <c:pt idx="34">
                  <c:v>0.1131034055727554</c:v>
                </c:pt>
                <c:pt idx="35">
                  <c:v>0.12732793879652787</c:v>
                </c:pt>
                <c:pt idx="36">
                  <c:v>0.13977085088458299</c:v>
                </c:pt>
                <c:pt idx="37">
                  <c:v>0.14698266211604097</c:v>
                </c:pt>
                <c:pt idx="38">
                  <c:v>0.15581660079051388</c:v>
                </c:pt>
                <c:pt idx="39">
                  <c:v>0.16807007883869352</c:v>
                </c:pt>
                <c:pt idx="40">
                  <c:v>0.1828781630740394</c:v>
                </c:pt>
                <c:pt idx="41">
                  <c:v>0.19342933571110124</c:v>
                </c:pt>
                <c:pt idx="42">
                  <c:v>0.20381581454429978</c:v>
                </c:pt>
                <c:pt idx="43">
                  <c:v>0.21220468132536224</c:v>
                </c:pt>
                <c:pt idx="44">
                  <c:v>0.21929095163806556</c:v>
                </c:pt>
                <c:pt idx="45">
                  <c:v>0.23465500936747258</c:v>
                </c:pt>
                <c:pt idx="46">
                  <c:v>0.25765345622119812</c:v>
                </c:pt>
                <c:pt idx="47">
                  <c:v>0.27933906250000001</c:v>
                </c:pt>
                <c:pt idx="48">
                  <c:v>0.29919765038616342</c:v>
                </c:pt>
                <c:pt idx="49">
                  <c:v>0.33135224831469001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56-440D-A9CB-9746988F0EE0}"/>
            </c:ext>
          </c:extLst>
        </c:ser>
        <c:ser>
          <c:idx val="0"/>
          <c:order val="2"/>
          <c:tx>
            <c:strRef>
              <c:f>ДЮСШ!$D$70</c:f>
              <c:strCache>
                <c:ptCount val="1"/>
                <c:pt idx="0">
                  <c:v>Потенциал экономии</c:v>
                </c:pt>
              </c:strCache>
            </c:strRef>
          </c:tx>
          <c:marker>
            <c:symbol val="none"/>
          </c:marker>
          <c:val>
            <c:numRef>
              <c:f>ДЮСШ!$D$73:$D$122</c:f>
              <c:numCache>
                <c:formatCode>0.0%</c:formatCode>
                <c:ptCount val="5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1.3572941888619889E-2</c:v>
                </c:pt>
                <c:pt idx="10">
                  <c:v>2.7698389021479863E-2</c:v>
                </c:pt>
                <c:pt idx="11">
                  <c:v>6.1843696027633961E-2</c:v>
                </c:pt>
                <c:pt idx="12">
                  <c:v>9.9432163581099756E-2</c:v>
                </c:pt>
                <c:pt idx="13">
                  <c:v>0.12081062854059893</c:v>
                </c:pt>
                <c:pt idx="14">
                  <c:v>0.14681806282722526</c:v>
                </c:pt>
                <c:pt idx="15">
                  <c:v>0.15500259268861816</c:v>
                </c:pt>
                <c:pt idx="16">
                  <c:v>0.17781155398587292</c:v>
                </c:pt>
                <c:pt idx="17">
                  <c:v>0.1984370388588293</c:v>
                </c:pt>
                <c:pt idx="18">
                  <c:v>0.21692575684766938</c:v>
                </c:pt>
                <c:pt idx="19">
                  <c:v>0.22787135749822324</c:v>
                </c:pt>
                <c:pt idx="20">
                  <c:v>0.2473083140877598</c:v>
                </c:pt>
                <c:pt idx="21">
                  <c:v>0.28053973509933777</c:v>
                </c:pt>
                <c:pt idx="22">
                  <c:v>0.295470168612192</c:v>
                </c:pt>
                <c:pt idx="23">
                  <c:v>0.3116884899683211</c:v>
                </c:pt>
                <c:pt idx="24">
                  <c:v>0.33227719729563621</c:v>
                </c:pt>
                <c:pt idx="25">
                  <c:v>0.34555120481927709</c:v>
                </c:pt>
                <c:pt idx="26">
                  <c:v>0.36443935257410304</c:v>
                </c:pt>
                <c:pt idx="27">
                  <c:v>0.37873522683949679</c:v>
                </c:pt>
                <c:pt idx="28">
                  <c:v>0.39454672115920492</c:v>
                </c:pt>
                <c:pt idx="29">
                  <c:v>0.40634699453551915</c:v>
                </c:pt>
                <c:pt idx="30">
                  <c:v>0.42519312169312173</c:v>
                </c:pt>
                <c:pt idx="31">
                  <c:v>0.43933339067607091</c:v>
                </c:pt>
                <c:pt idx="32">
                  <c:v>0.45187436932391528</c:v>
                </c:pt>
                <c:pt idx="33">
                  <c:v>0.47100227235838343</c:v>
                </c:pt>
                <c:pt idx="34">
                  <c:v>0.49548684210526317</c:v>
                </c:pt>
                <c:pt idx="35">
                  <c:v>0.52050095630425186</c:v>
                </c:pt>
                <c:pt idx="36">
                  <c:v>0.54238205560235886</c:v>
                </c:pt>
                <c:pt idx="37">
                  <c:v>0.55506416382252566</c:v>
                </c:pt>
                <c:pt idx="38">
                  <c:v>0.57059881422924907</c:v>
                </c:pt>
                <c:pt idx="39">
                  <c:v>0.59214679013890625</c:v>
                </c:pt>
                <c:pt idx="40">
                  <c:v>0.61818708997188376</c:v>
                </c:pt>
                <c:pt idx="41">
                  <c:v>0.6367415292019617</c:v>
                </c:pt>
                <c:pt idx="42">
                  <c:v>0.65500635122261042</c:v>
                </c:pt>
                <c:pt idx="43">
                  <c:v>0.66975833417772823</c:v>
                </c:pt>
                <c:pt idx="44">
                  <c:v>0.68221967628705149</c:v>
                </c:pt>
                <c:pt idx="45">
                  <c:v>0.70923766616112061</c:v>
                </c:pt>
                <c:pt idx="46">
                  <c:v>0.74968087557603691</c:v>
                </c:pt>
                <c:pt idx="47">
                  <c:v>0.78781542968749996</c:v>
                </c:pt>
                <c:pt idx="48">
                  <c:v>0.82273713695202877</c:v>
                </c:pt>
                <c:pt idx="49">
                  <c:v>0.87928161345284839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656-440D-A9CB-9746988F0E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544308496"/>
        <c:axId val="-661922768"/>
      </c:lineChart>
      <c:catAx>
        <c:axId val="-544308496"/>
        <c:scaling>
          <c:orientation val="minMax"/>
        </c:scaling>
        <c:delete val="0"/>
        <c:axPos val="b"/>
        <c:majorTickMark val="out"/>
        <c:minorTickMark val="none"/>
        <c:tickLblPos val="nextTo"/>
        <c:crossAx val="-661922768"/>
        <c:crosses val="autoZero"/>
        <c:auto val="1"/>
        <c:lblAlgn val="ctr"/>
        <c:lblOffset val="100"/>
        <c:noMultiLvlLbl val="0"/>
      </c:catAx>
      <c:valAx>
        <c:axId val="-661922768"/>
        <c:scaling>
          <c:orientation val="minMax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crossAx val="-54430849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ДЮСШ!$D$267</c:f>
              <c:strCache>
                <c:ptCount val="1"/>
                <c:pt idx="0">
                  <c:v>Потенциал экономии</c:v>
                </c:pt>
              </c:strCache>
            </c:strRef>
          </c:tx>
          <c:marker>
            <c:symbol val="none"/>
          </c:marker>
          <c:val>
            <c:numRef>
              <c:f>ДЮСШ!$D$270:$D$319</c:f>
              <c:numCache>
                <c:formatCode>0.0%</c:formatCode>
                <c:ptCount val="5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07-445C-8941-4886B05E32AD}"/>
            </c:ext>
          </c:extLst>
        </c:ser>
        <c:ser>
          <c:idx val="1"/>
          <c:order val="1"/>
          <c:marker>
            <c:symbol val="none"/>
          </c:marker>
          <c:val>
            <c:numRef>
              <c:f>ДЮСШ!$E$270:$E$319</c:f>
              <c:numCache>
                <c:formatCode>0.0%</c:formatCode>
                <c:ptCount val="5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07-445C-8941-4886B05E32AD}"/>
            </c:ext>
          </c:extLst>
        </c:ser>
        <c:ser>
          <c:idx val="2"/>
          <c:order val="2"/>
          <c:marker>
            <c:symbol val="none"/>
          </c:marker>
          <c:val>
            <c:numRef>
              <c:f>ДЮСШ!$F$270:$F$319</c:f>
              <c:numCache>
                <c:formatCode>0.0%</c:formatCode>
                <c:ptCount val="5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307-445C-8941-4886B05E32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661924944"/>
        <c:axId val="-661924400"/>
      </c:lineChart>
      <c:catAx>
        <c:axId val="-661924944"/>
        <c:scaling>
          <c:orientation val="minMax"/>
        </c:scaling>
        <c:delete val="0"/>
        <c:axPos val="b"/>
        <c:majorTickMark val="out"/>
        <c:minorTickMark val="none"/>
        <c:tickLblPos val="nextTo"/>
        <c:crossAx val="-661924400"/>
        <c:crosses val="autoZero"/>
        <c:auto val="1"/>
        <c:lblAlgn val="ctr"/>
        <c:lblOffset val="100"/>
        <c:noMultiLvlLbl val="0"/>
      </c:catAx>
      <c:valAx>
        <c:axId val="-661924400"/>
        <c:scaling>
          <c:orientation val="minMax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crossAx val="-66192494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ДЮСШ!$D$334</c:f>
              <c:strCache>
                <c:ptCount val="1"/>
                <c:pt idx="0">
                  <c:v>Потенциал экономии</c:v>
                </c:pt>
              </c:strCache>
            </c:strRef>
          </c:tx>
          <c:marker>
            <c:symbol val="none"/>
          </c:marker>
          <c:val>
            <c:numRef>
              <c:f>ДЮСШ!$D$337:$D$386</c:f>
              <c:numCache>
                <c:formatCode>0.0%</c:formatCode>
                <c:ptCount val="5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2E-4727-983F-ACFBB24DD106}"/>
            </c:ext>
          </c:extLst>
        </c:ser>
        <c:ser>
          <c:idx val="1"/>
          <c:order val="1"/>
          <c:marker>
            <c:symbol val="none"/>
          </c:marker>
          <c:val>
            <c:numRef>
              <c:f>ДЮСШ!$E$337:$E$386</c:f>
              <c:numCache>
                <c:formatCode>0.0%</c:formatCode>
                <c:ptCount val="5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2E-4727-983F-ACFBB24DD106}"/>
            </c:ext>
          </c:extLst>
        </c:ser>
        <c:ser>
          <c:idx val="2"/>
          <c:order val="2"/>
          <c:marker>
            <c:symbol val="none"/>
          </c:marker>
          <c:val>
            <c:numRef>
              <c:f>ДЮСШ!$F$337:$F$386</c:f>
              <c:numCache>
                <c:formatCode>0.0%</c:formatCode>
                <c:ptCount val="5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82E-4727-983F-ACFBB24DD1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661914064"/>
        <c:axId val="-661923856"/>
      </c:lineChart>
      <c:catAx>
        <c:axId val="-661914064"/>
        <c:scaling>
          <c:orientation val="minMax"/>
        </c:scaling>
        <c:delete val="0"/>
        <c:axPos val="b"/>
        <c:majorTickMark val="out"/>
        <c:minorTickMark val="none"/>
        <c:tickLblPos val="nextTo"/>
        <c:crossAx val="-661923856"/>
        <c:crosses val="autoZero"/>
        <c:auto val="1"/>
        <c:lblAlgn val="ctr"/>
        <c:lblOffset val="100"/>
        <c:noMultiLvlLbl val="0"/>
      </c:catAx>
      <c:valAx>
        <c:axId val="-661923856"/>
        <c:scaling>
          <c:orientation val="minMax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crossAx val="-66191406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Больница!$D$267</c:f>
              <c:strCache>
                <c:ptCount val="1"/>
                <c:pt idx="0">
                  <c:v>Потенциал экономии</c:v>
                </c:pt>
              </c:strCache>
            </c:strRef>
          </c:tx>
          <c:marker>
            <c:symbol val="none"/>
          </c:marker>
          <c:val>
            <c:numRef>
              <c:f>Больница!$D$270:$D$319</c:f>
              <c:numCache>
                <c:formatCode>0.0%</c:formatCode>
                <c:ptCount val="5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6.3181818181818158E-2</c:v>
                </c:pt>
                <c:pt idx="24">
                  <c:v>0.10391304347826089</c:v>
                </c:pt>
                <c:pt idx="25">
                  <c:v>0.14124999999999996</c:v>
                </c:pt>
                <c:pt idx="26">
                  <c:v>0.2073076923076923</c:v>
                </c:pt>
                <c:pt idx="27">
                  <c:v>0.26392857142857146</c:v>
                </c:pt>
                <c:pt idx="28">
                  <c:v>0.31299999999999994</c:v>
                </c:pt>
                <c:pt idx="29">
                  <c:v>0.35593750000000002</c:v>
                </c:pt>
                <c:pt idx="30">
                  <c:v>0.39382352941176474</c:v>
                </c:pt>
                <c:pt idx="31">
                  <c:v>0.42749999999999999</c:v>
                </c:pt>
                <c:pt idx="32">
                  <c:v>0.45763157894736839</c:v>
                </c:pt>
                <c:pt idx="33">
                  <c:v>0.50928571428571423</c:v>
                </c:pt>
                <c:pt idx="34">
                  <c:v>0.54200000000000004</c:v>
                </c:pt>
                <c:pt idx="35">
                  <c:v>0.57062499999999994</c:v>
                </c:pt>
                <c:pt idx="36">
                  <c:v>0.59588235294117642</c:v>
                </c:pt>
                <c:pt idx="37">
                  <c:v>0.63196428571428576</c:v>
                </c:pt>
                <c:pt idx="38">
                  <c:v>0.66213114754098357</c:v>
                </c:pt>
                <c:pt idx="39">
                  <c:v>0.70130434782608697</c:v>
                </c:pt>
                <c:pt idx="40">
                  <c:v>0.73911392405063303</c:v>
                </c:pt>
                <c:pt idx="41">
                  <c:v>0.77597826086956512</c:v>
                </c:pt>
                <c:pt idx="42">
                  <c:v>0.79990291262135926</c:v>
                </c:pt>
                <c:pt idx="43">
                  <c:v>0.82533898305084752</c:v>
                </c:pt>
                <c:pt idx="44">
                  <c:v>0.8711875</c:v>
                </c:pt>
                <c:pt idx="45">
                  <c:v>0.91116379310344819</c:v>
                </c:pt>
                <c:pt idx="46">
                  <c:v>0.92868512110726642</c:v>
                </c:pt>
                <c:pt idx="47">
                  <c:v>0.9461879895561357</c:v>
                </c:pt>
                <c:pt idx="48">
                  <c:v>0.97149377593360997</c:v>
                </c:pt>
                <c:pt idx="49">
                  <c:v>0.99048036951501162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1D-4BDE-92B2-C66AA1DCA81B}"/>
            </c:ext>
          </c:extLst>
        </c:ser>
        <c:ser>
          <c:idx val="1"/>
          <c:order val="1"/>
          <c:marker>
            <c:symbol val="none"/>
          </c:marker>
          <c:val>
            <c:numRef>
              <c:f>Больница!$E$270:$E$319</c:f>
              <c:numCache>
                <c:formatCode>0.0%</c:formatCode>
                <c:ptCount val="5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4">
                  <c:v>1.039130434782609E-2</c:v>
                </c:pt>
                <c:pt idx="25">
                  <c:v>1.4124999999999995E-2</c:v>
                </c:pt>
                <c:pt idx="26">
                  <c:v>2.0730769230769233E-2</c:v>
                </c:pt>
                <c:pt idx="27">
                  <c:v>2.6392857142857148E-2</c:v>
                </c:pt>
                <c:pt idx="28">
                  <c:v>3.1300000000000001E-2</c:v>
                </c:pt>
                <c:pt idx="29">
                  <c:v>3.559375E-2</c:v>
                </c:pt>
                <c:pt idx="30">
                  <c:v>3.9382352941176473E-2</c:v>
                </c:pt>
                <c:pt idx="31">
                  <c:v>5.6499999999999967E-2</c:v>
                </c:pt>
                <c:pt idx="32">
                  <c:v>7.4578947368421036E-2</c:v>
                </c:pt>
                <c:pt idx="33">
                  <c:v>0.10557142857142855</c:v>
                </c:pt>
                <c:pt idx="34">
                  <c:v>0.12520000000000001</c:v>
                </c:pt>
                <c:pt idx="35">
                  <c:v>0.14237499999999997</c:v>
                </c:pt>
                <c:pt idx="36">
                  <c:v>0.15752941176470586</c:v>
                </c:pt>
                <c:pt idx="37">
                  <c:v>0.17917857142857144</c:v>
                </c:pt>
                <c:pt idx="38">
                  <c:v>0.19727868852459016</c:v>
                </c:pt>
                <c:pt idx="39">
                  <c:v>0.22078260869565217</c:v>
                </c:pt>
                <c:pt idx="40">
                  <c:v>0.24346835443037976</c:v>
                </c:pt>
                <c:pt idx="41">
                  <c:v>0.26558695652173914</c:v>
                </c:pt>
                <c:pt idx="42">
                  <c:v>0.27994174757281559</c:v>
                </c:pt>
                <c:pt idx="43">
                  <c:v>0.29520338983050848</c:v>
                </c:pt>
                <c:pt idx="44">
                  <c:v>0.32271250000000001</c:v>
                </c:pt>
                <c:pt idx="45">
                  <c:v>0.34669827586206897</c:v>
                </c:pt>
                <c:pt idx="46">
                  <c:v>0.35721107266435986</c:v>
                </c:pt>
                <c:pt idx="47">
                  <c:v>0.36771279373368149</c:v>
                </c:pt>
                <c:pt idx="48">
                  <c:v>0.38289626556016598</c:v>
                </c:pt>
                <c:pt idx="49">
                  <c:v>0.39428822170900701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1D-4BDE-92B2-C66AA1DCA81B}"/>
            </c:ext>
          </c:extLst>
        </c:ser>
        <c:ser>
          <c:idx val="2"/>
          <c:order val="2"/>
          <c:marker>
            <c:symbol val="none"/>
          </c:marker>
          <c:val>
            <c:numRef>
              <c:f>Больница!$F$270:$F$319</c:f>
              <c:numCache>
                <c:formatCode>0.0%</c:formatCode>
                <c:ptCount val="5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5.0588235294117623E-3</c:v>
                </c:pt>
                <c:pt idx="21">
                  <c:v>1.0333333333333323E-2</c:v>
                </c:pt>
                <c:pt idx="22">
                  <c:v>1.5052631578947363E-2</c:v>
                </c:pt>
                <c:pt idx="23">
                  <c:v>2.6636363636363632E-2</c:v>
                </c:pt>
                <c:pt idx="24">
                  <c:v>2.9826086956521738E-2</c:v>
                </c:pt>
                <c:pt idx="25">
                  <c:v>3.2749999999999987E-2</c:v>
                </c:pt>
                <c:pt idx="26">
                  <c:v>3.7923076923076927E-2</c:v>
                </c:pt>
                <c:pt idx="27">
                  <c:v>5.4142857142857152E-2</c:v>
                </c:pt>
                <c:pt idx="28">
                  <c:v>7.7199999999999963E-2</c:v>
                </c:pt>
                <c:pt idx="29">
                  <c:v>9.7375000000000003E-2</c:v>
                </c:pt>
                <c:pt idx="30">
                  <c:v>0.11517647058823531</c:v>
                </c:pt>
                <c:pt idx="31">
                  <c:v>0.13099999999999998</c:v>
                </c:pt>
                <c:pt idx="32">
                  <c:v>0.1451578947368421</c:v>
                </c:pt>
                <c:pt idx="33">
                  <c:v>0.1694285714285714</c:v>
                </c:pt>
                <c:pt idx="34">
                  <c:v>0.18480000000000002</c:v>
                </c:pt>
                <c:pt idx="35">
                  <c:v>0.19825000000000001</c:v>
                </c:pt>
                <c:pt idx="36">
                  <c:v>0.21011764705882355</c:v>
                </c:pt>
                <c:pt idx="37">
                  <c:v>0.22707142857142859</c:v>
                </c:pt>
                <c:pt idx="38">
                  <c:v>0.24124590163934426</c:v>
                </c:pt>
                <c:pt idx="39">
                  <c:v>0.25965217391304346</c:v>
                </c:pt>
                <c:pt idx="40">
                  <c:v>0.27741772151898736</c:v>
                </c:pt>
                <c:pt idx="41">
                  <c:v>0.29473913043478261</c:v>
                </c:pt>
                <c:pt idx="42">
                  <c:v>0.30598058252427185</c:v>
                </c:pt>
                <c:pt idx="43">
                  <c:v>0.31793220338983053</c:v>
                </c:pt>
                <c:pt idx="44">
                  <c:v>0.33947499999999997</c:v>
                </c:pt>
                <c:pt idx="45">
                  <c:v>0.35825862068965514</c:v>
                </c:pt>
                <c:pt idx="46">
                  <c:v>0.3664913494809689</c:v>
                </c:pt>
                <c:pt idx="47">
                  <c:v>0.37471540469973896</c:v>
                </c:pt>
                <c:pt idx="48">
                  <c:v>0.38660580912863068</c:v>
                </c:pt>
                <c:pt idx="49">
                  <c:v>0.3955270207852194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81D-4BDE-92B2-C66AA1DCA8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661923312"/>
        <c:axId val="-661915696"/>
      </c:lineChart>
      <c:catAx>
        <c:axId val="-661923312"/>
        <c:scaling>
          <c:orientation val="minMax"/>
        </c:scaling>
        <c:delete val="0"/>
        <c:axPos val="b"/>
        <c:majorTickMark val="out"/>
        <c:minorTickMark val="none"/>
        <c:tickLblPos val="nextTo"/>
        <c:crossAx val="-661915696"/>
        <c:crosses val="autoZero"/>
        <c:auto val="1"/>
        <c:lblAlgn val="ctr"/>
        <c:lblOffset val="100"/>
        <c:noMultiLvlLbl val="0"/>
      </c:catAx>
      <c:valAx>
        <c:axId val="-661915696"/>
        <c:scaling>
          <c:orientation val="minMax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crossAx val="-66192331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Больница!$D$334</c:f>
              <c:strCache>
                <c:ptCount val="1"/>
                <c:pt idx="0">
                  <c:v>Потенциал экономии</c:v>
                </c:pt>
              </c:strCache>
            </c:strRef>
          </c:tx>
          <c:marker>
            <c:symbol val="none"/>
          </c:marker>
          <c:val>
            <c:numRef>
              <c:f>Больница!$D$337:$D$386</c:f>
              <c:numCache>
                <c:formatCode>0.0%</c:formatCode>
                <c:ptCount val="5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8C-4227-A97D-7C7F5F2EFDAC}"/>
            </c:ext>
          </c:extLst>
        </c:ser>
        <c:ser>
          <c:idx val="1"/>
          <c:order val="1"/>
          <c:marker>
            <c:symbol val="none"/>
          </c:marker>
          <c:val>
            <c:numRef>
              <c:f>Больница!$E$337:$E$386</c:f>
              <c:numCache>
                <c:formatCode>0.0%</c:formatCode>
                <c:ptCount val="5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8C-4227-A97D-7C7F5F2EFDAC}"/>
            </c:ext>
          </c:extLst>
        </c:ser>
        <c:ser>
          <c:idx val="2"/>
          <c:order val="2"/>
          <c:marker>
            <c:symbol val="none"/>
          </c:marker>
          <c:val>
            <c:numRef>
              <c:f>Больница!$F$337:$F$386</c:f>
              <c:numCache>
                <c:formatCode>0.0%</c:formatCode>
                <c:ptCount val="5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68C-4227-A97D-7C7F5F2EFD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661922224"/>
        <c:axId val="-661916784"/>
      </c:lineChart>
      <c:catAx>
        <c:axId val="-661922224"/>
        <c:scaling>
          <c:orientation val="minMax"/>
        </c:scaling>
        <c:delete val="0"/>
        <c:axPos val="b"/>
        <c:majorTickMark val="out"/>
        <c:minorTickMark val="none"/>
        <c:tickLblPos val="nextTo"/>
        <c:crossAx val="-661916784"/>
        <c:crosses val="autoZero"/>
        <c:auto val="1"/>
        <c:lblAlgn val="ctr"/>
        <c:lblOffset val="100"/>
        <c:noMultiLvlLbl val="0"/>
      </c:catAx>
      <c:valAx>
        <c:axId val="-661916784"/>
        <c:scaling>
          <c:orientation val="minMax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crossAx val="-66192222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marker>
            <c:symbol val="none"/>
          </c:marker>
          <c:val>
            <c:numRef>
              <c:f>Мед.стационар!$E$73:$E$122</c:f>
              <c:numCache>
                <c:formatCode>0.0%</c:formatCode>
                <c:ptCount val="5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11">
                  <c:v>1.1115853658536588E-2</c:v>
                </c:pt>
                <c:pt idx="12">
                  <c:v>1.297313432835822E-2</c:v>
                </c:pt>
                <c:pt idx="13">
                  <c:v>1.5002915451895046E-2</c:v>
                </c:pt>
                <c:pt idx="14">
                  <c:v>1.6224137931034489E-2</c:v>
                </c:pt>
                <c:pt idx="15">
                  <c:v>1.7644067796610177E-2</c:v>
                </c:pt>
                <c:pt idx="16">
                  <c:v>1.9685950413223144E-2</c:v>
                </c:pt>
                <c:pt idx="17">
                  <c:v>2.2668435013262617E-2</c:v>
                </c:pt>
                <c:pt idx="18">
                  <c:v>2.4275324675324686E-2</c:v>
                </c:pt>
                <c:pt idx="19">
                  <c:v>2.5816793893129776E-2</c:v>
                </c:pt>
                <c:pt idx="20">
                  <c:v>2.8014814814814826E-2</c:v>
                </c:pt>
                <c:pt idx="21">
                  <c:v>2.9749397590361455E-2</c:v>
                </c:pt>
                <c:pt idx="22">
                  <c:v>3.204195804195805E-2</c:v>
                </c:pt>
                <c:pt idx="23">
                  <c:v>3.3740909090909099E-2</c:v>
                </c:pt>
                <c:pt idx="24">
                  <c:v>3.5500000000000011E-2</c:v>
                </c:pt>
                <c:pt idx="25">
                  <c:v>3.7032397408207351E-2</c:v>
                </c:pt>
                <c:pt idx="26">
                  <c:v>3.8752100840336146E-2</c:v>
                </c:pt>
                <c:pt idx="27">
                  <c:v>3.9514522821576775E-2</c:v>
                </c:pt>
                <c:pt idx="28">
                  <c:v>4.3012244897959212E-2</c:v>
                </c:pt>
                <c:pt idx="29">
                  <c:v>4.8040241448692206E-2</c:v>
                </c:pt>
                <c:pt idx="30">
                  <c:v>5.701176470588238E-2</c:v>
                </c:pt>
                <c:pt idx="31">
                  <c:v>6.7444866920152127E-2</c:v>
                </c:pt>
                <c:pt idx="32">
                  <c:v>7.4256983240223506E-2</c:v>
                </c:pt>
                <c:pt idx="33">
                  <c:v>7.9626373626373662E-2</c:v>
                </c:pt>
                <c:pt idx="34">
                  <c:v>9.6312500000000051E-2</c:v>
                </c:pt>
                <c:pt idx="35">
                  <c:v>0.10846000000000003</c:v>
                </c:pt>
                <c:pt idx="36">
                  <c:v>0.1155707317073171</c:v>
                </c:pt>
                <c:pt idx="37">
                  <c:v>0.12234285714285717</c:v>
                </c:pt>
                <c:pt idx="38">
                  <c:v>0.13005555555555559</c:v>
                </c:pt>
                <c:pt idx="39">
                  <c:v>0.14721965317919081</c:v>
                </c:pt>
                <c:pt idx="40">
                  <c:v>0.15872551724137934</c:v>
                </c:pt>
                <c:pt idx="41">
                  <c:v>0.16983684210526317</c:v>
                </c:pt>
                <c:pt idx="42">
                  <c:v>0.18134500000000003</c:v>
                </c:pt>
                <c:pt idx="43">
                  <c:v>0.19517096018735366</c:v>
                </c:pt>
                <c:pt idx="44">
                  <c:v>0.22077459016393444</c:v>
                </c:pt>
                <c:pt idx="45">
                  <c:v>0.24311748878923767</c:v>
                </c:pt>
                <c:pt idx="46">
                  <c:v>0.26158885899667672</c:v>
                </c:pt>
                <c:pt idx="47">
                  <c:v>0.28970744010088267</c:v>
                </c:pt>
                <c:pt idx="48">
                  <c:v>0.31310283159463487</c:v>
                </c:pt>
                <c:pt idx="49">
                  <c:v>0.35335360000000005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D9-46E5-BDF9-CBB23F5F4AD7}"/>
            </c:ext>
          </c:extLst>
        </c:ser>
        <c:ser>
          <c:idx val="2"/>
          <c:order val="1"/>
          <c:marker>
            <c:symbol val="none"/>
          </c:marker>
          <c:val>
            <c:numRef>
              <c:f>Мед.стационар!$F$73:$F$122</c:f>
              <c:numCache>
                <c:formatCode>0.0%</c:formatCode>
                <c:ptCount val="5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2.6202090592334338E-3</c:v>
                </c:pt>
                <c:pt idx="9">
                  <c:v>8.9641693811074782E-3</c:v>
                </c:pt>
                <c:pt idx="10">
                  <c:v>1.2388714733542305E-2</c:v>
                </c:pt>
                <c:pt idx="11">
                  <c:v>1.479268292682925E-2</c:v>
                </c:pt>
                <c:pt idx="12">
                  <c:v>1.6573134328358198E-2</c:v>
                </c:pt>
                <c:pt idx="13">
                  <c:v>1.8518950437317765E-2</c:v>
                </c:pt>
                <c:pt idx="14">
                  <c:v>1.9689655172413778E-2</c:v>
                </c:pt>
                <c:pt idx="15">
                  <c:v>2.1050847457627107E-2</c:v>
                </c:pt>
                <c:pt idx="16">
                  <c:v>2.3008264462809902E-2</c:v>
                </c:pt>
                <c:pt idx="17">
                  <c:v>2.5867374005305036E-2</c:v>
                </c:pt>
                <c:pt idx="18">
                  <c:v>2.74077922077922E-2</c:v>
                </c:pt>
                <c:pt idx="19">
                  <c:v>2.8885496183206093E-2</c:v>
                </c:pt>
                <c:pt idx="20">
                  <c:v>3.0992592592592585E-2</c:v>
                </c:pt>
                <c:pt idx="21">
                  <c:v>3.2655421686746983E-2</c:v>
                </c:pt>
                <c:pt idx="22">
                  <c:v>3.4853146853146846E-2</c:v>
                </c:pt>
                <c:pt idx="23">
                  <c:v>3.6481818181818178E-2</c:v>
                </c:pt>
                <c:pt idx="24">
                  <c:v>3.8168141592920354E-2</c:v>
                </c:pt>
                <c:pt idx="25">
                  <c:v>3.9637149028077745E-2</c:v>
                </c:pt>
                <c:pt idx="26">
                  <c:v>4.7714285714285681E-2</c:v>
                </c:pt>
                <c:pt idx="27">
                  <c:v>5.2099585062240647E-2</c:v>
                </c:pt>
                <c:pt idx="28">
                  <c:v>5.7779591836734659E-2</c:v>
                </c:pt>
                <c:pt idx="29">
                  <c:v>6.2599597585513062E-2</c:v>
                </c:pt>
                <c:pt idx="30">
                  <c:v>7.1199999999999958E-2</c:v>
                </c:pt>
                <c:pt idx="31">
                  <c:v>8.1201520912547495E-2</c:v>
                </c:pt>
                <c:pt idx="32">
                  <c:v>8.7731843575418966E-2</c:v>
                </c:pt>
                <c:pt idx="33">
                  <c:v>9.2879120879120841E-2</c:v>
                </c:pt>
                <c:pt idx="34">
                  <c:v>0.10887499999999997</c:v>
                </c:pt>
                <c:pt idx="35">
                  <c:v>0.12051999999999997</c:v>
                </c:pt>
                <c:pt idx="36">
                  <c:v>0.12733658536585363</c:v>
                </c:pt>
                <c:pt idx="37">
                  <c:v>0.13382857142857141</c:v>
                </c:pt>
                <c:pt idx="38">
                  <c:v>0.14122222222222219</c:v>
                </c:pt>
                <c:pt idx="39">
                  <c:v>0.15767630057803469</c:v>
                </c:pt>
                <c:pt idx="40">
                  <c:v>0.16870620689655172</c:v>
                </c:pt>
                <c:pt idx="41">
                  <c:v>0.17935789473684211</c:v>
                </c:pt>
                <c:pt idx="42">
                  <c:v>0.19039</c:v>
                </c:pt>
                <c:pt idx="43">
                  <c:v>0.20364402810304449</c:v>
                </c:pt>
                <c:pt idx="44">
                  <c:v>0.22818852459016392</c:v>
                </c:pt>
                <c:pt idx="45">
                  <c:v>0.24960717488789233</c:v>
                </c:pt>
                <c:pt idx="46">
                  <c:v>0.26731444848868485</c:v>
                </c:pt>
                <c:pt idx="47">
                  <c:v>0.29426986128625471</c:v>
                </c:pt>
                <c:pt idx="48">
                  <c:v>0.31669746646795827</c:v>
                </c:pt>
                <c:pt idx="49">
                  <c:v>0.35528320000000008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D9-46E5-BDF9-CBB23F5F4AD7}"/>
            </c:ext>
          </c:extLst>
        </c:ser>
        <c:ser>
          <c:idx val="0"/>
          <c:order val="2"/>
          <c:tx>
            <c:strRef>
              <c:f>Мед.стационар!$D$70</c:f>
              <c:strCache>
                <c:ptCount val="1"/>
                <c:pt idx="0">
                  <c:v>Потенциал экономии</c:v>
                </c:pt>
              </c:strCache>
            </c:strRef>
          </c:tx>
          <c:marker>
            <c:symbol val="none"/>
          </c:marker>
          <c:val>
            <c:numRef>
              <c:f>Мед.стационар!$D$73:$D$122</c:f>
              <c:numCache>
                <c:formatCode>0.0%</c:formatCode>
                <c:ptCount val="5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5.035830618892518E-2</c:v>
                </c:pt>
                <c:pt idx="10">
                  <c:v>8.6081504702194431E-2</c:v>
                </c:pt>
                <c:pt idx="11">
                  <c:v>0.11115853658536588</c:v>
                </c:pt>
                <c:pt idx="12">
                  <c:v>0.12973134328358218</c:v>
                </c:pt>
                <c:pt idx="13">
                  <c:v>0.15002915451895046</c:v>
                </c:pt>
                <c:pt idx="14">
                  <c:v>0.16224137931034485</c:v>
                </c:pt>
                <c:pt idx="15">
                  <c:v>0.17644067796610177</c:v>
                </c:pt>
                <c:pt idx="16">
                  <c:v>0.19685950413223144</c:v>
                </c:pt>
                <c:pt idx="17">
                  <c:v>0.22668435013262614</c:v>
                </c:pt>
                <c:pt idx="18">
                  <c:v>0.24275324675324686</c:v>
                </c:pt>
                <c:pt idx="19">
                  <c:v>0.25816793893129775</c:v>
                </c:pt>
                <c:pt idx="20">
                  <c:v>0.28014814814814826</c:v>
                </c:pt>
                <c:pt idx="21">
                  <c:v>0.29749397590361454</c:v>
                </c:pt>
                <c:pt idx="22">
                  <c:v>0.32041958041958046</c:v>
                </c:pt>
                <c:pt idx="23">
                  <c:v>0.33740909090909099</c:v>
                </c:pt>
                <c:pt idx="24">
                  <c:v>0.35500000000000015</c:v>
                </c:pt>
                <c:pt idx="25">
                  <c:v>0.37032397408207346</c:v>
                </c:pt>
                <c:pt idx="26">
                  <c:v>0.38752100840336146</c:v>
                </c:pt>
                <c:pt idx="27">
                  <c:v>0.39514522821576775</c:v>
                </c:pt>
                <c:pt idx="28">
                  <c:v>0.4050204081632654</c:v>
                </c:pt>
                <c:pt idx="29">
                  <c:v>0.41340040241448706</c:v>
                </c:pt>
                <c:pt idx="30">
                  <c:v>0.42835294117647066</c:v>
                </c:pt>
                <c:pt idx="31">
                  <c:v>0.44574144486692024</c:v>
                </c:pt>
                <c:pt idx="32">
                  <c:v>0.4570949720670392</c:v>
                </c:pt>
                <c:pt idx="33">
                  <c:v>0.4660439560439561</c:v>
                </c:pt>
                <c:pt idx="34">
                  <c:v>0.49385416666666676</c:v>
                </c:pt>
                <c:pt idx="35">
                  <c:v>0.51410000000000011</c:v>
                </c:pt>
                <c:pt idx="36">
                  <c:v>0.52595121951219515</c:v>
                </c:pt>
                <c:pt idx="37">
                  <c:v>0.53723809523809529</c:v>
                </c:pt>
                <c:pt idx="38">
                  <c:v>0.55009259259259258</c:v>
                </c:pt>
                <c:pt idx="39">
                  <c:v>0.57869942196531798</c:v>
                </c:pt>
                <c:pt idx="40">
                  <c:v>0.59787586206896559</c:v>
                </c:pt>
                <c:pt idx="41">
                  <c:v>0.61639473684210533</c:v>
                </c:pt>
                <c:pt idx="42">
                  <c:v>0.635575</c:v>
                </c:pt>
                <c:pt idx="43">
                  <c:v>0.65861826697892278</c:v>
                </c:pt>
                <c:pt idx="44">
                  <c:v>0.70129098360655739</c:v>
                </c:pt>
                <c:pt idx="45">
                  <c:v>0.73852914798206282</c:v>
                </c:pt>
                <c:pt idx="46">
                  <c:v>0.76931476499446116</c:v>
                </c:pt>
                <c:pt idx="47">
                  <c:v>0.81617906683480457</c:v>
                </c:pt>
                <c:pt idx="48">
                  <c:v>0.85517138599105813</c:v>
                </c:pt>
                <c:pt idx="49">
                  <c:v>0.92225599999999996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7D9-46E5-BDF9-CBB23F5F4A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661915152"/>
        <c:axId val="-661921680"/>
      </c:lineChart>
      <c:catAx>
        <c:axId val="-661915152"/>
        <c:scaling>
          <c:orientation val="minMax"/>
        </c:scaling>
        <c:delete val="0"/>
        <c:axPos val="b"/>
        <c:majorTickMark val="out"/>
        <c:minorTickMark val="none"/>
        <c:tickLblPos val="nextTo"/>
        <c:crossAx val="-661921680"/>
        <c:crosses val="autoZero"/>
        <c:auto val="1"/>
        <c:lblAlgn val="ctr"/>
        <c:lblOffset val="100"/>
        <c:noMultiLvlLbl val="0"/>
      </c:catAx>
      <c:valAx>
        <c:axId val="-661921680"/>
        <c:scaling>
          <c:orientation val="minMax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crossAx val="-66191515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232228</xdr:colOff>
      <xdr:row>178</xdr:row>
      <xdr:rowOff>57150</xdr:rowOff>
    </xdr:from>
    <xdr:to>
      <xdr:col>14</xdr:col>
      <xdr:colOff>232228</xdr:colOff>
      <xdr:row>191</xdr:row>
      <xdr:rowOff>231321</xdr:rowOff>
    </xdr:to>
    <xdr:graphicFrame macro="">
      <xdr:nvGraphicFramePr>
        <xdr:cNvPr id="4" name="Chart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206828</xdr:colOff>
      <xdr:row>247</xdr:row>
      <xdr:rowOff>141514</xdr:rowOff>
    </xdr:from>
    <xdr:to>
      <xdr:col>14</xdr:col>
      <xdr:colOff>206828</xdr:colOff>
      <xdr:row>257</xdr:row>
      <xdr:rowOff>174171</xdr:rowOff>
    </xdr:to>
    <xdr:graphicFrame macro="">
      <xdr:nvGraphicFramePr>
        <xdr:cNvPr id="4" name="Chart 4">
          <a:extLst>
            <a:ext uri="{FF2B5EF4-FFF2-40B4-BE49-F238E27FC236}">
              <a16:creationId xmlns:a16="http://schemas.microsoft.com/office/drawing/2014/main" id="{9134C16C-A9E5-42BD-8114-97BC2BC88C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163285</xdr:colOff>
      <xdr:row>308</xdr:row>
      <xdr:rowOff>32658</xdr:rowOff>
    </xdr:from>
    <xdr:to>
      <xdr:col>14</xdr:col>
      <xdr:colOff>163285</xdr:colOff>
      <xdr:row>321</xdr:row>
      <xdr:rowOff>299358</xdr:rowOff>
    </xdr:to>
    <xdr:graphicFrame macro="">
      <xdr:nvGraphicFramePr>
        <xdr:cNvPr id="5" name="Chart 5">
          <a:extLst>
            <a:ext uri="{FF2B5EF4-FFF2-40B4-BE49-F238E27FC236}">
              <a16:creationId xmlns:a16="http://schemas.microsoft.com/office/drawing/2014/main" id="{D024443E-83F1-447E-B7E7-5C96252CA4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582386</xdr:colOff>
      <xdr:row>106</xdr:row>
      <xdr:rowOff>185056</xdr:rowOff>
    </xdr:from>
    <xdr:to>
      <xdr:col>15</xdr:col>
      <xdr:colOff>582386</xdr:colOff>
      <xdr:row>121</xdr:row>
      <xdr:rowOff>70756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70884F1F-EC50-4AF5-BA59-BA32F7E6F5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163285</xdr:colOff>
      <xdr:row>308</xdr:row>
      <xdr:rowOff>32658</xdr:rowOff>
    </xdr:from>
    <xdr:to>
      <xdr:col>14</xdr:col>
      <xdr:colOff>163285</xdr:colOff>
      <xdr:row>321</xdr:row>
      <xdr:rowOff>299358</xdr:rowOff>
    </xdr:to>
    <xdr:graphicFrame macro="">
      <xdr:nvGraphicFramePr>
        <xdr:cNvPr id="5" name="Chart 5">
          <a:extLst>
            <a:ext uri="{FF2B5EF4-FFF2-40B4-BE49-F238E27FC236}">
              <a16:creationId xmlns:a16="http://schemas.microsoft.com/office/drawing/2014/main" id="{2AA481C1-46BA-4229-A633-F69991A098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337457</xdr:colOff>
      <xdr:row>368</xdr:row>
      <xdr:rowOff>146957</xdr:rowOff>
    </xdr:from>
    <xdr:to>
      <xdr:col>14</xdr:col>
      <xdr:colOff>337457</xdr:colOff>
      <xdr:row>383</xdr:row>
      <xdr:rowOff>32657</xdr:rowOff>
    </xdr:to>
    <xdr:graphicFrame macro="">
      <xdr:nvGraphicFramePr>
        <xdr:cNvPr id="6" name="Chart 6">
          <a:extLst>
            <a:ext uri="{FF2B5EF4-FFF2-40B4-BE49-F238E27FC236}">
              <a16:creationId xmlns:a16="http://schemas.microsoft.com/office/drawing/2014/main" id="{3F89D331-11F6-4F4D-BD32-68FEE7FF16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163285</xdr:colOff>
      <xdr:row>308</xdr:row>
      <xdr:rowOff>32658</xdr:rowOff>
    </xdr:from>
    <xdr:to>
      <xdr:col>14</xdr:col>
      <xdr:colOff>163285</xdr:colOff>
      <xdr:row>321</xdr:row>
      <xdr:rowOff>299358</xdr:rowOff>
    </xdr:to>
    <xdr:graphicFrame macro="">
      <xdr:nvGraphicFramePr>
        <xdr:cNvPr id="5" name="Chart 5">
          <a:extLst>
            <a:ext uri="{FF2B5EF4-FFF2-40B4-BE49-F238E27FC236}">
              <a16:creationId xmlns:a16="http://schemas.microsoft.com/office/drawing/2014/main" id="{B4F2E811-9AA5-434E-9782-B0A9CBB1D9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337457</xdr:colOff>
      <xdr:row>368</xdr:row>
      <xdr:rowOff>146957</xdr:rowOff>
    </xdr:from>
    <xdr:to>
      <xdr:col>14</xdr:col>
      <xdr:colOff>337457</xdr:colOff>
      <xdr:row>383</xdr:row>
      <xdr:rowOff>32657</xdr:rowOff>
    </xdr:to>
    <xdr:graphicFrame macro="">
      <xdr:nvGraphicFramePr>
        <xdr:cNvPr id="6" name="Chart 6">
          <a:extLst>
            <a:ext uri="{FF2B5EF4-FFF2-40B4-BE49-F238E27FC236}">
              <a16:creationId xmlns:a16="http://schemas.microsoft.com/office/drawing/2014/main" id="{B7609ED0-83A8-439B-B8BD-C1C9982800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582386</xdr:colOff>
      <xdr:row>106</xdr:row>
      <xdr:rowOff>185056</xdr:rowOff>
    </xdr:from>
    <xdr:to>
      <xdr:col>15</xdr:col>
      <xdr:colOff>582386</xdr:colOff>
      <xdr:row>121</xdr:row>
      <xdr:rowOff>70756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328459AF-9F07-4912-83E8-6EF4A2E24B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163285</xdr:colOff>
      <xdr:row>308</xdr:row>
      <xdr:rowOff>32658</xdr:rowOff>
    </xdr:from>
    <xdr:to>
      <xdr:col>14</xdr:col>
      <xdr:colOff>163285</xdr:colOff>
      <xdr:row>321</xdr:row>
      <xdr:rowOff>299358</xdr:rowOff>
    </xdr:to>
    <xdr:graphicFrame macro="">
      <xdr:nvGraphicFramePr>
        <xdr:cNvPr id="5" name="Chart 5">
          <a:extLst>
            <a:ext uri="{FF2B5EF4-FFF2-40B4-BE49-F238E27FC236}">
              <a16:creationId xmlns:a16="http://schemas.microsoft.com/office/drawing/2014/main" id="{FA9FA09D-C5F0-4A2A-9FD0-EF242730B62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337457</xdr:colOff>
      <xdr:row>368</xdr:row>
      <xdr:rowOff>146957</xdr:rowOff>
    </xdr:from>
    <xdr:to>
      <xdr:col>14</xdr:col>
      <xdr:colOff>337457</xdr:colOff>
      <xdr:row>383</xdr:row>
      <xdr:rowOff>32657</xdr:rowOff>
    </xdr:to>
    <xdr:graphicFrame macro="">
      <xdr:nvGraphicFramePr>
        <xdr:cNvPr id="6" name="Chart 6">
          <a:extLst>
            <a:ext uri="{FF2B5EF4-FFF2-40B4-BE49-F238E27FC236}">
              <a16:creationId xmlns:a16="http://schemas.microsoft.com/office/drawing/2014/main" id="{E79FCAF7-BE9E-4ED7-999C-4A29773580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582386</xdr:colOff>
      <xdr:row>106</xdr:row>
      <xdr:rowOff>185056</xdr:rowOff>
    </xdr:from>
    <xdr:to>
      <xdr:col>15</xdr:col>
      <xdr:colOff>582386</xdr:colOff>
      <xdr:row>121</xdr:row>
      <xdr:rowOff>70756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5FF6CC7D-0A00-4973-B5D9-AA26674D9B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206828</xdr:colOff>
      <xdr:row>247</xdr:row>
      <xdr:rowOff>141514</xdr:rowOff>
    </xdr:from>
    <xdr:to>
      <xdr:col>14</xdr:col>
      <xdr:colOff>206828</xdr:colOff>
      <xdr:row>257</xdr:row>
      <xdr:rowOff>174171</xdr:rowOff>
    </xdr:to>
    <xdr:graphicFrame macro="">
      <xdr:nvGraphicFramePr>
        <xdr:cNvPr id="4" name="Chart 4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74386</xdr:colOff>
      <xdr:row>134</xdr:row>
      <xdr:rowOff>64406</xdr:rowOff>
    </xdr:from>
    <xdr:to>
      <xdr:col>15</xdr:col>
      <xdr:colOff>74386</xdr:colOff>
      <xdr:row>146</xdr:row>
      <xdr:rowOff>102506</xdr:rowOff>
    </xdr:to>
    <xdr:graphicFrame macro="">
      <xdr:nvGraphicFramePr>
        <xdr:cNvPr id="5" name="Chart 3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2" displayName="Table2" ref="F2:G542" totalsRowShown="0" headerRowDxfId="80" dataDxfId="78" headerRowBorderDxfId="79" tableBorderDxfId="77" totalsRowBorderDxfId="76">
  <autoFilter ref="F2:G542" xr:uid="{00000000-0009-0000-0100-000001000000}"/>
  <tableColumns count="2">
    <tableColumn id="1" xr3:uid="{00000000-0010-0000-0000-000001000000}" name="Регион" dataDxfId="75" dataCellStyle="Normal 2"/>
    <tableColumn id="2" xr3:uid="{00000000-0010-0000-0000-000002000000}" name="Город" dataDxfId="74" dataCellStyle="Normal 2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1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2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3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4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5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4.bin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5.bin"/><Relationship Id="rId4" Type="http://schemas.openxmlformats.org/officeDocument/2006/relationships/comments" Target="../comments4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26">
    <pageSetUpPr fitToPage="1"/>
  </sheetPr>
  <dimension ref="A1:AA49"/>
  <sheetViews>
    <sheetView tabSelected="1" zoomScale="80" zoomScaleNormal="80" workbookViewId="0"/>
  </sheetViews>
  <sheetFormatPr defaultColWidth="0" defaultRowHeight="14.25" zeroHeight="1"/>
  <cols>
    <col min="1" max="1" width="53.42578125" style="398" customWidth="1"/>
    <col min="2" max="8" width="25.28515625" style="398" customWidth="1"/>
    <col min="9" max="9" width="41.28515625" style="398" customWidth="1"/>
    <col min="10" max="10" width="21" style="398" hidden="1" customWidth="1"/>
    <col min="11" max="11" width="9.140625" style="398" hidden="1" customWidth="1"/>
    <col min="12" max="27" width="0" style="398" hidden="1" customWidth="1"/>
    <col min="28" max="16384" width="9.140625" style="398" hidden="1"/>
  </cols>
  <sheetData>
    <row r="1" spans="1:27" s="318" customFormat="1" ht="31.15" customHeight="1">
      <c r="A1" s="405" t="s">
        <v>871</v>
      </c>
      <c r="B1" s="406"/>
      <c r="C1" s="406"/>
      <c r="D1" s="406"/>
      <c r="E1" s="406"/>
      <c r="F1" s="406"/>
      <c r="G1" s="406"/>
      <c r="H1" s="406"/>
      <c r="I1" s="406"/>
      <c r="J1" s="316"/>
      <c r="K1" s="316"/>
      <c r="L1" s="317"/>
      <c r="M1" s="317"/>
      <c r="N1" s="317"/>
      <c r="O1" s="317"/>
      <c r="P1" s="317"/>
      <c r="Q1" s="317"/>
      <c r="R1" s="317"/>
      <c r="S1" s="317"/>
      <c r="T1" s="317"/>
      <c r="U1" s="317"/>
      <c r="V1" s="317"/>
      <c r="W1" s="317"/>
      <c r="X1" s="317"/>
      <c r="Y1" s="317"/>
      <c r="Z1" s="317"/>
      <c r="AA1" s="317"/>
    </row>
    <row r="2" spans="1:27" s="320" customFormat="1">
      <c r="A2" s="319"/>
      <c r="B2" s="319"/>
      <c r="C2" s="319"/>
      <c r="D2" s="319"/>
      <c r="E2" s="319"/>
      <c r="F2" s="319"/>
      <c r="G2" s="319"/>
      <c r="H2" s="319"/>
      <c r="I2" s="319"/>
      <c r="J2" s="319"/>
      <c r="K2" s="319"/>
      <c r="L2" s="319"/>
      <c r="M2" s="319"/>
      <c r="N2" s="319"/>
      <c r="O2" s="319"/>
      <c r="P2" s="319"/>
      <c r="Q2" s="319"/>
      <c r="R2" s="319"/>
      <c r="S2" s="319"/>
    </row>
    <row r="3" spans="1:27" s="320" customFormat="1" ht="1.9" customHeight="1">
      <c r="A3" s="449" t="s">
        <v>1026</v>
      </c>
      <c r="B3" s="449"/>
      <c r="C3" s="449"/>
      <c r="D3" s="449"/>
      <c r="E3" s="449"/>
      <c r="F3" s="449"/>
      <c r="G3" s="449"/>
      <c r="H3" s="449"/>
      <c r="I3" s="449"/>
      <c r="J3" s="449"/>
      <c r="K3" s="319"/>
    </row>
    <row r="4" spans="1:27" s="320" customFormat="1" ht="7.15" customHeight="1">
      <c r="A4" s="449"/>
      <c r="B4" s="449"/>
      <c r="C4" s="449"/>
      <c r="D4" s="449"/>
      <c r="E4" s="449"/>
      <c r="F4" s="449"/>
      <c r="G4" s="449"/>
      <c r="H4" s="449"/>
      <c r="I4" s="449"/>
      <c r="J4" s="449"/>
      <c r="K4" s="319"/>
    </row>
    <row r="5" spans="1:27" s="320" customFormat="1">
      <c r="A5" s="449"/>
      <c r="B5" s="449"/>
      <c r="C5" s="449"/>
      <c r="D5" s="449"/>
      <c r="E5" s="449"/>
      <c r="F5" s="449"/>
      <c r="G5" s="449"/>
      <c r="H5" s="449"/>
      <c r="I5" s="449"/>
      <c r="J5" s="449"/>
      <c r="K5" s="319"/>
    </row>
    <row r="6" spans="1:27" s="320" customFormat="1">
      <c r="A6" s="449"/>
      <c r="B6" s="449"/>
      <c r="C6" s="449"/>
      <c r="D6" s="449"/>
      <c r="E6" s="449"/>
      <c r="F6" s="449"/>
      <c r="G6" s="449"/>
      <c r="H6" s="449"/>
      <c r="I6" s="449"/>
      <c r="J6" s="449"/>
      <c r="K6" s="319"/>
    </row>
    <row r="7" spans="1:27" s="320" customFormat="1" ht="12" customHeight="1">
      <c r="A7" s="449"/>
      <c r="B7" s="449"/>
      <c r="C7" s="449"/>
      <c r="D7" s="449"/>
      <c r="E7" s="449"/>
      <c r="F7" s="449"/>
      <c r="G7" s="449"/>
      <c r="H7" s="449"/>
      <c r="I7" s="449"/>
      <c r="J7" s="449"/>
      <c r="K7" s="319"/>
    </row>
    <row r="8" spans="1:27" s="320" customFormat="1" ht="4.9000000000000004" customHeight="1">
      <c r="A8" s="449"/>
      <c r="B8" s="449"/>
      <c r="C8" s="449"/>
      <c r="D8" s="449"/>
      <c r="E8" s="449"/>
      <c r="F8" s="449"/>
      <c r="G8" s="449"/>
      <c r="H8" s="449"/>
      <c r="I8" s="449"/>
      <c r="J8" s="449"/>
      <c r="K8" s="319"/>
    </row>
    <row r="9" spans="1:27" s="320" customFormat="1" ht="6" customHeight="1">
      <c r="A9" s="449"/>
      <c r="B9" s="449"/>
      <c r="C9" s="449"/>
      <c r="D9" s="449"/>
      <c r="E9" s="449"/>
      <c r="F9" s="449"/>
      <c r="G9" s="449"/>
      <c r="H9" s="449"/>
      <c r="I9" s="449"/>
      <c r="J9" s="449"/>
      <c r="K9" s="319"/>
    </row>
    <row r="10" spans="1:27" s="320" customFormat="1">
      <c r="A10" s="319"/>
      <c r="B10" s="319"/>
      <c r="C10" s="319"/>
      <c r="D10" s="319"/>
      <c r="E10" s="319"/>
      <c r="F10" s="319"/>
      <c r="G10" s="319"/>
      <c r="H10" s="319"/>
      <c r="I10" s="319"/>
      <c r="J10" s="319"/>
      <c r="K10" s="319"/>
      <c r="L10" s="319"/>
      <c r="M10" s="319"/>
      <c r="N10" s="319"/>
      <c r="O10" s="319"/>
      <c r="P10" s="319"/>
      <c r="Q10" s="319"/>
      <c r="R10" s="319"/>
      <c r="S10" s="319"/>
    </row>
    <row r="11" spans="1:27" s="320" customFormat="1" ht="6" customHeight="1">
      <c r="A11" s="450" t="s">
        <v>883</v>
      </c>
      <c r="B11" s="450"/>
      <c r="C11" s="450"/>
      <c r="D11" s="450"/>
      <c r="E11" s="450"/>
      <c r="F11" s="450"/>
      <c r="G11" s="450"/>
      <c r="H11" s="450"/>
      <c r="I11" s="450"/>
      <c r="J11" s="450"/>
      <c r="K11" s="319"/>
    </row>
    <row r="12" spans="1:27" s="320" customFormat="1">
      <c r="A12" s="450"/>
      <c r="B12" s="450"/>
      <c r="C12" s="450"/>
      <c r="D12" s="450"/>
      <c r="E12" s="450"/>
      <c r="F12" s="450"/>
      <c r="G12" s="450"/>
      <c r="H12" s="450"/>
      <c r="I12" s="450"/>
      <c r="J12" s="450"/>
      <c r="K12" s="319"/>
    </row>
    <row r="13" spans="1:27" s="320" customFormat="1">
      <c r="A13" s="450"/>
      <c r="B13" s="450"/>
      <c r="C13" s="450"/>
      <c r="D13" s="450"/>
      <c r="E13" s="450"/>
      <c r="F13" s="450"/>
      <c r="G13" s="450"/>
      <c r="H13" s="450"/>
      <c r="I13" s="450"/>
      <c r="J13" s="450"/>
      <c r="K13" s="319"/>
    </row>
    <row r="14" spans="1:27" s="320" customFormat="1">
      <c r="A14" s="450"/>
      <c r="B14" s="450"/>
      <c r="C14" s="450"/>
      <c r="D14" s="450"/>
      <c r="E14" s="450"/>
      <c r="F14" s="450"/>
      <c r="G14" s="450"/>
      <c r="H14" s="450"/>
      <c r="I14" s="450"/>
      <c r="J14" s="450"/>
      <c r="K14" s="319"/>
    </row>
    <row r="15" spans="1:27" s="320" customFormat="1" ht="6" customHeight="1">
      <c r="A15" s="450"/>
      <c r="B15" s="450"/>
      <c r="C15" s="450"/>
      <c r="D15" s="450"/>
      <c r="E15" s="450"/>
      <c r="F15" s="450"/>
      <c r="G15" s="450"/>
      <c r="H15" s="450"/>
      <c r="I15" s="450"/>
      <c r="J15" s="450"/>
      <c r="K15" s="319"/>
    </row>
    <row r="16" spans="1:27" s="320" customFormat="1" ht="4.9000000000000004" customHeight="1">
      <c r="A16" s="450"/>
      <c r="B16" s="450"/>
      <c r="C16" s="450"/>
      <c r="D16" s="450"/>
      <c r="E16" s="450"/>
      <c r="F16" s="450"/>
      <c r="G16" s="450"/>
      <c r="H16" s="450"/>
      <c r="I16" s="450"/>
      <c r="J16" s="450"/>
      <c r="K16" s="319"/>
    </row>
    <row r="17" spans="1:19" s="320" customFormat="1">
      <c r="A17" s="319"/>
      <c r="B17" s="319"/>
      <c r="C17" s="319"/>
      <c r="D17" s="319"/>
      <c r="E17" s="319"/>
      <c r="F17" s="319"/>
      <c r="G17" s="319"/>
      <c r="H17" s="319"/>
      <c r="I17" s="319"/>
      <c r="J17" s="319"/>
      <c r="K17" s="319"/>
      <c r="L17" s="319"/>
      <c r="M17" s="319"/>
      <c r="N17" s="319"/>
      <c r="O17" s="319"/>
      <c r="P17" s="319"/>
      <c r="Q17" s="319"/>
      <c r="R17" s="319"/>
      <c r="S17" s="319"/>
    </row>
    <row r="18" spans="1:19" s="320" customFormat="1">
      <c r="A18" s="321" t="s">
        <v>976</v>
      </c>
      <c r="B18" s="453">
        <v>46168</v>
      </c>
      <c r="C18" s="453"/>
      <c r="D18" s="319"/>
      <c r="E18" s="319"/>
      <c r="F18" s="319"/>
      <c r="G18" s="319"/>
      <c r="H18" s="319"/>
      <c r="I18" s="319"/>
      <c r="J18" s="319"/>
      <c r="K18" s="319"/>
      <c r="L18" s="319"/>
      <c r="M18" s="319"/>
      <c r="N18" s="319"/>
      <c r="O18" s="319"/>
      <c r="P18" s="319"/>
      <c r="Q18" s="319"/>
      <c r="R18" s="319"/>
      <c r="S18" s="319"/>
    </row>
    <row r="19" spans="1:19" s="320" customFormat="1">
      <c r="A19" s="321" t="s">
        <v>977</v>
      </c>
      <c r="B19" s="454" t="s">
        <v>1039</v>
      </c>
      <c r="C19" s="454"/>
      <c r="D19" s="319"/>
      <c r="E19" s="319"/>
      <c r="F19" s="319"/>
      <c r="G19" s="319"/>
      <c r="H19" s="319"/>
      <c r="I19" s="319"/>
      <c r="J19" s="319"/>
      <c r="K19" s="319"/>
      <c r="L19" s="319"/>
      <c r="M19" s="319"/>
      <c r="N19" s="319"/>
      <c r="O19" s="319"/>
      <c r="P19" s="319"/>
      <c r="Q19" s="319"/>
      <c r="R19" s="319"/>
      <c r="S19" s="319"/>
    </row>
    <row r="20" spans="1:19" s="320" customFormat="1">
      <c r="A20" s="321" t="s">
        <v>978</v>
      </c>
      <c r="B20" s="454" t="s">
        <v>1042</v>
      </c>
      <c r="C20" s="454"/>
      <c r="D20" s="319"/>
      <c r="E20" s="319"/>
      <c r="F20" s="319"/>
      <c r="G20" s="319"/>
      <c r="H20" s="319"/>
      <c r="I20" s="319"/>
      <c r="J20" s="319"/>
      <c r="K20" s="319"/>
      <c r="L20" s="319"/>
      <c r="M20" s="319"/>
      <c r="N20" s="319"/>
      <c r="O20" s="319"/>
      <c r="P20" s="319"/>
      <c r="Q20" s="319"/>
      <c r="R20" s="319"/>
      <c r="S20" s="319"/>
    </row>
    <row r="21" spans="1:19" s="320" customFormat="1">
      <c r="A21" s="321" t="s">
        <v>979</v>
      </c>
      <c r="B21" s="454" t="s">
        <v>1040</v>
      </c>
      <c r="C21" s="454"/>
      <c r="D21" s="319"/>
      <c r="E21" s="319"/>
      <c r="F21" s="319"/>
      <c r="G21" s="319"/>
      <c r="H21" s="319"/>
      <c r="I21" s="319"/>
      <c r="J21" s="319"/>
      <c r="K21" s="319"/>
      <c r="L21" s="319"/>
      <c r="M21" s="319"/>
      <c r="N21" s="319"/>
      <c r="O21" s="319"/>
      <c r="P21" s="319"/>
      <c r="Q21" s="319"/>
      <c r="R21" s="319"/>
      <c r="S21" s="319"/>
    </row>
    <row r="22" spans="1:19" s="320" customFormat="1">
      <c r="A22" s="321" t="s">
        <v>980</v>
      </c>
      <c r="B22" s="455">
        <v>2305020830</v>
      </c>
      <c r="C22" s="455"/>
      <c r="D22" s="319"/>
      <c r="E22" s="319"/>
      <c r="F22" s="319"/>
      <c r="G22" s="319"/>
      <c r="H22" s="319"/>
      <c r="I22" s="319"/>
      <c r="J22" s="319"/>
      <c r="K22" s="319"/>
      <c r="L22" s="319"/>
      <c r="M22" s="319"/>
      <c r="N22" s="319"/>
      <c r="O22" s="319"/>
      <c r="P22" s="319"/>
      <c r="Q22" s="319"/>
      <c r="R22" s="319"/>
      <c r="S22" s="319"/>
    </row>
    <row r="23" spans="1:19" s="320" customFormat="1">
      <c r="A23" s="321" t="s">
        <v>981</v>
      </c>
      <c r="B23" s="456" t="s">
        <v>1041</v>
      </c>
      <c r="C23" s="456"/>
      <c r="D23" s="319"/>
      <c r="E23" s="319"/>
      <c r="F23" s="319"/>
      <c r="G23" s="319"/>
      <c r="H23" s="319"/>
      <c r="I23" s="319"/>
      <c r="J23" s="319"/>
      <c r="K23" s="319"/>
      <c r="L23" s="319"/>
      <c r="M23" s="319"/>
      <c r="N23" s="319"/>
      <c r="O23" s="319"/>
      <c r="P23" s="319"/>
      <c r="Q23" s="319"/>
      <c r="R23" s="319"/>
      <c r="S23" s="319"/>
    </row>
    <row r="24" spans="1:19" s="318" customFormat="1">
      <c r="A24" s="322"/>
      <c r="B24" s="319"/>
      <c r="C24" s="319"/>
      <c r="D24" s="319"/>
      <c r="E24" s="319"/>
      <c r="F24" s="451"/>
      <c r="G24" s="451"/>
      <c r="H24" s="451"/>
      <c r="I24" s="319"/>
      <c r="J24" s="319"/>
      <c r="K24" s="319"/>
    </row>
    <row r="25" spans="1:19" s="320" customFormat="1" ht="67.900000000000006" customHeight="1">
      <c r="A25" s="330" t="s">
        <v>161</v>
      </c>
      <c r="B25" s="330" t="s">
        <v>906</v>
      </c>
      <c r="C25" s="330" t="s">
        <v>778</v>
      </c>
      <c r="D25" s="330" t="s">
        <v>905</v>
      </c>
      <c r="E25" s="330" t="s">
        <v>907</v>
      </c>
      <c r="F25" s="401" t="s">
        <v>1009</v>
      </c>
      <c r="G25" s="401" t="s">
        <v>1010</v>
      </c>
      <c r="H25" s="401" t="s">
        <v>1011</v>
      </c>
      <c r="I25" s="319"/>
      <c r="J25" s="319"/>
      <c r="K25" s="319"/>
    </row>
    <row r="26" spans="1:19" s="320" customFormat="1" ht="39.75" customHeight="1">
      <c r="A26" s="323" t="s">
        <v>829</v>
      </c>
      <c r="B26" s="399" t="str">
        <f>IF(I26="Перейдите к заполнению данных по зданию и УР","",IF(OR('2.УР ТЭ на нужды ОиВ'!B4="нет",'2.УР ТЭ на нужды ОиВ'!B5="нет"),"требование по снижению потребления не устанавливается",IFERROR('2.УР ТЭ на нужды ОиВ'!B9*1163*1000/'1.Общие данные по зданию'!C15/'1.Общие данные по зданию'!C19/VLOOKUP('1.Общие данные по зданию'!C6,'Экспресс потенциал'!B6:O27,13,0),"")))</f>
        <v>требование по снижению потребления не устанавливается</v>
      </c>
      <c r="C26" s="396" t="str">
        <f>IF(I26="Перейдите к заполнению данных по зданию и УР","",IF(OR('2.УР ТЭ на нужды ОиВ'!B4="нет",'2.УР ТЭ на нужды ОиВ'!B5="нет"),"неприменимо",IFERROR(VLOOKUP('1.Общие данные по зданию'!C6,'Экспресс потенциал'!B6:O27,6,0),"")))</f>
        <v>неприменимо</v>
      </c>
      <c r="D26" s="397" t="str">
        <f>IF(I26="Перейдите к заполнению данных по зданию и УР","",IF(OR('2.УР ТЭ на нужды ОиВ'!B4="нет",'2.УР ТЭ на нужды ОиВ'!B5="нет"),"неприменимо",IFERROR(VLOOKUP('1.Общие данные по зданию'!$C$6,'Экспресс потенциал'!$B$6:$AC$27,24,0),0)))</f>
        <v>неприменимо</v>
      </c>
      <c r="E26" s="397" t="str">
        <f>IF(I26="Перейдите к заполнению данных по зданию и УР","",IF(OR('2.УР ТЭ на нужды ОиВ'!B4="нет",'2.УР ТЭ на нужды ОиВ'!B5="нет"),"неприменимо",IFERROR(VLOOKUP('1.Общие данные по зданию'!$C$6,'Экспресс потенциал'!$B$6:$W$27,18,0),6%)))</f>
        <v>неприменимо</v>
      </c>
      <c r="F26" s="402" t="str">
        <f>IF(I26="Перейдите к заполнению данных по зданию и УР","",IF(OR('2.УР ТЭ на нужды ОиВ'!B4="нет",'2.УР ТЭ на нужды ОиВ'!B5="нет"),"неприменимо",IF(E26=0,"Здание эффективно. Требование не устанавливается.",IFERROR(B26-0.25*(B26-H26),""))))</f>
        <v>неприменимо</v>
      </c>
      <c r="G26" s="402" t="str">
        <f>IF(I26="Перейдите к заполнению данных по зданию и УР","",IF(OR('2.УР ТЭ на нужды ОиВ'!B4="нет",'2.УР ТЭ на нужды ОиВ'!B5="нет"),"неприменимо",IF(E26=0,"Здание эффективно. Требование не устанавливается.",IFERROR(B26-0.5*(B26-H26),""))))</f>
        <v>неприменимо</v>
      </c>
      <c r="H26" s="402" t="str">
        <f>IF(I26="Перейдите к заполнению данных по зданию и УР","",IF(OR('2.УР ТЭ на нужды ОиВ'!B4="нет",'2.УР ТЭ на нужды ОиВ'!B5="нет"),"неприменимо",IF(E26=0,"Здание эффективно. Требование не устанавливается.",IFERROR(B26*(1-E26),""))))</f>
        <v>неприменимо</v>
      </c>
      <c r="I26" s="392" t="str">
        <f>IF('2.УР ТЭ на нужды ОиВ'!B11="Готово","Готово","Перейдите к заполнению данных по зданию и УР")</f>
        <v>Готово</v>
      </c>
      <c r="J26" s="324" t="str">
        <f>IF(AND(I26="готово",E26=0),"Здание эффективно, задание не назначается","")</f>
        <v/>
      </c>
      <c r="K26" s="319" t="str">
        <f>IF(AND(D26&lt;&gt;"",OR(D26&gt;0.7,D26&lt;0.05)),CONCATENATE("2",CHAR(10),""),"")</f>
        <v xml:space="preserve">2
</v>
      </c>
    </row>
    <row r="27" spans="1:19" s="320" customFormat="1" ht="39.75" customHeight="1">
      <c r="A27" s="323" t="s">
        <v>822</v>
      </c>
      <c r="B27" s="399" t="str">
        <f>IF(I27="Перейдите к заполнению данных по зданию и УР","",IF(OR('3.УР горячей воды'!B4="нет",'3.УР горячей воды'!B5="нет"),"требование по снижению потребления не устанавливается",IFERROR('3.УР горячей воды'!B6/('1.Общие данные по зданию'!C16)-'3.УР горячей воды'!B9*'1.Общие данные по зданию'!C21*'1.Общие данные по зданию'!C22,"")))</f>
        <v>требование по снижению потребления не устанавливается</v>
      </c>
      <c r="C27" s="396" t="str">
        <f>IF(I27="Перейдите к заполнению данных по зданию и УР","",IF(OR('3.УР горячей воды'!B4="нет",'3.УР горячей воды'!B5="нет"),"неприменимо",IFERROR(VLOOKUP('1.Общие данные по зданию'!$C$6,'Экспресс потенциал'!$B$6:$O$27,8,0),"")))</f>
        <v>неприменимо</v>
      </c>
      <c r="D27" s="397" t="str">
        <f>IF(I27="Перейдите к заполнению данных по зданию и УР","",IF(OR('3.УР горячей воды'!B4="нет",'3.УР горячей воды'!B5="нет"),"неприменимо",IFERROR(VLOOKUP('1.Общие данные по зданию'!$C$6,'Экспресс потенциал'!$B$6:$AC$27,25,0),0)))</f>
        <v>неприменимо</v>
      </c>
      <c r="E27" s="397" t="str">
        <f>IF(I27="Перейдите к заполнению данных по зданию и УР","",IF(OR('3.УР горячей воды'!B4="нет",'3.УР горячей воды'!B5="нет"),"неприменимо",IFERROR(VLOOKUP('1.Общие данные по зданию'!$C$6,'Экспресс потенциал'!$B$6:$W$27,19,0),6%)))</f>
        <v>неприменимо</v>
      </c>
      <c r="F27" s="402" t="str">
        <f>IF(I27="Перейдите к заполнению данных по зданию и УР","",IF(OR('3.УР горячей воды'!B4="нет",'3.УР горячей воды'!B5="нет"),"неприменимо",IF(E27=0,"Здание эффективно. Требование не устанавливается.",IFERROR(B27-0.25*(B27-H27),""))))</f>
        <v>неприменимо</v>
      </c>
      <c r="G27" s="402" t="str">
        <f>IF(I27="Перейдите к заполнению данных по зданию и УР","",IF(OR('3.УР горячей воды'!B4="нет",'3.УР горячей воды'!B5="нет"),"неприменимо",IF(E27=0,"Здание эффективно. Требование не устанавливается.",IFERROR(B27-0.5*(B27-H27),""))))</f>
        <v>неприменимо</v>
      </c>
      <c r="H27" s="402" t="str">
        <f>IF(I27="Перейдите к заполнению данных по зданию и УР","",IF(OR('3.УР горячей воды'!B4="нет",'3.УР горячей воды'!B5="нет"),"неприменимо",IF(E27=0,"Здание эффективно. Требование не устанавливается.",IFERROR(B27*(1-E27),""))))</f>
        <v>неприменимо</v>
      </c>
      <c r="I27" s="392" t="str">
        <f>IF('3.УР горячей воды'!B11="Готово","Готово","Перейдите к заполнению данных по зданию и УР")</f>
        <v>Готово</v>
      </c>
      <c r="J27" s="324" t="str">
        <f t="shared" ref="J27:J33" si="0">IF(AND(I27="готово",E27=0),"Здание эффективно, задание не назначается","")</f>
        <v/>
      </c>
      <c r="K27" s="319" t="str">
        <f>IF(AND(D27&lt;&gt;"",OR(D27&gt;0.7,D27&lt;0.05)),CONCATENATE("3",CHAR(10),""),"")</f>
        <v xml:space="preserve">3
</v>
      </c>
    </row>
    <row r="28" spans="1:19" s="320" customFormat="1" ht="39.75" customHeight="1">
      <c r="A28" s="325" t="s">
        <v>824</v>
      </c>
      <c r="B28" s="399">
        <f>IF(I28="Перейдите к заполнению данных по зданию и УР","",IF(OR('4.УР холодной воды'!B4="нет",'4.УР холодной воды'!B5="нет"),"требование по снижению потребления не устанавливается",IFERROR('4.УР холодной воды'!B6/('1.Общие данные по зданию'!C16)-'4.УР холодной воды'!B9*'1.Общие данные по зданию'!C21*'1.Общие данные по зданию'!C22,"")))</f>
        <v>33.222222222222221</v>
      </c>
      <c r="C28" s="396">
        <f>IF(I28="Перейдите к заполнению данных по зданию и УР","",IF(OR('4.УР холодной воды'!B4="нет",'4.УР холодной воды'!B5="нет"),"неприменимо",IFERROR(VLOOKUP('1.Общие данные по зданию'!$C$6,'Экспресс потенциал'!$B$6:$O$27,10,0),"")))</f>
        <v>5.16</v>
      </c>
      <c r="D28" s="397">
        <f>IF(I28="Перейдите к заполнению данных по зданию и УР","",IF(OR('4.УР холодной воды'!B4="нет",'4.УР холодной воды'!B5="нет"),"неприменимо",IFERROR(VLOOKUP('1.Общие данные по зданию'!$C$6,'Экспресс потенциал'!$B$6:$AC$27,26,0),0)))</f>
        <v>0.86589843750000006</v>
      </c>
      <c r="E28" s="397">
        <f>IF(I28="Перейдите к заполнению данных по зданию и УР","",IF(OR('4.УР холодной воды'!B4="нет",'4.УР холодной воды'!B5="нет"),"неприменимо",IFERROR(VLOOKUP('1.Общие данные по зданию'!$C$6,'Экспресс потенциал'!$B$6:$W$27,20,0),6%)))</f>
        <v>0.31953906249999997</v>
      </c>
      <c r="F28" s="402">
        <f>IF(I28="Перейдите к заполнению данных по зданию и УР","",IF(OR('4.УР холодной воды'!B4="нет",'4.УР холодной воды'!B5="нет"),"неприменимо",IF(E28=0,"Здание эффективно. Требование не устанавливается.",IFERROR(B28-0.25*(B28-H28),""))))</f>
        <v>30.568272786458333</v>
      </c>
      <c r="G28" s="402">
        <f>IF(I28="Перейдите к заполнению данных по зданию и УР","",IF(OR('4.УР холодной воды'!B4="нет",'4.УР холодной воды'!B5="нет"),"неприменимо",IF(E28=0,"Здание эффективно. Требование не устанавливается.",IFERROR(B28-0.5*(B28-H28),""))))</f>
        <v>27.914323350694445</v>
      </c>
      <c r="H28" s="402">
        <f>IF(I28="Перейдите к заполнению данных по зданию и УР","",IF(OR('4.УР холодной воды'!B4="нет",'4.УР холодной воды'!B5="нет"),"неприменимо",IF(E28=0,"Здание эффективно. Требование не устанавливается.",IFERROR(B28*(1-E28),""))))</f>
        <v>22.606424479166666</v>
      </c>
      <c r="I28" s="392" t="str">
        <f>IF('4.УР холодной воды'!B11="Готово","Готово","Перейдите к заполнению данных по зданию и УР")</f>
        <v>Готово</v>
      </c>
      <c r="J28" s="324" t="str">
        <f t="shared" si="0"/>
        <v/>
      </c>
      <c r="K28" s="319" t="str">
        <f>IF(AND(D28&lt;&gt;"",OR(D28&gt;0.7,D28&lt;0.05)),CONCATENATE("4",CHAR(10),""),"")</f>
        <v xml:space="preserve">4
</v>
      </c>
    </row>
    <row r="29" spans="1:19" s="320" customFormat="1" ht="39.75" customHeight="1">
      <c r="A29" s="325" t="s">
        <v>818</v>
      </c>
      <c r="B29" s="399">
        <f>IF(I29="Перейдите к заполнению данных по зданию и УР","",IF(OR('5.УР ЭЭ'!B4="нет"),"требование по снижению потребления не устанавливается",IFERROR('5.УР ЭЭ'!B5/'1.Общие данные по зданию'!C15-'5.УР ЭЭ'!B60-'5.УР ЭЭ'!B6/'1.Общие данные по зданию'!C15,"")))</f>
        <v>7.8937615812229769</v>
      </c>
      <c r="C29" s="396">
        <f>IF(I29="Перейдите к заполнению данных по зданию и УР","",IF(OR('5.УР ЭЭ'!B4="нет"),"неприменимо",IFERROR(VLOOKUP('1.Общие данные по зданию'!C6,'Экспресс потенциал'!B6:O27,4,0),"")))</f>
        <v>33.299999999999997</v>
      </c>
      <c r="D29" s="397">
        <f>IF(I29="Перейдите к заполнению данных по зданию и УР","",IF(OR('5.УР ЭЭ'!B4="нет"),"неприменимо",IFERROR(VLOOKUP('1.Общие данные по зданию'!$C$6,'Экспресс потенциал'!$B$6:$AC$27,23,0),0)))</f>
        <v>0</v>
      </c>
      <c r="E29" s="397">
        <f>IF(I29="Перейдите к заполнению данных по зданию и УР","",IF(OR('5.УР ЭЭ'!B4="нет"),"неприменимо",IFERROR(VLOOKUP('1.Общие данные по зданию'!$C$6,'Экспресс потенциал'!$B$6:$W$27,17,0),6%)))</f>
        <v>0</v>
      </c>
      <c r="F29" s="402" t="str">
        <f>IF(I29="Перейдите к заполнению данных по зданию и УР","",IF(OR('5.УР ЭЭ'!B4="нет"),"неприменимо",IF(E29=0,"Здание эффективно. Требование не устанавливается.",IFERROR(B29-0.25*(B29-H29),""))))</f>
        <v>Здание эффективно. Требование не устанавливается.</v>
      </c>
      <c r="G29" s="402" t="str">
        <f>IF(I29="Перейдите к заполнению данных по зданию и УР","",IF(OR('5.УР ЭЭ'!B4="нет"),"неприменимо",IF(E29=0,"Здание эффективно. Требование не устанавливается.",IFERROR(B29-0.5*(B29-H29),""))))</f>
        <v>Здание эффективно. Требование не устанавливается.</v>
      </c>
      <c r="H29" s="402" t="str">
        <f>IF(I29="Перейдите к заполнению данных по зданию и УР","",IF(OR('5.УР ЭЭ'!B4="нет"),"неприменимо",IF(E29=0,"Здание эффективно. Требование не устанавливается.",IFERROR(B29*(1-E29),""))))</f>
        <v>Здание эффективно. Требование не устанавливается.</v>
      </c>
      <c r="I29" s="392" t="str">
        <f>IF('5.УР ЭЭ'!B68="Готово","Готово","Перейдите к заполнению данных по зданию и УР")</f>
        <v>Готово</v>
      </c>
      <c r="J29" s="324" t="str">
        <f t="shared" si="0"/>
        <v>Здание эффективно, задание не назначается</v>
      </c>
      <c r="K29" s="319" t="str">
        <f>IF(AND(D29&lt;&gt;"",OR(D29&gt;0.7,D29&lt;0.05)),CONCATENATE("5",CHAR(10),""),"")</f>
        <v xml:space="preserve">5
</v>
      </c>
    </row>
    <row r="30" spans="1:19" s="320" customFormat="1" ht="39.75" customHeight="1">
      <c r="A30" s="326" t="s">
        <v>819</v>
      </c>
      <c r="B30" s="399" t="str">
        <f>IF(I30="Перейдите к заполнению данных по зданию и УР","",IF(OR('6.УР природного газа на цели ПП'!B4="нет",'6.УР природного газа на цели ПП'!B5="нет"),"требование по снижению потребления не устанавливается",IFERROR('6.УР природного газа на цели ПП'!B9,"")))</f>
        <v>требование по снижению потребления не устанавливается</v>
      </c>
      <c r="C30" s="396" t="str">
        <f>IF(I30="Перейдите к заполнению данных по зданию и УР","",IF(OR('6.УР природного газа на цели ПП'!B4="нет",'6.УР природного газа на цели ПП'!B5="нет"),"неприменимо",IFERROR(VLOOKUP('1.Общие данные по зданию'!$C$6,'Экспресс потенциал'!$B$6:$O$27,12,0),"")))</f>
        <v>неприменимо</v>
      </c>
      <c r="D30" s="397" t="str">
        <f>IF(I30="Перейдите к заполнению данных по зданию и УР","",IF(OR('6.УР природного газа на цели ПП'!B4="нет",'6.УР природного газа на цели ПП'!B5="нет"),"неприменимо",IFERROR(VLOOKUP('1.Общие данные по зданию'!$C$6,'Экспресс потенциал'!$B$6:$AC$27,27,0),0)))</f>
        <v>неприменимо</v>
      </c>
      <c r="E30" s="397" t="str">
        <f>IF(I30="Перейдите к заполнению данных по зданию и УР","",IF(OR('6.УР природного газа на цели ПП'!B4="нет",'6.УР природного газа на цели ПП'!B5="нет"),"неприменимо",IFERROR(VLOOKUP('1.Общие данные по зданию'!$C$6,'Экспресс потенциал'!$B$6:$W$27,21,0),6%)))</f>
        <v>неприменимо</v>
      </c>
      <c r="F30" s="402" t="str">
        <f>IF(I30="Перейдите к заполнению данных по зданию и УР","",IF(OR('6.УР природного газа на цели ПП'!B4="нет",'6.УР природного газа на цели ПП'!B5="нет"),"неприменимо",IF(E30=0,"Здание эффективно. Требование не устанавливается.",IFERROR(B30-0.25*(B30-H30),""))))</f>
        <v>неприменимо</v>
      </c>
      <c r="G30" s="402" t="str">
        <f>IF(I30="Перейдите к заполнению данных по зданию и УР","",IF(OR('6.УР природного газа на цели ПП'!B4="нет",'6.УР природного газа на цели ПП'!B5="нет"),"неприменимо",IF(E30=0,"Здание эффективно. Требование не устанавливается.",IFERROR(B30-0.5*(B30-H30),""))))</f>
        <v>неприменимо</v>
      </c>
      <c r="H30" s="402" t="str">
        <f>IF(I30="Перейдите к заполнению данных по зданию и УР","",IF(OR('6.УР природного газа на цели ПП'!B4="нет",'6.УР природного газа на цели ПП'!B5="нет"),"неприменимо",IF(E30=0,"Здание эффективно. Требование не устанавливается.",IFERROR(B30*(1-E30),""))))</f>
        <v>неприменимо</v>
      </c>
      <c r="I30" s="392" t="str">
        <f>IF('6.УР природного газа на цели ПП'!B11="Готово","Готово","Перейдите к заполнению данных по зданию и УР")</f>
        <v>Готово</v>
      </c>
      <c r="J30" s="324" t="str">
        <f t="shared" si="0"/>
        <v/>
      </c>
      <c r="K30" s="319" t="str">
        <f>IF(AND(D30&lt;&gt;"",OR(D30&gt;0.7,D30&lt;0.05)),CONCATENATE("6",CHAR(10),""),"")</f>
        <v xml:space="preserve">6
</v>
      </c>
    </row>
    <row r="31" spans="1:19" s="320" customFormat="1" ht="39.75" customHeight="1">
      <c r="A31" s="323" t="s">
        <v>1006</v>
      </c>
      <c r="B31" s="399" t="str">
        <f>IF(I31="Перейдите к заполнению данных по зданию и УР","",IF(OR('7.УР топлива на отопл. и вент.'!B4="нет"),"требование по снижению потребления не устанавливается",IFERROR(SUM('7.УР топлива на отопл. и вент.'!I8:I15)*8.13*1000000/'1.Общие данные по зданию'!C15/'1.Общие данные по зданию'!C19/VLOOKUP('1.Общие данные по зданию'!C6,'Экспресс потенциал'!B6:O27,13,0),"")))</f>
        <v>требование по снижению потребления не устанавливается</v>
      </c>
      <c r="C31" s="396" t="str">
        <f>IF(I31="Перейдите к заполнению данных по зданию и УР","","неприменимо")</f>
        <v>неприменимо</v>
      </c>
      <c r="D31" s="396" t="str">
        <f>IF(I31="Перейдите к заполнению данных по зданию и УР","","неприменимо")</f>
        <v>неприменимо</v>
      </c>
      <c r="E31" s="397" t="str">
        <f>IF(I31="Перейдите к заполнению данных по зданию и УР","",IF('7.УР топлива на отопл. и вент.'!B4="нет","неприменимо","6%"))</f>
        <v>неприменимо</v>
      </c>
      <c r="F31" s="402" t="str">
        <f>IF(I31="Перейдите к заполнению данных по зданию и УР","",IF(OR('7.УР топлива на отопл. и вент.'!B4="нет"),"неприменимо",IF(E31=0,"Здание эффективно. Требование не устанавливается.",IFERROR(B31-0.25*(B31-H31),""))))</f>
        <v>неприменимо</v>
      </c>
      <c r="G31" s="402" t="str">
        <f>IF(I31="Перейдите к заполнению данных по зданию и УР","",IF(OR('7.УР топлива на отопл. и вент.'!B4="нет"),"неприменимо",IF(E31=0,"Здание эффективно. Требование не устанавливается.",IFERROR(B31-0.5*(B31-H31),""))))</f>
        <v>неприменимо</v>
      </c>
      <c r="H31" s="402" t="str">
        <f>IF(I31="Перейдите к заполнению данных по зданию и УР","",IF(OR('7.УР топлива на отопл. и вент.'!B4="нет"),"неприменимо",IF(E31=0,"Здание эффективно. Требование не устанавливается.",IFERROR(B31*(1-E31),""))))</f>
        <v>неприменимо</v>
      </c>
      <c r="I31" s="392" t="str">
        <f>IF('7.УР топлива на отопл. и вент.'!B21="Готово","Готово","Перейдите к заполнению данных по зданию и УР")</f>
        <v>Готово</v>
      </c>
      <c r="J31" s="324" t="str">
        <f t="shared" si="0"/>
        <v/>
      </c>
      <c r="K31" s="319" t="str">
        <f>IF(AND(D31&lt;&gt;"",OR(D31&gt;0.7,D31&lt;0.05)),CONCATENATE("7",CHAR(10),""),"")</f>
        <v xml:space="preserve">7
</v>
      </c>
    </row>
    <row r="32" spans="1:19" s="320" customFormat="1" ht="39.75" customHeight="1">
      <c r="A32" s="323" t="s">
        <v>1007</v>
      </c>
      <c r="B32" s="399" t="str">
        <f>IF(I32="Перейдите к заполнению данных по зданию и УР","",IF(OR('7.УР топлива на отопл. и вент.'!B18="нет"),"требование по снижению потребления не устанавливается",IFERROR('7.УР топлива на отопл. и вент.'!C19*8.13*1000000/'1.Общие данные по зданию'!C15/'1.Общие данные по зданию'!C19/VLOOKUP('1.Общие данные по зданию'!C6,'Экспресс потенциал'!B6:O27,13,0),"")))</f>
        <v>требование по снижению потребления не устанавливается</v>
      </c>
      <c r="C32" s="396" t="str">
        <f>IF(I32="Перейдите к заполнению данных по зданию и УР","","неприменимо")</f>
        <v>неприменимо</v>
      </c>
      <c r="D32" s="397" t="str">
        <f>IF(I32="Перейдите к заполнению данных по зданию и УР","","неприменимо")</f>
        <v>неприменимо</v>
      </c>
      <c r="E32" s="397" t="str">
        <f>IF(I32="Перейдите к заполнению данных по зданию и УР","",IF(OR('7.УР топлива на отопл. и вент.'!B18="нет"),"неприменимо",6%))</f>
        <v>неприменимо</v>
      </c>
      <c r="F32" s="402" t="str">
        <f>IF(I32="Перейдите к заполнению данных по зданию и УР","",IF(OR('7.УР топлива на отопл. и вент.'!B18="нет"),"неприменимо",IF(E32=0,"Здание эффективно. Требование не устанавливается.",IFERROR(B32-0.25*(B32-H32),""))))</f>
        <v>неприменимо</v>
      </c>
      <c r="G32" s="402" t="str">
        <f>IF(I32="Перейдите к заполнению данных по зданию и УР","",IF(OR('7.УР топлива на отопл. и вент.'!B18="нет"),"неприменимо",IF(E32=0,"Здание эффективно. Требование не устанавливается.",IFERROR(B32-0.5*(B32-H32),""))))</f>
        <v>неприменимо</v>
      </c>
      <c r="H32" s="402" t="str">
        <f>IF(I32="Перейдите к заполнению данных по зданию и УР","",IF(OR('7.УР топлива на отопл. и вент.'!B18="нет"),"неприменимо",IF(E32=0,"Здание эффективно. Требование не устанавливается.",IFERROR(B32*(1-E32),""))))</f>
        <v>неприменимо</v>
      </c>
      <c r="I32" s="392" t="str">
        <f>IF('7.УР топлива на отопл. и вент.'!B22="Готово","Готово","Перейдите к заполнению данных по зданию и УР")</f>
        <v>Готово</v>
      </c>
      <c r="J32" s="324" t="str">
        <f t="shared" ref="J32" si="1">IF(AND(I32="готово",E32=0),"Здание эффективно, задание не назначается","")</f>
        <v/>
      </c>
      <c r="K32" s="319"/>
    </row>
    <row r="33" spans="1:27" s="320" customFormat="1" ht="39.75" customHeight="1">
      <c r="A33" s="323" t="s">
        <v>837</v>
      </c>
      <c r="B33" s="400" t="str">
        <f>IF(I33="Перейдите к заполнению данных по зданию и УР","",IF(OR('8.УР моторного топлива'!B4="нет"),"требование по снижению потребления не устанавливается",IFERROR(SUM('8.УР моторного топлива'!J8:J14)/(SUMPRODUCT('8.УР моторного топлива'!B23:B322,'8.УР моторного топлива'!C23:C322)+SUMPRODUCT('8.УР моторного топлива'!E23:E322,'8.УР моторного топлива'!F23:F322)),"")))</f>
        <v>требование по снижению потребления не устанавливается</v>
      </c>
      <c r="C33" s="396" t="str">
        <f>IF(I33="Перейдите к заполнению данных по зданию и УР","","неприменимо")</f>
        <v>неприменимо</v>
      </c>
      <c r="D33" s="397" t="str">
        <f>IF(I33="Перейдите к заполнению данных по зданию и УР","","неприменимо")</f>
        <v>неприменимо</v>
      </c>
      <c r="E33" s="397" t="str">
        <f>IF(I33="Перейдите к заполнению данных по зданию и УР","",IF('8.УР моторного топлива'!B4="нет","неприменимо","6%"))</f>
        <v>неприменимо</v>
      </c>
      <c r="F33" s="403" t="str">
        <f>IF(I33="Перейдите к заполнению данных по зданию и УР","",IF(OR('8.УР моторного топлива'!B4="нет"),"неприменимо",IF(E33=0,"Здание эффективно. Требование не устанавливается.",IFERROR(B33-0.25*(B33-H33),""))))</f>
        <v>неприменимо</v>
      </c>
      <c r="G33" s="403" t="str">
        <f>IF(I33="Перейдите к заполнению данных по зданию и УР","",IF(OR('8.УР моторного топлива'!B4="нет"),"неприменимо",IF(E33=0,"Здание эффективно. Требование не устанавливается.",IFERROR(B33-0.5*(B33-H33),""))))</f>
        <v>неприменимо</v>
      </c>
      <c r="H33" s="403" t="str">
        <f>IF(I33="Перейдите к заполнению данных по зданию и УР","",IF(OR('8.УР моторного топлива'!B4="нет"),"неприменимо",IF(E33=0,"Здание эффективно. Требование не устанавливается.",IFERROR(B33*(1-E33),""))))</f>
        <v>неприменимо</v>
      </c>
      <c r="I33" s="392" t="str">
        <f>IF('8.УР моторного топлива'!C324="Готово","Готово","Перейдите к заполнению данных по зданию и УР")</f>
        <v>Готово</v>
      </c>
      <c r="J33" s="324" t="str">
        <f t="shared" si="0"/>
        <v/>
      </c>
      <c r="K33" s="319"/>
    </row>
    <row r="34" spans="1:27" s="320" customFormat="1">
      <c r="A34" s="319"/>
      <c r="B34" s="319" t="str">
        <f>IF(OR(C26="неприменимо",C27="неприменимо",C28="неприменимо",C29="неприменимо",C30="неприменимо",C31="неприменимо",C33="неприменимо"),"неприменимо - невозможно рассчитать для данного ресурса и данного типа учреждения","")</f>
        <v>неприменимо - невозможно рассчитать для данного ресурса и данного типа учреждения</v>
      </c>
      <c r="C34" s="319"/>
      <c r="D34" s="319"/>
      <c r="E34" s="319"/>
      <c r="F34" s="319"/>
      <c r="G34" s="319"/>
      <c r="H34" s="319"/>
      <c r="I34" s="319"/>
      <c r="J34" s="319"/>
      <c r="K34" s="319"/>
    </row>
    <row r="35" spans="1:27" s="318" customFormat="1" ht="25.9" customHeight="1">
      <c r="A35" s="405" t="s">
        <v>887</v>
      </c>
      <c r="B35" s="404"/>
      <c r="C35" s="404"/>
      <c r="D35" s="404"/>
      <c r="E35" s="404"/>
      <c r="F35" s="404"/>
      <c r="G35" s="404"/>
      <c r="H35" s="404"/>
      <c r="I35" s="404"/>
      <c r="J35" s="316"/>
      <c r="K35" s="316"/>
      <c r="L35" s="317"/>
      <c r="M35" s="317"/>
      <c r="N35" s="317"/>
      <c r="O35" s="317"/>
      <c r="P35" s="317"/>
      <c r="Q35" s="317"/>
      <c r="R35" s="317"/>
      <c r="S35" s="317"/>
      <c r="T35" s="317"/>
      <c r="U35" s="317"/>
      <c r="V35" s="317"/>
      <c r="W35" s="317"/>
      <c r="X35" s="317"/>
      <c r="Y35" s="317"/>
      <c r="Z35" s="317"/>
      <c r="AA35" s="317"/>
    </row>
    <row r="36" spans="1:27" s="320" customFormat="1">
      <c r="A36" s="452" t="str">
        <f>CONCATENATE(списки!Q552,CHAR(10),"",списки!Q553,CHAR(10),"",списки!Q554,CHAR(10),"",списки!Q555,CHAR(10),"",списки!Q556,CHAR(10),"",списки!Q557,CHAR(10),"",списки!Q558,CHAR(10),"",списки!Q559)</f>
        <v xml:space="preserve">
Потенциалы и задания для здания моложе 5 лет могут быть приравнены к 0
</v>
      </c>
      <c r="B36" s="452"/>
      <c r="C36" s="452"/>
      <c r="D36" s="452"/>
      <c r="E36" s="452"/>
      <c r="F36" s="452"/>
      <c r="G36" s="452"/>
      <c r="H36" s="452"/>
      <c r="I36" s="319"/>
      <c r="J36" s="319"/>
      <c r="K36" s="319"/>
    </row>
    <row r="37" spans="1:27" s="320" customFormat="1">
      <c r="A37" s="452"/>
      <c r="B37" s="452"/>
      <c r="C37" s="452"/>
      <c r="D37" s="452"/>
      <c r="E37" s="452"/>
      <c r="F37" s="452"/>
      <c r="G37" s="452"/>
      <c r="H37" s="452"/>
      <c r="I37" s="319"/>
      <c r="J37" s="319"/>
      <c r="K37" s="319"/>
    </row>
    <row r="38" spans="1:27" s="320" customFormat="1">
      <c r="A38" s="452"/>
      <c r="B38" s="452"/>
      <c r="C38" s="452"/>
      <c r="D38" s="452"/>
      <c r="E38" s="452"/>
      <c r="F38" s="452"/>
      <c r="G38" s="452"/>
      <c r="H38" s="452"/>
      <c r="I38" s="319"/>
      <c r="J38" s="319"/>
      <c r="K38" s="319"/>
    </row>
    <row r="39" spans="1:27" s="320" customFormat="1">
      <c r="A39" s="452"/>
      <c r="B39" s="452"/>
      <c r="C39" s="452"/>
      <c r="D39" s="452"/>
      <c r="E39" s="452"/>
      <c r="F39" s="452"/>
      <c r="G39" s="452"/>
      <c r="H39" s="452"/>
      <c r="I39" s="319"/>
      <c r="J39" s="319"/>
      <c r="K39" s="319"/>
    </row>
    <row r="40" spans="1:27" s="320" customFormat="1">
      <c r="A40" s="452"/>
      <c r="B40" s="452"/>
      <c r="C40" s="452"/>
      <c r="D40" s="452"/>
      <c r="E40" s="452"/>
      <c r="F40" s="452"/>
      <c r="G40" s="452"/>
      <c r="H40" s="452"/>
      <c r="I40" s="319"/>
      <c r="J40" s="319"/>
      <c r="K40" s="319"/>
    </row>
    <row r="41" spans="1:27" s="320" customFormat="1">
      <c r="A41" s="452"/>
      <c r="B41" s="452"/>
      <c r="C41" s="452"/>
      <c r="D41" s="452"/>
      <c r="E41" s="452"/>
      <c r="F41" s="452"/>
      <c r="G41" s="452"/>
      <c r="H41" s="452"/>
      <c r="I41" s="319"/>
      <c r="J41" s="319"/>
      <c r="K41" s="319"/>
    </row>
    <row r="42" spans="1:27" s="320" customFormat="1">
      <c r="A42" s="452"/>
      <c r="B42" s="452"/>
      <c r="C42" s="452"/>
      <c r="D42" s="452"/>
      <c r="E42" s="452"/>
      <c r="F42" s="452"/>
      <c r="G42" s="452"/>
      <c r="H42" s="452"/>
      <c r="I42" s="319"/>
      <c r="J42" s="319"/>
      <c r="K42" s="319"/>
    </row>
    <row r="43" spans="1:27" s="320" customFormat="1" ht="26.65" customHeight="1">
      <c r="A43" s="452"/>
      <c r="B43" s="452"/>
      <c r="C43" s="452"/>
      <c r="D43" s="452"/>
      <c r="E43" s="452"/>
      <c r="F43" s="452"/>
      <c r="G43" s="452"/>
      <c r="H43" s="452"/>
      <c r="I43" s="319"/>
      <c r="J43" s="319"/>
      <c r="K43" s="319"/>
    </row>
    <row r="44" spans="1:27" s="320" customFormat="1" ht="124.9" customHeight="1">
      <c r="A44" s="448" t="str">
        <f>IF(CONCATENATE(K26,K27,K28,K29,K30,K31,K32,K33)&lt;&gt;"",CONCATENATE("Рекомендуется проверить ввод на листах:",CHAR(10),"","1","",CHAR(10),"",K26,K27,K28,K29,K30,K31,K32,K33),"")</f>
        <v xml:space="preserve">Рекомендуется проверить ввод на листах:
1
2
3
4
5
6
7
</v>
      </c>
      <c r="B44" s="448"/>
      <c r="C44" s="448"/>
      <c r="D44" s="448"/>
      <c r="E44" s="448"/>
      <c r="F44" s="448"/>
      <c r="G44" s="448"/>
      <c r="H44" s="448"/>
      <c r="I44" s="319"/>
      <c r="J44" s="319"/>
      <c r="K44" s="319"/>
    </row>
    <row r="45" spans="1:27">
      <c r="A45" s="319"/>
      <c r="B45" s="319"/>
      <c r="C45" s="319"/>
      <c r="D45" s="319"/>
      <c r="E45" s="319"/>
      <c r="F45" s="319"/>
      <c r="G45" s="319"/>
      <c r="H45" s="319"/>
      <c r="I45" s="319"/>
      <c r="J45" s="319"/>
      <c r="K45" s="319"/>
    </row>
    <row r="46" spans="1:27">
      <c r="A46" s="319"/>
      <c r="B46" s="319"/>
      <c r="C46" s="319"/>
      <c r="D46" s="319"/>
      <c r="E46" s="319"/>
      <c r="F46" s="319"/>
      <c r="G46" s="319"/>
      <c r="H46" s="319"/>
      <c r="I46" s="319"/>
      <c r="J46" s="319"/>
      <c r="K46" s="319"/>
    </row>
    <row r="47" spans="1:27" hidden="1">
      <c r="A47" s="319"/>
      <c r="B47" s="319"/>
      <c r="C47" s="319"/>
      <c r="D47" s="319"/>
      <c r="E47" s="319"/>
      <c r="F47" s="319"/>
      <c r="G47" s="319"/>
      <c r="H47" s="319"/>
      <c r="I47" s="319"/>
      <c r="J47" s="319"/>
      <c r="K47" s="319"/>
    </row>
    <row r="48" spans="1:27" hidden="1">
      <c r="A48" s="319"/>
      <c r="B48" s="319"/>
      <c r="C48" s="319"/>
      <c r="D48" s="319"/>
      <c r="E48" s="319"/>
      <c r="F48" s="319"/>
      <c r="G48" s="319"/>
      <c r="H48" s="319"/>
      <c r="I48" s="319"/>
      <c r="J48" s="319"/>
      <c r="K48" s="319"/>
    </row>
    <row r="49" spans="1:11" hidden="1">
      <c r="A49" s="319"/>
      <c r="B49" s="319"/>
      <c r="C49" s="319"/>
      <c r="D49" s="319"/>
      <c r="E49" s="319"/>
      <c r="F49" s="319"/>
      <c r="G49" s="319"/>
      <c r="H49" s="319"/>
      <c r="I49" s="319"/>
      <c r="J49" s="319"/>
      <c r="K49" s="319"/>
    </row>
  </sheetData>
  <sheetProtection algorithmName="SHA-512" hashValue="mp34aPGIzPDTPsKirlIkEkWR5ILyFc5XimiSpKbXPcFREJn+/o2u/h6QPgo6A+EtyGyefq6ppkfO8slTaVRQog==" saltValue="XVT9rAuAMleZGDl9PEwuBw==" spinCount="100000" sheet="1" objects="1" scenarios="1"/>
  <mergeCells count="11">
    <mergeCell ref="A44:H44"/>
    <mergeCell ref="A3:J9"/>
    <mergeCell ref="A11:J16"/>
    <mergeCell ref="F24:H24"/>
    <mergeCell ref="A36:H43"/>
    <mergeCell ref="B18:C18"/>
    <mergeCell ref="B19:C19"/>
    <mergeCell ref="B20:C20"/>
    <mergeCell ref="B21:C21"/>
    <mergeCell ref="B22:C22"/>
    <mergeCell ref="B23:C23"/>
  </mergeCells>
  <conditionalFormatting sqref="I26:I33">
    <cfRule type="containsText" dxfId="73" priority="1" operator="containsText" text="Перейдите к заполнению данных по зданию и УР">
      <formula>NOT(ISERROR(SEARCH("Перейдите к заполнению данных по зданию и УР",I26)))</formula>
    </cfRule>
    <cfRule type="containsText" dxfId="72" priority="2" operator="containsText" text="Готово">
      <formula>NOT(ISERROR(SEARCH("Готово",I26)))</formula>
    </cfRule>
  </conditionalFormatting>
  <pageMargins left="0.70866141732283472" right="0.70866141732283472" top="0.74803149606299213" bottom="0.74803149606299213" header="0.31496062992125984" footer="0.31496062992125984"/>
  <pageSetup paperSize="9" scale="48" fitToHeight="5" orientation="landscape" horizontalDpi="4294967293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Лист32"/>
  <dimension ref="A1:XFC22"/>
  <sheetViews>
    <sheetView zoomScale="90" zoomScaleNormal="90" workbookViewId="0">
      <selection activeCell="C1" sqref="C1"/>
    </sheetView>
  </sheetViews>
  <sheetFormatPr defaultColWidth="0" defaultRowHeight="14.25" zeroHeight="1"/>
  <cols>
    <col min="1" max="1" width="52.42578125" style="345" customWidth="1"/>
    <col min="2" max="2" width="25" style="345" customWidth="1"/>
    <col min="3" max="3" width="20.42578125" style="345" customWidth="1"/>
    <col min="4" max="4" width="13.7109375" style="345" customWidth="1"/>
    <col min="5" max="6" width="12.140625" style="345" customWidth="1"/>
    <col min="7" max="7" width="12.7109375" style="345" customWidth="1"/>
    <col min="8" max="8" width="6.42578125" style="345" customWidth="1"/>
    <col min="9" max="27" width="9.140625" style="345" hidden="1" customWidth="1"/>
    <col min="28" max="16381" width="9.140625" style="345" hidden="1"/>
    <col min="16382" max="16382" width="4.140625" style="345" hidden="1" customWidth="1"/>
    <col min="16383" max="16383" width="1.42578125" style="345" hidden="1" customWidth="1"/>
    <col min="16384" max="16384" width="3.7109375" style="345" hidden="1" customWidth="1"/>
  </cols>
  <sheetData>
    <row r="1" spans="1:26" s="318" customFormat="1" ht="27" customHeight="1">
      <c r="A1" s="405" t="s">
        <v>901</v>
      </c>
      <c r="B1" s="407"/>
      <c r="C1" s="409" t="s">
        <v>872</v>
      </c>
      <c r="D1" s="407"/>
      <c r="E1" s="407"/>
      <c r="F1" s="407"/>
      <c r="G1" s="407"/>
      <c r="H1" s="407"/>
      <c r="I1" s="327"/>
      <c r="J1" s="317"/>
      <c r="K1" s="317"/>
      <c r="L1" s="317"/>
      <c r="M1" s="317"/>
      <c r="N1" s="317"/>
      <c r="O1" s="317"/>
      <c r="P1" s="317"/>
      <c r="Q1" s="317"/>
      <c r="R1" s="317"/>
      <c r="S1" s="317"/>
      <c r="T1" s="317"/>
      <c r="U1" s="317"/>
      <c r="V1" s="317"/>
      <c r="W1" s="317"/>
      <c r="X1" s="317"/>
      <c r="Y1" s="317"/>
      <c r="Z1" s="317"/>
    </row>
    <row r="2" spans="1:26" s="318" customFormat="1" ht="19.899999999999999" customHeight="1">
      <c r="A2" s="319"/>
      <c r="B2" s="319"/>
      <c r="C2" s="372" t="s">
        <v>1016</v>
      </c>
      <c r="D2" s="319"/>
      <c r="E2" s="319"/>
      <c r="F2" s="319"/>
      <c r="G2" s="319"/>
      <c r="H2" s="319"/>
      <c r="I2" s="319"/>
    </row>
    <row r="3" spans="1:26" s="318" customFormat="1" ht="57">
      <c r="A3" s="330" t="s">
        <v>167</v>
      </c>
      <c r="B3" s="331" t="s">
        <v>166</v>
      </c>
      <c r="C3" s="330" t="s">
        <v>777</v>
      </c>
      <c r="D3" s="418" t="s">
        <v>953</v>
      </c>
      <c r="E3" s="474" t="s">
        <v>839</v>
      </c>
      <c r="F3" s="474"/>
      <c r="G3" s="474"/>
      <c r="H3" s="319"/>
      <c r="I3" s="319"/>
    </row>
    <row r="4" spans="1:26" s="318" customFormat="1" ht="42" customHeight="1">
      <c r="A4" s="334" t="s">
        <v>975</v>
      </c>
      <c r="B4" s="342" t="s">
        <v>834</v>
      </c>
      <c r="C4" s="335"/>
      <c r="D4" s="337" t="s">
        <v>968</v>
      </c>
      <c r="E4" s="482" t="s">
        <v>991</v>
      </c>
      <c r="F4" s="482"/>
      <c r="G4" s="482"/>
      <c r="H4" s="319"/>
      <c r="I4" s="319"/>
    </row>
    <row r="5" spans="1:26" ht="12.4" hidden="1" customHeight="1">
      <c r="A5" s="360" t="s">
        <v>924</v>
      </c>
      <c r="B5" s="340"/>
      <c r="C5" s="381" t="s">
        <v>944</v>
      </c>
      <c r="D5" s="369" t="s">
        <v>844</v>
      </c>
      <c r="E5" s="489" t="s">
        <v>840</v>
      </c>
      <c r="F5" s="489"/>
      <c r="G5" s="489"/>
      <c r="H5" s="319"/>
      <c r="I5" s="319"/>
    </row>
    <row r="6" spans="1:26" ht="25.9" customHeight="1">
      <c r="A6" s="512" t="s">
        <v>997</v>
      </c>
      <c r="B6" s="513"/>
      <c r="C6" s="514"/>
      <c r="D6" s="319"/>
      <c r="E6" s="319"/>
      <c r="F6" s="319"/>
      <c r="G6" s="319"/>
      <c r="H6" s="319"/>
      <c r="I6" s="319"/>
      <c r="J6" s="319"/>
    </row>
    <row r="7" spans="1:26" ht="48" customHeight="1">
      <c r="A7" s="333" t="s">
        <v>932</v>
      </c>
      <c r="B7" s="333" t="s">
        <v>807</v>
      </c>
      <c r="C7" s="333" t="s">
        <v>836</v>
      </c>
      <c r="D7" s="333" t="s">
        <v>838</v>
      </c>
      <c r="E7" s="515" t="s">
        <v>839</v>
      </c>
      <c r="F7" s="515"/>
      <c r="G7" s="515"/>
      <c r="H7" s="319"/>
      <c r="I7" s="319"/>
      <c r="J7" s="382" t="s">
        <v>812</v>
      </c>
    </row>
    <row r="8" spans="1:26" s="386" customFormat="1" ht="21" customHeight="1">
      <c r="A8" s="360" t="s">
        <v>935</v>
      </c>
      <c r="B8" s="383" t="s">
        <v>803</v>
      </c>
      <c r="C8" s="384"/>
      <c r="D8" s="506" t="s">
        <v>969</v>
      </c>
      <c r="E8" s="500" t="s">
        <v>840</v>
      </c>
      <c r="F8" s="501"/>
      <c r="G8" s="502"/>
      <c r="H8" s="319"/>
      <c r="I8" s="385">
        <f>C8*списки!C564</f>
        <v>0</v>
      </c>
    </row>
    <row r="9" spans="1:26" s="386" customFormat="1" ht="19.149999999999999" customHeight="1">
      <c r="A9" s="360" t="s">
        <v>936</v>
      </c>
      <c r="B9" s="383" t="s">
        <v>803</v>
      </c>
      <c r="C9" s="384"/>
      <c r="D9" s="507"/>
      <c r="E9" s="503"/>
      <c r="F9" s="504"/>
      <c r="G9" s="505"/>
      <c r="H9" s="319"/>
      <c r="I9" s="385">
        <f>C9*списки!C565</f>
        <v>0</v>
      </c>
    </row>
    <row r="10" spans="1:26" s="386" customFormat="1" ht="21" customHeight="1">
      <c r="A10" s="360" t="s">
        <v>937</v>
      </c>
      <c r="B10" s="383" t="s">
        <v>803</v>
      </c>
      <c r="C10" s="384"/>
      <c r="D10" s="491"/>
      <c r="E10" s="492"/>
      <c r="F10" s="492"/>
      <c r="G10" s="493"/>
      <c r="H10" s="319"/>
      <c r="I10" s="385">
        <f>C10*списки!C566</f>
        <v>0</v>
      </c>
    </row>
    <row r="11" spans="1:26" s="386" customFormat="1" ht="15">
      <c r="A11" s="360" t="s">
        <v>938</v>
      </c>
      <c r="B11" s="383" t="s">
        <v>803</v>
      </c>
      <c r="C11" s="384"/>
      <c r="D11" s="494"/>
      <c r="E11" s="495"/>
      <c r="F11" s="495"/>
      <c r="G11" s="496"/>
      <c r="H11" s="319"/>
      <c r="I11" s="385">
        <f>C11*списки!C567</f>
        <v>0</v>
      </c>
    </row>
    <row r="12" spans="1:26" s="386" customFormat="1" ht="16.5">
      <c r="A12" s="360" t="s">
        <v>939</v>
      </c>
      <c r="B12" s="383" t="s">
        <v>995</v>
      </c>
      <c r="C12" s="384"/>
      <c r="D12" s="494"/>
      <c r="E12" s="495"/>
      <c r="F12" s="495"/>
      <c r="G12" s="496"/>
      <c r="H12" s="319"/>
      <c r="I12" s="385">
        <f>C12*списки!C568</f>
        <v>0</v>
      </c>
    </row>
    <row r="13" spans="1:26" s="386" customFormat="1" ht="15">
      <c r="A13" s="360" t="s">
        <v>941</v>
      </c>
      <c r="B13" s="383" t="s">
        <v>803</v>
      </c>
      <c r="C13" s="384"/>
      <c r="D13" s="494"/>
      <c r="E13" s="495"/>
      <c r="F13" s="495"/>
      <c r="G13" s="496"/>
      <c r="H13" s="319"/>
      <c r="I13" s="385">
        <f>C13*списки!C569</f>
        <v>0</v>
      </c>
    </row>
    <row r="14" spans="1:26" s="386" customFormat="1" ht="15">
      <c r="A14" s="360" t="s">
        <v>942</v>
      </c>
      <c r="B14" s="383" t="s">
        <v>803</v>
      </c>
      <c r="C14" s="384"/>
      <c r="D14" s="494"/>
      <c r="E14" s="495"/>
      <c r="F14" s="495"/>
      <c r="G14" s="496"/>
      <c r="H14" s="319"/>
      <c r="I14" s="385">
        <f>C14*списки!C570</f>
        <v>0</v>
      </c>
    </row>
    <row r="15" spans="1:26" s="386" customFormat="1" ht="15">
      <c r="A15" s="360" t="s">
        <v>943</v>
      </c>
      <c r="B15" s="383" t="s">
        <v>803</v>
      </c>
      <c r="C15" s="384"/>
      <c r="D15" s="497"/>
      <c r="E15" s="498"/>
      <c r="F15" s="498"/>
      <c r="G15" s="499"/>
      <c r="H15" s="319"/>
      <c r="I15" s="385">
        <f>C15*списки!C571</f>
        <v>0</v>
      </c>
    </row>
    <row r="16" spans="1:26" s="318" customFormat="1" ht="15">
      <c r="A16" s="360" t="s">
        <v>946</v>
      </c>
      <c r="B16" s="383" t="s">
        <v>945</v>
      </c>
      <c r="C16" s="387">
        <f>SUM(I8:I15)</f>
        <v>0</v>
      </c>
      <c r="D16" s="511" t="s">
        <v>947</v>
      </c>
      <c r="E16" s="511"/>
      <c r="F16" s="511"/>
      <c r="G16" s="511"/>
      <c r="H16" s="319"/>
      <c r="I16" s="319"/>
    </row>
    <row r="17" spans="1:9">
      <c r="A17" s="319"/>
      <c r="B17" s="319"/>
      <c r="C17" s="319"/>
      <c r="D17" s="319"/>
      <c r="E17" s="319"/>
      <c r="F17" s="319"/>
      <c r="G17" s="319"/>
      <c r="H17" s="319"/>
      <c r="I17" s="319"/>
    </row>
    <row r="18" spans="1:9" s="318" customFormat="1" ht="58.9" customHeight="1">
      <c r="A18" s="382" t="s">
        <v>1008</v>
      </c>
      <c r="B18" s="342" t="s">
        <v>834</v>
      </c>
      <c r="C18" s="337"/>
      <c r="D18" s="337" t="s">
        <v>968</v>
      </c>
      <c r="E18" s="482" t="s">
        <v>991</v>
      </c>
      <c r="F18" s="482"/>
      <c r="G18" s="482"/>
      <c r="H18" s="319"/>
      <c r="I18" s="319"/>
    </row>
    <row r="19" spans="1:9" s="386" customFormat="1" ht="34.15" customHeight="1">
      <c r="A19" s="334" t="s">
        <v>998</v>
      </c>
      <c r="B19" s="383" t="s">
        <v>945</v>
      </c>
      <c r="C19" s="384"/>
      <c r="D19" s="508" t="s">
        <v>996</v>
      </c>
      <c r="E19" s="509"/>
      <c r="F19" s="509"/>
      <c r="G19" s="510"/>
      <c r="H19" s="319"/>
      <c r="I19" s="385">
        <f>C19</f>
        <v>0</v>
      </c>
    </row>
    <row r="20" spans="1:9">
      <c r="A20" s="319"/>
      <c r="B20" s="319"/>
      <c r="C20" s="319"/>
      <c r="D20" s="319"/>
      <c r="E20" s="319"/>
      <c r="F20" s="319"/>
      <c r="G20" s="319"/>
      <c r="H20" s="319"/>
      <c r="I20" s="319"/>
    </row>
    <row r="21" spans="1:9">
      <c r="A21" s="356" t="s">
        <v>985</v>
      </c>
      <c r="B21" s="447" t="str">
        <f>IF(OR(AND(B4="да",SUM(C8:C15)&gt;0),AND(B4="нет")),"Готово","Заполните данные")</f>
        <v>Готово</v>
      </c>
      <c r="C21" s="319"/>
      <c r="D21" s="319"/>
      <c r="E21" s="319"/>
      <c r="F21" s="319"/>
      <c r="G21" s="319"/>
      <c r="H21" s="319"/>
      <c r="I21" s="319"/>
    </row>
    <row r="22" spans="1:9">
      <c r="A22" s="356" t="s">
        <v>986</v>
      </c>
      <c r="B22" s="447" t="str">
        <f>IF(OR(AND(B18="да",C19&gt;0),AND(B18="нет")),"Готово","Заполните данные")</f>
        <v>Готово</v>
      </c>
      <c r="C22" s="319"/>
      <c r="D22" s="319"/>
      <c r="E22" s="319"/>
      <c r="F22" s="319"/>
      <c r="G22" s="319"/>
      <c r="H22" s="319"/>
      <c r="I22" s="319"/>
    </row>
  </sheetData>
  <sheetProtection algorithmName="SHA-512" hashValue="lpbyzVSEBHT1bPzkD3AgN7hRqt2muo16DMii1IdbyV0JK/wtEUkJNnsMwd86oYV6Hgn0MUSd2tQOcRtE8i3x/w==" saltValue="9yBafbJFpPcxTSn6MGlx7g==" spinCount="100000" sheet="1" objects="1" scenarios="1"/>
  <mergeCells count="11">
    <mergeCell ref="E3:G3"/>
    <mergeCell ref="E5:G5"/>
    <mergeCell ref="E4:G4"/>
    <mergeCell ref="A6:C6"/>
    <mergeCell ref="E7:G7"/>
    <mergeCell ref="D10:G15"/>
    <mergeCell ref="E8:G9"/>
    <mergeCell ref="D8:D9"/>
    <mergeCell ref="D19:G19"/>
    <mergeCell ref="D16:G16"/>
    <mergeCell ref="E18:G18"/>
  </mergeCells>
  <conditionalFormatting sqref="B4">
    <cfRule type="cellIs" dxfId="16" priority="14" operator="equal">
      <formula>"Пожалуйста, выберите…"</formula>
    </cfRule>
  </conditionalFormatting>
  <conditionalFormatting sqref="B5">
    <cfRule type="expression" dxfId="15" priority="10">
      <formula>$B$4="Пожалуйста, выберите…"</formula>
    </cfRule>
    <cfRule type="expression" dxfId="14" priority="13">
      <formula>$B$4="нет"</formula>
    </cfRule>
  </conditionalFormatting>
  <conditionalFormatting sqref="B18">
    <cfRule type="cellIs" dxfId="13" priority="1" operator="equal">
      <formula>"Пожалуйста, выберите…"</formula>
    </cfRule>
  </conditionalFormatting>
  <conditionalFormatting sqref="B21:B22">
    <cfRule type="containsText" dxfId="12" priority="2" operator="containsText" text="Готово">
      <formula>NOT(ISERROR(SEARCH("Готово",B21)))</formula>
    </cfRule>
    <cfRule type="containsText" dxfId="11" priority="3" operator="containsText" text="Заполните данные">
      <formula>NOT(ISERROR(SEARCH("Заполните данные",B21)))</formula>
    </cfRule>
  </conditionalFormatting>
  <conditionalFormatting sqref="B8:C16">
    <cfRule type="expression" dxfId="10" priority="4">
      <formula>$B$4="Пожалуйста, выберите…"</formula>
    </cfRule>
    <cfRule type="expression" dxfId="9" priority="5">
      <formula>$B$4="нет"</formula>
    </cfRule>
  </conditionalFormatting>
  <conditionalFormatting sqref="B19:C19">
    <cfRule type="expression" dxfId="8" priority="8">
      <formula>$B$18="Пожалуйста, выберите…"</formula>
    </cfRule>
    <cfRule type="expression" dxfId="7" priority="9">
      <formula>$B$18="нет"</formula>
    </cfRule>
  </conditionalFormatting>
  <dataValidations count="2">
    <dataValidation type="decimal" allowBlank="1" showInputMessage="1" showErrorMessage="1" sqref="B5 C8:C16 C19" xr:uid="{00000000-0002-0000-0900-000000000000}">
      <formula1>0</formula1>
      <formula2>1000000</formula2>
    </dataValidation>
    <dataValidation type="list" allowBlank="1" showInputMessage="1" showErrorMessage="1" sqref="B4 B18" xr:uid="{00000000-0002-0000-0900-000001000000}">
      <formula1>danet</formula1>
    </dataValidation>
  </dataValidations>
  <hyperlinks>
    <hyperlink ref="C1" location="'0.Результаты расчета'!A1" display="Перейти к результатам расчета потенциала и ЦУС" xr:uid="{00000000-0004-0000-0900-000000000000}"/>
  </hyperlink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Лист33"/>
  <dimension ref="A1:XFC332"/>
  <sheetViews>
    <sheetView zoomScale="80" zoomScaleNormal="80" workbookViewId="0">
      <selection activeCell="B4" sqref="B4"/>
    </sheetView>
  </sheetViews>
  <sheetFormatPr defaultColWidth="0" defaultRowHeight="14.25" zeroHeight="1"/>
  <cols>
    <col min="1" max="1" width="52.42578125" style="345" customWidth="1"/>
    <col min="2" max="2" width="24.42578125" style="345" customWidth="1"/>
    <col min="3" max="3" width="15.7109375" style="345" customWidth="1"/>
    <col min="4" max="4" width="18.42578125" style="345" customWidth="1"/>
    <col min="5" max="5" width="15.28515625" style="345" customWidth="1"/>
    <col min="6" max="6" width="19.140625" style="345" customWidth="1"/>
    <col min="7" max="7" width="14.140625" style="345" customWidth="1"/>
    <col min="8" max="8" width="13.7109375" style="345" customWidth="1"/>
    <col min="9" max="9" width="3.7109375" style="345" customWidth="1"/>
    <col min="10" max="16383" width="6.7109375" style="345" hidden="1"/>
    <col min="16384" max="16384" width="6.28515625" style="345" hidden="1"/>
  </cols>
  <sheetData>
    <row r="1" spans="1:10" s="408" customFormat="1" ht="31.15" customHeight="1">
      <c r="A1" s="405" t="s">
        <v>902</v>
      </c>
      <c r="B1" s="407"/>
      <c r="C1" s="409" t="s">
        <v>872</v>
      </c>
      <c r="D1" s="407"/>
      <c r="E1" s="407"/>
      <c r="F1" s="407"/>
      <c r="G1" s="407"/>
      <c r="H1" s="407"/>
      <c r="I1" s="407"/>
    </row>
    <row r="2" spans="1:10" s="318" customFormat="1" ht="19.149999999999999" customHeight="1">
      <c r="A2" s="319"/>
      <c r="B2" s="319"/>
      <c r="C2" s="319"/>
      <c r="D2" s="372" t="s">
        <v>1016</v>
      </c>
      <c r="E2" s="372"/>
      <c r="F2" s="319"/>
      <c r="G2" s="319"/>
      <c r="H2" s="319"/>
      <c r="I2" s="319"/>
      <c r="J2" s="319"/>
    </row>
    <row r="3" spans="1:10" s="318" customFormat="1" ht="42.75">
      <c r="A3" s="330" t="s">
        <v>167</v>
      </c>
      <c r="B3" s="331" t="s">
        <v>166</v>
      </c>
      <c r="C3" s="330" t="s">
        <v>777</v>
      </c>
      <c r="D3" s="418" t="s">
        <v>953</v>
      </c>
      <c r="E3" s="474" t="s">
        <v>839</v>
      </c>
      <c r="F3" s="474"/>
      <c r="G3" s="474"/>
      <c r="H3" s="319"/>
      <c r="I3" s="319"/>
      <c r="J3" s="319"/>
    </row>
    <row r="4" spans="1:10" s="318" customFormat="1" ht="36" customHeight="1">
      <c r="A4" s="334" t="s">
        <v>886</v>
      </c>
      <c r="B4" s="342" t="s">
        <v>834</v>
      </c>
      <c r="C4" s="335"/>
      <c r="D4" s="337" t="s">
        <v>970</v>
      </c>
      <c r="E4" s="482" t="s">
        <v>991</v>
      </c>
      <c r="F4" s="482"/>
      <c r="G4" s="482"/>
      <c r="H4" s="319"/>
      <c r="I4" s="319"/>
    </row>
    <row r="5" spans="1:10" s="318" customFormat="1">
      <c r="A5" s="319"/>
      <c r="B5" s="319"/>
      <c r="C5" s="319"/>
      <c r="D5" s="319"/>
      <c r="E5" s="372"/>
      <c r="F5" s="319"/>
      <c r="G5" s="319"/>
      <c r="H5" s="319"/>
      <c r="I5" s="319"/>
      <c r="J5" s="319"/>
    </row>
    <row r="6" spans="1:10">
      <c r="A6" s="517" t="s">
        <v>846</v>
      </c>
      <c r="B6" s="518"/>
      <c r="C6" s="519"/>
      <c r="D6" s="319"/>
      <c r="E6" s="319"/>
      <c r="F6" s="319"/>
      <c r="G6" s="319"/>
      <c r="H6" s="319"/>
      <c r="I6" s="319"/>
      <c r="J6" s="319"/>
    </row>
    <row r="7" spans="1:10" ht="128.25">
      <c r="A7" s="330" t="s">
        <v>932</v>
      </c>
      <c r="B7" s="330" t="s">
        <v>807</v>
      </c>
      <c r="C7" s="330" t="s">
        <v>836</v>
      </c>
      <c r="D7" s="330" t="s">
        <v>838</v>
      </c>
      <c r="E7" s="474" t="s">
        <v>839</v>
      </c>
      <c r="F7" s="474"/>
      <c r="G7" s="474"/>
      <c r="H7" s="319"/>
      <c r="I7" s="319"/>
      <c r="J7" s="382" t="s">
        <v>812</v>
      </c>
    </row>
    <row r="8" spans="1:10" ht="28.5" customHeight="1">
      <c r="A8" s="421" t="s">
        <v>984</v>
      </c>
      <c r="B8" s="388" t="s">
        <v>803</v>
      </c>
      <c r="C8" s="389"/>
      <c r="D8" s="337" t="s">
        <v>971</v>
      </c>
      <c r="E8" s="482" t="s">
        <v>991</v>
      </c>
      <c r="F8" s="482"/>
      <c r="G8" s="482"/>
      <c r="H8" s="319"/>
      <c r="I8" s="390"/>
      <c r="J8" s="391">
        <f>C8*списки!C554</f>
        <v>0</v>
      </c>
    </row>
    <row r="9" spans="1:10">
      <c r="A9" s="422" t="s">
        <v>830</v>
      </c>
      <c r="B9" s="388" t="s">
        <v>831</v>
      </c>
      <c r="C9" s="389"/>
      <c r="D9" s="319"/>
      <c r="E9" s="319"/>
      <c r="F9" s="319"/>
      <c r="G9" s="319"/>
      <c r="H9" s="319"/>
      <c r="I9" s="319"/>
      <c r="J9" s="391">
        <f>C9*списки!C555</f>
        <v>0</v>
      </c>
    </row>
    <row r="10" spans="1:10">
      <c r="A10" s="422" t="s">
        <v>987</v>
      </c>
      <c r="B10" s="388" t="s">
        <v>803</v>
      </c>
      <c r="C10" s="389"/>
      <c r="D10" s="319"/>
      <c r="E10" s="319"/>
      <c r="F10" s="319"/>
      <c r="G10" s="319"/>
      <c r="H10" s="319"/>
      <c r="I10" s="319"/>
      <c r="J10" s="391">
        <f>C10*списки!C556</f>
        <v>0</v>
      </c>
    </row>
    <row r="11" spans="1:10" ht="15.75" customHeight="1">
      <c r="A11" s="422" t="s">
        <v>983</v>
      </c>
      <c r="B11" s="388" t="s">
        <v>803</v>
      </c>
      <c r="C11" s="389"/>
      <c r="D11" s="319"/>
      <c r="E11" s="319"/>
      <c r="F11" s="319"/>
      <c r="G11" s="319"/>
      <c r="H11" s="319"/>
      <c r="I11" s="319"/>
      <c r="J11" s="391">
        <f>C11*списки!C557</f>
        <v>0</v>
      </c>
    </row>
    <row r="12" spans="1:10">
      <c r="A12" s="422" t="s">
        <v>805</v>
      </c>
      <c r="B12" s="388" t="s">
        <v>803</v>
      </c>
      <c r="C12" s="389"/>
      <c r="D12" s="319"/>
      <c r="E12" s="319"/>
      <c r="F12" s="319"/>
      <c r="G12" s="319"/>
      <c r="H12" s="319"/>
      <c r="I12" s="319"/>
      <c r="J12" s="391">
        <f>C12*списки!C558</f>
        <v>0</v>
      </c>
    </row>
    <row r="13" spans="1:10">
      <c r="A13" s="422" t="s">
        <v>1</v>
      </c>
      <c r="B13" s="388" t="s">
        <v>832</v>
      </c>
      <c r="C13" s="389"/>
      <c r="D13" s="319"/>
      <c r="E13" s="319"/>
      <c r="F13" s="319"/>
      <c r="G13" s="319"/>
      <c r="H13" s="319"/>
      <c r="I13" s="319"/>
      <c r="J13" s="391">
        <f>C13*списки!C559</f>
        <v>0</v>
      </c>
    </row>
    <row r="14" spans="1:10">
      <c r="A14" s="422" t="s">
        <v>982</v>
      </c>
      <c r="B14" s="388" t="s">
        <v>803</v>
      </c>
      <c r="C14" s="389"/>
      <c r="D14" s="319"/>
      <c r="E14" s="319"/>
      <c r="F14" s="319"/>
      <c r="G14" s="319"/>
      <c r="H14" s="319"/>
      <c r="I14" s="319"/>
      <c r="J14" s="391">
        <f>C14*списки!C560</f>
        <v>0</v>
      </c>
    </row>
    <row r="15" spans="1:10" s="318" customFormat="1">
      <c r="A15" s="319"/>
      <c r="B15" s="319"/>
      <c r="C15" s="319"/>
      <c r="D15" s="319"/>
      <c r="E15" s="372"/>
      <c r="F15" s="319"/>
      <c r="G15" s="319"/>
      <c r="H15" s="319"/>
      <c r="I15" s="319"/>
      <c r="J15" s="319"/>
    </row>
    <row r="16" spans="1:10" s="318" customFormat="1">
      <c r="A16" s="319"/>
      <c r="B16" s="319"/>
      <c r="C16" s="319"/>
      <c r="D16" s="319"/>
      <c r="E16" s="372"/>
      <c r="F16" s="319"/>
      <c r="G16" s="319"/>
      <c r="H16" s="319"/>
      <c r="I16" s="319"/>
      <c r="J16" s="319"/>
    </row>
    <row r="17" spans="1:10" s="318" customFormat="1" ht="28.5">
      <c r="A17" s="319"/>
      <c r="B17" s="356" t="s">
        <v>884</v>
      </c>
      <c r="C17" s="447" t="str">
        <f>C324</f>
        <v>Готово</v>
      </c>
      <c r="D17" s="319"/>
      <c r="E17" s="372"/>
      <c r="F17" s="319"/>
      <c r="G17" s="319"/>
      <c r="H17" s="319"/>
      <c r="I17" s="319"/>
      <c r="J17" s="319"/>
    </row>
    <row r="18" spans="1:10">
      <c r="A18" s="319"/>
      <c r="B18" s="319"/>
      <c r="C18" s="319"/>
      <c r="D18" s="319"/>
      <c r="E18" s="372"/>
      <c r="F18" s="319"/>
      <c r="G18" s="319"/>
      <c r="H18" s="319"/>
      <c r="I18" s="319"/>
    </row>
    <row r="19" spans="1:10" s="420" customFormat="1">
      <c r="A19" s="520" t="s">
        <v>814</v>
      </c>
      <c r="B19" s="520"/>
      <c r="C19" s="520"/>
      <c r="D19" s="520"/>
      <c r="E19" s="520"/>
      <c r="F19" s="520"/>
      <c r="G19" s="372"/>
      <c r="H19" s="372"/>
      <c r="I19" s="372"/>
      <c r="J19" s="372"/>
    </row>
    <row r="20" spans="1:10" s="420" customFormat="1">
      <c r="A20" s="516" t="s">
        <v>903</v>
      </c>
      <c r="B20" s="516"/>
      <c r="C20" s="516"/>
      <c r="D20" s="516"/>
      <c r="E20" s="516"/>
      <c r="F20" s="516"/>
      <c r="G20" s="372"/>
      <c r="H20" s="372"/>
      <c r="I20" s="372"/>
      <c r="J20" s="372"/>
    </row>
    <row r="21" spans="1:10" s="420" customFormat="1" ht="23.25" customHeight="1">
      <c r="A21" s="521" t="s">
        <v>809</v>
      </c>
      <c r="B21" s="521"/>
      <c r="C21" s="521"/>
      <c r="D21" s="521" t="s">
        <v>811</v>
      </c>
      <c r="E21" s="521"/>
      <c r="F21" s="521"/>
      <c r="G21" s="372"/>
      <c r="H21" s="372"/>
      <c r="I21" s="372"/>
      <c r="J21" s="372"/>
    </row>
    <row r="22" spans="1:10" ht="71.25">
      <c r="A22" s="419" t="s">
        <v>810</v>
      </c>
      <c r="B22" s="419" t="s">
        <v>925</v>
      </c>
      <c r="C22" s="419" t="s">
        <v>926</v>
      </c>
      <c r="D22" s="419" t="s">
        <v>810</v>
      </c>
      <c r="E22" s="419" t="s">
        <v>925</v>
      </c>
      <c r="F22" s="419" t="s">
        <v>926</v>
      </c>
      <c r="G22" s="319"/>
      <c r="H22" s="319"/>
      <c r="I22" s="319"/>
      <c r="J22" s="319"/>
    </row>
    <row r="23" spans="1:10">
      <c r="A23" s="423">
        <v>1</v>
      </c>
      <c r="B23" s="393"/>
      <c r="C23" s="393"/>
      <c r="D23" s="423">
        <v>1</v>
      </c>
      <c r="E23" s="393"/>
      <c r="F23" s="393"/>
      <c r="G23" s="319"/>
      <c r="H23" s="319"/>
      <c r="I23" s="319"/>
      <c r="J23" s="319"/>
    </row>
    <row r="24" spans="1:10">
      <c r="A24" s="423">
        <v>2</v>
      </c>
      <c r="B24" s="393"/>
      <c r="C24" s="393"/>
      <c r="D24" s="423">
        <v>2</v>
      </c>
      <c r="E24" s="393"/>
      <c r="F24" s="393"/>
      <c r="G24" s="319"/>
      <c r="H24" s="319"/>
      <c r="I24" s="319"/>
      <c r="J24" s="319"/>
    </row>
    <row r="25" spans="1:10">
      <c r="A25" s="423">
        <v>3</v>
      </c>
      <c r="B25" s="393"/>
      <c r="C25" s="393"/>
      <c r="D25" s="423">
        <v>3</v>
      </c>
      <c r="E25" s="393"/>
      <c r="F25" s="393"/>
      <c r="G25" s="319"/>
      <c r="H25" s="319"/>
      <c r="I25" s="319"/>
      <c r="J25" s="319"/>
    </row>
    <row r="26" spans="1:10">
      <c r="A26" s="423">
        <v>4</v>
      </c>
      <c r="B26" s="393"/>
      <c r="C26" s="393"/>
      <c r="D26" s="423">
        <v>4</v>
      </c>
      <c r="E26" s="393"/>
      <c r="F26" s="393"/>
      <c r="G26" s="319"/>
      <c r="H26" s="319"/>
      <c r="I26" s="319"/>
      <c r="J26" s="319"/>
    </row>
    <row r="27" spans="1:10">
      <c r="A27" s="423">
        <v>5</v>
      </c>
      <c r="B27" s="393"/>
      <c r="C27" s="393"/>
      <c r="D27" s="423">
        <v>5</v>
      </c>
      <c r="E27" s="393"/>
      <c r="F27" s="393"/>
      <c r="G27" s="319"/>
      <c r="H27" s="319"/>
      <c r="I27" s="319"/>
      <c r="J27" s="319"/>
    </row>
    <row r="28" spans="1:10">
      <c r="A28" s="423">
        <v>6</v>
      </c>
      <c r="B28" s="393"/>
      <c r="C28" s="393"/>
      <c r="D28" s="423">
        <v>6</v>
      </c>
      <c r="E28" s="393"/>
      <c r="F28" s="393"/>
      <c r="G28" s="319"/>
      <c r="H28" s="319"/>
      <c r="I28" s="319"/>
      <c r="J28" s="319"/>
    </row>
    <row r="29" spans="1:10">
      <c r="A29" s="423">
        <v>7</v>
      </c>
      <c r="B29" s="393"/>
      <c r="C29" s="393"/>
      <c r="D29" s="423">
        <v>7</v>
      </c>
      <c r="E29" s="393"/>
      <c r="F29" s="393"/>
      <c r="G29" s="319"/>
      <c r="H29" s="319"/>
      <c r="I29" s="319"/>
      <c r="J29" s="319"/>
    </row>
    <row r="30" spans="1:10">
      <c r="A30" s="423">
        <v>8</v>
      </c>
      <c r="B30" s="393"/>
      <c r="C30" s="393"/>
      <c r="D30" s="423">
        <v>8</v>
      </c>
      <c r="E30" s="393"/>
      <c r="F30" s="393"/>
      <c r="G30" s="319"/>
      <c r="H30" s="319"/>
      <c r="I30" s="319"/>
      <c r="J30" s="319"/>
    </row>
    <row r="31" spans="1:10">
      <c r="A31" s="423">
        <v>9</v>
      </c>
      <c r="B31" s="393"/>
      <c r="C31" s="393"/>
      <c r="D31" s="423">
        <v>9</v>
      </c>
      <c r="E31" s="393"/>
      <c r="F31" s="393"/>
      <c r="G31" s="319"/>
      <c r="H31" s="319"/>
      <c r="I31" s="319"/>
      <c r="J31" s="319"/>
    </row>
    <row r="32" spans="1:10">
      <c r="A32" s="423">
        <v>10</v>
      </c>
      <c r="B32" s="393"/>
      <c r="C32" s="393"/>
      <c r="D32" s="423">
        <v>10</v>
      </c>
      <c r="E32" s="393"/>
      <c r="F32" s="393"/>
      <c r="G32" s="319"/>
      <c r="H32" s="319"/>
      <c r="I32" s="319"/>
      <c r="J32" s="319"/>
    </row>
    <row r="33" spans="1:10">
      <c r="A33" s="423">
        <v>11</v>
      </c>
      <c r="B33" s="393"/>
      <c r="C33" s="393"/>
      <c r="D33" s="423">
        <v>11</v>
      </c>
      <c r="E33" s="393"/>
      <c r="F33" s="393"/>
      <c r="G33" s="319"/>
      <c r="H33" s="319"/>
      <c r="I33" s="319"/>
      <c r="J33" s="319"/>
    </row>
    <row r="34" spans="1:10">
      <c r="A34" s="423">
        <v>12</v>
      </c>
      <c r="B34" s="393"/>
      <c r="C34" s="393"/>
      <c r="D34" s="423">
        <v>12</v>
      </c>
      <c r="E34" s="393"/>
      <c r="F34" s="393"/>
      <c r="G34" s="319"/>
      <c r="H34" s="319"/>
      <c r="I34" s="319"/>
      <c r="J34" s="319"/>
    </row>
    <row r="35" spans="1:10">
      <c r="A35" s="423">
        <v>13</v>
      </c>
      <c r="B35" s="393"/>
      <c r="C35" s="393"/>
      <c r="D35" s="423">
        <v>13</v>
      </c>
      <c r="E35" s="393"/>
      <c r="F35" s="393"/>
      <c r="G35" s="319"/>
      <c r="H35" s="319"/>
      <c r="I35" s="319"/>
      <c r="J35" s="319"/>
    </row>
    <row r="36" spans="1:10">
      <c r="A36" s="423">
        <v>14</v>
      </c>
      <c r="B36" s="393"/>
      <c r="C36" s="393"/>
      <c r="D36" s="423">
        <v>14</v>
      </c>
      <c r="E36" s="393"/>
      <c r="F36" s="393"/>
      <c r="G36" s="319"/>
      <c r="H36" s="319"/>
      <c r="I36" s="319"/>
      <c r="J36" s="319"/>
    </row>
    <row r="37" spans="1:10">
      <c r="A37" s="423">
        <v>15</v>
      </c>
      <c r="B37" s="393"/>
      <c r="C37" s="393"/>
      <c r="D37" s="423">
        <v>15</v>
      </c>
      <c r="E37" s="393"/>
      <c r="F37" s="393"/>
      <c r="G37" s="319"/>
      <c r="H37" s="319"/>
      <c r="I37" s="319"/>
      <c r="J37" s="319"/>
    </row>
    <row r="38" spans="1:10">
      <c r="A38" s="423">
        <v>16</v>
      </c>
      <c r="B38" s="393"/>
      <c r="C38" s="393"/>
      <c r="D38" s="423">
        <v>16</v>
      </c>
      <c r="E38" s="393"/>
      <c r="F38" s="393"/>
      <c r="G38" s="319"/>
      <c r="H38" s="319"/>
      <c r="I38" s="319"/>
      <c r="J38" s="319"/>
    </row>
    <row r="39" spans="1:10">
      <c r="A39" s="423">
        <v>17</v>
      </c>
      <c r="B39" s="393"/>
      <c r="C39" s="393"/>
      <c r="D39" s="423">
        <v>17</v>
      </c>
      <c r="E39" s="393"/>
      <c r="F39" s="393"/>
      <c r="G39" s="319"/>
      <c r="H39" s="319"/>
      <c r="I39" s="319"/>
      <c r="J39" s="319"/>
    </row>
    <row r="40" spans="1:10">
      <c r="A40" s="423">
        <v>18</v>
      </c>
      <c r="B40" s="393"/>
      <c r="C40" s="393"/>
      <c r="D40" s="423">
        <v>18</v>
      </c>
      <c r="E40" s="393"/>
      <c r="F40" s="393"/>
      <c r="G40" s="319"/>
      <c r="H40" s="319"/>
      <c r="I40" s="319"/>
      <c r="J40" s="319"/>
    </row>
    <row r="41" spans="1:10">
      <c r="A41" s="423">
        <v>19</v>
      </c>
      <c r="B41" s="393"/>
      <c r="C41" s="393"/>
      <c r="D41" s="423">
        <v>19</v>
      </c>
      <c r="E41" s="393"/>
      <c r="F41" s="393"/>
      <c r="G41" s="319"/>
      <c r="H41" s="319"/>
      <c r="I41" s="319"/>
      <c r="J41" s="319"/>
    </row>
    <row r="42" spans="1:10">
      <c r="A42" s="423">
        <v>20</v>
      </c>
      <c r="B42" s="393"/>
      <c r="C42" s="393"/>
      <c r="D42" s="423">
        <v>20</v>
      </c>
      <c r="E42" s="393"/>
      <c r="F42" s="393"/>
      <c r="G42" s="319"/>
      <c r="H42" s="319"/>
      <c r="I42" s="319"/>
      <c r="J42" s="319"/>
    </row>
    <row r="43" spans="1:10">
      <c r="A43" s="423">
        <v>21</v>
      </c>
      <c r="B43" s="393"/>
      <c r="C43" s="393"/>
      <c r="D43" s="423">
        <v>21</v>
      </c>
      <c r="E43" s="393"/>
      <c r="F43" s="393"/>
      <c r="G43" s="319"/>
      <c r="H43" s="319"/>
      <c r="I43" s="319"/>
      <c r="J43" s="319"/>
    </row>
    <row r="44" spans="1:10">
      <c r="A44" s="423">
        <v>22</v>
      </c>
      <c r="B44" s="393"/>
      <c r="C44" s="393"/>
      <c r="D44" s="423">
        <v>22</v>
      </c>
      <c r="E44" s="393"/>
      <c r="F44" s="393"/>
      <c r="G44" s="319"/>
      <c r="H44" s="319"/>
      <c r="I44" s="319"/>
      <c r="J44" s="319"/>
    </row>
    <row r="45" spans="1:10">
      <c r="A45" s="423">
        <v>23</v>
      </c>
      <c r="B45" s="393"/>
      <c r="C45" s="393"/>
      <c r="D45" s="423">
        <v>23</v>
      </c>
      <c r="E45" s="393"/>
      <c r="F45" s="393"/>
      <c r="G45" s="319"/>
      <c r="H45" s="319"/>
      <c r="I45" s="319"/>
      <c r="J45" s="319"/>
    </row>
    <row r="46" spans="1:10">
      <c r="A46" s="423">
        <v>24</v>
      </c>
      <c r="B46" s="393"/>
      <c r="C46" s="393"/>
      <c r="D46" s="423">
        <v>24</v>
      </c>
      <c r="E46" s="393"/>
      <c r="F46" s="393"/>
      <c r="G46" s="319"/>
      <c r="H46" s="319"/>
      <c r="I46" s="319"/>
      <c r="J46" s="319"/>
    </row>
    <row r="47" spans="1:10">
      <c r="A47" s="423">
        <v>25</v>
      </c>
      <c r="B47" s="393"/>
      <c r="C47" s="393"/>
      <c r="D47" s="423">
        <v>25</v>
      </c>
      <c r="E47" s="393"/>
      <c r="F47" s="393"/>
      <c r="G47" s="319"/>
      <c r="H47" s="319"/>
      <c r="I47" s="319"/>
      <c r="J47" s="319"/>
    </row>
    <row r="48" spans="1:10">
      <c r="A48" s="423">
        <v>26</v>
      </c>
      <c r="B48" s="393"/>
      <c r="C48" s="393"/>
      <c r="D48" s="423">
        <v>26</v>
      </c>
      <c r="E48" s="393"/>
      <c r="F48" s="393"/>
      <c r="G48" s="319"/>
      <c r="H48" s="319"/>
      <c r="I48" s="319"/>
      <c r="J48" s="319"/>
    </row>
    <row r="49" spans="1:10">
      <c r="A49" s="423">
        <v>27</v>
      </c>
      <c r="B49" s="393"/>
      <c r="C49" s="393"/>
      <c r="D49" s="423">
        <v>27</v>
      </c>
      <c r="E49" s="393"/>
      <c r="F49" s="393"/>
      <c r="G49" s="319"/>
      <c r="H49" s="319"/>
      <c r="I49" s="319"/>
      <c r="J49" s="319"/>
    </row>
    <row r="50" spans="1:10">
      <c r="A50" s="423">
        <v>28</v>
      </c>
      <c r="B50" s="393"/>
      <c r="C50" s="393"/>
      <c r="D50" s="423">
        <v>28</v>
      </c>
      <c r="E50" s="393"/>
      <c r="F50" s="393"/>
      <c r="G50" s="319"/>
      <c r="H50" s="319"/>
      <c r="I50" s="319"/>
      <c r="J50" s="319"/>
    </row>
    <row r="51" spans="1:10">
      <c r="A51" s="423">
        <v>29</v>
      </c>
      <c r="B51" s="393"/>
      <c r="C51" s="393"/>
      <c r="D51" s="423">
        <v>29</v>
      </c>
      <c r="E51" s="393"/>
      <c r="F51" s="393"/>
      <c r="G51" s="319"/>
      <c r="H51" s="319"/>
      <c r="I51" s="319"/>
      <c r="J51" s="319"/>
    </row>
    <row r="52" spans="1:10">
      <c r="A52" s="423">
        <v>30</v>
      </c>
      <c r="B52" s="393"/>
      <c r="C52" s="393"/>
      <c r="D52" s="423">
        <v>30</v>
      </c>
      <c r="E52" s="393"/>
      <c r="F52" s="393"/>
      <c r="G52" s="319"/>
      <c r="H52" s="319"/>
      <c r="I52" s="319"/>
      <c r="J52" s="319"/>
    </row>
    <row r="53" spans="1:10">
      <c r="A53" s="423">
        <v>31</v>
      </c>
      <c r="B53" s="393"/>
      <c r="C53" s="393"/>
      <c r="D53" s="423">
        <v>31</v>
      </c>
      <c r="E53" s="393"/>
      <c r="F53" s="393"/>
      <c r="G53" s="319"/>
      <c r="H53" s="319"/>
      <c r="I53" s="319"/>
      <c r="J53" s="319"/>
    </row>
    <row r="54" spans="1:10">
      <c r="A54" s="423">
        <v>32</v>
      </c>
      <c r="B54" s="393"/>
      <c r="C54" s="393"/>
      <c r="D54" s="423">
        <v>32</v>
      </c>
      <c r="E54" s="393"/>
      <c r="F54" s="393"/>
      <c r="G54" s="319"/>
      <c r="H54" s="319"/>
      <c r="I54" s="319"/>
      <c r="J54" s="319"/>
    </row>
    <row r="55" spans="1:10">
      <c r="A55" s="423">
        <v>33</v>
      </c>
      <c r="B55" s="393"/>
      <c r="C55" s="393"/>
      <c r="D55" s="423">
        <v>33</v>
      </c>
      <c r="E55" s="393"/>
      <c r="F55" s="393"/>
      <c r="G55" s="319"/>
      <c r="H55" s="319"/>
      <c r="I55" s="319"/>
      <c r="J55" s="319"/>
    </row>
    <row r="56" spans="1:10">
      <c r="A56" s="423">
        <v>34</v>
      </c>
      <c r="B56" s="393"/>
      <c r="C56" s="393"/>
      <c r="D56" s="423">
        <v>34</v>
      </c>
      <c r="E56" s="393"/>
      <c r="F56" s="393"/>
      <c r="G56" s="319"/>
      <c r="H56" s="319"/>
      <c r="I56" s="319"/>
      <c r="J56" s="319"/>
    </row>
    <row r="57" spans="1:10">
      <c r="A57" s="423">
        <v>35</v>
      </c>
      <c r="B57" s="393"/>
      <c r="C57" s="393"/>
      <c r="D57" s="423">
        <v>35</v>
      </c>
      <c r="E57" s="393"/>
      <c r="F57" s="393"/>
      <c r="G57" s="319"/>
      <c r="H57" s="319"/>
      <c r="I57" s="319"/>
      <c r="J57" s="319"/>
    </row>
    <row r="58" spans="1:10">
      <c r="A58" s="423">
        <v>36</v>
      </c>
      <c r="B58" s="393"/>
      <c r="C58" s="393"/>
      <c r="D58" s="423">
        <v>36</v>
      </c>
      <c r="E58" s="393"/>
      <c r="F58" s="393"/>
      <c r="G58" s="319"/>
      <c r="H58" s="319"/>
      <c r="I58" s="319"/>
      <c r="J58" s="319"/>
    </row>
    <row r="59" spans="1:10">
      <c r="A59" s="423">
        <v>37</v>
      </c>
      <c r="B59" s="393"/>
      <c r="C59" s="393"/>
      <c r="D59" s="423">
        <v>37</v>
      </c>
      <c r="E59" s="393"/>
      <c r="F59" s="393"/>
      <c r="G59" s="319"/>
      <c r="H59" s="319"/>
      <c r="I59" s="319"/>
      <c r="J59" s="319"/>
    </row>
    <row r="60" spans="1:10">
      <c r="A60" s="423">
        <v>38</v>
      </c>
      <c r="B60" s="393"/>
      <c r="C60" s="393"/>
      <c r="D60" s="423">
        <v>38</v>
      </c>
      <c r="E60" s="393"/>
      <c r="F60" s="393"/>
      <c r="G60" s="319"/>
      <c r="H60" s="319"/>
      <c r="I60" s="319"/>
      <c r="J60" s="319"/>
    </row>
    <row r="61" spans="1:10">
      <c r="A61" s="423">
        <v>39</v>
      </c>
      <c r="B61" s="393"/>
      <c r="C61" s="393"/>
      <c r="D61" s="423">
        <v>39</v>
      </c>
      <c r="E61" s="393"/>
      <c r="F61" s="393"/>
      <c r="G61" s="319"/>
      <c r="H61" s="319"/>
      <c r="I61" s="319"/>
      <c r="J61" s="319"/>
    </row>
    <row r="62" spans="1:10">
      <c r="A62" s="423">
        <v>40</v>
      </c>
      <c r="B62" s="393"/>
      <c r="C62" s="393"/>
      <c r="D62" s="423">
        <v>40</v>
      </c>
      <c r="E62" s="393"/>
      <c r="F62" s="393"/>
      <c r="G62" s="319"/>
      <c r="H62" s="319"/>
      <c r="I62" s="319"/>
      <c r="J62" s="319"/>
    </row>
    <row r="63" spans="1:10">
      <c r="A63" s="423">
        <v>41</v>
      </c>
      <c r="B63" s="393"/>
      <c r="C63" s="393"/>
      <c r="D63" s="423">
        <v>41</v>
      </c>
      <c r="E63" s="393"/>
      <c r="F63" s="393"/>
      <c r="G63" s="319"/>
      <c r="H63" s="319"/>
      <c r="I63" s="319"/>
      <c r="J63" s="319"/>
    </row>
    <row r="64" spans="1:10">
      <c r="A64" s="423">
        <v>42</v>
      </c>
      <c r="B64" s="393"/>
      <c r="C64" s="393"/>
      <c r="D64" s="423">
        <v>42</v>
      </c>
      <c r="E64" s="393"/>
      <c r="F64" s="393"/>
      <c r="G64" s="319"/>
      <c r="H64" s="319"/>
      <c r="I64" s="319"/>
      <c r="J64" s="319"/>
    </row>
    <row r="65" spans="1:10">
      <c r="A65" s="423">
        <v>43</v>
      </c>
      <c r="B65" s="393"/>
      <c r="C65" s="393"/>
      <c r="D65" s="423">
        <v>43</v>
      </c>
      <c r="E65" s="393"/>
      <c r="F65" s="393"/>
      <c r="G65" s="319"/>
      <c r="H65" s="319"/>
      <c r="I65" s="319"/>
      <c r="J65" s="319"/>
    </row>
    <row r="66" spans="1:10">
      <c r="A66" s="423">
        <v>44</v>
      </c>
      <c r="B66" s="393"/>
      <c r="C66" s="393"/>
      <c r="D66" s="423">
        <v>44</v>
      </c>
      <c r="E66" s="393"/>
      <c r="F66" s="393"/>
      <c r="G66" s="319"/>
      <c r="H66" s="319"/>
      <c r="I66" s="319"/>
      <c r="J66" s="319"/>
    </row>
    <row r="67" spans="1:10">
      <c r="A67" s="423">
        <v>45</v>
      </c>
      <c r="B67" s="393"/>
      <c r="C67" s="393"/>
      <c r="D67" s="423">
        <v>45</v>
      </c>
      <c r="E67" s="393"/>
      <c r="F67" s="393"/>
      <c r="G67" s="319"/>
      <c r="H67" s="319"/>
      <c r="I67" s="319"/>
      <c r="J67" s="319"/>
    </row>
    <row r="68" spans="1:10">
      <c r="A68" s="423">
        <v>46</v>
      </c>
      <c r="B68" s="393"/>
      <c r="C68" s="393"/>
      <c r="D68" s="423">
        <v>46</v>
      </c>
      <c r="E68" s="393"/>
      <c r="F68" s="393"/>
      <c r="G68" s="319"/>
      <c r="H68" s="319"/>
      <c r="I68" s="319"/>
      <c r="J68" s="319"/>
    </row>
    <row r="69" spans="1:10">
      <c r="A69" s="423">
        <v>47</v>
      </c>
      <c r="B69" s="393"/>
      <c r="C69" s="393"/>
      <c r="D69" s="423">
        <v>47</v>
      </c>
      <c r="E69" s="393"/>
      <c r="F69" s="393"/>
      <c r="G69" s="319"/>
      <c r="H69" s="319"/>
      <c r="I69" s="319"/>
      <c r="J69" s="319"/>
    </row>
    <row r="70" spans="1:10">
      <c r="A70" s="423">
        <v>48</v>
      </c>
      <c r="B70" s="393"/>
      <c r="C70" s="393"/>
      <c r="D70" s="423">
        <v>48</v>
      </c>
      <c r="E70" s="393"/>
      <c r="F70" s="393"/>
      <c r="G70" s="319"/>
      <c r="H70" s="319"/>
      <c r="I70" s="319"/>
      <c r="J70" s="319"/>
    </row>
    <row r="71" spans="1:10">
      <c r="A71" s="423">
        <v>49</v>
      </c>
      <c r="B71" s="393"/>
      <c r="C71" s="393"/>
      <c r="D71" s="423">
        <v>49</v>
      </c>
      <c r="E71" s="393"/>
      <c r="F71" s="393"/>
      <c r="G71" s="319"/>
      <c r="H71" s="319"/>
      <c r="I71" s="319"/>
      <c r="J71" s="319"/>
    </row>
    <row r="72" spans="1:10">
      <c r="A72" s="423">
        <v>50</v>
      </c>
      <c r="B72" s="393"/>
      <c r="C72" s="393"/>
      <c r="D72" s="423">
        <v>50</v>
      </c>
      <c r="E72" s="393"/>
      <c r="F72" s="393"/>
      <c r="G72" s="319"/>
      <c r="H72" s="319"/>
      <c r="I72" s="319"/>
      <c r="J72" s="319"/>
    </row>
    <row r="73" spans="1:10">
      <c r="A73" s="423">
        <v>51</v>
      </c>
      <c r="B73" s="393"/>
      <c r="C73" s="393"/>
      <c r="D73" s="423">
        <v>51</v>
      </c>
      <c r="E73" s="393"/>
      <c r="F73" s="393"/>
      <c r="G73" s="319"/>
      <c r="H73" s="319"/>
      <c r="I73" s="319"/>
      <c r="J73" s="319"/>
    </row>
    <row r="74" spans="1:10">
      <c r="A74" s="423">
        <v>52</v>
      </c>
      <c r="B74" s="393"/>
      <c r="C74" s="393"/>
      <c r="D74" s="423">
        <v>52</v>
      </c>
      <c r="E74" s="393"/>
      <c r="F74" s="393"/>
      <c r="G74" s="319"/>
      <c r="H74" s="319"/>
      <c r="I74" s="319"/>
      <c r="J74" s="319"/>
    </row>
    <row r="75" spans="1:10">
      <c r="A75" s="423">
        <v>53</v>
      </c>
      <c r="B75" s="393"/>
      <c r="C75" s="393"/>
      <c r="D75" s="423">
        <v>53</v>
      </c>
      <c r="E75" s="393"/>
      <c r="F75" s="393"/>
      <c r="G75" s="319"/>
      <c r="H75" s="319"/>
      <c r="I75" s="319"/>
      <c r="J75" s="319"/>
    </row>
    <row r="76" spans="1:10">
      <c r="A76" s="423">
        <v>54</v>
      </c>
      <c r="B76" s="393"/>
      <c r="C76" s="393"/>
      <c r="D76" s="423">
        <v>54</v>
      </c>
      <c r="E76" s="393"/>
      <c r="F76" s="393"/>
      <c r="G76" s="319"/>
      <c r="H76" s="319"/>
      <c r="I76" s="319"/>
      <c r="J76" s="319"/>
    </row>
    <row r="77" spans="1:10">
      <c r="A77" s="423">
        <v>55</v>
      </c>
      <c r="B77" s="393"/>
      <c r="C77" s="393"/>
      <c r="D77" s="423">
        <v>55</v>
      </c>
      <c r="E77" s="393"/>
      <c r="F77" s="393"/>
      <c r="G77" s="319"/>
      <c r="H77" s="319"/>
      <c r="I77" s="319"/>
      <c r="J77" s="319"/>
    </row>
    <row r="78" spans="1:10">
      <c r="A78" s="423">
        <v>56</v>
      </c>
      <c r="B78" s="393"/>
      <c r="C78" s="393"/>
      <c r="D78" s="423">
        <v>56</v>
      </c>
      <c r="E78" s="393"/>
      <c r="F78" s="393"/>
      <c r="G78" s="319"/>
      <c r="H78" s="319"/>
      <c r="I78" s="319"/>
      <c r="J78" s="319"/>
    </row>
    <row r="79" spans="1:10">
      <c r="A79" s="423">
        <v>57</v>
      </c>
      <c r="B79" s="393"/>
      <c r="C79" s="393"/>
      <c r="D79" s="423">
        <v>57</v>
      </c>
      <c r="E79" s="393"/>
      <c r="F79" s="393"/>
      <c r="G79" s="319"/>
      <c r="H79" s="319"/>
      <c r="I79" s="319"/>
      <c r="J79" s="319"/>
    </row>
    <row r="80" spans="1:10">
      <c r="A80" s="423">
        <v>58</v>
      </c>
      <c r="B80" s="393"/>
      <c r="C80" s="393"/>
      <c r="D80" s="423">
        <v>58</v>
      </c>
      <c r="E80" s="393"/>
      <c r="F80" s="393"/>
      <c r="G80" s="319"/>
      <c r="H80" s="319"/>
      <c r="I80" s="319"/>
      <c r="J80" s="319"/>
    </row>
    <row r="81" spans="1:10">
      <c r="A81" s="423">
        <v>59</v>
      </c>
      <c r="B81" s="393"/>
      <c r="C81" s="393"/>
      <c r="D81" s="423">
        <v>59</v>
      </c>
      <c r="E81" s="393"/>
      <c r="F81" s="393"/>
      <c r="G81" s="319"/>
      <c r="H81" s="319"/>
      <c r="I81" s="319"/>
      <c r="J81" s="319"/>
    </row>
    <row r="82" spans="1:10">
      <c r="A82" s="423">
        <v>60</v>
      </c>
      <c r="B82" s="393"/>
      <c r="C82" s="393"/>
      <c r="D82" s="423">
        <v>60</v>
      </c>
      <c r="E82" s="393"/>
      <c r="F82" s="393"/>
      <c r="G82" s="319"/>
      <c r="H82" s="319"/>
      <c r="I82" s="319"/>
      <c r="J82" s="319"/>
    </row>
    <row r="83" spans="1:10">
      <c r="A83" s="423">
        <v>61</v>
      </c>
      <c r="B83" s="393"/>
      <c r="C83" s="393"/>
      <c r="D83" s="423">
        <v>61</v>
      </c>
      <c r="E83" s="393"/>
      <c r="F83" s="393"/>
      <c r="G83" s="319"/>
      <c r="H83" s="319"/>
      <c r="I83" s="319"/>
      <c r="J83" s="319"/>
    </row>
    <row r="84" spans="1:10">
      <c r="A84" s="423">
        <v>62</v>
      </c>
      <c r="B84" s="393"/>
      <c r="C84" s="393"/>
      <c r="D84" s="423">
        <v>62</v>
      </c>
      <c r="E84" s="393"/>
      <c r="F84" s="393"/>
      <c r="G84" s="319"/>
      <c r="H84" s="319"/>
      <c r="I84" s="319"/>
      <c r="J84" s="319"/>
    </row>
    <row r="85" spans="1:10">
      <c r="A85" s="423">
        <v>63</v>
      </c>
      <c r="B85" s="393"/>
      <c r="C85" s="393"/>
      <c r="D85" s="423">
        <v>63</v>
      </c>
      <c r="E85" s="393"/>
      <c r="F85" s="393"/>
      <c r="G85" s="319"/>
      <c r="H85" s="319"/>
      <c r="I85" s="319"/>
      <c r="J85" s="319"/>
    </row>
    <row r="86" spans="1:10">
      <c r="A86" s="423">
        <v>64</v>
      </c>
      <c r="B86" s="393"/>
      <c r="C86" s="393"/>
      <c r="D86" s="423">
        <v>64</v>
      </c>
      <c r="E86" s="393"/>
      <c r="F86" s="393"/>
      <c r="G86" s="319"/>
      <c r="H86" s="319"/>
      <c r="I86" s="319"/>
      <c r="J86" s="319"/>
    </row>
    <row r="87" spans="1:10">
      <c r="A87" s="423">
        <v>65</v>
      </c>
      <c r="B87" s="393"/>
      <c r="C87" s="393"/>
      <c r="D87" s="423">
        <v>65</v>
      </c>
      <c r="E87" s="393"/>
      <c r="F87" s="393"/>
      <c r="G87" s="319"/>
      <c r="H87" s="319"/>
      <c r="I87" s="319"/>
      <c r="J87" s="319"/>
    </row>
    <row r="88" spans="1:10">
      <c r="A88" s="423">
        <v>66</v>
      </c>
      <c r="B88" s="393"/>
      <c r="C88" s="393"/>
      <c r="D88" s="423">
        <v>66</v>
      </c>
      <c r="E88" s="393"/>
      <c r="F88" s="393"/>
      <c r="G88" s="319"/>
      <c r="H88" s="319"/>
      <c r="I88" s="319"/>
      <c r="J88" s="319"/>
    </row>
    <row r="89" spans="1:10">
      <c r="A89" s="423">
        <v>67</v>
      </c>
      <c r="B89" s="393"/>
      <c r="C89" s="393"/>
      <c r="D89" s="423">
        <v>67</v>
      </c>
      <c r="E89" s="393"/>
      <c r="F89" s="393"/>
      <c r="G89" s="319"/>
      <c r="H89" s="319"/>
      <c r="I89" s="319"/>
      <c r="J89" s="319"/>
    </row>
    <row r="90" spans="1:10">
      <c r="A90" s="423">
        <v>68</v>
      </c>
      <c r="B90" s="393"/>
      <c r="C90" s="393"/>
      <c r="D90" s="423">
        <v>68</v>
      </c>
      <c r="E90" s="393"/>
      <c r="F90" s="393"/>
      <c r="G90" s="319"/>
      <c r="H90" s="319"/>
      <c r="I90" s="319"/>
      <c r="J90" s="319"/>
    </row>
    <row r="91" spans="1:10">
      <c r="A91" s="423">
        <v>69</v>
      </c>
      <c r="B91" s="393"/>
      <c r="C91" s="393"/>
      <c r="D91" s="423">
        <v>69</v>
      </c>
      <c r="E91" s="393"/>
      <c r="F91" s="393"/>
      <c r="G91" s="319"/>
      <c r="H91" s="319"/>
      <c r="I91" s="319"/>
      <c r="J91" s="319"/>
    </row>
    <row r="92" spans="1:10">
      <c r="A92" s="423">
        <v>70</v>
      </c>
      <c r="B92" s="393"/>
      <c r="C92" s="393"/>
      <c r="D92" s="423">
        <v>70</v>
      </c>
      <c r="E92" s="393"/>
      <c r="F92" s="393"/>
      <c r="G92" s="319"/>
      <c r="H92" s="319"/>
      <c r="I92" s="319"/>
      <c r="J92" s="319"/>
    </row>
    <row r="93" spans="1:10">
      <c r="A93" s="423">
        <v>71</v>
      </c>
      <c r="B93" s="393"/>
      <c r="C93" s="393"/>
      <c r="D93" s="423">
        <v>71</v>
      </c>
      <c r="E93" s="393"/>
      <c r="F93" s="393"/>
      <c r="G93" s="319"/>
      <c r="H93" s="319"/>
      <c r="I93" s="319"/>
      <c r="J93" s="319"/>
    </row>
    <row r="94" spans="1:10">
      <c r="A94" s="423">
        <v>72</v>
      </c>
      <c r="B94" s="393"/>
      <c r="C94" s="393"/>
      <c r="D94" s="423">
        <v>72</v>
      </c>
      <c r="E94" s="393"/>
      <c r="F94" s="393"/>
      <c r="G94" s="319"/>
      <c r="H94" s="319"/>
      <c r="I94" s="319"/>
      <c r="J94" s="319"/>
    </row>
    <row r="95" spans="1:10">
      <c r="A95" s="423">
        <v>73</v>
      </c>
      <c r="B95" s="393"/>
      <c r="C95" s="393"/>
      <c r="D95" s="423">
        <v>73</v>
      </c>
      <c r="E95" s="393"/>
      <c r="F95" s="393"/>
      <c r="G95" s="319"/>
      <c r="H95" s="319"/>
      <c r="I95" s="319"/>
      <c r="J95" s="319"/>
    </row>
    <row r="96" spans="1:10">
      <c r="A96" s="423">
        <v>74</v>
      </c>
      <c r="B96" s="393"/>
      <c r="C96" s="393"/>
      <c r="D96" s="423">
        <v>74</v>
      </c>
      <c r="E96" s="393"/>
      <c r="F96" s="393"/>
      <c r="G96" s="319"/>
      <c r="H96" s="319"/>
      <c r="I96" s="319"/>
      <c r="J96" s="319"/>
    </row>
    <row r="97" spans="1:10">
      <c r="A97" s="423">
        <v>75</v>
      </c>
      <c r="B97" s="393"/>
      <c r="C97" s="393"/>
      <c r="D97" s="423">
        <v>75</v>
      </c>
      <c r="E97" s="393"/>
      <c r="F97" s="393"/>
      <c r="G97" s="319"/>
      <c r="H97" s="319"/>
      <c r="I97" s="319"/>
      <c r="J97" s="319"/>
    </row>
    <row r="98" spans="1:10">
      <c r="A98" s="423">
        <v>76</v>
      </c>
      <c r="B98" s="393"/>
      <c r="C98" s="393"/>
      <c r="D98" s="423">
        <v>76</v>
      </c>
      <c r="E98" s="393"/>
      <c r="F98" s="393"/>
      <c r="G98" s="319"/>
      <c r="H98" s="319"/>
      <c r="I98" s="319"/>
      <c r="J98" s="319"/>
    </row>
    <row r="99" spans="1:10">
      <c r="A99" s="423">
        <v>77</v>
      </c>
      <c r="B99" s="393"/>
      <c r="C99" s="393"/>
      <c r="D99" s="423">
        <v>77</v>
      </c>
      <c r="E99" s="393"/>
      <c r="F99" s="393"/>
      <c r="G99" s="319"/>
      <c r="H99" s="319"/>
      <c r="I99" s="319"/>
      <c r="J99" s="319"/>
    </row>
    <row r="100" spans="1:10">
      <c r="A100" s="423">
        <v>78</v>
      </c>
      <c r="B100" s="393"/>
      <c r="C100" s="393"/>
      <c r="D100" s="423">
        <v>78</v>
      </c>
      <c r="E100" s="393"/>
      <c r="F100" s="393"/>
      <c r="G100" s="319"/>
      <c r="H100" s="319"/>
      <c r="I100" s="319"/>
      <c r="J100" s="319"/>
    </row>
    <row r="101" spans="1:10">
      <c r="A101" s="423">
        <v>79</v>
      </c>
      <c r="B101" s="393"/>
      <c r="C101" s="393"/>
      <c r="D101" s="423">
        <v>79</v>
      </c>
      <c r="E101" s="393"/>
      <c r="F101" s="393"/>
      <c r="G101" s="319"/>
      <c r="H101" s="319"/>
      <c r="I101" s="319"/>
      <c r="J101" s="319"/>
    </row>
    <row r="102" spans="1:10">
      <c r="A102" s="423">
        <v>80</v>
      </c>
      <c r="B102" s="393"/>
      <c r="C102" s="393"/>
      <c r="D102" s="423">
        <v>80</v>
      </c>
      <c r="E102" s="393"/>
      <c r="F102" s="393"/>
      <c r="G102" s="319"/>
      <c r="H102" s="319"/>
      <c r="I102" s="319"/>
      <c r="J102" s="319"/>
    </row>
    <row r="103" spans="1:10">
      <c r="A103" s="423">
        <v>81</v>
      </c>
      <c r="B103" s="393"/>
      <c r="C103" s="393"/>
      <c r="D103" s="423">
        <v>81</v>
      </c>
      <c r="E103" s="393"/>
      <c r="F103" s="393"/>
      <c r="G103" s="319"/>
      <c r="H103" s="319"/>
      <c r="I103" s="319"/>
      <c r="J103" s="319"/>
    </row>
    <row r="104" spans="1:10">
      <c r="A104" s="423">
        <v>82</v>
      </c>
      <c r="B104" s="393"/>
      <c r="C104" s="393"/>
      <c r="D104" s="423">
        <v>82</v>
      </c>
      <c r="E104" s="393"/>
      <c r="F104" s="393"/>
      <c r="G104" s="319"/>
      <c r="H104" s="319"/>
      <c r="I104" s="319"/>
      <c r="J104" s="319"/>
    </row>
    <row r="105" spans="1:10">
      <c r="A105" s="423">
        <v>83</v>
      </c>
      <c r="B105" s="393"/>
      <c r="C105" s="393"/>
      <c r="D105" s="423">
        <v>83</v>
      </c>
      <c r="E105" s="393"/>
      <c r="F105" s="393"/>
      <c r="G105" s="319"/>
      <c r="H105" s="319"/>
      <c r="I105" s="319"/>
      <c r="J105" s="319"/>
    </row>
    <row r="106" spans="1:10">
      <c r="A106" s="423">
        <v>84</v>
      </c>
      <c r="B106" s="393"/>
      <c r="C106" s="393"/>
      <c r="D106" s="423">
        <v>84</v>
      </c>
      <c r="E106" s="393"/>
      <c r="F106" s="393"/>
      <c r="G106" s="319"/>
      <c r="H106" s="319"/>
      <c r="I106" s="319"/>
      <c r="J106" s="319"/>
    </row>
    <row r="107" spans="1:10">
      <c r="A107" s="423">
        <v>85</v>
      </c>
      <c r="B107" s="393"/>
      <c r="C107" s="393"/>
      <c r="D107" s="423">
        <v>85</v>
      </c>
      <c r="E107" s="393"/>
      <c r="F107" s="393"/>
      <c r="G107" s="319"/>
      <c r="H107" s="319"/>
      <c r="I107" s="319"/>
      <c r="J107" s="319"/>
    </row>
    <row r="108" spans="1:10">
      <c r="A108" s="423">
        <v>86</v>
      </c>
      <c r="B108" s="393"/>
      <c r="C108" s="393"/>
      <c r="D108" s="423">
        <v>86</v>
      </c>
      <c r="E108" s="393"/>
      <c r="F108" s="393"/>
      <c r="G108" s="319"/>
      <c r="H108" s="319"/>
      <c r="I108" s="319"/>
      <c r="J108" s="319"/>
    </row>
    <row r="109" spans="1:10">
      <c r="A109" s="423">
        <v>87</v>
      </c>
      <c r="B109" s="393"/>
      <c r="C109" s="393"/>
      <c r="D109" s="423">
        <v>87</v>
      </c>
      <c r="E109" s="393"/>
      <c r="F109" s="393"/>
      <c r="G109" s="319"/>
      <c r="H109" s="319"/>
      <c r="I109" s="319"/>
      <c r="J109" s="319"/>
    </row>
    <row r="110" spans="1:10">
      <c r="A110" s="423">
        <v>88</v>
      </c>
      <c r="B110" s="393"/>
      <c r="C110" s="393"/>
      <c r="D110" s="423">
        <v>88</v>
      </c>
      <c r="E110" s="393"/>
      <c r="F110" s="393"/>
      <c r="G110" s="319"/>
      <c r="H110" s="319"/>
      <c r="I110" s="319"/>
      <c r="J110" s="319"/>
    </row>
    <row r="111" spans="1:10">
      <c r="A111" s="423">
        <v>89</v>
      </c>
      <c r="B111" s="393"/>
      <c r="C111" s="393"/>
      <c r="D111" s="423">
        <v>89</v>
      </c>
      <c r="E111" s="393"/>
      <c r="F111" s="393"/>
      <c r="G111" s="319"/>
      <c r="H111" s="319"/>
      <c r="I111" s="319"/>
      <c r="J111" s="319"/>
    </row>
    <row r="112" spans="1:10">
      <c r="A112" s="423">
        <v>90</v>
      </c>
      <c r="B112" s="393"/>
      <c r="C112" s="393"/>
      <c r="D112" s="423">
        <v>90</v>
      </c>
      <c r="E112" s="393"/>
      <c r="F112" s="393"/>
      <c r="G112" s="319"/>
      <c r="H112" s="319"/>
      <c r="I112" s="319"/>
      <c r="J112" s="319"/>
    </row>
    <row r="113" spans="1:10">
      <c r="A113" s="423">
        <v>91</v>
      </c>
      <c r="B113" s="393"/>
      <c r="C113" s="393"/>
      <c r="D113" s="423">
        <v>91</v>
      </c>
      <c r="E113" s="393"/>
      <c r="F113" s="393"/>
      <c r="G113" s="319"/>
      <c r="H113" s="319"/>
      <c r="I113" s="319"/>
      <c r="J113" s="319"/>
    </row>
    <row r="114" spans="1:10">
      <c r="A114" s="423">
        <v>92</v>
      </c>
      <c r="B114" s="393"/>
      <c r="C114" s="393"/>
      <c r="D114" s="423">
        <v>92</v>
      </c>
      <c r="E114" s="393"/>
      <c r="F114" s="393"/>
      <c r="G114" s="319"/>
      <c r="H114" s="319"/>
      <c r="I114" s="319"/>
      <c r="J114" s="319"/>
    </row>
    <row r="115" spans="1:10">
      <c r="A115" s="423">
        <v>93</v>
      </c>
      <c r="B115" s="393"/>
      <c r="C115" s="393"/>
      <c r="D115" s="423">
        <v>93</v>
      </c>
      <c r="E115" s="393"/>
      <c r="F115" s="393"/>
      <c r="G115" s="319"/>
      <c r="H115" s="319"/>
      <c r="I115" s="319"/>
      <c r="J115" s="319"/>
    </row>
    <row r="116" spans="1:10">
      <c r="A116" s="423">
        <v>94</v>
      </c>
      <c r="B116" s="393"/>
      <c r="C116" s="393"/>
      <c r="D116" s="423">
        <v>94</v>
      </c>
      <c r="E116" s="393"/>
      <c r="F116" s="393"/>
      <c r="G116" s="319"/>
      <c r="H116" s="319"/>
      <c r="I116" s="319"/>
      <c r="J116" s="319"/>
    </row>
    <row r="117" spans="1:10">
      <c r="A117" s="423">
        <v>95</v>
      </c>
      <c r="B117" s="393"/>
      <c r="C117" s="393"/>
      <c r="D117" s="423">
        <v>95</v>
      </c>
      <c r="E117" s="393"/>
      <c r="F117" s="393"/>
      <c r="G117" s="319"/>
      <c r="H117" s="319"/>
      <c r="I117" s="319"/>
      <c r="J117" s="319"/>
    </row>
    <row r="118" spans="1:10">
      <c r="A118" s="423">
        <v>96</v>
      </c>
      <c r="B118" s="393"/>
      <c r="C118" s="393"/>
      <c r="D118" s="423">
        <v>96</v>
      </c>
      <c r="E118" s="393"/>
      <c r="F118" s="393"/>
      <c r="G118" s="319"/>
      <c r="H118" s="319"/>
      <c r="I118" s="319"/>
      <c r="J118" s="319"/>
    </row>
    <row r="119" spans="1:10">
      <c r="A119" s="423">
        <v>97</v>
      </c>
      <c r="B119" s="393"/>
      <c r="C119" s="393"/>
      <c r="D119" s="423">
        <v>97</v>
      </c>
      <c r="E119" s="393"/>
      <c r="F119" s="393"/>
      <c r="G119" s="319"/>
      <c r="H119" s="319"/>
      <c r="I119" s="319"/>
      <c r="J119" s="319"/>
    </row>
    <row r="120" spans="1:10">
      <c r="A120" s="423">
        <v>98</v>
      </c>
      <c r="B120" s="393"/>
      <c r="C120" s="393"/>
      <c r="D120" s="423">
        <v>98</v>
      </c>
      <c r="E120" s="393"/>
      <c r="F120" s="393"/>
      <c r="G120" s="319"/>
      <c r="H120" s="319"/>
      <c r="I120" s="319"/>
      <c r="J120" s="319"/>
    </row>
    <row r="121" spans="1:10">
      <c r="A121" s="423">
        <v>99</v>
      </c>
      <c r="B121" s="393"/>
      <c r="C121" s="393"/>
      <c r="D121" s="423">
        <v>99</v>
      </c>
      <c r="E121" s="393"/>
      <c r="F121" s="393"/>
      <c r="G121" s="319"/>
      <c r="H121" s="319"/>
      <c r="I121" s="319"/>
      <c r="J121" s="319"/>
    </row>
    <row r="122" spans="1:10">
      <c r="A122" s="423">
        <v>100</v>
      </c>
      <c r="B122" s="393"/>
      <c r="C122" s="393"/>
      <c r="D122" s="423">
        <v>100</v>
      </c>
      <c r="E122" s="393"/>
      <c r="F122" s="393"/>
      <c r="G122" s="319"/>
      <c r="H122" s="319"/>
      <c r="I122" s="319"/>
      <c r="J122" s="319"/>
    </row>
    <row r="123" spans="1:10">
      <c r="A123" s="423">
        <v>101</v>
      </c>
      <c r="B123" s="393"/>
      <c r="C123" s="393"/>
      <c r="D123" s="423">
        <v>101</v>
      </c>
      <c r="E123" s="393"/>
      <c r="F123" s="393"/>
      <c r="G123" s="319"/>
      <c r="H123" s="319"/>
      <c r="I123" s="319"/>
      <c r="J123" s="319"/>
    </row>
    <row r="124" spans="1:10">
      <c r="A124" s="423">
        <v>102</v>
      </c>
      <c r="B124" s="393"/>
      <c r="C124" s="393"/>
      <c r="D124" s="423">
        <v>102</v>
      </c>
      <c r="E124" s="393"/>
      <c r="F124" s="393"/>
      <c r="G124" s="319"/>
      <c r="H124" s="319"/>
      <c r="I124" s="319"/>
      <c r="J124" s="319"/>
    </row>
    <row r="125" spans="1:10">
      <c r="A125" s="423">
        <v>103</v>
      </c>
      <c r="B125" s="393"/>
      <c r="C125" s="393"/>
      <c r="D125" s="423">
        <v>103</v>
      </c>
      <c r="E125" s="393"/>
      <c r="F125" s="393"/>
      <c r="G125" s="319"/>
      <c r="H125" s="319"/>
      <c r="I125" s="319"/>
      <c r="J125" s="319"/>
    </row>
    <row r="126" spans="1:10">
      <c r="A126" s="423">
        <v>104</v>
      </c>
      <c r="B126" s="393"/>
      <c r="C126" s="393"/>
      <c r="D126" s="423">
        <v>104</v>
      </c>
      <c r="E126" s="393"/>
      <c r="F126" s="393"/>
      <c r="G126" s="319"/>
      <c r="H126" s="319"/>
      <c r="I126" s="319"/>
      <c r="J126" s="319"/>
    </row>
    <row r="127" spans="1:10">
      <c r="A127" s="423">
        <v>105</v>
      </c>
      <c r="B127" s="393"/>
      <c r="C127" s="393"/>
      <c r="D127" s="423">
        <v>105</v>
      </c>
      <c r="E127" s="393"/>
      <c r="F127" s="393"/>
      <c r="G127" s="319"/>
      <c r="H127" s="319"/>
      <c r="I127" s="319"/>
      <c r="J127" s="319"/>
    </row>
    <row r="128" spans="1:10">
      <c r="A128" s="423">
        <v>106</v>
      </c>
      <c r="B128" s="393"/>
      <c r="C128" s="393"/>
      <c r="D128" s="423">
        <v>106</v>
      </c>
      <c r="E128" s="393"/>
      <c r="F128" s="393"/>
      <c r="G128" s="319"/>
      <c r="H128" s="319"/>
      <c r="I128" s="319"/>
      <c r="J128" s="319"/>
    </row>
    <row r="129" spans="1:10">
      <c r="A129" s="423">
        <v>107</v>
      </c>
      <c r="B129" s="393"/>
      <c r="C129" s="393"/>
      <c r="D129" s="423">
        <v>107</v>
      </c>
      <c r="E129" s="393"/>
      <c r="F129" s="393"/>
      <c r="G129" s="319"/>
      <c r="H129" s="319"/>
      <c r="I129" s="319"/>
      <c r="J129" s="319"/>
    </row>
    <row r="130" spans="1:10">
      <c r="A130" s="423">
        <v>108</v>
      </c>
      <c r="B130" s="393"/>
      <c r="C130" s="393"/>
      <c r="D130" s="423">
        <v>108</v>
      </c>
      <c r="E130" s="393"/>
      <c r="F130" s="393"/>
      <c r="G130" s="319"/>
      <c r="H130" s="319"/>
      <c r="I130" s="319"/>
      <c r="J130" s="319"/>
    </row>
    <row r="131" spans="1:10">
      <c r="A131" s="423">
        <v>109</v>
      </c>
      <c r="B131" s="393"/>
      <c r="C131" s="393"/>
      <c r="D131" s="423">
        <v>109</v>
      </c>
      <c r="E131" s="393"/>
      <c r="F131" s="393"/>
      <c r="G131" s="319"/>
      <c r="H131" s="319"/>
      <c r="I131" s="319"/>
      <c r="J131" s="319"/>
    </row>
    <row r="132" spans="1:10">
      <c r="A132" s="423">
        <v>110</v>
      </c>
      <c r="B132" s="393"/>
      <c r="C132" s="393"/>
      <c r="D132" s="423">
        <v>110</v>
      </c>
      <c r="E132" s="393"/>
      <c r="F132" s="393"/>
      <c r="G132" s="319"/>
      <c r="H132" s="319"/>
      <c r="I132" s="319"/>
      <c r="J132" s="319"/>
    </row>
    <row r="133" spans="1:10">
      <c r="A133" s="423">
        <v>111</v>
      </c>
      <c r="B133" s="393"/>
      <c r="C133" s="393"/>
      <c r="D133" s="423">
        <v>111</v>
      </c>
      <c r="E133" s="393"/>
      <c r="F133" s="393"/>
      <c r="G133" s="319"/>
      <c r="H133" s="319"/>
      <c r="I133" s="319"/>
      <c r="J133" s="319"/>
    </row>
    <row r="134" spans="1:10">
      <c r="A134" s="423">
        <v>112</v>
      </c>
      <c r="B134" s="393"/>
      <c r="C134" s="393"/>
      <c r="D134" s="423">
        <v>112</v>
      </c>
      <c r="E134" s="393"/>
      <c r="F134" s="393"/>
      <c r="G134" s="319"/>
      <c r="H134" s="319"/>
      <c r="I134" s="319"/>
      <c r="J134" s="319"/>
    </row>
    <row r="135" spans="1:10">
      <c r="A135" s="423">
        <v>113</v>
      </c>
      <c r="B135" s="393"/>
      <c r="C135" s="393"/>
      <c r="D135" s="423">
        <v>113</v>
      </c>
      <c r="E135" s="393"/>
      <c r="F135" s="393"/>
      <c r="G135" s="319"/>
      <c r="H135" s="319"/>
      <c r="I135" s="319"/>
      <c r="J135" s="319"/>
    </row>
    <row r="136" spans="1:10">
      <c r="A136" s="423">
        <v>114</v>
      </c>
      <c r="B136" s="393"/>
      <c r="C136" s="393"/>
      <c r="D136" s="423">
        <v>114</v>
      </c>
      <c r="E136" s="393"/>
      <c r="F136" s="393"/>
      <c r="G136" s="319"/>
      <c r="H136" s="319"/>
      <c r="I136" s="319"/>
      <c r="J136" s="319"/>
    </row>
    <row r="137" spans="1:10">
      <c r="A137" s="423">
        <v>115</v>
      </c>
      <c r="B137" s="393"/>
      <c r="C137" s="393"/>
      <c r="D137" s="423">
        <v>115</v>
      </c>
      <c r="E137" s="393"/>
      <c r="F137" s="393"/>
      <c r="G137" s="319"/>
      <c r="H137" s="319"/>
      <c r="I137" s="319"/>
      <c r="J137" s="319"/>
    </row>
    <row r="138" spans="1:10">
      <c r="A138" s="423">
        <v>116</v>
      </c>
      <c r="B138" s="393"/>
      <c r="C138" s="393"/>
      <c r="D138" s="423">
        <v>116</v>
      </c>
      <c r="E138" s="393"/>
      <c r="F138" s="393"/>
      <c r="G138" s="319"/>
      <c r="H138" s="319"/>
      <c r="I138" s="319"/>
      <c r="J138" s="319"/>
    </row>
    <row r="139" spans="1:10">
      <c r="A139" s="423">
        <v>117</v>
      </c>
      <c r="B139" s="393"/>
      <c r="C139" s="393"/>
      <c r="D139" s="423">
        <v>117</v>
      </c>
      <c r="E139" s="393"/>
      <c r="F139" s="393"/>
      <c r="G139" s="319"/>
      <c r="H139" s="319"/>
      <c r="I139" s="319"/>
      <c r="J139" s="319"/>
    </row>
    <row r="140" spans="1:10">
      <c r="A140" s="423">
        <v>118</v>
      </c>
      <c r="B140" s="393"/>
      <c r="C140" s="393"/>
      <c r="D140" s="423">
        <v>118</v>
      </c>
      <c r="E140" s="393"/>
      <c r="F140" s="393"/>
      <c r="G140" s="319"/>
      <c r="H140" s="319"/>
      <c r="I140" s="319"/>
      <c r="J140" s="319"/>
    </row>
    <row r="141" spans="1:10">
      <c r="A141" s="423">
        <v>119</v>
      </c>
      <c r="B141" s="393"/>
      <c r="C141" s="393"/>
      <c r="D141" s="423">
        <v>119</v>
      </c>
      <c r="E141" s="393"/>
      <c r="F141" s="393"/>
      <c r="G141" s="319"/>
      <c r="H141" s="319"/>
      <c r="I141" s="319"/>
      <c r="J141" s="319"/>
    </row>
    <row r="142" spans="1:10">
      <c r="A142" s="423">
        <v>120</v>
      </c>
      <c r="B142" s="393"/>
      <c r="C142" s="393"/>
      <c r="D142" s="423">
        <v>120</v>
      </c>
      <c r="E142" s="393"/>
      <c r="F142" s="393"/>
      <c r="G142" s="319"/>
      <c r="H142" s="319"/>
      <c r="I142" s="319"/>
      <c r="J142" s="319"/>
    </row>
    <row r="143" spans="1:10">
      <c r="A143" s="423">
        <v>121</v>
      </c>
      <c r="B143" s="393"/>
      <c r="C143" s="393"/>
      <c r="D143" s="423">
        <v>121</v>
      </c>
      <c r="E143" s="393"/>
      <c r="F143" s="393"/>
      <c r="G143" s="319"/>
      <c r="H143" s="319"/>
      <c r="I143" s="319"/>
      <c r="J143" s="319"/>
    </row>
    <row r="144" spans="1:10">
      <c r="A144" s="423">
        <v>122</v>
      </c>
      <c r="B144" s="393"/>
      <c r="C144" s="393"/>
      <c r="D144" s="423">
        <v>122</v>
      </c>
      <c r="E144" s="393"/>
      <c r="F144" s="393"/>
      <c r="G144" s="319"/>
      <c r="H144" s="319"/>
      <c r="I144" s="319"/>
      <c r="J144" s="319"/>
    </row>
    <row r="145" spans="1:10">
      <c r="A145" s="423">
        <v>123</v>
      </c>
      <c r="B145" s="393"/>
      <c r="C145" s="393"/>
      <c r="D145" s="423">
        <v>123</v>
      </c>
      <c r="E145" s="393"/>
      <c r="F145" s="393"/>
      <c r="G145" s="319"/>
      <c r="H145" s="319"/>
      <c r="I145" s="319"/>
      <c r="J145" s="319"/>
    </row>
    <row r="146" spans="1:10">
      <c r="A146" s="423">
        <v>124</v>
      </c>
      <c r="B146" s="393"/>
      <c r="C146" s="393"/>
      <c r="D146" s="423">
        <v>124</v>
      </c>
      <c r="E146" s="393"/>
      <c r="F146" s="393"/>
      <c r="G146" s="319"/>
      <c r="H146" s="319"/>
      <c r="I146" s="319"/>
      <c r="J146" s="319"/>
    </row>
    <row r="147" spans="1:10">
      <c r="A147" s="423">
        <v>125</v>
      </c>
      <c r="B147" s="393"/>
      <c r="C147" s="393"/>
      <c r="D147" s="423">
        <v>125</v>
      </c>
      <c r="E147" s="393"/>
      <c r="F147" s="393"/>
      <c r="G147" s="319"/>
      <c r="H147" s="319"/>
      <c r="I147" s="319"/>
      <c r="J147" s="319"/>
    </row>
    <row r="148" spans="1:10">
      <c r="A148" s="423">
        <v>126</v>
      </c>
      <c r="B148" s="393"/>
      <c r="C148" s="393"/>
      <c r="D148" s="423">
        <v>126</v>
      </c>
      <c r="E148" s="393"/>
      <c r="F148" s="393"/>
      <c r="G148" s="319"/>
      <c r="H148" s="319"/>
      <c r="I148" s="319"/>
      <c r="J148" s="319"/>
    </row>
    <row r="149" spans="1:10">
      <c r="A149" s="423">
        <v>127</v>
      </c>
      <c r="B149" s="393"/>
      <c r="C149" s="393"/>
      <c r="D149" s="423">
        <v>127</v>
      </c>
      <c r="E149" s="393"/>
      <c r="F149" s="393"/>
      <c r="G149" s="319"/>
      <c r="H149" s="319"/>
      <c r="I149" s="319"/>
      <c r="J149" s="319"/>
    </row>
    <row r="150" spans="1:10">
      <c r="A150" s="423">
        <v>128</v>
      </c>
      <c r="B150" s="393"/>
      <c r="C150" s="393"/>
      <c r="D150" s="423">
        <v>128</v>
      </c>
      <c r="E150" s="393"/>
      <c r="F150" s="393"/>
      <c r="G150" s="319"/>
      <c r="H150" s="319"/>
      <c r="I150" s="319"/>
      <c r="J150" s="319"/>
    </row>
    <row r="151" spans="1:10">
      <c r="A151" s="423">
        <v>129</v>
      </c>
      <c r="B151" s="393"/>
      <c r="C151" s="393"/>
      <c r="D151" s="423">
        <v>129</v>
      </c>
      <c r="E151" s="393"/>
      <c r="F151" s="393"/>
      <c r="G151" s="319"/>
      <c r="H151" s="319"/>
      <c r="I151" s="319"/>
      <c r="J151" s="319"/>
    </row>
    <row r="152" spans="1:10">
      <c r="A152" s="423">
        <v>130</v>
      </c>
      <c r="B152" s="393"/>
      <c r="C152" s="393"/>
      <c r="D152" s="423">
        <v>130</v>
      </c>
      <c r="E152" s="393"/>
      <c r="F152" s="393"/>
      <c r="G152" s="319"/>
      <c r="H152" s="319"/>
      <c r="I152" s="319"/>
      <c r="J152" s="319"/>
    </row>
    <row r="153" spans="1:10">
      <c r="A153" s="423">
        <v>131</v>
      </c>
      <c r="B153" s="393"/>
      <c r="C153" s="393"/>
      <c r="D153" s="423">
        <v>131</v>
      </c>
      <c r="E153" s="393"/>
      <c r="F153" s="393"/>
      <c r="G153" s="319"/>
      <c r="H153" s="319"/>
      <c r="I153" s="319"/>
      <c r="J153" s="319"/>
    </row>
    <row r="154" spans="1:10">
      <c r="A154" s="423">
        <v>132</v>
      </c>
      <c r="B154" s="393"/>
      <c r="C154" s="393"/>
      <c r="D154" s="423">
        <v>132</v>
      </c>
      <c r="E154" s="393"/>
      <c r="F154" s="393"/>
      <c r="G154" s="319"/>
      <c r="H154" s="319"/>
      <c r="I154" s="319"/>
      <c r="J154" s="319"/>
    </row>
    <row r="155" spans="1:10">
      <c r="A155" s="423">
        <v>133</v>
      </c>
      <c r="B155" s="393"/>
      <c r="C155" s="393"/>
      <c r="D155" s="423">
        <v>133</v>
      </c>
      <c r="E155" s="393"/>
      <c r="F155" s="393"/>
      <c r="G155" s="319"/>
      <c r="H155" s="319"/>
      <c r="I155" s="319"/>
      <c r="J155" s="319"/>
    </row>
    <row r="156" spans="1:10">
      <c r="A156" s="423">
        <v>134</v>
      </c>
      <c r="B156" s="393"/>
      <c r="C156" s="393"/>
      <c r="D156" s="423">
        <v>134</v>
      </c>
      <c r="E156" s="393"/>
      <c r="F156" s="393"/>
      <c r="G156" s="319"/>
      <c r="H156" s="319"/>
      <c r="I156" s="319"/>
      <c r="J156" s="319"/>
    </row>
    <row r="157" spans="1:10">
      <c r="A157" s="423">
        <v>135</v>
      </c>
      <c r="B157" s="393"/>
      <c r="C157" s="393"/>
      <c r="D157" s="423">
        <v>135</v>
      </c>
      <c r="E157" s="393"/>
      <c r="F157" s="393"/>
      <c r="G157" s="319"/>
      <c r="H157" s="319"/>
      <c r="I157" s="319"/>
      <c r="J157" s="319"/>
    </row>
    <row r="158" spans="1:10">
      <c r="A158" s="423">
        <v>136</v>
      </c>
      <c r="B158" s="393"/>
      <c r="C158" s="393"/>
      <c r="D158" s="423">
        <v>136</v>
      </c>
      <c r="E158" s="393"/>
      <c r="F158" s="393"/>
      <c r="G158" s="319"/>
      <c r="H158" s="319"/>
      <c r="I158" s="319"/>
      <c r="J158" s="319"/>
    </row>
    <row r="159" spans="1:10">
      <c r="A159" s="423">
        <v>137</v>
      </c>
      <c r="B159" s="393"/>
      <c r="C159" s="393"/>
      <c r="D159" s="423">
        <v>137</v>
      </c>
      <c r="E159" s="393"/>
      <c r="F159" s="393"/>
      <c r="G159" s="319"/>
      <c r="H159" s="319"/>
      <c r="I159" s="319"/>
      <c r="J159" s="319"/>
    </row>
    <row r="160" spans="1:10">
      <c r="A160" s="423">
        <v>138</v>
      </c>
      <c r="B160" s="393"/>
      <c r="C160" s="393"/>
      <c r="D160" s="423">
        <v>138</v>
      </c>
      <c r="E160" s="393"/>
      <c r="F160" s="393"/>
      <c r="G160" s="319"/>
      <c r="H160" s="319"/>
      <c r="I160" s="319"/>
      <c r="J160" s="319"/>
    </row>
    <row r="161" spans="1:10">
      <c r="A161" s="423">
        <v>139</v>
      </c>
      <c r="B161" s="393"/>
      <c r="C161" s="393"/>
      <c r="D161" s="423">
        <v>139</v>
      </c>
      <c r="E161" s="393"/>
      <c r="F161" s="393"/>
      <c r="G161" s="319"/>
      <c r="H161" s="319"/>
      <c r="I161" s="319"/>
      <c r="J161" s="319"/>
    </row>
    <row r="162" spans="1:10">
      <c r="A162" s="423">
        <v>140</v>
      </c>
      <c r="B162" s="393"/>
      <c r="C162" s="393"/>
      <c r="D162" s="423">
        <v>140</v>
      </c>
      <c r="E162" s="393"/>
      <c r="F162" s="393"/>
      <c r="G162" s="319"/>
      <c r="H162" s="319"/>
      <c r="I162" s="319"/>
      <c r="J162" s="319"/>
    </row>
    <row r="163" spans="1:10">
      <c r="A163" s="423">
        <v>141</v>
      </c>
      <c r="B163" s="393"/>
      <c r="C163" s="393"/>
      <c r="D163" s="423">
        <v>141</v>
      </c>
      <c r="E163" s="393"/>
      <c r="F163" s="393"/>
      <c r="G163" s="319"/>
      <c r="H163" s="319"/>
      <c r="I163" s="319"/>
      <c r="J163" s="319"/>
    </row>
    <row r="164" spans="1:10">
      <c r="A164" s="423">
        <v>142</v>
      </c>
      <c r="B164" s="393"/>
      <c r="C164" s="393"/>
      <c r="D164" s="423">
        <v>142</v>
      </c>
      <c r="E164" s="393"/>
      <c r="F164" s="393"/>
      <c r="G164" s="319"/>
      <c r="H164" s="319"/>
      <c r="I164" s="319"/>
      <c r="J164" s="319"/>
    </row>
    <row r="165" spans="1:10">
      <c r="A165" s="423">
        <v>143</v>
      </c>
      <c r="B165" s="393"/>
      <c r="C165" s="393"/>
      <c r="D165" s="423">
        <v>143</v>
      </c>
      <c r="E165" s="393"/>
      <c r="F165" s="393"/>
      <c r="G165" s="319"/>
      <c r="H165" s="319"/>
      <c r="I165" s="319"/>
      <c r="J165" s="319"/>
    </row>
    <row r="166" spans="1:10">
      <c r="A166" s="423">
        <v>144</v>
      </c>
      <c r="B166" s="393"/>
      <c r="C166" s="393"/>
      <c r="D166" s="423">
        <v>144</v>
      </c>
      <c r="E166" s="393"/>
      <c r="F166" s="393"/>
      <c r="G166" s="319"/>
      <c r="H166" s="319"/>
      <c r="I166" s="319"/>
      <c r="J166" s="319"/>
    </row>
    <row r="167" spans="1:10">
      <c r="A167" s="423">
        <v>145</v>
      </c>
      <c r="B167" s="393"/>
      <c r="C167" s="393"/>
      <c r="D167" s="423">
        <v>145</v>
      </c>
      <c r="E167" s="393"/>
      <c r="F167" s="393"/>
      <c r="G167" s="319"/>
      <c r="H167" s="319"/>
      <c r="I167" s="319"/>
      <c r="J167" s="319"/>
    </row>
    <row r="168" spans="1:10">
      <c r="A168" s="423">
        <v>146</v>
      </c>
      <c r="B168" s="393"/>
      <c r="C168" s="393"/>
      <c r="D168" s="423">
        <v>146</v>
      </c>
      <c r="E168" s="393"/>
      <c r="F168" s="393"/>
      <c r="G168" s="319"/>
      <c r="H168" s="319"/>
      <c r="I168" s="319"/>
      <c r="J168" s="319"/>
    </row>
    <row r="169" spans="1:10">
      <c r="A169" s="423">
        <v>147</v>
      </c>
      <c r="B169" s="393"/>
      <c r="C169" s="393"/>
      <c r="D169" s="423">
        <v>147</v>
      </c>
      <c r="E169" s="393"/>
      <c r="F169" s="393"/>
      <c r="G169" s="319"/>
      <c r="H169" s="319"/>
      <c r="I169" s="319"/>
      <c r="J169" s="319"/>
    </row>
    <row r="170" spans="1:10">
      <c r="A170" s="423">
        <v>148</v>
      </c>
      <c r="B170" s="393"/>
      <c r="C170" s="393"/>
      <c r="D170" s="423">
        <v>148</v>
      </c>
      <c r="E170" s="393"/>
      <c r="F170" s="393"/>
      <c r="G170" s="319"/>
      <c r="H170" s="319"/>
      <c r="I170" s="319"/>
      <c r="J170" s="319"/>
    </row>
    <row r="171" spans="1:10">
      <c r="A171" s="423">
        <v>149</v>
      </c>
      <c r="B171" s="393"/>
      <c r="C171" s="393"/>
      <c r="D171" s="423">
        <v>149</v>
      </c>
      <c r="E171" s="393"/>
      <c r="F171" s="393"/>
      <c r="G171" s="319"/>
      <c r="H171" s="319"/>
      <c r="I171" s="319"/>
      <c r="J171" s="319"/>
    </row>
    <row r="172" spans="1:10">
      <c r="A172" s="423">
        <v>150</v>
      </c>
      <c r="B172" s="393"/>
      <c r="C172" s="393"/>
      <c r="D172" s="423">
        <v>150</v>
      </c>
      <c r="E172" s="393"/>
      <c r="F172" s="393"/>
      <c r="G172" s="319"/>
      <c r="H172" s="319"/>
      <c r="I172" s="319"/>
      <c r="J172" s="319"/>
    </row>
    <row r="173" spans="1:10">
      <c r="A173" s="423">
        <v>151</v>
      </c>
      <c r="B173" s="393"/>
      <c r="C173" s="393"/>
      <c r="D173" s="423">
        <v>151</v>
      </c>
      <c r="E173" s="393"/>
      <c r="F173" s="393"/>
      <c r="G173" s="319"/>
      <c r="H173" s="319"/>
      <c r="I173" s="319"/>
      <c r="J173" s="319"/>
    </row>
    <row r="174" spans="1:10">
      <c r="A174" s="423">
        <v>152</v>
      </c>
      <c r="B174" s="393"/>
      <c r="C174" s="393"/>
      <c r="D174" s="423">
        <v>152</v>
      </c>
      <c r="E174" s="393"/>
      <c r="F174" s="393"/>
      <c r="G174" s="319"/>
      <c r="H174" s="319"/>
      <c r="I174" s="319"/>
      <c r="J174" s="319"/>
    </row>
    <row r="175" spans="1:10">
      <c r="A175" s="423">
        <v>153</v>
      </c>
      <c r="B175" s="393"/>
      <c r="C175" s="393"/>
      <c r="D175" s="423">
        <v>153</v>
      </c>
      <c r="E175" s="393"/>
      <c r="F175" s="393"/>
      <c r="G175" s="319"/>
      <c r="H175" s="319"/>
      <c r="I175" s="319"/>
      <c r="J175" s="319"/>
    </row>
    <row r="176" spans="1:10">
      <c r="A176" s="423">
        <v>154</v>
      </c>
      <c r="B176" s="393"/>
      <c r="C176" s="393"/>
      <c r="D176" s="423">
        <v>154</v>
      </c>
      <c r="E176" s="393"/>
      <c r="F176" s="393"/>
      <c r="G176" s="319"/>
      <c r="H176" s="319"/>
      <c r="I176" s="319"/>
      <c r="J176" s="319"/>
    </row>
    <row r="177" spans="1:10">
      <c r="A177" s="423">
        <v>155</v>
      </c>
      <c r="B177" s="393"/>
      <c r="C177" s="393"/>
      <c r="D177" s="423">
        <v>155</v>
      </c>
      <c r="E177" s="393"/>
      <c r="F177" s="393"/>
      <c r="G177" s="319"/>
      <c r="H177" s="319"/>
      <c r="I177" s="319"/>
      <c r="J177" s="319"/>
    </row>
    <row r="178" spans="1:10">
      <c r="A178" s="423">
        <v>156</v>
      </c>
      <c r="B178" s="393"/>
      <c r="C178" s="393"/>
      <c r="D178" s="423">
        <v>156</v>
      </c>
      <c r="E178" s="393"/>
      <c r="F178" s="393"/>
      <c r="G178" s="319"/>
      <c r="H178" s="319"/>
      <c r="I178" s="319"/>
      <c r="J178" s="319"/>
    </row>
    <row r="179" spans="1:10">
      <c r="A179" s="423">
        <v>157</v>
      </c>
      <c r="B179" s="393"/>
      <c r="C179" s="393"/>
      <c r="D179" s="423">
        <v>157</v>
      </c>
      <c r="E179" s="393"/>
      <c r="F179" s="393"/>
      <c r="G179" s="319"/>
      <c r="H179" s="319"/>
      <c r="I179" s="319"/>
      <c r="J179" s="319"/>
    </row>
    <row r="180" spans="1:10">
      <c r="A180" s="423">
        <v>158</v>
      </c>
      <c r="B180" s="393"/>
      <c r="C180" s="393"/>
      <c r="D180" s="423">
        <v>158</v>
      </c>
      <c r="E180" s="393"/>
      <c r="F180" s="393"/>
      <c r="G180" s="319"/>
      <c r="H180" s="319"/>
      <c r="I180" s="319"/>
      <c r="J180" s="319"/>
    </row>
    <row r="181" spans="1:10">
      <c r="A181" s="423">
        <v>159</v>
      </c>
      <c r="B181" s="393"/>
      <c r="C181" s="393"/>
      <c r="D181" s="423">
        <v>159</v>
      </c>
      <c r="E181" s="393"/>
      <c r="F181" s="393"/>
      <c r="G181" s="319"/>
      <c r="H181" s="319"/>
      <c r="I181" s="319"/>
      <c r="J181" s="319"/>
    </row>
    <row r="182" spans="1:10">
      <c r="A182" s="423">
        <v>160</v>
      </c>
      <c r="B182" s="393"/>
      <c r="C182" s="393"/>
      <c r="D182" s="423">
        <v>160</v>
      </c>
      <c r="E182" s="393"/>
      <c r="F182" s="393"/>
      <c r="G182" s="319"/>
      <c r="H182" s="319"/>
      <c r="I182" s="319"/>
      <c r="J182" s="319"/>
    </row>
    <row r="183" spans="1:10">
      <c r="A183" s="423">
        <v>161</v>
      </c>
      <c r="B183" s="393"/>
      <c r="C183" s="393"/>
      <c r="D183" s="423">
        <v>161</v>
      </c>
      <c r="E183" s="393"/>
      <c r="F183" s="393"/>
      <c r="G183" s="319"/>
      <c r="H183" s="319"/>
      <c r="I183" s="319"/>
      <c r="J183" s="319"/>
    </row>
    <row r="184" spans="1:10">
      <c r="A184" s="423">
        <v>162</v>
      </c>
      <c r="B184" s="393"/>
      <c r="C184" s="393"/>
      <c r="D184" s="423">
        <v>162</v>
      </c>
      <c r="E184" s="393"/>
      <c r="F184" s="393"/>
      <c r="G184" s="319"/>
      <c r="H184" s="319"/>
      <c r="I184" s="319"/>
      <c r="J184" s="319"/>
    </row>
    <row r="185" spans="1:10">
      <c r="A185" s="423">
        <v>163</v>
      </c>
      <c r="B185" s="393"/>
      <c r="C185" s="393"/>
      <c r="D185" s="423">
        <v>163</v>
      </c>
      <c r="E185" s="393"/>
      <c r="F185" s="393"/>
      <c r="G185" s="319"/>
      <c r="H185" s="319"/>
      <c r="I185" s="319"/>
      <c r="J185" s="319"/>
    </row>
    <row r="186" spans="1:10">
      <c r="A186" s="423">
        <v>164</v>
      </c>
      <c r="B186" s="393"/>
      <c r="C186" s="393"/>
      <c r="D186" s="423">
        <v>164</v>
      </c>
      <c r="E186" s="393"/>
      <c r="F186" s="393"/>
      <c r="G186" s="319"/>
      <c r="H186" s="319"/>
      <c r="I186" s="319"/>
      <c r="J186" s="319"/>
    </row>
    <row r="187" spans="1:10">
      <c r="A187" s="423">
        <v>165</v>
      </c>
      <c r="B187" s="393"/>
      <c r="C187" s="393"/>
      <c r="D187" s="423">
        <v>165</v>
      </c>
      <c r="E187" s="393"/>
      <c r="F187" s="393"/>
      <c r="G187" s="319"/>
      <c r="H187" s="319"/>
      <c r="I187" s="319"/>
      <c r="J187" s="319"/>
    </row>
    <row r="188" spans="1:10">
      <c r="A188" s="423">
        <v>166</v>
      </c>
      <c r="B188" s="393"/>
      <c r="C188" s="393"/>
      <c r="D188" s="423">
        <v>166</v>
      </c>
      <c r="E188" s="393"/>
      <c r="F188" s="393"/>
      <c r="G188" s="319"/>
      <c r="H188" s="319"/>
      <c r="I188" s="319"/>
      <c r="J188" s="319"/>
    </row>
    <row r="189" spans="1:10">
      <c r="A189" s="423">
        <v>167</v>
      </c>
      <c r="B189" s="393"/>
      <c r="C189" s="393"/>
      <c r="D189" s="423">
        <v>167</v>
      </c>
      <c r="E189" s="393"/>
      <c r="F189" s="393"/>
      <c r="G189" s="319"/>
      <c r="H189" s="319"/>
      <c r="I189" s="319"/>
      <c r="J189" s="319"/>
    </row>
    <row r="190" spans="1:10">
      <c r="A190" s="423">
        <v>168</v>
      </c>
      <c r="B190" s="393"/>
      <c r="C190" s="393"/>
      <c r="D190" s="423">
        <v>168</v>
      </c>
      <c r="E190" s="393"/>
      <c r="F190" s="393"/>
      <c r="G190" s="319"/>
      <c r="H190" s="319"/>
      <c r="I190" s="319"/>
      <c r="J190" s="319"/>
    </row>
    <row r="191" spans="1:10">
      <c r="A191" s="423">
        <v>169</v>
      </c>
      <c r="B191" s="393"/>
      <c r="C191" s="393"/>
      <c r="D191" s="423">
        <v>169</v>
      </c>
      <c r="E191" s="393"/>
      <c r="F191" s="393"/>
      <c r="G191" s="319"/>
      <c r="H191" s="319"/>
      <c r="I191" s="319"/>
      <c r="J191" s="319"/>
    </row>
    <row r="192" spans="1:10">
      <c r="A192" s="423">
        <v>170</v>
      </c>
      <c r="B192" s="393"/>
      <c r="C192" s="393"/>
      <c r="D192" s="423">
        <v>170</v>
      </c>
      <c r="E192" s="393"/>
      <c r="F192" s="393"/>
      <c r="G192" s="319"/>
      <c r="H192" s="319"/>
      <c r="I192" s="319"/>
      <c r="J192" s="319"/>
    </row>
    <row r="193" spans="1:10">
      <c r="A193" s="423">
        <v>171</v>
      </c>
      <c r="B193" s="393"/>
      <c r="C193" s="393"/>
      <c r="D193" s="423">
        <v>171</v>
      </c>
      <c r="E193" s="393"/>
      <c r="F193" s="393"/>
      <c r="G193" s="319"/>
      <c r="H193" s="319"/>
      <c r="I193" s="319"/>
      <c r="J193" s="319"/>
    </row>
    <row r="194" spans="1:10">
      <c r="A194" s="423">
        <v>172</v>
      </c>
      <c r="B194" s="393"/>
      <c r="C194" s="393"/>
      <c r="D194" s="423">
        <v>172</v>
      </c>
      <c r="E194" s="393"/>
      <c r="F194" s="393"/>
      <c r="G194" s="319"/>
      <c r="H194" s="319"/>
      <c r="I194" s="319"/>
      <c r="J194" s="319"/>
    </row>
    <row r="195" spans="1:10">
      <c r="A195" s="423">
        <v>173</v>
      </c>
      <c r="B195" s="393"/>
      <c r="C195" s="393"/>
      <c r="D195" s="423">
        <v>173</v>
      </c>
      <c r="E195" s="393"/>
      <c r="F195" s="393"/>
      <c r="G195" s="319"/>
      <c r="H195" s="319"/>
      <c r="I195" s="319"/>
      <c r="J195" s="319"/>
    </row>
    <row r="196" spans="1:10">
      <c r="A196" s="423">
        <v>174</v>
      </c>
      <c r="B196" s="393"/>
      <c r="C196" s="393"/>
      <c r="D196" s="423">
        <v>174</v>
      </c>
      <c r="E196" s="393"/>
      <c r="F196" s="393"/>
      <c r="G196" s="319"/>
      <c r="H196" s="319"/>
      <c r="I196" s="319"/>
      <c r="J196" s="319"/>
    </row>
    <row r="197" spans="1:10">
      <c r="A197" s="423">
        <v>175</v>
      </c>
      <c r="B197" s="393"/>
      <c r="C197" s="393"/>
      <c r="D197" s="423">
        <v>175</v>
      </c>
      <c r="E197" s="393"/>
      <c r="F197" s="393"/>
      <c r="G197" s="319"/>
      <c r="H197" s="319"/>
      <c r="I197" s="319"/>
      <c r="J197" s="319"/>
    </row>
    <row r="198" spans="1:10">
      <c r="A198" s="423">
        <v>176</v>
      </c>
      <c r="B198" s="393"/>
      <c r="C198" s="393"/>
      <c r="D198" s="423">
        <v>176</v>
      </c>
      <c r="E198" s="393"/>
      <c r="F198" s="393"/>
      <c r="G198" s="319"/>
      <c r="H198" s="319"/>
      <c r="I198" s="319"/>
      <c r="J198" s="319"/>
    </row>
    <row r="199" spans="1:10">
      <c r="A199" s="423">
        <v>177</v>
      </c>
      <c r="B199" s="393"/>
      <c r="C199" s="393"/>
      <c r="D199" s="423">
        <v>177</v>
      </c>
      <c r="E199" s="393"/>
      <c r="F199" s="393"/>
      <c r="G199" s="319"/>
      <c r="H199" s="319"/>
      <c r="I199" s="319"/>
      <c r="J199" s="319"/>
    </row>
    <row r="200" spans="1:10">
      <c r="A200" s="423">
        <v>178</v>
      </c>
      <c r="B200" s="393"/>
      <c r="C200" s="393"/>
      <c r="D200" s="423">
        <v>178</v>
      </c>
      <c r="E200" s="393"/>
      <c r="F200" s="393"/>
      <c r="G200" s="319"/>
      <c r="H200" s="319"/>
      <c r="I200" s="319"/>
      <c r="J200" s="319"/>
    </row>
    <row r="201" spans="1:10">
      <c r="A201" s="423">
        <v>179</v>
      </c>
      <c r="B201" s="393"/>
      <c r="C201" s="393"/>
      <c r="D201" s="423">
        <v>179</v>
      </c>
      <c r="E201" s="393"/>
      <c r="F201" s="393"/>
      <c r="G201" s="319"/>
      <c r="H201" s="319"/>
      <c r="I201" s="319"/>
      <c r="J201" s="319"/>
    </row>
    <row r="202" spans="1:10">
      <c r="A202" s="423">
        <v>180</v>
      </c>
      <c r="B202" s="393"/>
      <c r="C202" s="393"/>
      <c r="D202" s="423">
        <v>180</v>
      </c>
      <c r="E202" s="393"/>
      <c r="F202" s="393"/>
      <c r="G202" s="319"/>
      <c r="H202" s="319"/>
      <c r="I202" s="319"/>
      <c r="J202" s="319"/>
    </row>
    <row r="203" spans="1:10">
      <c r="A203" s="423">
        <v>181</v>
      </c>
      <c r="B203" s="393"/>
      <c r="C203" s="393"/>
      <c r="D203" s="423">
        <v>181</v>
      </c>
      <c r="E203" s="393"/>
      <c r="F203" s="393"/>
      <c r="G203" s="319"/>
      <c r="H203" s="319"/>
      <c r="I203" s="319"/>
      <c r="J203" s="319"/>
    </row>
    <row r="204" spans="1:10">
      <c r="A204" s="423">
        <v>182</v>
      </c>
      <c r="B204" s="393"/>
      <c r="C204" s="393"/>
      <c r="D204" s="423">
        <v>182</v>
      </c>
      <c r="E204" s="393"/>
      <c r="F204" s="393"/>
      <c r="G204" s="319"/>
      <c r="H204" s="319"/>
      <c r="I204" s="319"/>
      <c r="J204" s="319"/>
    </row>
    <row r="205" spans="1:10">
      <c r="A205" s="423">
        <v>183</v>
      </c>
      <c r="B205" s="393"/>
      <c r="C205" s="393"/>
      <c r="D205" s="423">
        <v>183</v>
      </c>
      <c r="E205" s="393"/>
      <c r="F205" s="393"/>
      <c r="G205" s="319"/>
      <c r="H205" s="319"/>
      <c r="I205" s="319"/>
      <c r="J205" s="319"/>
    </row>
    <row r="206" spans="1:10">
      <c r="A206" s="423">
        <v>184</v>
      </c>
      <c r="B206" s="393"/>
      <c r="C206" s="393"/>
      <c r="D206" s="423">
        <v>184</v>
      </c>
      <c r="E206" s="393"/>
      <c r="F206" s="393"/>
      <c r="G206" s="319"/>
      <c r="H206" s="319"/>
      <c r="I206" s="319"/>
      <c r="J206" s="319"/>
    </row>
    <row r="207" spans="1:10">
      <c r="A207" s="423">
        <v>185</v>
      </c>
      <c r="B207" s="393"/>
      <c r="C207" s="393"/>
      <c r="D207" s="423">
        <v>185</v>
      </c>
      <c r="E207" s="393"/>
      <c r="F207" s="393"/>
      <c r="G207" s="319"/>
      <c r="H207" s="319"/>
      <c r="I207" s="319"/>
      <c r="J207" s="319"/>
    </row>
    <row r="208" spans="1:10">
      <c r="A208" s="423">
        <v>186</v>
      </c>
      <c r="B208" s="393"/>
      <c r="C208" s="393"/>
      <c r="D208" s="423">
        <v>186</v>
      </c>
      <c r="E208" s="393"/>
      <c r="F208" s="393"/>
      <c r="G208" s="319"/>
      <c r="H208" s="319"/>
      <c r="I208" s="319"/>
      <c r="J208" s="319"/>
    </row>
    <row r="209" spans="1:10">
      <c r="A209" s="423">
        <v>187</v>
      </c>
      <c r="B209" s="393"/>
      <c r="C209" s="393"/>
      <c r="D209" s="423">
        <v>187</v>
      </c>
      <c r="E209" s="393"/>
      <c r="F209" s="393"/>
      <c r="G209" s="319"/>
      <c r="H209" s="319"/>
      <c r="I209" s="319"/>
      <c r="J209" s="319"/>
    </row>
    <row r="210" spans="1:10">
      <c r="A210" s="423">
        <v>188</v>
      </c>
      <c r="B210" s="393"/>
      <c r="C210" s="393"/>
      <c r="D210" s="423">
        <v>188</v>
      </c>
      <c r="E210" s="393"/>
      <c r="F210" s="393"/>
      <c r="G210" s="319"/>
      <c r="H210" s="319"/>
      <c r="I210" s="319"/>
      <c r="J210" s="319"/>
    </row>
    <row r="211" spans="1:10">
      <c r="A211" s="423">
        <v>189</v>
      </c>
      <c r="B211" s="393"/>
      <c r="C211" s="393"/>
      <c r="D211" s="423">
        <v>189</v>
      </c>
      <c r="E211" s="393"/>
      <c r="F211" s="393"/>
      <c r="G211" s="319"/>
      <c r="H211" s="319"/>
      <c r="I211" s="319"/>
      <c r="J211" s="319"/>
    </row>
    <row r="212" spans="1:10">
      <c r="A212" s="423">
        <v>190</v>
      </c>
      <c r="B212" s="393"/>
      <c r="C212" s="393"/>
      <c r="D212" s="423">
        <v>190</v>
      </c>
      <c r="E212" s="393"/>
      <c r="F212" s="393"/>
      <c r="G212" s="319"/>
      <c r="H212" s="319"/>
      <c r="I212" s="319"/>
      <c r="J212" s="319"/>
    </row>
    <row r="213" spans="1:10">
      <c r="A213" s="423">
        <v>191</v>
      </c>
      <c r="B213" s="393"/>
      <c r="C213" s="393"/>
      <c r="D213" s="423">
        <v>191</v>
      </c>
      <c r="E213" s="393"/>
      <c r="F213" s="393"/>
      <c r="G213" s="319"/>
      <c r="H213" s="319"/>
      <c r="I213" s="319"/>
      <c r="J213" s="319"/>
    </row>
    <row r="214" spans="1:10">
      <c r="A214" s="423">
        <v>192</v>
      </c>
      <c r="B214" s="393"/>
      <c r="C214" s="393"/>
      <c r="D214" s="423">
        <v>192</v>
      </c>
      <c r="E214" s="393"/>
      <c r="F214" s="393"/>
      <c r="G214" s="319"/>
      <c r="H214" s="319"/>
      <c r="I214" s="319"/>
      <c r="J214" s="319"/>
    </row>
    <row r="215" spans="1:10">
      <c r="A215" s="423">
        <v>193</v>
      </c>
      <c r="B215" s="393"/>
      <c r="C215" s="393"/>
      <c r="D215" s="423">
        <v>193</v>
      </c>
      <c r="E215" s="393"/>
      <c r="F215" s="393"/>
      <c r="G215" s="319"/>
      <c r="H215" s="319"/>
      <c r="I215" s="319"/>
      <c r="J215" s="319"/>
    </row>
    <row r="216" spans="1:10">
      <c r="A216" s="423">
        <v>194</v>
      </c>
      <c r="B216" s="393"/>
      <c r="C216" s="393"/>
      <c r="D216" s="423">
        <v>194</v>
      </c>
      <c r="E216" s="393"/>
      <c r="F216" s="393"/>
      <c r="G216" s="319"/>
      <c r="H216" s="319"/>
      <c r="I216" s="319"/>
      <c r="J216" s="319"/>
    </row>
    <row r="217" spans="1:10">
      <c r="A217" s="423">
        <v>195</v>
      </c>
      <c r="B217" s="393"/>
      <c r="C217" s="393"/>
      <c r="D217" s="423">
        <v>195</v>
      </c>
      <c r="E217" s="393"/>
      <c r="F217" s="393"/>
      <c r="G217" s="319"/>
      <c r="H217" s="319"/>
      <c r="I217" s="319"/>
      <c r="J217" s="319"/>
    </row>
    <row r="218" spans="1:10">
      <c r="A218" s="423">
        <v>196</v>
      </c>
      <c r="B218" s="393"/>
      <c r="C218" s="393"/>
      <c r="D218" s="423">
        <v>196</v>
      </c>
      <c r="E218" s="393"/>
      <c r="F218" s="393"/>
      <c r="G218" s="319"/>
      <c r="H218" s="319"/>
      <c r="I218" s="319"/>
      <c r="J218" s="319"/>
    </row>
    <row r="219" spans="1:10">
      <c r="A219" s="423">
        <v>197</v>
      </c>
      <c r="B219" s="393"/>
      <c r="C219" s="393"/>
      <c r="D219" s="423">
        <v>197</v>
      </c>
      <c r="E219" s="393"/>
      <c r="F219" s="393"/>
      <c r="G219" s="319"/>
      <c r="H219" s="319"/>
      <c r="I219" s="319"/>
      <c r="J219" s="319"/>
    </row>
    <row r="220" spans="1:10">
      <c r="A220" s="423">
        <v>198</v>
      </c>
      <c r="B220" s="393"/>
      <c r="C220" s="393"/>
      <c r="D220" s="423">
        <v>198</v>
      </c>
      <c r="E220" s="393"/>
      <c r="F220" s="393"/>
      <c r="G220" s="319"/>
      <c r="H220" s="319"/>
      <c r="I220" s="319"/>
      <c r="J220" s="319"/>
    </row>
    <row r="221" spans="1:10">
      <c r="A221" s="423">
        <v>199</v>
      </c>
      <c r="B221" s="393"/>
      <c r="C221" s="393"/>
      <c r="D221" s="423">
        <v>199</v>
      </c>
      <c r="E221" s="393"/>
      <c r="F221" s="393"/>
      <c r="G221" s="319"/>
      <c r="H221" s="319"/>
      <c r="I221" s="319"/>
      <c r="J221" s="319"/>
    </row>
    <row r="222" spans="1:10">
      <c r="A222" s="423">
        <v>200</v>
      </c>
      <c r="B222" s="393"/>
      <c r="C222" s="393"/>
      <c r="D222" s="423">
        <v>200</v>
      </c>
      <c r="E222" s="393"/>
      <c r="F222" s="393"/>
      <c r="G222" s="319"/>
      <c r="H222" s="319"/>
      <c r="I222" s="319"/>
      <c r="J222" s="319"/>
    </row>
    <row r="223" spans="1:10">
      <c r="A223" s="423">
        <v>201</v>
      </c>
      <c r="B223" s="393"/>
      <c r="C223" s="393"/>
      <c r="D223" s="423">
        <v>201</v>
      </c>
      <c r="E223" s="393"/>
      <c r="F223" s="393"/>
      <c r="G223" s="319"/>
      <c r="H223" s="319"/>
      <c r="I223" s="319"/>
      <c r="J223" s="319"/>
    </row>
    <row r="224" spans="1:10">
      <c r="A224" s="423">
        <v>202</v>
      </c>
      <c r="B224" s="393"/>
      <c r="C224" s="393"/>
      <c r="D224" s="423">
        <v>202</v>
      </c>
      <c r="E224" s="393"/>
      <c r="F224" s="393"/>
      <c r="G224" s="319"/>
      <c r="H224" s="319"/>
      <c r="I224" s="319"/>
      <c r="J224" s="319"/>
    </row>
    <row r="225" spans="1:10">
      <c r="A225" s="423">
        <v>203</v>
      </c>
      <c r="B225" s="393"/>
      <c r="C225" s="393"/>
      <c r="D225" s="423">
        <v>203</v>
      </c>
      <c r="E225" s="393"/>
      <c r="F225" s="393"/>
      <c r="G225" s="319"/>
      <c r="H225" s="319"/>
      <c r="I225" s="319"/>
      <c r="J225" s="319"/>
    </row>
    <row r="226" spans="1:10">
      <c r="A226" s="423">
        <v>204</v>
      </c>
      <c r="B226" s="393"/>
      <c r="C226" s="393"/>
      <c r="D226" s="423">
        <v>204</v>
      </c>
      <c r="E226" s="393"/>
      <c r="F226" s="393"/>
      <c r="G226" s="319"/>
      <c r="H226" s="319"/>
      <c r="I226" s="319"/>
      <c r="J226" s="319"/>
    </row>
    <row r="227" spans="1:10">
      <c r="A227" s="423">
        <v>205</v>
      </c>
      <c r="B227" s="393"/>
      <c r="C227" s="393"/>
      <c r="D227" s="423">
        <v>205</v>
      </c>
      <c r="E227" s="393"/>
      <c r="F227" s="393"/>
      <c r="G227" s="319"/>
      <c r="H227" s="319"/>
      <c r="I227" s="319"/>
      <c r="J227" s="319"/>
    </row>
    <row r="228" spans="1:10">
      <c r="A228" s="423">
        <v>206</v>
      </c>
      <c r="B228" s="393"/>
      <c r="C228" s="393"/>
      <c r="D228" s="423">
        <v>206</v>
      </c>
      <c r="E228" s="393"/>
      <c r="F228" s="393"/>
      <c r="G228" s="319"/>
      <c r="H228" s="319"/>
      <c r="I228" s="319"/>
      <c r="J228" s="319"/>
    </row>
    <row r="229" spans="1:10">
      <c r="A229" s="423">
        <v>207</v>
      </c>
      <c r="B229" s="393"/>
      <c r="C229" s="393"/>
      <c r="D229" s="423">
        <v>207</v>
      </c>
      <c r="E229" s="393"/>
      <c r="F229" s="393"/>
      <c r="G229" s="319"/>
      <c r="H229" s="319"/>
      <c r="I229" s="319"/>
      <c r="J229" s="319"/>
    </row>
    <row r="230" spans="1:10">
      <c r="A230" s="423">
        <v>208</v>
      </c>
      <c r="B230" s="393"/>
      <c r="C230" s="393"/>
      <c r="D230" s="423">
        <v>208</v>
      </c>
      <c r="E230" s="393"/>
      <c r="F230" s="393"/>
      <c r="G230" s="319"/>
      <c r="H230" s="319"/>
      <c r="I230" s="319"/>
      <c r="J230" s="319"/>
    </row>
    <row r="231" spans="1:10">
      <c r="A231" s="423">
        <v>209</v>
      </c>
      <c r="B231" s="393"/>
      <c r="C231" s="393"/>
      <c r="D231" s="423">
        <v>209</v>
      </c>
      <c r="E231" s="393"/>
      <c r="F231" s="393"/>
      <c r="G231" s="319"/>
      <c r="H231" s="319"/>
      <c r="I231" s="319"/>
      <c r="J231" s="319"/>
    </row>
    <row r="232" spans="1:10">
      <c r="A232" s="423">
        <v>210</v>
      </c>
      <c r="B232" s="393"/>
      <c r="C232" s="393"/>
      <c r="D232" s="423">
        <v>210</v>
      </c>
      <c r="E232" s="393"/>
      <c r="F232" s="393"/>
      <c r="G232" s="319"/>
      <c r="H232" s="319"/>
      <c r="I232" s="319"/>
      <c r="J232" s="319"/>
    </row>
    <row r="233" spans="1:10">
      <c r="A233" s="423">
        <v>211</v>
      </c>
      <c r="B233" s="393"/>
      <c r="C233" s="393"/>
      <c r="D233" s="423">
        <v>211</v>
      </c>
      <c r="E233" s="393"/>
      <c r="F233" s="393"/>
      <c r="G233" s="319"/>
      <c r="H233" s="319"/>
      <c r="I233" s="319"/>
      <c r="J233" s="319"/>
    </row>
    <row r="234" spans="1:10">
      <c r="A234" s="423">
        <v>212</v>
      </c>
      <c r="B234" s="393"/>
      <c r="C234" s="393"/>
      <c r="D234" s="423">
        <v>212</v>
      </c>
      <c r="E234" s="393"/>
      <c r="F234" s="393"/>
      <c r="G234" s="319"/>
      <c r="H234" s="319"/>
      <c r="I234" s="319"/>
      <c r="J234" s="319"/>
    </row>
    <row r="235" spans="1:10">
      <c r="A235" s="423">
        <v>213</v>
      </c>
      <c r="B235" s="393"/>
      <c r="C235" s="393"/>
      <c r="D235" s="423">
        <v>213</v>
      </c>
      <c r="E235" s="393"/>
      <c r="F235" s="393"/>
      <c r="G235" s="319"/>
      <c r="H235" s="319"/>
      <c r="I235" s="319"/>
      <c r="J235" s="319"/>
    </row>
    <row r="236" spans="1:10">
      <c r="A236" s="423">
        <v>214</v>
      </c>
      <c r="B236" s="393"/>
      <c r="C236" s="393"/>
      <c r="D236" s="423">
        <v>214</v>
      </c>
      <c r="E236" s="393"/>
      <c r="F236" s="393"/>
      <c r="G236" s="319"/>
      <c r="H236" s="319"/>
      <c r="I236" s="319"/>
      <c r="J236" s="319"/>
    </row>
    <row r="237" spans="1:10">
      <c r="A237" s="423">
        <v>215</v>
      </c>
      <c r="B237" s="393"/>
      <c r="C237" s="393"/>
      <c r="D237" s="423">
        <v>215</v>
      </c>
      <c r="E237" s="393"/>
      <c r="F237" s="393"/>
      <c r="G237" s="319"/>
      <c r="H237" s="319"/>
      <c r="I237" s="319"/>
      <c r="J237" s="319"/>
    </row>
    <row r="238" spans="1:10">
      <c r="A238" s="423">
        <v>216</v>
      </c>
      <c r="B238" s="393"/>
      <c r="C238" s="393"/>
      <c r="D238" s="423">
        <v>216</v>
      </c>
      <c r="E238" s="393"/>
      <c r="F238" s="393"/>
      <c r="G238" s="319"/>
      <c r="H238" s="319"/>
      <c r="I238" s="319"/>
      <c r="J238" s="319"/>
    </row>
    <row r="239" spans="1:10">
      <c r="A239" s="423">
        <v>217</v>
      </c>
      <c r="B239" s="393"/>
      <c r="C239" s="393"/>
      <c r="D239" s="423">
        <v>217</v>
      </c>
      <c r="E239" s="393"/>
      <c r="F239" s="393"/>
      <c r="G239" s="319"/>
      <c r="H239" s="319"/>
      <c r="I239" s="319"/>
      <c r="J239" s="319"/>
    </row>
    <row r="240" spans="1:10">
      <c r="A240" s="423">
        <v>218</v>
      </c>
      <c r="B240" s="393"/>
      <c r="C240" s="393"/>
      <c r="D240" s="423">
        <v>218</v>
      </c>
      <c r="E240" s="393"/>
      <c r="F240" s="393"/>
      <c r="G240" s="319"/>
      <c r="H240" s="319"/>
      <c r="I240" s="319"/>
      <c r="J240" s="319"/>
    </row>
    <row r="241" spans="1:10">
      <c r="A241" s="423">
        <v>219</v>
      </c>
      <c r="B241" s="393"/>
      <c r="C241" s="393"/>
      <c r="D241" s="423">
        <v>219</v>
      </c>
      <c r="E241" s="393"/>
      <c r="F241" s="393"/>
      <c r="G241" s="319"/>
      <c r="H241" s="319"/>
      <c r="I241" s="319"/>
      <c r="J241" s="319"/>
    </row>
    <row r="242" spans="1:10">
      <c r="A242" s="423">
        <v>220</v>
      </c>
      <c r="B242" s="393"/>
      <c r="C242" s="393"/>
      <c r="D242" s="423">
        <v>220</v>
      </c>
      <c r="E242" s="393"/>
      <c r="F242" s="393"/>
      <c r="G242" s="319"/>
      <c r="H242" s="319"/>
      <c r="I242" s="319"/>
      <c r="J242" s="319"/>
    </row>
    <row r="243" spans="1:10">
      <c r="A243" s="423">
        <v>221</v>
      </c>
      <c r="B243" s="393"/>
      <c r="C243" s="393"/>
      <c r="D243" s="423">
        <v>221</v>
      </c>
      <c r="E243" s="393"/>
      <c r="F243" s="393"/>
      <c r="G243" s="319"/>
      <c r="H243" s="319"/>
      <c r="I243" s="319"/>
      <c r="J243" s="319"/>
    </row>
    <row r="244" spans="1:10">
      <c r="A244" s="423">
        <v>222</v>
      </c>
      <c r="B244" s="393"/>
      <c r="C244" s="393"/>
      <c r="D244" s="423">
        <v>222</v>
      </c>
      <c r="E244" s="393"/>
      <c r="F244" s="393"/>
      <c r="G244" s="319"/>
      <c r="H244" s="319"/>
      <c r="I244" s="319"/>
      <c r="J244" s="319"/>
    </row>
    <row r="245" spans="1:10">
      <c r="A245" s="423">
        <v>223</v>
      </c>
      <c r="B245" s="393"/>
      <c r="C245" s="393"/>
      <c r="D245" s="423">
        <v>223</v>
      </c>
      <c r="E245" s="393"/>
      <c r="F245" s="393"/>
      <c r="G245" s="319"/>
      <c r="H245" s="319"/>
      <c r="I245" s="319"/>
      <c r="J245" s="319"/>
    </row>
    <row r="246" spans="1:10">
      <c r="A246" s="423">
        <v>224</v>
      </c>
      <c r="B246" s="393"/>
      <c r="C246" s="393"/>
      <c r="D246" s="423">
        <v>224</v>
      </c>
      <c r="E246" s="393"/>
      <c r="F246" s="393"/>
      <c r="G246" s="319"/>
      <c r="H246" s="319"/>
      <c r="I246" s="319"/>
      <c r="J246" s="319"/>
    </row>
    <row r="247" spans="1:10">
      <c r="A247" s="423">
        <v>225</v>
      </c>
      <c r="B247" s="393"/>
      <c r="C247" s="393"/>
      <c r="D247" s="423">
        <v>225</v>
      </c>
      <c r="E247" s="393"/>
      <c r="F247" s="393"/>
      <c r="G247" s="319"/>
      <c r="H247" s="319"/>
      <c r="I247" s="319"/>
      <c r="J247" s="319"/>
    </row>
    <row r="248" spans="1:10">
      <c r="A248" s="423">
        <v>226</v>
      </c>
      <c r="B248" s="393"/>
      <c r="C248" s="393"/>
      <c r="D248" s="423">
        <v>226</v>
      </c>
      <c r="E248" s="393"/>
      <c r="F248" s="393"/>
      <c r="G248" s="319"/>
      <c r="H248" s="319"/>
      <c r="I248" s="319"/>
      <c r="J248" s="319"/>
    </row>
    <row r="249" spans="1:10">
      <c r="A249" s="423">
        <v>227</v>
      </c>
      <c r="B249" s="393"/>
      <c r="C249" s="393"/>
      <c r="D249" s="423">
        <v>227</v>
      </c>
      <c r="E249" s="393"/>
      <c r="F249" s="393"/>
      <c r="G249" s="319"/>
      <c r="H249" s="319"/>
      <c r="I249" s="319"/>
      <c r="J249" s="319"/>
    </row>
    <row r="250" spans="1:10">
      <c r="A250" s="423">
        <v>228</v>
      </c>
      <c r="B250" s="393"/>
      <c r="C250" s="393"/>
      <c r="D250" s="423">
        <v>228</v>
      </c>
      <c r="E250" s="393"/>
      <c r="F250" s="393"/>
      <c r="G250" s="319"/>
      <c r="H250" s="319"/>
      <c r="I250" s="319"/>
      <c r="J250" s="319"/>
    </row>
    <row r="251" spans="1:10">
      <c r="A251" s="423">
        <v>229</v>
      </c>
      <c r="B251" s="393"/>
      <c r="C251" s="393"/>
      <c r="D251" s="423">
        <v>229</v>
      </c>
      <c r="E251" s="393"/>
      <c r="F251" s="393"/>
      <c r="G251" s="319"/>
      <c r="H251" s="319"/>
      <c r="I251" s="319"/>
      <c r="J251" s="319"/>
    </row>
    <row r="252" spans="1:10" ht="15.75" customHeight="1">
      <c r="A252" s="423">
        <v>230</v>
      </c>
      <c r="B252" s="393"/>
      <c r="C252" s="393"/>
      <c r="D252" s="423">
        <v>230</v>
      </c>
      <c r="E252" s="393"/>
      <c r="F252" s="393"/>
      <c r="G252" s="319"/>
      <c r="H252" s="319"/>
      <c r="I252" s="319"/>
      <c r="J252" s="319"/>
    </row>
    <row r="253" spans="1:10" ht="15.75" customHeight="1">
      <c r="A253" s="423">
        <v>231</v>
      </c>
      <c r="B253" s="393"/>
      <c r="C253" s="393"/>
      <c r="D253" s="423">
        <v>231</v>
      </c>
      <c r="E253" s="393"/>
      <c r="F253" s="393"/>
      <c r="G253" s="319"/>
      <c r="H253" s="319"/>
      <c r="I253" s="319"/>
      <c r="J253" s="319"/>
    </row>
    <row r="254" spans="1:10" ht="15.75" customHeight="1">
      <c r="A254" s="423">
        <v>232</v>
      </c>
      <c r="B254" s="393"/>
      <c r="C254" s="393"/>
      <c r="D254" s="423">
        <v>232</v>
      </c>
      <c r="E254" s="393"/>
      <c r="F254" s="393"/>
      <c r="G254" s="319"/>
      <c r="H254" s="319"/>
      <c r="I254" s="319"/>
      <c r="J254" s="319"/>
    </row>
    <row r="255" spans="1:10" ht="15.75" customHeight="1">
      <c r="A255" s="423">
        <v>233</v>
      </c>
      <c r="B255" s="393"/>
      <c r="C255" s="393"/>
      <c r="D255" s="423">
        <v>233</v>
      </c>
      <c r="E255" s="393"/>
      <c r="F255" s="393"/>
      <c r="G255" s="319"/>
      <c r="H255" s="319"/>
      <c r="I255" s="319"/>
      <c r="J255" s="319"/>
    </row>
    <row r="256" spans="1:10" ht="15.75" customHeight="1">
      <c r="A256" s="423">
        <v>234</v>
      </c>
      <c r="B256" s="393"/>
      <c r="C256" s="393"/>
      <c r="D256" s="423">
        <v>234</v>
      </c>
      <c r="E256" s="393"/>
      <c r="F256" s="393"/>
      <c r="G256" s="319"/>
      <c r="H256" s="319"/>
      <c r="I256" s="319"/>
      <c r="J256" s="319"/>
    </row>
    <row r="257" spans="1:10" ht="15.75" customHeight="1">
      <c r="A257" s="423">
        <v>235</v>
      </c>
      <c r="B257" s="393"/>
      <c r="C257" s="393"/>
      <c r="D257" s="423">
        <v>235</v>
      </c>
      <c r="E257" s="393"/>
      <c r="F257" s="393"/>
      <c r="G257" s="319"/>
      <c r="H257" s="319"/>
      <c r="I257" s="319"/>
      <c r="J257" s="319"/>
    </row>
    <row r="258" spans="1:10" ht="15.75" customHeight="1">
      <c r="A258" s="423">
        <v>236</v>
      </c>
      <c r="B258" s="393"/>
      <c r="C258" s="393"/>
      <c r="D258" s="423">
        <v>236</v>
      </c>
      <c r="E258" s="393"/>
      <c r="F258" s="393"/>
      <c r="G258" s="319"/>
      <c r="H258" s="319"/>
      <c r="I258" s="319"/>
      <c r="J258" s="319"/>
    </row>
    <row r="259" spans="1:10" ht="15.75" customHeight="1">
      <c r="A259" s="423">
        <v>237</v>
      </c>
      <c r="B259" s="393"/>
      <c r="C259" s="393"/>
      <c r="D259" s="423">
        <v>237</v>
      </c>
      <c r="E259" s="393"/>
      <c r="F259" s="393"/>
      <c r="G259" s="319"/>
      <c r="H259" s="319"/>
      <c r="I259" s="319"/>
      <c r="J259" s="319"/>
    </row>
    <row r="260" spans="1:10" ht="15.75" customHeight="1">
      <c r="A260" s="423">
        <v>238</v>
      </c>
      <c r="B260" s="393"/>
      <c r="C260" s="393"/>
      <c r="D260" s="423">
        <v>238</v>
      </c>
      <c r="E260" s="393"/>
      <c r="F260" s="393"/>
      <c r="G260" s="319"/>
      <c r="H260" s="319"/>
      <c r="I260" s="319"/>
      <c r="J260" s="319"/>
    </row>
    <row r="261" spans="1:10" ht="15.75" customHeight="1">
      <c r="A261" s="423">
        <v>239</v>
      </c>
      <c r="B261" s="393"/>
      <c r="C261" s="393"/>
      <c r="D261" s="423">
        <v>239</v>
      </c>
      <c r="E261" s="393"/>
      <c r="F261" s="393"/>
      <c r="G261" s="319"/>
      <c r="H261" s="319"/>
      <c r="I261" s="319"/>
      <c r="J261" s="319"/>
    </row>
    <row r="262" spans="1:10" ht="15.75" customHeight="1">
      <c r="A262" s="423">
        <v>240</v>
      </c>
      <c r="B262" s="393"/>
      <c r="C262" s="393"/>
      <c r="D262" s="423">
        <v>240</v>
      </c>
      <c r="E262" s="393"/>
      <c r="F262" s="393"/>
      <c r="G262" s="319"/>
      <c r="H262" s="319"/>
      <c r="I262" s="319"/>
      <c r="J262" s="319"/>
    </row>
    <row r="263" spans="1:10" ht="15.75" customHeight="1">
      <c r="A263" s="423">
        <v>241</v>
      </c>
      <c r="B263" s="393"/>
      <c r="C263" s="393"/>
      <c r="D263" s="423">
        <v>241</v>
      </c>
      <c r="E263" s="393"/>
      <c r="F263" s="393"/>
      <c r="G263" s="319"/>
      <c r="H263" s="319"/>
      <c r="I263" s="319"/>
      <c r="J263" s="319"/>
    </row>
    <row r="264" spans="1:10" ht="15.75" customHeight="1">
      <c r="A264" s="423">
        <v>242</v>
      </c>
      <c r="B264" s="393"/>
      <c r="C264" s="393"/>
      <c r="D264" s="423">
        <v>242</v>
      </c>
      <c r="E264" s="393"/>
      <c r="F264" s="393"/>
      <c r="G264" s="319"/>
      <c r="H264" s="319"/>
      <c r="I264" s="319"/>
      <c r="J264" s="319"/>
    </row>
    <row r="265" spans="1:10" ht="15.75" customHeight="1">
      <c r="A265" s="423">
        <v>243</v>
      </c>
      <c r="B265" s="393"/>
      <c r="C265" s="393"/>
      <c r="D265" s="423">
        <v>243</v>
      </c>
      <c r="E265" s="393"/>
      <c r="F265" s="393"/>
      <c r="G265" s="319"/>
      <c r="H265" s="319"/>
      <c r="I265" s="319"/>
      <c r="J265" s="319"/>
    </row>
    <row r="266" spans="1:10" ht="15.75" customHeight="1">
      <c r="A266" s="423">
        <v>244</v>
      </c>
      <c r="B266" s="393"/>
      <c r="C266" s="393"/>
      <c r="D266" s="423">
        <v>244</v>
      </c>
      <c r="E266" s="393"/>
      <c r="F266" s="393"/>
      <c r="G266" s="319"/>
      <c r="H266" s="319"/>
      <c r="I266" s="319"/>
      <c r="J266" s="319"/>
    </row>
    <row r="267" spans="1:10" ht="15.75" customHeight="1">
      <c r="A267" s="423">
        <v>245</v>
      </c>
      <c r="B267" s="393"/>
      <c r="C267" s="393"/>
      <c r="D267" s="423">
        <v>245</v>
      </c>
      <c r="E267" s="393"/>
      <c r="F267" s="393"/>
      <c r="G267" s="319"/>
      <c r="H267" s="319"/>
      <c r="I267" s="319"/>
      <c r="J267" s="319"/>
    </row>
    <row r="268" spans="1:10" ht="15.75" customHeight="1">
      <c r="A268" s="423">
        <v>246</v>
      </c>
      <c r="B268" s="393"/>
      <c r="C268" s="393"/>
      <c r="D268" s="423">
        <v>246</v>
      </c>
      <c r="E268" s="393"/>
      <c r="F268" s="393"/>
      <c r="G268" s="319"/>
      <c r="H268" s="319"/>
      <c r="I268" s="319"/>
      <c r="J268" s="319"/>
    </row>
    <row r="269" spans="1:10" ht="15.75" customHeight="1">
      <c r="A269" s="423">
        <v>247</v>
      </c>
      <c r="B269" s="393"/>
      <c r="C269" s="393"/>
      <c r="D269" s="423">
        <v>247</v>
      </c>
      <c r="E269" s="393"/>
      <c r="F269" s="393"/>
      <c r="G269" s="319"/>
      <c r="H269" s="319"/>
      <c r="I269" s="319"/>
      <c r="J269" s="319"/>
    </row>
    <row r="270" spans="1:10" ht="15.75" customHeight="1">
      <c r="A270" s="423">
        <v>248</v>
      </c>
      <c r="B270" s="393"/>
      <c r="C270" s="393"/>
      <c r="D270" s="423">
        <v>248</v>
      </c>
      <c r="E270" s="393"/>
      <c r="F270" s="393"/>
      <c r="G270" s="319"/>
      <c r="H270" s="319"/>
      <c r="I270" s="319"/>
      <c r="J270" s="319"/>
    </row>
    <row r="271" spans="1:10" ht="15.75" customHeight="1">
      <c r="A271" s="423">
        <v>249</v>
      </c>
      <c r="B271" s="393"/>
      <c r="C271" s="393"/>
      <c r="D271" s="423">
        <v>249</v>
      </c>
      <c r="E271" s="393"/>
      <c r="F271" s="393"/>
      <c r="G271" s="319"/>
      <c r="H271" s="319"/>
      <c r="I271" s="319"/>
      <c r="J271" s="319"/>
    </row>
    <row r="272" spans="1:10" ht="15.75" customHeight="1">
      <c r="A272" s="423">
        <v>250</v>
      </c>
      <c r="B272" s="393"/>
      <c r="C272" s="393"/>
      <c r="D272" s="423">
        <v>250</v>
      </c>
      <c r="E272" s="393"/>
      <c r="F272" s="393"/>
      <c r="G272" s="319"/>
      <c r="H272" s="319"/>
      <c r="I272" s="319"/>
      <c r="J272" s="319"/>
    </row>
    <row r="273" spans="1:10" ht="15.75" customHeight="1">
      <c r="A273" s="423">
        <v>251</v>
      </c>
      <c r="B273" s="393"/>
      <c r="C273" s="393"/>
      <c r="D273" s="423">
        <v>251</v>
      </c>
      <c r="E273" s="393"/>
      <c r="F273" s="393"/>
      <c r="G273" s="319"/>
      <c r="H273" s="319"/>
      <c r="I273" s="319"/>
      <c r="J273" s="319"/>
    </row>
    <row r="274" spans="1:10" ht="15.75" customHeight="1">
      <c r="A274" s="423">
        <v>252</v>
      </c>
      <c r="B274" s="393"/>
      <c r="C274" s="393"/>
      <c r="D274" s="423">
        <v>252</v>
      </c>
      <c r="E274" s="393"/>
      <c r="F274" s="393"/>
      <c r="G274" s="319"/>
      <c r="H274" s="319"/>
      <c r="I274" s="319"/>
      <c r="J274" s="319"/>
    </row>
    <row r="275" spans="1:10" ht="15.75" customHeight="1">
      <c r="A275" s="423">
        <v>253</v>
      </c>
      <c r="B275" s="393"/>
      <c r="C275" s="393"/>
      <c r="D275" s="423">
        <v>253</v>
      </c>
      <c r="E275" s="393"/>
      <c r="F275" s="393"/>
      <c r="G275" s="319"/>
      <c r="H275" s="319"/>
      <c r="I275" s="319"/>
      <c r="J275" s="319"/>
    </row>
    <row r="276" spans="1:10" ht="15.75" customHeight="1">
      <c r="A276" s="423">
        <v>254</v>
      </c>
      <c r="B276" s="393"/>
      <c r="C276" s="393"/>
      <c r="D276" s="423">
        <v>254</v>
      </c>
      <c r="E276" s="393"/>
      <c r="F276" s="393"/>
      <c r="G276" s="319"/>
      <c r="H276" s="319"/>
      <c r="I276" s="319"/>
      <c r="J276" s="319"/>
    </row>
    <row r="277" spans="1:10" ht="15.75" customHeight="1">
      <c r="A277" s="423">
        <v>255</v>
      </c>
      <c r="B277" s="393"/>
      <c r="C277" s="393"/>
      <c r="D277" s="423">
        <v>255</v>
      </c>
      <c r="E277" s="393"/>
      <c r="F277" s="393"/>
      <c r="G277" s="319"/>
      <c r="H277" s="319"/>
      <c r="I277" s="319"/>
      <c r="J277" s="319"/>
    </row>
    <row r="278" spans="1:10" ht="15.75" customHeight="1">
      <c r="A278" s="423">
        <v>256</v>
      </c>
      <c r="B278" s="393"/>
      <c r="C278" s="393"/>
      <c r="D278" s="423">
        <v>256</v>
      </c>
      <c r="E278" s="393"/>
      <c r="F278" s="393"/>
      <c r="G278" s="319"/>
      <c r="H278" s="319"/>
      <c r="I278" s="319"/>
      <c r="J278" s="319"/>
    </row>
    <row r="279" spans="1:10" ht="15.75" customHeight="1">
      <c r="A279" s="423">
        <v>257</v>
      </c>
      <c r="B279" s="393"/>
      <c r="C279" s="393"/>
      <c r="D279" s="423">
        <v>257</v>
      </c>
      <c r="E279" s="393"/>
      <c r="F279" s="393"/>
      <c r="G279" s="319"/>
      <c r="H279" s="319"/>
      <c r="I279" s="319"/>
      <c r="J279" s="319"/>
    </row>
    <row r="280" spans="1:10" ht="15.75" customHeight="1">
      <c r="A280" s="423">
        <v>258</v>
      </c>
      <c r="B280" s="393"/>
      <c r="C280" s="393"/>
      <c r="D280" s="423">
        <v>258</v>
      </c>
      <c r="E280" s="393"/>
      <c r="F280" s="393"/>
      <c r="G280" s="319"/>
      <c r="H280" s="319"/>
      <c r="I280" s="319"/>
      <c r="J280" s="319"/>
    </row>
    <row r="281" spans="1:10" ht="15.75" customHeight="1">
      <c r="A281" s="423">
        <v>259</v>
      </c>
      <c r="B281" s="393"/>
      <c r="C281" s="393"/>
      <c r="D281" s="423">
        <v>259</v>
      </c>
      <c r="E281" s="393"/>
      <c r="F281" s="393"/>
      <c r="G281" s="319"/>
      <c r="H281" s="319"/>
      <c r="I281" s="319"/>
      <c r="J281" s="319"/>
    </row>
    <row r="282" spans="1:10" ht="15.75" customHeight="1">
      <c r="A282" s="423">
        <v>260</v>
      </c>
      <c r="B282" s="393"/>
      <c r="C282" s="393"/>
      <c r="D282" s="423">
        <v>260</v>
      </c>
      <c r="E282" s="393"/>
      <c r="F282" s="393"/>
      <c r="G282" s="319"/>
      <c r="H282" s="319"/>
      <c r="I282" s="319"/>
      <c r="J282" s="319"/>
    </row>
    <row r="283" spans="1:10" ht="15.75" customHeight="1">
      <c r="A283" s="423">
        <v>261</v>
      </c>
      <c r="B283" s="393"/>
      <c r="C283" s="393"/>
      <c r="D283" s="423">
        <v>261</v>
      </c>
      <c r="E283" s="393"/>
      <c r="F283" s="393"/>
      <c r="G283" s="319"/>
      <c r="H283" s="319"/>
      <c r="I283" s="319"/>
      <c r="J283" s="319"/>
    </row>
    <row r="284" spans="1:10" ht="15.75" customHeight="1">
      <c r="A284" s="423">
        <v>262</v>
      </c>
      <c r="B284" s="393"/>
      <c r="C284" s="393"/>
      <c r="D284" s="423">
        <v>262</v>
      </c>
      <c r="E284" s="393"/>
      <c r="F284" s="393"/>
      <c r="G284" s="319"/>
      <c r="H284" s="319"/>
      <c r="I284" s="319"/>
      <c r="J284" s="319"/>
    </row>
    <row r="285" spans="1:10" ht="15.75" customHeight="1">
      <c r="A285" s="423">
        <v>263</v>
      </c>
      <c r="B285" s="393"/>
      <c r="C285" s="393"/>
      <c r="D285" s="423">
        <v>263</v>
      </c>
      <c r="E285" s="393"/>
      <c r="F285" s="393"/>
      <c r="G285" s="319"/>
      <c r="H285" s="319"/>
      <c r="I285" s="319"/>
      <c r="J285" s="319"/>
    </row>
    <row r="286" spans="1:10" ht="15.75" customHeight="1">
      <c r="A286" s="423">
        <v>264</v>
      </c>
      <c r="B286" s="393"/>
      <c r="C286" s="393"/>
      <c r="D286" s="423">
        <v>264</v>
      </c>
      <c r="E286" s="393"/>
      <c r="F286" s="393"/>
      <c r="G286" s="319"/>
      <c r="H286" s="319"/>
      <c r="I286" s="319"/>
      <c r="J286" s="319"/>
    </row>
    <row r="287" spans="1:10" ht="15.75" customHeight="1">
      <c r="A287" s="423">
        <v>265</v>
      </c>
      <c r="B287" s="393"/>
      <c r="C287" s="393"/>
      <c r="D287" s="423">
        <v>265</v>
      </c>
      <c r="E287" s="393"/>
      <c r="F287" s="393"/>
      <c r="G287" s="319"/>
      <c r="H287" s="319"/>
      <c r="I287" s="319"/>
      <c r="J287" s="319"/>
    </row>
    <row r="288" spans="1:10" ht="15.75" customHeight="1">
      <c r="A288" s="423">
        <v>266</v>
      </c>
      <c r="B288" s="393"/>
      <c r="C288" s="393"/>
      <c r="D288" s="423">
        <v>266</v>
      </c>
      <c r="E288" s="393"/>
      <c r="F288" s="393"/>
      <c r="G288" s="319"/>
      <c r="H288" s="319"/>
      <c r="I288" s="319"/>
      <c r="J288" s="319"/>
    </row>
    <row r="289" spans="1:10" ht="15.75" customHeight="1">
      <c r="A289" s="423">
        <v>267</v>
      </c>
      <c r="B289" s="393"/>
      <c r="C289" s="393"/>
      <c r="D289" s="423">
        <v>267</v>
      </c>
      <c r="E289" s="393"/>
      <c r="F289" s="393"/>
      <c r="G289" s="319"/>
      <c r="H289" s="319"/>
      <c r="I289" s="319"/>
      <c r="J289" s="319"/>
    </row>
    <row r="290" spans="1:10" ht="15.75" customHeight="1">
      <c r="A290" s="423">
        <v>268</v>
      </c>
      <c r="B290" s="393"/>
      <c r="C290" s="393"/>
      <c r="D290" s="423">
        <v>268</v>
      </c>
      <c r="E290" s="393"/>
      <c r="F290" s="393"/>
      <c r="G290" s="319"/>
      <c r="H290" s="319"/>
      <c r="I290" s="319"/>
      <c r="J290" s="319"/>
    </row>
    <row r="291" spans="1:10" ht="15.75" customHeight="1">
      <c r="A291" s="423">
        <v>269</v>
      </c>
      <c r="B291" s="393"/>
      <c r="C291" s="393"/>
      <c r="D291" s="423">
        <v>269</v>
      </c>
      <c r="E291" s="393"/>
      <c r="F291" s="393"/>
      <c r="G291" s="319"/>
      <c r="H291" s="319"/>
      <c r="I291" s="319"/>
      <c r="J291" s="319"/>
    </row>
    <row r="292" spans="1:10" ht="15.75" customHeight="1">
      <c r="A292" s="423">
        <v>270</v>
      </c>
      <c r="B292" s="393"/>
      <c r="C292" s="393"/>
      <c r="D292" s="423">
        <v>270</v>
      </c>
      <c r="E292" s="393"/>
      <c r="F292" s="393"/>
      <c r="G292" s="319"/>
      <c r="H292" s="319"/>
      <c r="I292" s="319"/>
      <c r="J292" s="319"/>
    </row>
    <row r="293" spans="1:10" ht="15.75" customHeight="1">
      <c r="A293" s="423">
        <v>271</v>
      </c>
      <c r="B293" s="393"/>
      <c r="C293" s="393"/>
      <c r="D293" s="423">
        <v>271</v>
      </c>
      <c r="E293" s="393"/>
      <c r="F293" s="393"/>
      <c r="G293" s="319"/>
      <c r="H293" s="319"/>
      <c r="I293" s="319"/>
      <c r="J293" s="319"/>
    </row>
    <row r="294" spans="1:10" ht="15.75" customHeight="1">
      <c r="A294" s="423">
        <v>272</v>
      </c>
      <c r="B294" s="393"/>
      <c r="C294" s="393"/>
      <c r="D294" s="423">
        <v>272</v>
      </c>
      <c r="E294" s="393"/>
      <c r="F294" s="393"/>
      <c r="G294" s="319"/>
      <c r="H294" s="319"/>
      <c r="I294" s="319"/>
      <c r="J294" s="319"/>
    </row>
    <row r="295" spans="1:10" ht="15.75" customHeight="1">
      <c r="A295" s="423">
        <v>273</v>
      </c>
      <c r="B295" s="393"/>
      <c r="C295" s="393"/>
      <c r="D295" s="423">
        <v>273</v>
      </c>
      <c r="E295" s="393"/>
      <c r="F295" s="393"/>
      <c r="G295" s="319"/>
      <c r="H295" s="319"/>
      <c r="I295" s="319"/>
      <c r="J295" s="319"/>
    </row>
    <row r="296" spans="1:10" ht="15.75" customHeight="1">
      <c r="A296" s="423">
        <v>274</v>
      </c>
      <c r="B296" s="393"/>
      <c r="C296" s="393"/>
      <c r="D296" s="423">
        <v>274</v>
      </c>
      <c r="E296" s="393"/>
      <c r="F296" s="393"/>
      <c r="G296" s="319"/>
      <c r="H296" s="319"/>
      <c r="I296" s="319"/>
      <c r="J296" s="319"/>
    </row>
    <row r="297" spans="1:10" ht="15.75" customHeight="1">
      <c r="A297" s="423">
        <v>275</v>
      </c>
      <c r="B297" s="393"/>
      <c r="C297" s="393"/>
      <c r="D297" s="423">
        <v>275</v>
      </c>
      <c r="E297" s="393"/>
      <c r="F297" s="393"/>
      <c r="G297" s="319"/>
      <c r="H297" s="319"/>
      <c r="I297" s="319"/>
      <c r="J297" s="319"/>
    </row>
    <row r="298" spans="1:10" ht="15.75" customHeight="1">
      <c r="A298" s="423">
        <v>276</v>
      </c>
      <c r="B298" s="393"/>
      <c r="C298" s="393"/>
      <c r="D298" s="423">
        <v>276</v>
      </c>
      <c r="E298" s="393"/>
      <c r="F298" s="393"/>
      <c r="G298" s="319"/>
      <c r="H298" s="319"/>
      <c r="I298" s="319"/>
      <c r="J298" s="319"/>
    </row>
    <row r="299" spans="1:10" ht="15.75" customHeight="1">
      <c r="A299" s="423">
        <v>277</v>
      </c>
      <c r="B299" s="393"/>
      <c r="C299" s="393"/>
      <c r="D299" s="423">
        <v>277</v>
      </c>
      <c r="E299" s="393"/>
      <c r="F299" s="393"/>
      <c r="G299" s="319"/>
      <c r="H299" s="319"/>
      <c r="I299" s="319"/>
      <c r="J299" s="319"/>
    </row>
    <row r="300" spans="1:10" ht="15.75" customHeight="1">
      <c r="A300" s="423">
        <v>278</v>
      </c>
      <c r="B300" s="393"/>
      <c r="C300" s="393"/>
      <c r="D300" s="423">
        <v>278</v>
      </c>
      <c r="E300" s="393"/>
      <c r="F300" s="393"/>
      <c r="G300" s="319"/>
      <c r="H300" s="319"/>
      <c r="I300" s="319"/>
      <c r="J300" s="319"/>
    </row>
    <row r="301" spans="1:10" ht="15.75" customHeight="1">
      <c r="A301" s="423">
        <v>279</v>
      </c>
      <c r="B301" s="393"/>
      <c r="C301" s="393"/>
      <c r="D301" s="423">
        <v>279</v>
      </c>
      <c r="E301" s="393"/>
      <c r="F301" s="393"/>
      <c r="G301" s="319"/>
      <c r="H301" s="319"/>
      <c r="I301" s="319"/>
      <c r="J301" s="319"/>
    </row>
    <row r="302" spans="1:10" ht="15.75" customHeight="1">
      <c r="A302" s="423">
        <v>280</v>
      </c>
      <c r="B302" s="393"/>
      <c r="C302" s="393"/>
      <c r="D302" s="423">
        <v>280</v>
      </c>
      <c r="E302" s="393"/>
      <c r="F302" s="393"/>
      <c r="G302" s="319"/>
      <c r="H302" s="319"/>
      <c r="I302" s="319"/>
      <c r="J302" s="319"/>
    </row>
    <row r="303" spans="1:10" ht="15.75" customHeight="1">
      <c r="A303" s="423">
        <v>281</v>
      </c>
      <c r="B303" s="393"/>
      <c r="C303" s="393"/>
      <c r="D303" s="423">
        <v>281</v>
      </c>
      <c r="E303" s="393"/>
      <c r="F303" s="393"/>
      <c r="G303" s="319"/>
      <c r="H303" s="319"/>
      <c r="I303" s="319"/>
      <c r="J303" s="319"/>
    </row>
    <row r="304" spans="1:10" ht="15.75" customHeight="1">
      <c r="A304" s="423">
        <v>282</v>
      </c>
      <c r="B304" s="393"/>
      <c r="C304" s="393"/>
      <c r="D304" s="423">
        <v>282</v>
      </c>
      <c r="E304" s="393"/>
      <c r="F304" s="393"/>
      <c r="G304" s="319"/>
      <c r="H304" s="319"/>
      <c r="I304" s="319"/>
      <c r="J304" s="319"/>
    </row>
    <row r="305" spans="1:10" ht="15.75" customHeight="1">
      <c r="A305" s="423">
        <v>283</v>
      </c>
      <c r="B305" s="393"/>
      <c r="C305" s="393"/>
      <c r="D305" s="423">
        <v>283</v>
      </c>
      <c r="E305" s="393"/>
      <c r="F305" s="393"/>
      <c r="G305" s="319"/>
      <c r="H305" s="319"/>
      <c r="I305" s="319"/>
      <c r="J305" s="319"/>
    </row>
    <row r="306" spans="1:10" ht="15.75" customHeight="1">
      <c r="A306" s="423">
        <v>284</v>
      </c>
      <c r="B306" s="393"/>
      <c r="C306" s="393"/>
      <c r="D306" s="423">
        <v>284</v>
      </c>
      <c r="E306" s="393"/>
      <c r="F306" s="393"/>
      <c r="G306" s="319"/>
      <c r="H306" s="319"/>
      <c r="I306" s="319"/>
      <c r="J306" s="319"/>
    </row>
    <row r="307" spans="1:10" ht="15.75" customHeight="1">
      <c r="A307" s="423">
        <v>285</v>
      </c>
      <c r="B307" s="393"/>
      <c r="C307" s="393"/>
      <c r="D307" s="423">
        <v>285</v>
      </c>
      <c r="E307" s="393"/>
      <c r="F307" s="393"/>
      <c r="G307" s="319"/>
      <c r="H307" s="319"/>
      <c r="I307" s="319"/>
      <c r="J307" s="319"/>
    </row>
    <row r="308" spans="1:10" ht="15.75" customHeight="1">
      <c r="A308" s="423">
        <v>286</v>
      </c>
      <c r="B308" s="393"/>
      <c r="C308" s="393"/>
      <c r="D308" s="423">
        <v>286</v>
      </c>
      <c r="E308" s="393"/>
      <c r="F308" s="393"/>
      <c r="G308" s="319"/>
      <c r="H308" s="319"/>
      <c r="I308" s="319"/>
      <c r="J308" s="319"/>
    </row>
    <row r="309" spans="1:10" ht="15.75" customHeight="1">
      <c r="A309" s="423">
        <v>287</v>
      </c>
      <c r="B309" s="393"/>
      <c r="C309" s="393"/>
      <c r="D309" s="423">
        <v>287</v>
      </c>
      <c r="E309" s="393"/>
      <c r="F309" s="393"/>
      <c r="G309" s="319"/>
      <c r="H309" s="319"/>
      <c r="I309" s="319"/>
      <c r="J309" s="319"/>
    </row>
    <row r="310" spans="1:10" ht="15.75" customHeight="1">
      <c r="A310" s="423">
        <v>288</v>
      </c>
      <c r="B310" s="393"/>
      <c r="C310" s="393"/>
      <c r="D310" s="423">
        <v>288</v>
      </c>
      <c r="E310" s="393"/>
      <c r="F310" s="393"/>
      <c r="G310" s="319"/>
      <c r="H310" s="319"/>
      <c r="I310" s="319"/>
      <c r="J310" s="319"/>
    </row>
    <row r="311" spans="1:10" ht="15.75" customHeight="1">
      <c r="A311" s="423">
        <v>289</v>
      </c>
      <c r="B311" s="393"/>
      <c r="C311" s="393"/>
      <c r="D311" s="423">
        <v>289</v>
      </c>
      <c r="E311" s="393"/>
      <c r="F311" s="393"/>
      <c r="G311" s="319"/>
      <c r="H311" s="319"/>
      <c r="I311" s="319"/>
      <c r="J311" s="319"/>
    </row>
    <row r="312" spans="1:10" ht="15.75" customHeight="1">
      <c r="A312" s="423">
        <v>290</v>
      </c>
      <c r="B312" s="393"/>
      <c r="C312" s="393"/>
      <c r="D312" s="423">
        <v>290</v>
      </c>
      <c r="E312" s="393"/>
      <c r="F312" s="393"/>
      <c r="G312" s="319"/>
      <c r="H312" s="319"/>
      <c r="I312" s="319"/>
      <c r="J312" s="319"/>
    </row>
    <row r="313" spans="1:10" ht="15.75" customHeight="1">
      <c r="A313" s="423">
        <v>291</v>
      </c>
      <c r="B313" s="393"/>
      <c r="C313" s="393"/>
      <c r="D313" s="423">
        <v>291</v>
      </c>
      <c r="E313" s="393"/>
      <c r="F313" s="393"/>
      <c r="G313" s="319"/>
      <c r="H313" s="319"/>
      <c r="I313" s="319"/>
      <c r="J313" s="319"/>
    </row>
    <row r="314" spans="1:10" ht="15.75" customHeight="1">
      <c r="A314" s="423">
        <v>292</v>
      </c>
      <c r="B314" s="393"/>
      <c r="C314" s="393"/>
      <c r="D314" s="423">
        <v>292</v>
      </c>
      <c r="E314" s="393"/>
      <c r="F314" s="393"/>
      <c r="G314" s="319"/>
      <c r="H314" s="319"/>
      <c r="I314" s="319"/>
      <c r="J314" s="319"/>
    </row>
    <row r="315" spans="1:10" ht="15.75" customHeight="1">
      <c r="A315" s="423">
        <v>293</v>
      </c>
      <c r="B315" s="393"/>
      <c r="C315" s="393"/>
      <c r="D315" s="423">
        <v>293</v>
      </c>
      <c r="E315" s="393"/>
      <c r="F315" s="393"/>
      <c r="G315" s="319"/>
      <c r="H315" s="319"/>
      <c r="I315" s="319"/>
      <c r="J315" s="319"/>
    </row>
    <row r="316" spans="1:10" ht="15.75" customHeight="1">
      <c r="A316" s="423">
        <v>294</v>
      </c>
      <c r="B316" s="393"/>
      <c r="C316" s="393"/>
      <c r="D316" s="423">
        <v>294</v>
      </c>
      <c r="E316" s="393"/>
      <c r="F316" s="393"/>
      <c r="G316" s="319"/>
      <c r="H316" s="319"/>
      <c r="I316" s="319"/>
      <c r="J316" s="319"/>
    </row>
    <row r="317" spans="1:10" ht="15.75" customHeight="1">
      <c r="A317" s="423">
        <v>295</v>
      </c>
      <c r="B317" s="393"/>
      <c r="C317" s="393"/>
      <c r="D317" s="423">
        <v>295</v>
      </c>
      <c r="E317" s="393"/>
      <c r="F317" s="393"/>
      <c r="G317" s="319"/>
      <c r="H317" s="319"/>
      <c r="I317" s="319"/>
      <c r="J317" s="319"/>
    </row>
    <row r="318" spans="1:10" ht="15.75" customHeight="1">
      <c r="A318" s="423">
        <v>296</v>
      </c>
      <c r="B318" s="393"/>
      <c r="C318" s="393"/>
      <c r="D318" s="423">
        <v>296</v>
      </c>
      <c r="E318" s="393"/>
      <c r="F318" s="393"/>
      <c r="G318" s="319"/>
      <c r="H318" s="319"/>
      <c r="I318" s="319"/>
      <c r="J318" s="319"/>
    </row>
    <row r="319" spans="1:10" ht="15.75" customHeight="1">
      <c r="A319" s="423">
        <v>297</v>
      </c>
      <c r="B319" s="393"/>
      <c r="C319" s="393"/>
      <c r="D319" s="423">
        <v>297</v>
      </c>
      <c r="E319" s="393"/>
      <c r="F319" s="393"/>
      <c r="G319" s="319"/>
      <c r="H319" s="319"/>
      <c r="I319" s="319"/>
      <c r="J319" s="319"/>
    </row>
    <row r="320" spans="1:10" ht="15.75" customHeight="1">
      <c r="A320" s="423">
        <v>298</v>
      </c>
      <c r="B320" s="393"/>
      <c r="C320" s="393"/>
      <c r="D320" s="423">
        <v>298</v>
      </c>
      <c r="E320" s="393"/>
      <c r="F320" s="393"/>
      <c r="G320" s="319"/>
      <c r="H320" s="319"/>
      <c r="I320" s="319"/>
      <c r="J320" s="319"/>
    </row>
    <row r="321" spans="1:10" ht="15.75" customHeight="1">
      <c r="A321" s="423">
        <v>299</v>
      </c>
      <c r="B321" s="393"/>
      <c r="C321" s="393"/>
      <c r="D321" s="423">
        <v>299</v>
      </c>
      <c r="E321" s="393"/>
      <c r="F321" s="393"/>
      <c r="G321" s="319"/>
      <c r="H321" s="319"/>
      <c r="I321" s="319"/>
      <c r="J321" s="319"/>
    </row>
    <row r="322" spans="1:10" s="318" customFormat="1">
      <c r="A322" s="423">
        <v>300</v>
      </c>
      <c r="B322" s="393"/>
      <c r="C322" s="393"/>
      <c r="D322" s="423">
        <v>300</v>
      </c>
      <c r="E322" s="393"/>
      <c r="F322" s="393"/>
      <c r="G322" s="319"/>
      <c r="H322" s="319"/>
      <c r="I322" s="319"/>
      <c r="J322" s="319"/>
    </row>
    <row r="323" spans="1:10" s="318" customFormat="1">
      <c r="A323" s="319"/>
      <c r="B323" s="319"/>
      <c r="C323" s="319"/>
      <c r="D323" s="319"/>
      <c r="E323" s="372"/>
      <c r="F323" s="319"/>
      <c r="G323" s="319"/>
      <c r="H323" s="319"/>
      <c r="I323" s="319"/>
      <c r="J323" s="319"/>
    </row>
    <row r="324" spans="1:10" s="318" customFormat="1" ht="28.5">
      <c r="A324" s="319"/>
      <c r="B324" s="356" t="s">
        <v>884</v>
      </c>
      <c r="C324" s="447" t="str">
        <f>IF(OR(AND(B4="да",SUM(C8:C14)&gt;0,SUM(B23:B322,E23:E322)&gt;0,SUM(C23:C322,F23:F322)&gt;0),AND(B4="нет",SUM(C8:C14)=0,SUM(B23:B322,E23:E322)=0,SUM(C23:C322,F23:F322)=0)),"Готово","Заполните данные")</f>
        <v>Готово</v>
      </c>
      <c r="D324" s="319"/>
      <c r="E324" s="372"/>
      <c r="F324" s="319"/>
      <c r="G324" s="319"/>
      <c r="H324" s="319"/>
      <c r="I324" s="319"/>
      <c r="J324" s="319"/>
    </row>
    <row r="325" spans="1:10">
      <c r="A325" s="319"/>
      <c r="B325" s="319"/>
      <c r="C325" s="319"/>
      <c r="D325" s="319"/>
      <c r="E325" s="372"/>
      <c r="F325" s="319"/>
      <c r="G325" s="319"/>
      <c r="H325" s="319"/>
      <c r="I325" s="319"/>
    </row>
    <row r="331" spans="1:10" hidden="1">
      <c r="G331" s="319"/>
      <c r="H331" s="319"/>
      <c r="I331" s="319"/>
      <c r="J331" s="319"/>
    </row>
    <row r="332" spans="1:10" hidden="1">
      <c r="A332" s="319"/>
      <c r="B332" s="319"/>
      <c r="C332" s="319"/>
      <c r="D332" s="319"/>
      <c r="E332" s="319"/>
      <c r="F332" s="319"/>
    </row>
  </sheetData>
  <sheetProtection algorithmName="SHA-512" hashValue="iSHZm4nMQnS7ypx4NvzDMfRiW/2Q5CM7SPGihPVXC/NoLnagM62UVJDYFhJ2mQ8NHEIV6GvLS/Q4nsg28n2SKg==" saltValue="O6TQUtJvPMcsN5g9ZRccXw==" spinCount="100000" sheet="1" objects="1" scenarios="1"/>
  <mergeCells count="9">
    <mergeCell ref="E3:G3"/>
    <mergeCell ref="A20:F20"/>
    <mergeCell ref="A6:C6"/>
    <mergeCell ref="A19:F19"/>
    <mergeCell ref="A21:C21"/>
    <mergeCell ref="D21:F21"/>
    <mergeCell ref="E7:G7"/>
    <mergeCell ref="E8:G8"/>
    <mergeCell ref="E4:G4"/>
  </mergeCells>
  <conditionalFormatting sqref="B4">
    <cfRule type="cellIs" dxfId="6" priority="9" operator="equal">
      <formula>"Пожалуйста, выберите…"</formula>
    </cfRule>
  </conditionalFormatting>
  <conditionalFormatting sqref="C8:C14 A23:F322">
    <cfRule type="expression" dxfId="5" priority="3">
      <formula>$B$4="Пожалуйста, выберите…"</formula>
    </cfRule>
    <cfRule type="expression" dxfId="4" priority="8">
      <formula>$B$4="нет"</formula>
    </cfRule>
  </conditionalFormatting>
  <conditionalFormatting sqref="C17">
    <cfRule type="containsText" dxfId="3" priority="1" operator="containsText" text="Готово">
      <formula>NOT(ISERROR(SEARCH("Готово",C17)))</formula>
    </cfRule>
    <cfRule type="containsText" dxfId="2" priority="2" operator="containsText" text="Заполните данные">
      <formula>NOT(ISERROR(SEARCH("Заполните данные",C17)))</formula>
    </cfRule>
  </conditionalFormatting>
  <conditionalFormatting sqref="C324">
    <cfRule type="containsText" dxfId="1" priority="6" operator="containsText" text="Готово">
      <formula>NOT(ISERROR(SEARCH("Готово",C324)))</formula>
    </cfRule>
    <cfRule type="containsText" dxfId="0" priority="7" operator="containsText" text="Заполните данные">
      <formula>NOT(ISERROR(SEARCH("Заполните данные",C324)))</formula>
    </cfRule>
  </conditionalFormatting>
  <dataValidations count="3">
    <dataValidation type="list" allowBlank="1" showInputMessage="1" showErrorMessage="1" sqref="B4" xr:uid="{00000000-0002-0000-0A00-000000000000}">
      <formula1>danet</formula1>
    </dataValidation>
    <dataValidation type="decimal" allowBlank="1" showInputMessage="1" showErrorMessage="1" sqref="C23:C322 F23:F322" xr:uid="{00000000-0002-0000-0A00-000001000000}">
      <formula1>0</formula1>
      <formula2>200</formula2>
    </dataValidation>
    <dataValidation type="decimal" allowBlank="1" showInputMessage="1" showErrorMessage="1" sqref="E23:E322 B23:B322" xr:uid="{00000000-0002-0000-0A00-000002000000}">
      <formula1>0</formula1>
      <formula2>10000000</formula2>
    </dataValidation>
  </dataValidations>
  <hyperlinks>
    <hyperlink ref="C1" location="'0.Результаты расчета'!A1" display="Перейти к результатам расчета потенциала и ЦУС" xr:uid="{00000000-0004-0000-0A00-000000000000}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Лист3">
    <tabColor rgb="FF92D050"/>
  </sheetPr>
  <dimension ref="A1:G452"/>
  <sheetViews>
    <sheetView topLeftCell="A10" workbookViewId="0">
      <selection activeCell="E223" sqref="E219:I223"/>
    </sheetView>
  </sheetViews>
  <sheetFormatPr defaultColWidth="8.7109375" defaultRowHeight="15"/>
  <cols>
    <col min="5" max="5" width="9.42578125" bestFit="1" customWidth="1"/>
    <col min="6" max="6" width="8.7109375" style="36"/>
    <col min="7" max="7" width="9.42578125" style="36" bestFit="1" customWidth="1"/>
  </cols>
  <sheetData>
    <row r="1" spans="1:7" ht="15.75" thickBot="1">
      <c r="D1" s="13">
        <v>0.1</v>
      </c>
      <c r="E1" s="13">
        <v>0.4</v>
      </c>
    </row>
    <row r="2" spans="1:7" ht="23.25" customHeight="1" thickBot="1">
      <c r="A2" s="522" t="s">
        <v>0</v>
      </c>
      <c r="B2" s="467" t="s">
        <v>1</v>
      </c>
      <c r="C2" s="468"/>
      <c r="D2" s="469"/>
      <c r="E2" s="19">
        <f>(1-E57)^(1/3)-1</f>
        <v>-2.8788931296585329E-2</v>
      </c>
      <c r="F2" s="19">
        <f>(1-F57)^(1/3)-1</f>
        <v>-3.0571410979340685E-2</v>
      </c>
      <c r="G2" s="19"/>
    </row>
    <row r="3" spans="1:7" ht="72.75" thickBot="1">
      <c r="A3" s="523"/>
      <c r="B3" s="1" t="s">
        <v>4</v>
      </c>
      <c r="C3" s="1"/>
      <c r="D3" s="1" t="s">
        <v>80</v>
      </c>
      <c r="E3" s="1" t="s">
        <v>5</v>
      </c>
      <c r="F3" s="37" t="s">
        <v>5</v>
      </c>
      <c r="G3" s="37"/>
    </row>
    <row r="4" spans="1:7" ht="16.5" customHeight="1" thickBot="1">
      <c r="A4" s="524"/>
      <c r="B4" s="1" t="s">
        <v>6</v>
      </c>
      <c r="C4" s="1"/>
      <c r="D4" s="1" t="s">
        <v>7</v>
      </c>
      <c r="E4" s="1" t="s">
        <v>7</v>
      </c>
      <c r="F4" s="37" t="s">
        <v>7</v>
      </c>
      <c r="G4" s="37"/>
    </row>
    <row r="5" spans="1:7">
      <c r="A5" s="50">
        <v>1</v>
      </c>
      <c r="B5" s="51">
        <v>2</v>
      </c>
      <c r="C5" s="51"/>
      <c r="D5" s="51">
        <v>3</v>
      </c>
      <c r="E5" s="51">
        <v>4</v>
      </c>
      <c r="F5" s="52">
        <v>5</v>
      </c>
      <c r="G5" s="52"/>
    </row>
    <row r="6" spans="1:7">
      <c r="A6" s="27" t="s">
        <v>10</v>
      </c>
      <c r="B6" s="30">
        <v>2.2765368098044938</v>
      </c>
      <c r="C6" s="30">
        <v>0</v>
      </c>
      <c r="D6" s="14">
        <v>0</v>
      </c>
      <c r="E6" s="14">
        <v>0</v>
      </c>
      <c r="F6" s="38">
        <v>0</v>
      </c>
      <c r="G6" s="38">
        <v>0</v>
      </c>
    </row>
    <row r="7" spans="1:7">
      <c r="A7" s="27" t="s">
        <v>58</v>
      </c>
      <c r="B7" s="30">
        <v>3.5873602081920843</v>
      </c>
      <c r="C7" s="30">
        <f>B6</f>
        <v>2.2765368098044938</v>
      </c>
      <c r="D7" s="14">
        <v>0</v>
      </c>
      <c r="E7" s="14">
        <v>0</v>
      </c>
      <c r="F7" s="38">
        <v>0</v>
      </c>
      <c r="G7" s="38">
        <v>0</v>
      </c>
    </row>
    <row r="8" spans="1:7">
      <c r="A8" s="27" t="s">
        <v>59</v>
      </c>
      <c r="B8" s="30">
        <v>4.0057005574178959</v>
      </c>
      <c r="C8" s="30">
        <f t="shared" ref="C8:C56" si="0">B7</f>
        <v>3.5873602081920843</v>
      </c>
      <c r="D8" s="14">
        <v>0</v>
      </c>
      <c r="E8" s="14">
        <v>0</v>
      </c>
      <c r="F8" s="38">
        <v>0</v>
      </c>
      <c r="G8" s="38">
        <v>0</v>
      </c>
    </row>
    <row r="9" spans="1:7">
      <c r="A9" s="27" t="s">
        <v>60</v>
      </c>
      <c r="B9" s="30">
        <v>5.8898340148801944</v>
      </c>
      <c r="C9" s="30">
        <f t="shared" si="0"/>
        <v>4.0057005574178959</v>
      </c>
      <c r="D9" s="14">
        <v>0</v>
      </c>
      <c r="E9" s="14">
        <v>0</v>
      </c>
      <c r="F9" s="38"/>
      <c r="G9" s="38"/>
    </row>
    <row r="10" spans="1:7">
      <c r="A10" s="27" t="s">
        <v>61</v>
      </c>
      <c r="B10" s="30">
        <v>7.5553312524029819</v>
      </c>
      <c r="C10" s="30">
        <f t="shared" si="0"/>
        <v>5.8898340148801944</v>
      </c>
      <c r="D10" s="14">
        <v>0</v>
      </c>
      <c r="E10" s="14">
        <v>0</v>
      </c>
      <c r="F10" s="38"/>
      <c r="G10" s="38"/>
    </row>
    <row r="11" spans="1:7">
      <c r="A11" s="27" t="s">
        <v>62</v>
      </c>
      <c r="B11" s="30">
        <v>10.558342184918976</v>
      </c>
      <c r="C11" s="30">
        <f t="shared" si="0"/>
        <v>7.5553312524029819</v>
      </c>
      <c r="D11" s="14">
        <v>0</v>
      </c>
      <c r="E11" s="14">
        <v>0</v>
      </c>
      <c r="F11" s="38"/>
      <c r="G11" s="38"/>
    </row>
    <row r="12" spans="1:7">
      <c r="A12" s="27" t="s">
        <v>63</v>
      </c>
      <c r="B12" s="30">
        <v>11.63974429532877</v>
      </c>
      <c r="C12" s="30">
        <f t="shared" si="0"/>
        <v>10.558342184918976</v>
      </c>
      <c r="D12" s="14">
        <v>0</v>
      </c>
      <c r="E12" s="14">
        <v>0</v>
      </c>
      <c r="F12" s="38"/>
      <c r="G12" s="38"/>
    </row>
    <row r="13" spans="1:7">
      <c r="A13" s="29" t="s">
        <v>11</v>
      </c>
      <c r="B13" s="30">
        <v>12.329522997322456</v>
      </c>
      <c r="C13" s="30">
        <f t="shared" si="0"/>
        <v>11.63974429532877</v>
      </c>
      <c r="D13" s="14">
        <v>0</v>
      </c>
      <c r="E13" s="14">
        <v>0</v>
      </c>
      <c r="F13" s="38"/>
      <c r="G13" s="38"/>
    </row>
    <row r="14" spans="1:7">
      <c r="A14" s="29" t="s">
        <v>12</v>
      </c>
      <c r="B14" s="30">
        <v>12.760558832614906</v>
      </c>
      <c r="C14" s="30">
        <f t="shared" si="0"/>
        <v>12.329522997322456</v>
      </c>
      <c r="D14" s="14">
        <v>0</v>
      </c>
      <c r="E14" s="14">
        <v>0</v>
      </c>
      <c r="F14" s="38"/>
      <c r="G14" s="38"/>
    </row>
    <row r="15" spans="1:7">
      <c r="A15" s="29" t="s">
        <v>13</v>
      </c>
      <c r="B15" s="30">
        <v>13.201736632216194</v>
      </c>
      <c r="C15" s="30">
        <f t="shared" si="0"/>
        <v>12.760558832614906</v>
      </c>
      <c r="D15" s="14">
        <v>0</v>
      </c>
      <c r="E15" s="14">
        <v>0</v>
      </c>
      <c r="F15" s="38"/>
      <c r="G15" s="38"/>
    </row>
    <row r="16" spans="1:7">
      <c r="A16" s="29" t="s">
        <v>14</v>
      </c>
      <c r="B16" s="30">
        <v>13.867947746529923</v>
      </c>
      <c r="C16" s="30">
        <f t="shared" si="0"/>
        <v>13.201736632216194</v>
      </c>
      <c r="D16" s="14">
        <v>0</v>
      </c>
      <c r="E16" s="14">
        <v>0</v>
      </c>
      <c r="F16" s="38"/>
      <c r="G16" s="38"/>
    </row>
    <row r="17" spans="1:7">
      <c r="A17" s="29" t="s">
        <v>15</v>
      </c>
      <c r="B17" s="30">
        <v>14.702294619233699</v>
      </c>
      <c r="C17" s="30">
        <f t="shared" si="0"/>
        <v>13.867947746529923</v>
      </c>
      <c r="D17" s="14">
        <v>0</v>
      </c>
      <c r="E17" s="14">
        <v>0</v>
      </c>
      <c r="F17" s="38"/>
      <c r="G17" s="38"/>
    </row>
    <row r="18" spans="1:7">
      <c r="A18" s="29" t="s">
        <v>16</v>
      </c>
      <c r="B18" s="30">
        <v>15.243475285566026</v>
      </c>
      <c r="C18" s="30">
        <f t="shared" si="0"/>
        <v>14.702294619233699</v>
      </c>
      <c r="D18" s="14">
        <v>0</v>
      </c>
      <c r="E18" s="14">
        <v>0</v>
      </c>
      <c r="F18" s="38"/>
      <c r="G18" s="38"/>
    </row>
    <row r="19" spans="1:7">
      <c r="A19" s="29" t="s">
        <v>17</v>
      </c>
      <c r="B19" s="30">
        <v>16.249360915221089</v>
      </c>
      <c r="C19" s="30">
        <f t="shared" si="0"/>
        <v>15.243475285566026</v>
      </c>
      <c r="D19" s="14">
        <v>0</v>
      </c>
      <c r="E19" s="14">
        <v>0</v>
      </c>
      <c r="F19" s="38"/>
      <c r="G19" s="38"/>
    </row>
    <row r="20" spans="1:7">
      <c r="A20" s="29" t="s">
        <v>18</v>
      </c>
      <c r="B20" s="30">
        <v>17.481502012413596</v>
      </c>
      <c r="C20" s="30">
        <f t="shared" si="0"/>
        <v>16.249360915221089</v>
      </c>
      <c r="D20" s="14">
        <v>0</v>
      </c>
      <c r="E20" s="14">
        <v>0</v>
      </c>
      <c r="F20" s="38"/>
      <c r="G20" s="38"/>
    </row>
    <row r="21" spans="1:7">
      <c r="A21" s="29" t="s">
        <v>19</v>
      </c>
      <c r="B21" s="30">
        <v>18.11822955528876</v>
      </c>
      <c r="C21" s="30">
        <f t="shared" si="0"/>
        <v>17.481502012413596</v>
      </c>
      <c r="D21" s="14">
        <v>1.3266020825543517E-2</v>
      </c>
      <c r="E21" s="14"/>
      <c r="F21" s="38"/>
      <c r="G21" s="38"/>
    </row>
    <row r="22" spans="1:7">
      <c r="A22" s="29" t="s">
        <v>20</v>
      </c>
      <c r="B22" s="30">
        <v>19.202994108186612</v>
      </c>
      <c r="C22" s="30">
        <f t="shared" si="0"/>
        <v>18.11822955528876</v>
      </c>
      <c r="D22" s="14">
        <v>6.9005976673989888E-2</v>
      </c>
      <c r="E22" s="14"/>
      <c r="F22" s="38"/>
      <c r="G22" s="38"/>
    </row>
    <row r="23" spans="1:7">
      <c r="A23" s="29" t="s">
        <v>21</v>
      </c>
      <c r="B23" s="30">
        <v>20.026960476223383</v>
      </c>
      <c r="C23" s="30">
        <f t="shared" si="0"/>
        <v>19.202994108186612</v>
      </c>
      <c r="D23" s="14">
        <v>0.10730973050496226</v>
      </c>
      <c r="E23" s="14">
        <v>1.0730973050496227E-2</v>
      </c>
      <c r="F23" s="38">
        <v>1.4108552337214059E-2</v>
      </c>
      <c r="G23" s="38">
        <v>0.22024231763606719</v>
      </c>
    </row>
    <row r="24" spans="1:7">
      <c r="A24" s="29" t="s">
        <v>22</v>
      </c>
      <c r="B24" s="30">
        <v>21.050011984327906</v>
      </c>
      <c r="C24" s="30">
        <f t="shared" si="0"/>
        <v>20.026960476223383</v>
      </c>
      <c r="D24" s="14">
        <v>0.15069536501942593</v>
      </c>
      <c r="E24" s="14">
        <v>1.5069536501942597E-2</v>
      </c>
      <c r="F24" s="38">
        <v>1.8282962077698556E-2</v>
      </c>
      <c r="G24" s="38">
        <v>0.2289787196947792</v>
      </c>
    </row>
    <row r="25" spans="1:7">
      <c r="A25" s="29" t="s">
        <v>23</v>
      </c>
      <c r="B25" s="30">
        <v>22.82213713998895</v>
      </c>
      <c r="C25" s="30">
        <f t="shared" si="0"/>
        <v>21.050011984327906</v>
      </c>
      <c r="D25" s="14">
        <v>0.21664335662234227</v>
      </c>
      <c r="E25" s="14">
        <v>2.1664335662234229E-2</v>
      </c>
      <c r="F25" s="38">
        <v>2.462824068416512E-2</v>
      </c>
      <c r="G25" s="38">
        <v>0.24225841874851944</v>
      </c>
    </row>
    <row r="26" spans="1:7">
      <c r="A26" s="29" t="s">
        <v>24</v>
      </c>
      <c r="B26" s="30">
        <v>23.234141608201597</v>
      </c>
      <c r="C26" s="30">
        <f t="shared" si="0"/>
        <v>22.82213713998895</v>
      </c>
      <c r="D26" s="14">
        <v>0.23053439863793054</v>
      </c>
      <c r="E26" s="14">
        <v>2.3053439863793053E-2</v>
      </c>
      <c r="F26" s="38">
        <v>2.5964786795436581E-2</v>
      </c>
      <c r="G26" s="38">
        <v>0.24505560563816103</v>
      </c>
    </row>
    <row r="27" spans="1:7">
      <c r="A27" s="29" t="s">
        <v>25</v>
      </c>
      <c r="B27" s="30">
        <v>24.134465863432538</v>
      </c>
      <c r="C27" s="30">
        <f t="shared" si="0"/>
        <v>23.234141608201597</v>
      </c>
      <c r="D27" s="14">
        <v>0.25923893050502211</v>
      </c>
      <c r="E27" s="14">
        <v>2.5923893050502217E-2</v>
      </c>
      <c r="F27" s="38">
        <v>2.8726633631676539E-2</v>
      </c>
      <c r="G27" s="38">
        <v>0.25083572926904679</v>
      </c>
    </row>
    <row r="28" spans="1:7">
      <c r="A28" s="29" t="s">
        <v>26</v>
      </c>
      <c r="B28" s="30">
        <v>24.915493189633857</v>
      </c>
      <c r="C28" s="30">
        <f t="shared" si="0"/>
        <v>24.134465863432538</v>
      </c>
      <c r="D28" s="14">
        <v>0.28245960821981853</v>
      </c>
      <c r="E28" s="14">
        <v>2.8245960821981851E-2</v>
      </c>
      <c r="F28" s="38">
        <v>3.0960843741038486E-2</v>
      </c>
      <c r="G28" s="38">
        <v>0.25551158981280825</v>
      </c>
    </row>
    <row r="29" spans="1:7">
      <c r="A29" s="29" t="s">
        <v>27</v>
      </c>
      <c r="B29" s="30">
        <v>26.399174203342202</v>
      </c>
      <c r="C29" s="30">
        <f t="shared" si="0"/>
        <v>24.915493189633857</v>
      </c>
      <c r="D29" s="14">
        <v>0.32278666722753252</v>
      </c>
      <c r="E29" s="14">
        <v>3.2278666722753258E-2</v>
      </c>
      <c r="F29" s="38">
        <v>3.4840968344742818E-2</v>
      </c>
      <c r="G29" s="38">
        <v>0.26363209802433024</v>
      </c>
    </row>
    <row r="30" spans="1:7">
      <c r="A30" s="29" t="s">
        <v>28</v>
      </c>
      <c r="B30" s="30">
        <v>27.538127717242521</v>
      </c>
      <c r="C30" s="30">
        <f t="shared" si="0"/>
        <v>26.399174203342202</v>
      </c>
      <c r="D30" s="14">
        <v>0.35079563402952768</v>
      </c>
      <c r="E30" s="14">
        <v>3.5079563402952763E-2</v>
      </c>
      <c r="F30" s="38">
        <v>3.7535890411635187E-2</v>
      </c>
      <c r="G30" s="38">
        <v>0.26927215833391893</v>
      </c>
    </row>
    <row r="31" spans="1:7">
      <c r="A31" s="29" t="s">
        <v>29</v>
      </c>
      <c r="B31" s="30">
        <v>29.058398566194469</v>
      </c>
      <c r="C31" s="30">
        <f t="shared" si="0"/>
        <v>27.538127717242521</v>
      </c>
      <c r="D31" s="14">
        <v>0.38476056400834086</v>
      </c>
      <c r="E31" s="14">
        <v>3.847605640083409E-2</v>
      </c>
      <c r="F31" s="38">
        <v>4.4823243028393196E-2</v>
      </c>
      <c r="G31" s="38">
        <v>0.27611154854940578</v>
      </c>
    </row>
    <row r="32" spans="1:7">
      <c r="A32" s="29" t="s">
        <v>30</v>
      </c>
      <c r="B32" s="30">
        <v>30.219482383662978</v>
      </c>
      <c r="C32" s="30">
        <f t="shared" si="0"/>
        <v>29.058398566194469</v>
      </c>
      <c r="D32" s="14">
        <v>0.40839910764483117</v>
      </c>
      <c r="E32" s="14">
        <v>4.5039464586898677E-2</v>
      </c>
      <c r="F32" s="38">
        <v>5.8469737022731796E-2</v>
      </c>
      <c r="G32" s="38">
        <v>0.28087155318232043</v>
      </c>
    </row>
    <row r="33" spans="1:7">
      <c r="A33" s="29" t="s">
        <v>31</v>
      </c>
      <c r="B33" s="30">
        <v>30.919181260024594</v>
      </c>
      <c r="C33" s="30">
        <f t="shared" si="0"/>
        <v>30.219482383662978</v>
      </c>
      <c r="D33" s="14">
        <v>0.42178699382959983</v>
      </c>
      <c r="E33" s="14">
        <v>5.3072196297759867E-2</v>
      </c>
      <c r="F33" s="38">
        <v>6.6198542622045775E-2</v>
      </c>
      <c r="G33" s="38">
        <v>0.2835674214745641</v>
      </c>
    </row>
    <row r="34" spans="1:7">
      <c r="A34" s="29" t="s">
        <v>32</v>
      </c>
      <c r="B34" s="30">
        <v>31.526593040324471</v>
      </c>
      <c r="C34" s="30">
        <f t="shared" si="0"/>
        <v>30.919181260024594</v>
      </c>
      <c r="D34" s="14">
        <v>0.43292722046370785</v>
      </c>
      <c r="E34" s="14">
        <v>5.9756332278224675E-2</v>
      </c>
      <c r="F34" s="38">
        <v>7.2629777904377121E-2</v>
      </c>
      <c r="G34" s="38">
        <v>0.28581068701602563</v>
      </c>
    </row>
    <row r="35" spans="1:7">
      <c r="A35" s="29" t="s">
        <v>33</v>
      </c>
      <c r="B35" s="30">
        <v>31.769788147051131</v>
      </c>
      <c r="C35" s="30">
        <f t="shared" si="0"/>
        <v>31.526593040324471</v>
      </c>
      <c r="D35" s="14">
        <v>0.43726811579806696</v>
      </c>
      <c r="E35" s="14">
        <v>6.2360869478840147E-2</v>
      </c>
      <c r="F35" s="38">
        <v>7.5135769940999034E-2</v>
      </c>
      <c r="G35" s="38">
        <v>0.2866847967843893</v>
      </c>
    </row>
    <row r="36" spans="1:7">
      <c r="A36" s="29" t="s">
        <v>34</v>
      </c>
      <c r="B36" s="30">
        <v>32.492387310923661</v>
      </c>
      <c r="C36" s="30">
        <f t="shared" si="0"/>
        <v>31.769788147051131</v>
      </c>
      <c r="D36" s="14">
        <v>0.44978272683965165</v>
      </c>
      <c r="E36" s="14">
        <v>6.9869636103790947E-2</v>
      </c>
      <c r="F36" s="38">
        <v>8.2360435176163455E-2</v>
      </c>
      <c r="G36" s="38">
        <v>0.28920481694523842</v>
      </c>
    </row>
    <row r="37" spans="1:7">
      <c r="A37" s="29" t="s">
        <v>35</v>
      </c>
      <c r="B37" s="30">
        <v>35.194982718540764</v>
      </c>
      <c r="C37" s="30">
        <f t="shared" si="0"/>
        <v>32.492387310923661</v>
      </c>
      <c r="D37" s="14">
        <v>0.49203348421398047</v>
      </c>
      <c r="E37" s="14">
        <v>9.5220090528388243E-2</v>
      </c>
      <c r="F37" s="38">
        <v>0.1067517308342847</v>
      </c>
      <c r="G37" s="38">
        <v>0.29771269306225534</v>
      </c>
    </row>
    <row r="38" spans="1:7">
      <c r="A38" s="29" t="s">
        <v>36</v>
      </c>
      <c r="B38" s="30">
        <v>37.228393418497184</v>
      </c>
      <c r="C38" s="30">
        <f t="shared" si="0"/>
        <v>35.194982718540764</v>
      </c>
      <c r="D38" s="14">
        <v>0.51977855870074752</v>
      </c>
      <c r="E38" s="14">
        <v>0.11186713522044851</v>
      </c>
      <c r="F38" s="38">
        <v>0.12276891861787013</v>
      </c>
      <c r="G38" s="38">
        <v>0.30329961436876529</v>
      </c>
    </row>
    <row r="39" spans="1:7">
      <c r="A39" s="29" t="s">
        <v>37</v>
      </c>
      <c r="B39" s="30">
        <v>38.362099033452459</v>
      </c>
      <c r="C39" s="30">
        <f t="shared" si="0"/>
        <v>37.228393418497184</v>
      </c>
      <c r="D39" s="14">
        <v>0.53397042406108997</v>
      </c>
      <c r="E39" s="14">
        <v>0.12038225443665393</v>
      </c>
      <c r="F39" s="38">
        <v>0.1309618601284212</v>
      </c>
      <c r="G39" s="38">
        <v>0.30615737692401207</v>
      </c>
    </row>
    <row r="40" spans="1:7">
      <c r="A40" s="29" t="s">
        <v>38</v>
      </c>
      <c r="B40" s="30">
        <v>39.731754977462487</v>
      </c>
      <c r="C40" s="30">
        <f t="shared" si="0"/>
        <v>38.362099033452459</v>
      </c>
      <c r="D40" s="14">
        <v>0.55003566404687132</v>
      </c>
      <c r="E40" s="14">
        <v>0.1300213984281228</v>
      </c>
      <c r="F40" s="38">
        <v>0.14023629785838132</v>
      </c>
      <c r="G40" s="38">
        <v>0.30939237388224938</v>
      </c>
    </row>
    <row r="41" spans="1:7">
      <c r="A41" s="29" t="s">
        <v>39</v>
      </c>
      <c r="B41" s="30">
        <v>40.639230591774215</v>
      </c>
      <c r="C41" s="30">
        <f t="shared" si="0"/>
        <v>39.731754977462487</v>
      </c>
      <c r="D41" s="14">
        <v>0.56008338533099633</v>
      </c>
      <c r="E41" s="14">
        <v>0.13605003119859779</v>
      </c>
      <c r="F41" s="38">
        <v>0.14603683152361682</v>
      </c>
      <c r="G41" s="38">
        <v>0.31141564573004799</v>
      </c>
    </row>
    <row r="42" spans="1:7">
      <c r="A42" s="29" t="s">
        <v>40</v>
      </c>
      <c r="B42" s="30">
        <v>42.20902776839884</v>
      </c>
      <c r="C42" s="30">
        <f t="shared" si="0"/>
        <v>40.639230591774215</v>
      </c>
      <c r="D42" s="14">
        <v>0.57644433691336594</v>
      </c>
      <c r="E42" s="14">
        <v>0.14586660214801953</v>
      </c>
      <c r="F42" s="38">
        <v>0.1554819830923376</v>
      </c>
      <c r="G42" s="38">
        <v>0.31471018902038639</v>
      </c>
    </row>
    <row r="43" spans="1:7">
      <c r="A43" s="29" t="s">
        <v>41</v>
      </c>
      <c r="B43" s="30">
        <v>43.314912997195187</v>
      </c>
      <c r="C43" s="30">
        <f t="shared" si="0"/>
        <v>42.20902776839884</v>
      </c>
      <c r="D43" s="14">
        <v>0.58725825569950962</v>
      </c>
      <c r="E43" s="14">
        <v>0.15235495341970579</v>
      </c>
      <c r="F43" s="38">
        <v>0.16172484136819906</v>
      </c>
      <c r="G43" s="38">
        <v>0.31688774717767265</v>
      </c>
    </row>
    <row r="44" spans="1:7">
      <c r="A44" s="29" t="s">
        <v>42</v>
      </c>
      <c r="B44" s="30">
        <v>45.468139462221387</v>
      </c>
      <c r="C44" s="30">
        <f t="shared" si="0"/>
        <v>43.314912997195187</v>
      </c>
      <c r="D44" s="14">
        <v>0.60680439190742108</v>
      </c>
      <c r="E44" s="14">
        <v>0.16408263514445265</v>
      </c>
      <c r="F44" s="38">
        <v>0.17300879500238286</v>
      </c>
      <c r="G44" s="38">
        <v>0.32082367911730431</v>
      </c>
    </row>
    <row r="45" spans="1:7">
      <c r="A45" s="29" t="s">
        <v>43</v>
      </c>
      <c r="B45" s="30">
        <v>46.951625693555286</v>
      </c>
      <c r="C45" s="30">
        <f t="shared" si="0"/>
        <v>45.468139462221387</v>
      </c>
      <c r="D45" s="14">
        <v>0.61922782266641963</v>
      </c>
      <c r="E45" s="14">
        <v>0.17153669359985174</v>
      </c>
      <c r="F45" s="38">
        <v>0.18018082200408214</v>
      </c>
      <c r="G45" s="38">
        <v>0.3233253386475573</v>
      </c>
    </row>
    <row r="46" spans="1:7">
      <c r="A46" s="29" t="s">
        <v>44</v>
      </c>
      <c r="B46" s="30">
        <v>48.437240583860692</v>
      </c>
      <c r="C46" s="30">
        <f t="shared" si="0"/>
        <v>46.951625693555286</v>
      </c>
      <c r="D46" s="14">
        <v>0.63090645690821545</v>
      </c>
      <c r="E46" s="14">
        <v>0.17854387414492925</v>
      </c>
      <c r="F46" s="38">
        <v>0.18692287914996839</v>
      </c>
      <c r="G46" s="38">
        <v>0.32567702130415083</v>
      </c>
    </row>
    <row r="47" spans="1:7">
      <c r="A47" s="29" t="s">
        <v>45</v>
      </c>
      <c r="B47" s="30">
        <v>51.177659307973585</v>
      </c>
      <c r="C47" s="30">
        <f t="shared" si="0"/>
        <v>48.437240583860692</v>
      </c>
      <c r="D47" s="14">
        <v>0.650670370891681</v>
      </c>
      <c r="E47" s="14">
        <v>0.19040222253500858</v>
      </c>
      <c r="F47" s="38">
        <v>0.19833255555082943</v>
      </c>
      <c r="G47" s="38">
        <v>0.32965680633543332</v>
      </c>
    </row>
    <row r="48" spans="1:7">
      <c r="A48" s="29" t="s">
        <v>46</v>
      </c>
      <c r="B48" s="30">
        <v>54.240745006193571</v>
      </c>
      <c r="C48" s="30">
        <f t="shared" si="0"/>
        <v>51.177659307973585</v>
      </c>
      <c r="D48" s="14">
        <v>0.67039772881724047</v>
      </c>
      <c r="E48" s="14">
        <v>0.20223863729034428</v>
      </c>
      <c r="F48" s="38">
        <v>0.20972112819706229</v>
      </c>
      <c r="G48" s="38">
        <v>0.33362923021081425</v>
      </c>
    </row>
    <row r="49" spans="1:7">
      <c r="A49" s="29" t="s">
        <v>47</v>
      </c>
      <c r="B49" s="30">
        <v>55.997392638193254</v>
      </c>
      <c r="C49" s="30">
        <f t="shared" si="0"/>
        <v>54.240745006193571</v>
      </c>
      <c r="D49" s="14">
        <v>0.68073740753971024</v>
      </c>
      <c r="E49" s="14">
        <v>0.20844244452382613</v>
      </c>
      <c r="F49" s="38">
        <v>0.21569020843141989</v>
      </c>
      <c r="G49" s="38">
        <v>0.3357112924299871</v>
      </c>
    </row>
    <row r="50" spans="1:7">
      <c r="A50" s="29" t="s">
        <v>48</v>
      </c>
      <c r="B50" s="30">
        <v>61.442926706354307</v>
      </c>
      <c r="C50" s="30">
        <f t="shared" si="0"/>
        <v>55.997392638193254</v>
      </c>
      <c r="D50" s="14">
        <v>0.70903285857251608</v>
      </c>
      <c r="E50" s="14">
        <v>0.22541971514350964</v>
      </c>
      <c r="F50" s="38">
        <v>0.23202512772781092</v>
      </c>
      <c r="G50" s="38">
        <v>0.3414090409917323</v>
      </c>
    </row>
    <row r="51" spans="1:7">
      <c r="A51" s="29" t="s">
        <v>49</v>
      </c>
      <c r="B51" s="30">
        <v>67.75006757498214</v>
      </c>
      <c r="C51" s="30">
        <f t="shared" si="0"/>
        <v>61.442926706354307</v>
      </c>
      <c r="D51" s="14">
        <v>0.7361202226861242</v>
      </c>
      <c r="E51" s="14">
        <v>0.2416721336116745</v>
      </c>
      <c r="F51" s="38">
        <v>0.2476626203493191</v>
      </c>
      <c r="G51" s="38">
        <v>0.34686352163389783</v>
      </c>
    </row>
    <row r="52" spans="1:7">
      <c r="A52" s="29" t="s">
        <v>50</v>
      </c>
      <c r="B52" s="30">
        <v>79.0812947481393</v>
      </c>
      <c r="C52" s="30">
        <f t="shared" si="0"/>
        <v>67.75006757498214</v>
      </c>
      <c r="D52" s="14">
        <v>0.77393044965153446</v>
      </c>
      <c r="E52" s="14">
        <v>0.26435826979092064</v>
      </c>
      <c r="F52" s="38">
        <v>0.26949040479926922</v>
      </c>
      <c r="G52" s="38">
        <v>0.35447722484229172</v>
      </c>
    </row>
    <row r="53" spans="1:7">
      <c r="A53" s="29" t="s">
        <v>51</v>
      </c>
      <c r="B53" s="30">
        <v>87.509529451006571</v>
      </c>
      <c r="C53" s="30">
        <f t="shared" si="0"/>
        <v>79.0812947481393</v>
      </c>
      <c r="D53" s="14">
        <v>0.79570370384981337</v>
      </c>
      <c r="E53" s="14">
        <v>0.277422222309888</v>
      </c>
      <c r="F53" s="38">
        <v>0.28206007014004547</v>
      </c>
      <c r="G53" s="38">
        <v>0.35886162315596143</v>
      </c>
    </row>
    <row r="54" spans="1:7">
      <c r="A54" s="29" t="s">
        <v>52</v>
      </c>
      <c r="B54" s="30">
        <v>125.28095446145812</v>
      </c>
      <c r="C54" s="30">
        <f t="shared" si="0"/>
        <v>87.509529451006571</v>
      </c>
      <c r="D54" s="14">
        <v>0.85729776068886554</v>
      </c>
      <c r="E54" s="14">
        <v>0.31437865641331941</v>
      </c>
      <c r="F54" s="38">
        <v>0.31761822210011587</v>
      </c>
      <c r="G54" s="38">
        <v>0.37126458674045687</v>
      </c>
    </row>
    <row r="55" spans="1:7">
      <c r="A55" s="29" t="s">
        <v>53</v>
      </c>
      <c r="B55" s="30">
        <v>167.87847029170652</v>
      </c>
      <c r="C55" s="30">
        <f>B54</f>
        <v>125.28095446145812</v>
      </c>
      <c r="D55" s="14">
        <v>0.8935070547544206</v>
      </c>
      <c r="E55" s="14">
        <v>0.3361042328526524</v>
      </c>
      <c r="F55" s="38">
        <v>0.33852179050955283</v>
      </c>
      <c r="G55" s="38">
        <v>0.37855591611155009</v>
      </c>
    </row>
    <row r="56" spans="1:7">
      <c r="A56" s="29" t="s">
        <v>53</v>
      </c>
      <c r="B56" s="31" t="s">
        <v>150</v>
      </c>
      <c r="C56" s="30">
        <f t="shared" si="0"/>
        <v>167.87847029170652</v>
      </c>
      <c r="D56" s="11">
        <v>49.1</v>
      </c>
      <c r="E56" s="11"/>
      <c r="F56" s="39"/>
      <c r="G56" s="39"/>
    </row>
    <row r="57" spans="1:7">
      <c r="A57" s="29"/>
      <c r="B57" s="31"/>
      <c r="C57" s="31"/>
      <c r="D57" s="11"/>
      <c r="E57" s="32">
        <v>8.3904246534265425E-2</v>
      </c>
      <c r="F57" s="40">
        <v>8.8938971812380391E-2</v>
      </c>
      <c r="G57" s="40">
        <v>0.23454302253681802</v>
      </c>
    </row>
    <row r="58" spans="1:7" ht="60">
      <c r="A58" s="33" t="s">
        <v>55</v>
      </c>
      <c r="B58" s="31">
        <v>10</v>
      </c>
      <c r="C58" s="31"/>
      <c r="D58" s="11"/>
      <c r="E58" s="34">
        <v>29.796454574477206</v>
      </c>
      <c r="F58" s="41">
        <v>28.669077126470391</v>
      </c>
      <c r="G58" s="42">
        <v>10</v>
      </c>
    </row>
    <row r="59" spans="1:7" ht="60">
      <c r="A59" s="33" t="s">
        <v>56</v>
      </c>
      <c r="B59" s="31">
        <v>35.119999999999997</v>
      </c>
      <c r="C59" s="31"/>
      <c r="D59" s="11"/>
      <c r="E59" s="11"/>
      <c r="F59" s="39"/>
      <c r="G59" s="39"/>
    </row>
    <row r="60" spans="1:7" ht="96.75">
      <c r="A60" s="35" t="s">
        <v>57</v>
      </c>
      <c r="B60" s="29">
        <v>6</v>
      </c>
      <c r="C60" s="29"/>
      <c r="D60" s="11"/>
      <c r="E60" s="11">
        <v>17.877872744686321</v>
      </c>
      <c r="F60" s="39">
        <v>17.201446275882233</v>
      </c>
      <c r="G60" s="39">
        <v>6</v>
      </c>
    </row>
    <row r="62" spans="1:7" ht="60.75" thickBot="1">
      <c r="A62" s="5" t="s">
        <v>56</v>
      </c>
      <c r="B62">
        <f>B59</f>
        <v>35.119999999999997</v>
      </c>
    </row>
    <row r="63" spans="1:7">
      <c r="A63" s="16" t="s">
        <v>64</v>
      </c>
      <c r="B63" s="17">
        <f>AVERAGE(B11:B50)</f>
        <v>29.796454574477206</v>
      </c>
      <c r="C63" s="17"/>
    </row>
    <row r="64" spans="1:7">
      <c r="A64" s="16" t="s">
        <v>65</v>
      </c>
      <c r="B64" s="18">
        <f>AVERAGE(B16:B45)</f>
        <v>28.669077126470391</v>
      </c>
      <c r="C64" s="18"/>
    </row>
    <row r="65" spans="1:7">
      <c r="A65" s="16" t="s">
        <v>66</v>
      </c>
      <c r="B65" s="18">
        <f>AVERAGE(B22:B40)</f>
        <v>28.72771406035336</v>
      </c>
      <c r="C65" s="18"/>
    </row>
    <row r="69" spans="1:7" ht="15" customHeight="1">
      <c r="A69" s="473" t="s">
        <v>0</v>
      </c>
      <c r="B69" s="473" t="s">
        <v>2</v>
      </c>
      <c r="C69" s="473"/>
      <c r="D69" s="473"/>
      <c r="E69" s="49">
        <f>(1-E124)^(1/3)-1</f>
        <v>-2.450334523376374E-2</v>
      </c>
      <c r="F69" s="49">
        <f>(1-F124)^(1/3)-1</f>
        <v>-2.5509343513939187E-2</v>
      </c>
      <c r="G69" s="49"/>
    </row>
    <row r="70" spans="1:7" ht="72">
      <c r="A70" s="473"/>
      <c r="B70" s="11" t="s">
        <v>4</v>
      </c>
      <c r="C70" s="11"/>
      <c r="D70" s="11" t="s">
        <v>80</v>
      </c>
      <c r="E70" s="11" t="s">
        <v>5</v>
      </c>
      <c r="F70" s="39" t="s">
        <v>5</v>
      </c>
      <c r="G70" s="39"/>
    </row>
    <row r="71" spans="1:7" ht="24">
      <c r="A71" s="473"/>
      <c r="B71" s="11" t="s">
        <v>8</v>
      </c>
      <c r="C71" s="11"/>
      <c r="D71" s="11" t="s">
        <v>7</v>
      </c>
      <c r="E71" s="11" t="s">
        <v>7</v>
      </c>
      <c r="F71" s="39" t="s">
        <v>7</v>
      </c>
      <c r="G71" s="39"/>
    </row>
    <row r="72" spans="1:7" ht="15.75" thickBot="1">
      <c r="A72" s="50">
        <v>1</v>
      </c>
      <c r="B72" s="51">
        <v>2</v>
      </c>
      <c r="C72" s="51"/>
      <c r="D72" s="51">
        <v>3</v>
      </c>
      <c r="E72" s="51">
        <v>4</v>
      </c>
      <c r="F72" s="52">
        <v>5</v>
      </c>
      <c r="G72" s="52"/>
    </row>
    <row r="73" spans="1:7" ht="15.75" thickBot="1">
      <c r="A73" s="27" t="s">
        <v>10</v>
      </c>
      <c r="B73" s="225">
        <v>19.25</v>
      </c>
      <c r="C73" s="253">
        <v>0</v>
      </c>
      <c r="D73" s="14">
        <v>0</v>
      </c>
      <c r="E73" s="14">
        <v>0</v>
      </c>
      <c r="F73" s="38">
        <v>0</v>
      </c>
      <c r="G73" s="38">
        <v>0</v>
      </c>
    </row>
    <row r="74" spans="1:7" ht="15.75" thickBot="1">
      <c r="A74" s="27" t="s">
        <v>58</v>
      </c>
      <c r="B74" s="226">
        <v>21.07</v>
      </c>
      <c r="C74" s="30">
        <f>B73</f>
        <v>19.25</v>
      </c>
      <c r="D74" s="14">
        <v>0</v>
      </c>
      <c r="E74" s="14">
        <v>0</v>
      </c>
      <c r="F74" s="38">
        <v>0</v>
      </c>
      <c r="G74" s="38">
        <v>2.6103464641670658E-3</v>
      </c>
    </row>
    <row r="75" spans="1:7" ht="15.75" thickBot="1">
      <c r="A75" s="27" t="s">
        <v>59</v>
      </c>
      <c r="B75" s="226">
        <v>24.88</v>
      </c>
      <c r="C75" s="30">
        <f t="shared" ref="C75:C123" si="1">B74</f>
        <v>21.07</v>
      </c>
      <c r="D75" s="14">
        <v>0</v>
      </c>
      <c r="E75" s="14">
        <v>0</v>
      </c>
      <c r="F75" s="38">
        <v>0</v>
      </c>
      <c r="G75" s="38">
        <v>1.7524115755627009E-2</v>
      </c>
    </row>
    <row r="76" spans="1:7" ht="15.75" thickBot="1">
      <c r="A76" s="27" t="s">
        <v>60</v>
      </c>
      <c r="B76" s="226">
        <v>28.87</v>
      </c>
      <c r="C76" s="30">
        <f t="shared" si="1"/>
        <v>24.88</v>
      </c>
      <c r="D76" s="14">
        <v>0</v>
      </c>
      <c r="E76" s="14">
        <v>0</v>
      </c>
      <c r="F76" s="38">
        <v>0</v>
      </c>
      <c r="G76" s="38">
        <v>2.8922757187391762E-2</v>
      </c>
    </row>
    <row r="77" spans="1:7" ht="15.75" thickBot="1">
      <c r="A77" s="27" t="s">
        <v>61</v>
      </c>
      <c r="B77" s="226">
        <v>30.56</v>
      </c>
      <c r="C77" s="30">
        <f t="shared" si="1"/>
        <v>28.87</v>
      </c>
      <c r="D77" s="14">
        <v>0</v>
      </c>
      <c r="E77" s="14">
        <v>0</v>
      </c>
      <c r="F77" s="38">
        <v>0</v>
      </c>
      <c r="G77" s="38">
        <v>3.2853403141361259E-2</v>
      </c>
    </row>
    <row r="78" spans="1:7" ht="15.75" thickBot="1">
      <c r="A78" s="27" t="s">
        <v>62</v>
      </c>
      <c r="B78" s="226">
        <v>31.86</v>
      </c>
      <c r="C78" s="30">
        <f t="shared" si="1"/>
        <v>30.56</v>
      </c>
      <c r="D78" s="14">
        <v>0</v>
      </c>
      <c r="E78" s="14"/>
      <c r="F78" s="38"/>
      <c r="G78" s="38"/>
    </row>
    <row r="79" spans="1:7" ht="15.75" thickBot="1">
      <c r="A79" s="27" t="s">
        <v>63</v>
      </c>
      <c r="B79" s="226">
        <v>32.68</v>
      </c>
      <c r="C79" s="30">
        <f t="shared" si="1"/>
        <v>31.86</v>
      </c>
      <c r="D79" s="14">
        <v>0</v>
      </c>
      <c r="E79" s="14"/>
      <c r="F79" s="38"/>
      <c r="G79" s="38"/>
    </row>
    <row r="80" spans="1:7" ht="15.75" thickBot="1">
      <c r="A80" s="29" t="s">
        <v>11</v>
      </c>
      <c r="B80" s="226">
        <v>34.520000000000003</v>
      </c>
      <c r="C80" s="30">
        <f t="shared" si="1"/>
        <v>32.68</v>
      </c>
      <c r="D80" s="14">
        <v>7.8881807647740807E-3</v>
      </c>
      <c r="E80" s="14"/>
      <c r="F80" s="38"/>
      <c r="G80" s="38"/>
    </row>
    <row r="81" spans="1:7" ht="15.75" thickBot="1">
      <c r="A81" s="29" t="s">
        <v>12</v>
      </c>
      <c r="B81" s="226">
        <v>35.58</v>
      </c>
      <c r="C81" s="30">
        <f t="shared" si="1"/>
        <v>34.520000000000003</v>
      </c>
      <c r="D81" s="14">
        <v>3.7445193929173594E-2</v>
      </c>
      <c r="E81" s="14"/>
      <c r="F81" s="38"/>
      <c r="G81" s="38"/>
    </row>
    <row r="82" spans="1:7" ht="15.75" thickBot="1">
      <c r="A82" s="29" t="s">
        <v>13</v>
      </c>
      <c r="B82" s="226">
        <v>37.340000000000003</v>
      </c>
      <c r="C82" s="30">
        <f t="shared" si="1"/>
        <v>35.58</v>
      </c>
      <c r="D82" s="14">
        <v>8.2814675950723116E-2</v>
      </c>
      <c r="E82" s="14"/>
      <c r="F82" s="38"/>
      <c r="G82" s="38"/>
    </row>
    <row r="83" spans="1:7" ht="15.75" thickBot="1">
      <c r="A83" s="29" t="s">
        <v>14</v>
      </c>
      <c r="B83" s="226">
        <v>40.24</v>
      </c>
      <c r="C83" s="30">
        <f t="shared" si="1"/>
        <v>37.340000000000003</v>
      </c>
      <c r="D83" s="14">
        <v>0.14891401590457257</v>
      </c>
      <c r="E83" s="14">
        <v>1.4891401590457256E-2</v>
      </c>
      <c r="F83" s="38">
        <v>1.6554671968190857E-2</v>
      </c>
      <c r="G83" s="38">
        <v>9.4035785288270377E-2</v>
      </c>
    </row>
    <row r="84" spans="1:7" ht="15.75" thickBot="1">
      <c r="A84" s="29" t="s">
        <v>15</v>
      </c>
      <c r="B84" s="226">
        <v>40.74</v>
      </c>
      <c r="C84" s="30">
        <f t="shared" si="1"/>
        <v>40.24</v>
      </c>
      <c r="D84" s="14">
        <v>0.15935935198821796</v>
      </c>
      <c r="E84" s="14">
        <v>1.5935935198821798E-2</v>
      </c>
      <c r="F84" s="38">
        <v>1.7578792341678938E-2</v>
      </c>
      <c r="G84" s="38">
        <v>9.7790868924889543E-2</v>
      </c>
    </row>
    <row r="85" spans="1:7" ht="15.75" thickBot="1">
      <c r="A85" s="29" t="s">
        <v>16</v>
      </c>
      <c r="B85" s="226">
        <v>41.17</v>
      </c>
      <c r="C85" s="30">
        <f t="shared" si="1"/>
        <v>40.74</v>
      </c>
      <c r="D85" s="14">
        <v>0.16813942190915715</v>
      </c>
      <c r="E85" s="14">
        <v>1.6813942190915716E-2</v>
      </c>
      <c r="F85" s="38">
        <v>1.8439640514938061E-2</v>
      </c>
      <c r="G85" s="38">
        <v>0.10094729171726986</v>
      </c>
    </row>
    <row r="86" spans="1:7" ht="15.75" thickBot="1">
      <c r="A86" s="29" t="s">
        <v>17</v>
      </c>
      <c r="B86" s="226">
        <v>42.27</v>
      </c>
      <c r="C86" s="30">
        <f t="shared" si="1"/>
        <v>41.17</v>
      </c>
      <c r="D86" s="14">
        <v>0.18978708303761535</v>
      </c>
      <c r="E86" s="14">
        <v>1.8978708303761537E-2</v>
      </c>
      <c r="F86" s="38">
        <v>2.0562100780695532E-2</v>
      </c>
      <c r="G86" s="38">
        <v>0.10872959545777146</v>
      </c>
    </row>
    <row r="87" spans="1:7" ht="15.75" thickBot="1">
      <c r="A87" s="29" t="s">
        <v>18</v>
      </c>
      <c r="B87" s="226">
        <v>43.06</v>
      </c>
      <c r="C87" s="30">
        <f t="shared" si="1"/>
        <v>42.27</v>
      </c>
      <c r="D87" s="14">
        <v>0.20465164886205295</v>
      </c>
      <c r="E87" s="14">
        <v>2.0465164886205294E-2</v>
      </c>
      <c r="F87" s="38">
        <v>2.2019507663725037E-2</v>
      </c>
      <c r="G87" s="38">
        <v>0.11407338597306085</v>
      </c>
    </row>
    <row r="88" spans="1:7" ht="15.75" thickBot="1">
      <c r="A88" s="29" t="s">
        <v>19</v>
      </c>
      <c r="B88" s="226">
        <v>43.64</v>
      </c>
      <c r="C88" s="30">
        <f t="shared" si="1"/>
        <v>43.06</v>
      </c>
      <c r="D88" s="14">
        <v>0.21522227314390463</v>
      </c>
      <c r="E88" s="14">
        <v>2.1522227314390466E-2</v>
      </c>
      <c r="F88" s="38">
        <v>2.3055912007332719E-2</v>
      </c>
      <c r="G88" s="38">
        <v>0.11787351054078826</v>
      </c>
    </row>
    <row r="89" spans="1:7" ht="15.75" thickBot="1">
      <c r="A89" s="29" t="s">
        <v>20</v>
      </c>
      <c r="B89" s="226">
        <v>44.94</v>
      </c>
      <c r="C89" s="30">
        <f t="shared" si="1"/>
        <v>43.64</v>
      </c>
      <c r="D89" s="14">
        <v>0.23792389853137508</v>
      </c>
      <c r="E89" s="14">
        <v>2.3792389853137509E-2</v>
      </c>
      <c r="F89" s="38">
        <v>2.5281708945260339E-2</v>
      </c>
      <c r="G89" s="38">
        <v>0.12603471295060079</v>
      </c>
    </row>
    <row r="90" spans="1:7" ht="15.75" thickBot="1">
      <c r="A90" s="29" t="s">
        <v>21</v>
      </c>
      <c r="B90" s="226">
        <v>45.86</v>
      </c>
      <c r="C90" s="30">
        <f t="shared" si="1"/>
        <v>44.94</v>
      </c>
      <c r="D90" s="14">
        <v>0.25321194941125158</v>
      </c>
      <c r="E90" s="14">
        <v>2.5321194941125159E-2</v>
      </c>
      <c r="F90" s="38">
        <v>2.6780636720453554E-2</v>
      </c>
      <c r="G90" s="38">
        <v>0.13153074574792847</v>
      </c>
    </row>
    <row r="91" spans="1:7" ht="15.75" thickBot="1">
      <c r="A91" s="29" t="s">
        <v>22</v>
      </c>
      <c r="B91" s="226">
        <v>47.39</v>
      </c>
      <c r="C91" s="30">
        <f t="shared" si="1"/>
        <v>45.86</v>
      </c>
      <c r="D91" s="14">
        <v>0.2773222198776113</v>
      </c>
      <c r="E91" s="14">
        <v>2.7732221987761131E-2</v>
      </c>
      <c r="F91" s="38">
        <v>2.914454526271365E-2</v>
      </c>
      <c r="G91" s="38">
        <v>0.14019835408313991</v>
      </c>
    </row>
    <row r="92" spans="1:7" ht="15.75" thickBot="1">
      <c r="A92" s="29" t="s">
        <v>23</v>
      </c>
      <c r="B92" s="226">
        <v>48.4</v>
      </c>
      <c r="C92" s="30">
        <f t="shared" si="1"/>
        <v>47.39</v>
      </c>
      <c r="D92" s="14">
        <v>0.29240289256198343</v>
      </c>
      <c r="E92" s="14">
        <v>2.9240289256198343E-2</v>
      </c>
      <c r="F92" s="38">
        <v>3.0623140495867764E-2</v>
      </c>
      <c r="G92" s="38">
        <v>0.1456198347107438</v>
      </c>
    </row>
    <row r="93" spans="1:7" ht="15.75" thickBot="1">
      <c r="A93" s="29" t="s">
        <v>24</v>
      </c>
      <c r="B93" s="226">
        <v>49.96</v>
      </c>
      <c r="C93" s="30">
        <f t="shared" si="1"/>
        <v>48.4</v>
      </c>
      <c r="D93" s="14">
        <v>0.31449759807846273</v>
      </c>
      <c r="E93" s="14">
        <v>3.1449759807846277E-2</v>
      </c>
      <c r="F93" s="38">
        <v>3.278943154523619E-2</v>
      </c>
      <c r="G93" s="38">
        <v>0.15356285028022418</v>
      </c>
    </row>
    <row r="94" spans="1:7" ht="15.75" thickBot="1">
      <c r="A94" s="29" t="s">
        <v>25</v>
      </c>
      <c r="B94" s="226">
        <v>50.71</v>
      </c>
      <c r="C94" s="30">
        <f t="shared" si="1"/>
        <v>49.96</v>
      </c>
      <c r="D94" s="14">
        <v>0.32463616643660026</v>
      </c>
      <c r="E94" s="14">
        <v>3.2463616643660029E-2</v>
      </c>
      <c r="F94" s="38">
        <v>3.3783474659830406E-2</v>
      </c>
      <c r="G94" s="38">
        <v>0.15720765135081838</v>
      </c>
    </row>
    <row r="95" spans="1:7" ht="15.75" thickBot="1">
      <c r="A95" s="29" t="s">
        <v>26</v>
      </c>
      <c r="B95" s="226">
        <v>51.43</v>
      </c>
      <c r="C95" s="30">
        <f t="shared" si="1"/>
        <v>50.71</v>
      </c>
      <c r="D95" s="14">
        <v>0.33409099747229237</v>
      </c>
      <c r="E95" s="14">
        <v>3.3409099747229241E-2</v>
      </c>
      <c r="F95" s="38">
        <v>3.4710480264437099E-2</v>
      </c>
      <c r="G95" s="38">
        <v>0.16060664981528291</v>
      </c>
    </row>
    <row r="96" spans="1:7" ht="15.75" thickBot="1">
      <c r="A96" s="29" t="s">
        <v>27</v>
      </c>
      <c r="B96" s="226">
        <v>52.45</v>
      </c>
      <c r="C96" s="30">
        <f t="shared" si="1"/>
        <v>51.43</v>
      </c>
      <c r="D96" s="14">
        <v>0.3470409914204004</v>
      </c>
      <c r="E96" s="14">
        <v>3.4704099142040042E-2</v>
      </c>
      <c r="F96" s="38">
        <v>3.5980171591992377E-2</v>
      </c>
      <c r="G96" s="38">
        <v>0.16526215443279316</v>
      </c>
    </row>
    <row r="97" spans="1:7" ht="15.75" thickBot="1">
      <c r="A97" s="29" t="s">
        <v>28</v>
      </c>
      <c r="B97" s="226">
        <v>53.82</v>
      </c>
      <c r="C97" s="30">
        <f t="shared" si="1"/>
        <v>52.45</v>
      </c>
      <c r="D97" s="14">
        <v>0.36366220735785948</v>
      </c>
      <c r="E97" s="14">
        <v>3.6366220735785951E-2</v>
      </c>
      <c r="F97" s="38">
        <v>3.7609810479375692E-2</v>
      </c>
      <c r="G97" s="38">
        <v>0.17123745819397992</v>
      </c>
    </row>
    <row r="98" spans="1:7" ht="15.75" thickBot="1">
      <c r="A98" s="29" t="s">
        <v>29</v>
      </c>
      <c r="B98" s="226">
        <v>53.93</v>
      </c>
      <c r="C98" s="30">
        <f t="shared" si="1"/>
        <v>53.82</v>
      </c>
      <c r="D98" s="14">
        <v>0.36496013350639717</v>
      </c>
      <c r="E98" s="14">
        <v>3.6496013350639719E-2</v>
      </c>
      <c r="F98" s="38">
        <v>3.7737066567773037E-2</v>
      </c>
      <c r="G98" s="38">
        <v>0.17170406081958092</v>
      </c>
    </row>
    <row r="99" spans="1:7" ht="15.75" thickBot="1">
      <c r="A99" s="29" t="s">
        <v>30</v>
      </c>
      <c r="B99" s="226">
        <v>55.11</v>
      </c>
      <c r="C99" s="30">
        <f t="shared" si="1"/>
        <v>53.93</v>
      </c>
      <c r="D99" s="14">
        <v>0.37855743059335872</v>
      </c>
      <c r="E99" s="14">
        <v>3.7855743059335874E-2</v>
      </c>
      <c r="F99" s="38">
        <v>3.9070223189983662E-2</v>
      </c>
      <c r="G99" s="38">
        <v>0.17659227000544364</v>
      </c>
    </row>
    <row r="100" spans="1:7" ht="15.75" thickBot="1">
      <c r="A100" s="29" t="s">
        <v>31</v>
      </c>
      <c r="B100" s="226">
        <v>56.06</v>
      </c>
      <c r="C100" s="30">
        <f t="shared" si="1"/>
        <v>55.11</v>
      </c>
      <c r="D100" s="14">
        <v>0.38908847663217982</v>
      </c>
      <c r="E100" s="14">
        <v>3.8908847663217984E-2</v>
      </c>
      <c r="F100" s="38">
        <v>4.0616482340349605E-2</v>
      </c>
      <c r="G100" s="38">
        <v>0.18037816625044595</v>
      </c>
    </row>
    <row r="101" spans="1:7" ht="15.75" thickBot="1">
      <c r="A101" s="29" t="s">
        <v>32</v>
      </c>
      <c r="B101" s="226">
        <v>57.55</v>
      </c>
      <c r="C101" s="30">
        <f t="shared" si="1"/>
        <v>56.06</v>
      </c>
      <c r="D101" s="14">
        <v>0.40490529973935702</v>
      </c>
      <c r="E101" s="14">
        <v>4.2943179843614177E-2</v>
      </c>
      <c r="F101" s="38">
        <v>4.9921112076455214E-2</v>
      </c>
      <c r="G101" s="38">
        <v>0.18606429192006949</v>
      </c>
    </row>
    <row r="102" spans="1:7" ht="15.75" thickBot="1">
      <c r="A102" s="29" t="s">
        <v>33</v>
      </c>
      <c r="B102" s="226">
        <v>59.71</v>
      </c>
      <c r="C102" s="30">
        <f t="shared" si="1"/>
        <v>57.55</v>
      </c>
      <c r="D102" s="14">
        <v>0.42643275833193767</v>
      </c>
      <c r="E102" s="14">
        <v>5.5859654999162574E-2</v>
      </c>
      <c r="F102" s="38">
        <v>6.258516161446992E-2</v>
      </c>
      <c r="G102" s="38">
        <v>0.19380338301791997</v>
      </c>
    </row>
    <row r="103" spans="1:7" ht="15.75" thickBot="1">
      <c r="A103" s="29" t="s">
        <v>34</v>
      </c>
      <c r="B103" s="226">
        <v>60.54</v>
      </c>
      <c r="C103" s="30">
        <f t="shared" si="1"/>
        <v>59.71</v>
      </c>
      <c r="D103" s="14">
        <v>0.43429633300297321</v>
      </c>
      <c r="E103" s="14">
        <v>6.0577799801783898E-2</v>
      </c>
      <c r="F103" s="38">
        <v>6.7211100099107995E-2</v>
      </c>
      <c r="G103" s="38">
        <v>0.19663032705649158</v>
      </c>
    </row>
    <row r="104" spans="1:7" ht="15.75" thickBot="1">
      <c r="A104" s="29" t="s">
        <v>35</v>
      </c>
      <c r="B104" s="226">
        <v>62.97</v>
      </c>
      <c r="C104" s="30">
        <f t="shared" si="1"/>
        <v>60.54</v>
      </c>
      <c r="D104" s="14">
        <v>0.45612672701286322</v>
      </c>
      <c r="E104" s="14">
        <v>7.3676036207717913E-2</v>
      </c>
      <c r="F104" s="38">
        <v>8.005335874225819E-2</v>
      </c>
      <c r="G104" s="38">
        <v>0.20447832301095759</v>
      </c>
    </row>
    <row r="105" spans="1:7" ht="15.75" thickBot="1">
      <c r="A105" s="29" t="s">
        <v>36</v>
      </c>
      <c r="B105" s="226">
        <v>63.46</v>
      </c>
      <c r="C105" s="30">
        <f t="shared" si="1"/>
        <v>62.97</v>
      </c>
      <c r="D105" s="14">
        <v>0.46032618972581152</v>
      </c>
      <c r="E105" s="14">
        <v>7.6195713835486872E-2</v>
      </c>
      <c r="F105" s="38">
        <v>8.2523794516230681E-2</v>
      </c>
      <c r="G105" s="38">
        <v>0.20598802395209581</v>
      </c>
    </row>
    <row r="106" spans="1:7" ht="15.75" thickBot="1">
      <c r="A106" s="29" t="s">
        <v>37</v>
      </c>
      <c r="B106" s="226">
        <v>65.87</v>
      </c>
      <c r="C106" s="30">
        <f t="shared" si="1"/>
        <v>63.46</v>
      </c>
      <c r="D106" s="14">
        <v>0.48007135266433887</v>
      </c>
      <c r="E106" s="14">
        <v>8.8042811598603291E-2</v>
      </c>
      <c r="F106" s="38">
        <v>9.4139365416729917E-2</v>
      </c>
      <c r="G106" s="38">
        <v>0.21308638226810384</v>
      </c>
    </row>
    <row r="107" spans="1:7" ht="15.75" thickBot="1">
      <c r="A107" s="29" t="s">
        <v>38</v>
      </c>
      <c r="B107" s="226">
        <v>70.27</v>
      </c>
      <c r="C107" s="30">
        <f t="shared" si="1"/>
        <v>65.87</v>
      </c>
      <c r="D107" s="14">
        <v>0.51262701010388501</v>
      </c>
      <c r="E107" s="14">
        <v>0.10757620606233095</v>
      </c>
      <c r="F107" s="38">
        <v>0.11329102035007824</v>
      </c>
      <c r="G107" s="38">
        <v>0.22479009534652053</v>
      </c>
    </row>
    <row r="108" spans="1:7" ht="15.75" thickBot="1">
      <c r="A108" s="29" t="s">
        <v>39</v>
      </c>
      <c r="B108" s="226">
        <v>72.069999999999993</v>
      </c>
      <c r="C108" s="30">
        <f t="shared" si="1"/>
        <v>70.27</v>
      </c>
      <c r="D108" s="14">
        <v>0.52479950048563884</v>
      </c>
      <c r="E108" s="14">
        <v>0.11487970029138331</v>
      </c>
      <c r="F108" s="38">
        <v>0.12045178298876087</v>
      </c>
      <c r="G108" s="38">
        <v>0.22916608852504508</v>
      </c>
    </row>
    <row r="109" spans="1:7" ht="15.75" thickBot="1">
      <c r="A109" s="29" t="s">
        <v>40</v>
      </c>
      <c r="B109" s="226">
        <v>73.92</v>
      </c>
      <c r="C109" s="30">
        <f t="shared" si="1"/>
        <v>72.069999999999993</v>
      </c>
      <c r="D109" s="14">
        <v>0.53669237012987014</v>
      </c>
      <c r="E109" s="14">
        <v>0.12201542207792206</v>
      </c>
      <c r="F109" s="38">
        <v>0.12744805194805192</v>
      </c>
      <c r="G109" s="38">
        <v>0.23344155844155845</v>
      </c>
    </row>
    <row r="110" spans="1:7" ht="15.75" thickBot="1">
      <c r="A110" s="29" t="s">
        <v>41</v>
      </c>
      <c r="B110" s="226">
        <v>75.239999999999995</v>
      </c>
      <c r="C110" s="30">
        <f t="shared" si="1"/>
        <v>73.92</v>
      </c>
      <c r="D110" s="14">
        <v>0.54482057416267937</v>
      </c>
      <c r="E110" s="14">
        <v>0.12689234449760761</v>
      </c>
      <c r="F110" s="38">
        <v>0.13222966507177028</v>
      </c>
      <c r="G110" s="38">
        <v>0.23636363636363636</v>
      </c>
    </row>
    <row r="111" spans="1:7" ht="15.75" thickBot="1">
      <c r="A111" s="29" t="s">
        <v>42</v>
      </c>
      <c r="B111" s="226">
        <v>76.77</v>
      </c>
      <c r="C111" s="30">
        <f t="shared" si="1"/>
        <v>75.239999999999995</v>
      </c>
      <c r="D111" s="14">
        <v>0.55389214536928488</v>
      </c>
      <c r="E111" s="14">
        <v>0.13233528722157087</v>
      </c>
      <c r="F111" s="38">
        <v>0.13756623681125438</v>
      </c>
      <c r="G111" s="38">
        <v>0.23962485345838219</v>
      </c>
    </row>
    <row r="112" spans="1:7" ht="15.75" thickBot="1">
      <c r="A112" s="29" t="s">
        <v>43</v>
      </c>
      <c r="B112" s="226">
        <v>79.37</v>
      </c>
      <c r="C112" s="30">
        <f t="shared" si="1"/>
        <v>76.77</v>
      </c>
      <c r="D112" s="14">
        <v>0.56850573264457605</v>
      </c>
      <c r="E112" s="14">
        <v>0.14110343958674562</v>
      </c>
      <c r="F112" s="38">
        <v>0.14616303389189869</v>
      </c>
      <c r="G112" s="38">
        <v>0.24487841753811262</v>
      </c>
    </row>
    <row r="113" spans="1:7" ht="15.75" thickBot="1">
      <c r="A113" s="29" t="s">
        <v>44</v>
      </c>
      <c r="B113" s="226">
        <v>80.510000000000005</v>
      </c>
      <c r="C113" s="30">
        <f t="shared" si="1"/>
        <v>79.37</v>
      </c>
      <c r="D113" s="14">
        <v>0.57461557570488142</v>
      </c>
      <c r="E113" s="14">
        <v>0.1447693454229288</v>
      </c>
      <c r="F113" s="38">
        <v>0.14975729723015774</v>
      </c>
      <c r="G113" s="38">
        <v>0.24707489752825737</v>
      </c>
    </row>
    <row r="114" spans="1:7" ht="15.75" thickBot="1">
      <c r="A114" s="29" t="s">
        <v>45</v>
      </c>
      <c r="B114" s="226">
        <v>84.81</v>
      </c>
      <c r="C114" s="30">
        <f t="shared" si="1"/>
        <v>80.510000000000005</v>
      </c>
      <c r="D114" s="14">
        <v>0.5961832331093031</v>
      </c>
      <c r="E114" s="14">
        <v>0.15770993986558188</v>
      </c>
      <c r="F114" s="38">
        <v>0.1624449946940219</v>
      </c>
      <c r="G114" s="38">
        <v>0.25482844004244781</v>
      </c>
    </row>
    <row r="115" spans="1:7" ht="15.75" thickBot="1">
      <c r="A115" s="29" t="s">
        <v>46</v>
      </c>
      <c r="B115" s="226">
        <v>86.47</v>
      </c>
      <c r="C115" s="30">
        <f t="shared" si="1"/>
        <v>84.81</v>
      </c>
      <c r="D115" s="14">
        <v>0.60393546894876837</v>
      </c>
      <c r="E115" s="14">
        <v>0.16236128136926098</v>
      </c>
      <c r="F115" s="38">
        <v>0.16700543541112522</v>
      </c>
      <c r="G115" s="38">
        <v>0.25761535792760498</v>
      </c>
    </row>
    <row r="116" spans="1:7" ht="15.75" thickBot="1">
      <c r="A116" s="29" t="s">
        <v>47</v>
      </c>
      <c r="B116" s="226">
        <v>88.05</v>
      </c>
      <c r="C116" s="30">
        <f t="shared" si="1"/>
        <v>86.47</v>
      </c>
      <c r="D116" s="14">
        <v>0.61104258943781942</v>
      </c>
      <c r="E116" s="14">
        <v>0.16662555366269163</v>
      </c>
      <c r="F116" s="38">
        <v>0.17118637137989778</v>
      </c>
      <c r="G116" s="38">
        <v>0.26017035775127773</v>
      </c>
    </row>
    <row r="117" spans="1:7" ht="15.75" thickBot="1">
      <c r="A117" s="29" t="s">
        <v>48</v>
      </c>
      <c r="B117" s="226">
        <v>92.44</v>
      </c>
      <c r="C117" s="30">
        <f t="shared" si="1"/>
        <v>88.05</v>
      </c>
      <c r="D117" s="14">
        <v>0.62951427953266981</v>
      </c>
      <c r="E117" s="14">
        <v>0.17770856771960186</v>
      </c>
      <c r="F117" s="38">
        <v>0.18205279099956728</v>
      </c>
      <c r="G117" s="38">
        <v>0.26681090437040245</v>
      </c>
    </row>
    <row r="118" spans="1:7" ht="15.75" thickBot="1">
      <c r="A118" s="29" t="s">
        <v>49</v>
      </c>
      <c r="B118" s="226">
        <v>99.63</v>
      </c>
      <c r="C118" s="30">
        <f t="shared" si="1"/>
        <v>92.44</v>
      </c>
      <c r="D118" s="14">
        <v>0.65625112917795836</v>
      </c>
      <c r="E118" s="14">
        <v>0.19375067750677505</v>
      </c>
      <c r="F118" s="38">
        <v>0.19778139114724477</v>
      </c>
      <c r="G118" s="38">
        <v>0.27642276422764228</v>
      </c>
    </row>
    <row r="119" spans="1:7" ht="15.75" thickBot="1">
      <c r="A119" s="29" t="s">
        <v>50</v>
      </c>
      <c r="B119" s="226">
        <v>105.86</v>
      </c>
      <c r="C119" s="30">
        <f t="shared" si="1"/>
        <v>99.63</v>
      </c>
      <c r="D119" s="14">
        <v>0.67648120158700176</v>
      </c>
      <c r="E119" s="14">
        <v>0.20588872095220101</v>
      </c>
      <c r="F119" s="38">
        <v>0.20968222180238047</v>
      </c>
      <c r="G119" s="38">
        <v>0.28369544681655018</v>
      </c>
    </row>
    <row r="120" spans="1:7" ht="15.75" thickBot="1">
      <c r="A120" s="29" t="s">
        <v>51</v>
      </c>
      <c r="B120" s="226">
        <v>119.24</v>
      </c>
      <c r="C120" s="30">
        <f t="shared" si="1"/>
        <v>105.86</v>
      </c>
      <c r="D120" s="14">
        <v>0.71278346192552833</v>
      </c>
      <c r="E120" s="14">
        <v>0.22767007715531701</v>
      </c>
      <c r="F120" s="38">
        <v>0.23103790674270377</v>
      </c>
      <c r="G120" s="38">
        <v>0.2967460583696746</v>
      </c>
    </row>
    <row r="121" spans="1:7" ht="15.75" thickBot="1">
      <c r="A121" s="29" t="s">
        <v>52</v>
      </c>
      <c r="B121" s="226">
        <v>126.94</v>
      </c>
      <c r="C121" s="30">
        <f t="shared" si="1"/>
        <v>119.24</v>
      </c>
      <c r="D121" s="14">
        <v>0.73020560894910969</v>
      </c>
      <c r="E121" s="14">
        <v>0.23812336536946588</v>
      </c>
      <c r="F121" s="38">
        <v>0.24128690720025209</v>
      </c>
      <c r="G121" s="38">
        <v>0.30300929573026625</v>
      </c>
    </row>
    <row r="122" spans="1:7" ht="15.75" thickBot="1">
      <c r="A122" s="29" t="s">
        <v>53</v>
      </c>
      <c r="B122" s="226">
        <v>147.1</v>
      </c>
      <c r="C122" s="30">
        <f>B121</f>
        <v>126.94</v>
      </c>
      <c r="D122" s="14">
        <v>0.76718082936777698</v>
      </c>
      <c r="E122" s="14">
        <v>0.26030849762066621</v>
      </c>
      <c r="F122" s="38">
        <v>0.26303847722637663</v>
      </c>
      <c r="G122" s="38">
        <v>0.31630183548606389</v>
      </c>
    </row>
    <row r="123" spans="1:7">
      <c r="A123" s="29" t="s">
        <v>53</v>
      </c>
      <c r="B123" s="29" t="s">
        <v>151</v>
      </c>
      <c r="C123" s="30">
        <f t="shared" si="1"/>
        <v>147.1</v>
      </c>
      <c r="D123" s="11" t="s">
        <v>81</v>
      </c>
      <c r="E123" s="11"/>
      <c r="F123" s="39"/>
      <c r="G123" s="39"/>
    </row>
    <row r="124" spans="1:7">
      <c r="A124" s="29"/>
      <c r="B124" s="29"/>
      <c r="C124" s="29"/>
      <c r="D124" s="11"/>
      <c r="E124" s="32">
        <v>7.1723506068108317E-2</v>
      </c>
      <c r="F124" s="40">
        <v>7.4592450330820126E-2</v>
      </c>
      <c r="G124" s="40">
        <v>0.16413324985491584</v>
      </c>
    </row>
    <row r="125" spans="1:7" ht="60">
      <c r="A125" s="33" t="s">
        <v>55</v>
      </c>
      <c r="B125" s="29">
        <v>34.200000000000003</v>
      </c>
      <c r="C125" s="29"/>
      <c r="D125" s="11"/>
      <c r="E125" s="159">
        <v>57.07950000000001</v>
      </c>
      <c r="F125" s="41">
        <v>55.964000000000006</v>
      </c>
      <c r="G125" s="42">
        <v>34.200000000000003</v>
      </c>
    </row>
    <row r="126" spans="1:7" ht="60">
      <c r="A126" s="33" t="s">
        <v>56</v>
      </c>
      <c r="B126" s="29">
        <v>54.4</v>
      </c>
      <c r="C126" s="29"/>
      <c r="D126" s="11"/>
      <c r="E126" s="11"/>
      <c r="F126" s="39"/>
      <c r="G126" s="39"/>
    </row>
    <row r="127" spans="1:7" ht="96.75">
      <c r="A127" s="35" t="s">
        <v>57</v>
      </c>
      <c r="B127" s="29">
        <v>20.52</v>
      </c>
      <c r="C127" s="29"/>
      <c r="D127" s="11"/>
      <c r="E127" s="159">
        <v>34.247700000000002</v>
      </c>
      <c r="F127" s="39">
        <v>33.578400000000002</v>
      </c>
      <c r="G127" s="39">
        <v>20.52</v>
      </c>
    </row>
    <row r="129" spans="1:7" ht="60.75" thickBot="1">
      <c r="A129" s="5" t="s">
        <v>56</v>
      </c>
      <c r="B129">
        <f>B126</f>
        <v>54.4</v>
      </c>
    </row>
    <row r="130" spans="1:7">
      <c r="A130" s="16" t="s">
        <v>64</v>
      </c>
      <c r="B130" s="17">
        <f>AVERAGE(B78:B117)</f>
        <v>57.07950000000001</v>
      </c>
      <c r="C130" s="17"/>
    </row>
    <row r="131" spans="1:7">
      <c r="A131" s="16" t="s">
        <v>65</v>
      </c>
      <c r="B131" s="18">
        <f>AVERAGE(B83:B112)</f>
        <v>55.964000000000006</v>
      </c>
      <c r="C131" s="18"/>
    </row>
    <row r="132" spans="1:7">
      <c r="A132" s="16" t="s">
        <v>66</v>
      </c>
      <c r="B132" s="18">
        <f>AVERAGE(B89:B107)</f>
        <v>55.285789473684211</v>
      </c>
      <c r="C132" s="18"/>
    </row>
    <row r="133" spans="1:7" ht="15.75" thickBot="1"/>
    <row r="134" spans="1:7" ht="15.75" thickBot="1">
      <c r="A134" s="522" t="s">
        <v>0</v>
      </c>
      <c r="B134" s="467" t="s">
        <v>78</v>
      </c>
      <c r="C134" s="468"/>
      <c r="D134" s="469"/>
      <c r="E134" s="19" t="e">
        <f>(1-E189)^(1/3)-1</f>
        <v>#DIV/0!</v>
      </c>
      <c r="F134" s="19" t="e">
        <f>(1-F189)^(1/3)-1</f>
        <v>#DIV/0!</v>
      </c>
      <c r="G134" s="19"/>
    </row>
    <row r="135" spans="1:7" ht="72.75" thickBot="1">
      <c r="A135" s="523"/>
      <c r="B135" s="1" t="s">
        <v>4</v>
      </c>
      <c r="C135" s="254"/>
      <c r="D135" s="11" t="s">
        <v>80</v>
      </c>
      <c r="E135" s="11" t="s">
        <v>5</v>
      </c>
      <c r="F135" s="39" t="s">
        <v>5</v>
      </c>
      <c r="G135" s="39"/>
    </row>
    <row r="136" spans="1:7" ht="24.75" thickBot="1">
      <c r="A136" s="524"/>
      <c r="B136" s="1" t="s">
        <v>9</v>
      </c>
      <c r="C136" s="254"/>
      <c r="D136" s="11" t="s">
        <v>7</v>
      </c>
      <c r="E136" s="11" t="s">
        <v>7</v>
      </c>
      <c r="F136" s="39" t="s">
        <v>7</v>
      </c>
      <c r="G136" s="39"/>
    </row>
    <row r="137" spans="1:7">
      <c r="A137" s="50">
        <v>1</v>
      </c>
      <c r="B137" s="51">
        <v>2</v>
      </c>
      <c r="C137" s="51"/>
      <c r="D137" s="51">
        <v>3</v>
      </c>
      <c r="E137" s="51">
        <v>4</v>
      </c>
      <c r="F137" s="52">
        <v>5</v>
      </c>
      <c r="G137" s="52"/>
    </row>
    <row r="138" spans="1:7" ht="15.75" thickBot="1">
      <c r="A138" s="8" t="s">
        <v>10</v>
      </c>
      <c r="B138" s="54"/>
      <c r="C138" s="255">
        <v>0</v>
      </c>
      <c r="D138" s="14">
        <f t="shared" ref="D138:D186" si="2">IF(B138=0,0,IF(B138&lt;=E$192,0,B138-E$192)/B138)</f>
        <v>0</v>
      </c>
      <c r="E138" s="14"/>
      <c r="F138" s="38"/>
      <c r="G138" s="38"/>
    </row>
    <row r="139" spans="1:7" ht="15.75" thickBot="1">
      <c r="A139" s="8" t="s">
        <v>58</v>
      </c>
      <c r="B139" s="54"/>
      <c r="C139" s="30">
        <f>B138</f>
        <v>0</v>
      </c>
      <c r="D139" s="14">
        <f t="shared" si="2"/>
        <v>0</v>
      </c>
      <c r="E139" s="14"/>
      <c r="F139" s="38"/>
      <c r="G139" s="38"/>
    </row>
    <row r="140" spans="1:7" ht="15.75" thickBot="1">
      <c r="A140" s="8" t="s">
        <v>59</v>
      </c>
      <c r="B140" s="54"/>
      <c r="C140" s="30">
        <f t="shared" ref="C140:C188" si="3">B139</f>
        <v>0</v>
      </c>
      <c r="D140" s="14">
        <f t="shared" si="2"/>
        <v>0</v>
      </c>
      <c r="E140" s="14"/>
      <c r="F140" s="38"/>
      <c r="G140" s="38"/>
    </row>
    <row r="141" spans="1:7" ht="15.75" thickBot="1">
      <c r="A141" s="8" t="s">
        <v>60</v>
      </c>
      <c r="B141" s="54"/>
      <c r="C141" s="30">
        <f t="shared" si="3"/>
        <v>0</v>
      </c>
      <c r="D141" s="14">
        <f t="shared" si="2"/>
        <v>0</v>
      </c>
      <c r="E141" s="14"/>
      <c r="F141" s="38"/>
      <c r="G141" s="38"/>
    </row>
    <row r="142" spans="1:7" ht="15.75" thickBot="1">
      <c r="A142" s="8" t="s">
        <v>61</v>
      </c>
      <c r="B142" s="54"/>
      <c r="C142" s="30">
        <f t="shared" si="3"/>
        <v>0</v>
      </c>
      <c r="D142" s="14">
        <f t="shared" si="2"/>
        <v>0</v>
      </c>
      <c r="E142" s="14"/>
      <c r="F142" s="38"/>
      <c r="G142" s="38"/>
    </row>
    <row r="143" spans="1:7" ht="15.75" thickBot="1">
      <c r="A143" s="8" t="s">
        <v>62</v>
      </c>
      <c r="B143" s="54"/>
      <c r="C143" s="30">
        <f t="shared" si="3"/>
        <v>0</v>
      </c>
      <c r="D143" s="14">
        <f t="shared" si="2"/>
        <v>0</v>
      </c>
      <c r="E143" s="14"/>
      <c r="F143" s="38"/>
      <c r="G143" s="38"/>
    </row>
    <row r="144" spans="1:7" ht="15.75" thickBot="1">
      <c r="A144" s="8" t="s">
        <v>63</v>
      </c>
      <c r="B144" s="54"/>
      <c r="C144" s="30">
        <f t="shared" si="3"/>
        <v>0</v>
      </c>
      <c r="D144" s="14">
        <f t="shared" si="2"/>
        <v>0</v>
      </c>
      <c r="E144" s="14"/>
      <c r="F144" s="38"/>
      <c r="G144" s="38"/>
    </row>
    <row r="145" spans="1:7" ht="15.75" thickBot="1">
      <c r="A145" s="3" t="s">
        <v>11</v>
      </c>
      <c r="B145" s="54"/>
      <c r="C145" s="30">
        <f t="shared" si="3"/>
        <v>0</v>
      </c>
      <c r="D145" s="14">
        <f t="shared" si="2"/>
        <v>0</v>
      </c>
      <c r="E145" s="14"/>
      <c r="F145" s="38"/>
      <c r="G145" s="38"/>
    </row>
    <row r="146" spans="1:7" ht="15.75" thickBot="1">
      <c r="A146" s="3" t="s">
        <v>12</v>
      </c>
      <c r="B146" s="54"/>
      <c r="C146" s="30">
        <f t="shared" si="3"/>
        <v>0</v>
      </c>
      <c r="D146" s="14">
        <f t="shared" si="2"/>
        <v>0</v>
      </c>
      <c r="E146" s="14"/>
      <c r="F146" s="38"/>
      <c r="G146" s="38"/>
    </row>
    <row r="147" spans="1:7" ht="15.75" thickBot="1">
      <c r="A147" s="3" t="s">
        <v>13</v>
      </c>
      <c r="B147" s="54"/>
      <c r="C147" s="30">
        <f t="shared" si="3"/>
        <v>0</v>
      </c>
      <c r="D147" s="14">
        <f t="shared" si="2"/>
        <v>0</v>
      </c>
      <c r="E147" s="14"/>
      <c r="F147" s="38"/>
      <c r="G147" s="38"/>
    </row>
    <row r="148" spans="1:7" ht="15.75" thickBot="1">
      <c r="A148" s="3" t="s">
        <v>14</v>
      </c>
      <c r="B148" s="54"/>
      <c r="C148" s="30">
        <f t="shared" si="3"/>
        <v>0</v>
      </c>
      <c r="D148" s="14">
        <f t="shared" si="2"/>
        <v>0</v>
      </c>
      <c r="E148" s="14"/>
      <c r="F148" s="38"/>
      <c r="G148" s="38"/>
    </row>
    <row r="149" spans="1:7" ht="15.75" thickBot="1">
      <c r="A149" s="3" t="s">
        <v>15</v>
      </c>
      <c r="B149" s="54"/>
      <c r="C149" s="30">
        <f t="shared" si="3"/>
        <v>0</v>
      </c>
      <c r="D149" s="14">
        <f t="shared" si="2"/>
        <v>0</v>
      </c>
      <c r="E149" s="14"/>
      <c r="F149" s="38"/>
      <c r="G149" s="38"/>
    </row>
    <row r="150" spans="1:7" ht="15.75" thickBot="1">
      <c r="A150" s="3" t="s">
        <v>16</v>
      </c>
      <c r="B150" s="54"/>
      <c r="C150" s="30">
        <f t="shared" si="3"/>
        <v>0</v>
      </c>
      <c r="D150" s="14">
        <f t="shared" si="2"/>
        <v>0</v>
      </c>
      <c r="E150" s="14"/>
      <c r="F150" s="38"/>
      <c r="G150" s="38"/>
    </row>
    <row r="151" spans="1:7" ht="15.75" thickBot="1">
      <c r="A151" s="3" t="s">
        <v>17</v>
      </c>
      <c r="B151" s="54"/>
      <c r="C151" s="30">
        <f t="shared" si="3"/>
        <v>0</v>
      </c>
      <c r="D151" s="14">
        <f t="shared" si="2"/>
        <v>0</v>
      </c>
      <c r="E151" s="14"/>
      <c r="F151" s="38"/>
      <c r="G151" s="38"/>
    </row>
    <row r="152" spans="1:7" ht="15.75" thickBot="1">
      <c r="A152" s="3" t="s">
        <v>18</v>
      </c>
      <c r="B152" s="54"/>
      <c r="C152" s="30">
        <f t="shared" si="3"/>
        <v>0</v>
      </c>
      <c r="D152" s="14">
        <f t="shared" si="2"/>
        <v>0</v>
      </c>
      <c r="E152" s="14"/>
      <c r="F152" s="38"/>
      <c r="G152" s="38"/>
    </row>
    <row r="153" spans="1:7" ht="15.75" thickBot="1">
      <c r="A153" s="3" t="s">
        <v>19</v>
      </c>
      <c r="B153" s="54"/>
      <c r="C153" s="30">
        <f t="shared" si="3"/>
        <v>0</v>
      </c>
      <c r="D153" s="14">
        <f t="shared" si="2"/>
        <v>0</v>
      </c>
      <c r="E153" s="14"/>
      <c r="F153" s="38"/>
      <c r="G153" s="38"/>
    </row>
    <row r="154" spans="1:7" ht="15.75" thickBot="1">
      <c r="A154" s="3" t="s">
        <v>20</v>
      </c>
      <c r="B154" s="54"/>
      <c r="C154" s="30">
        <f t="shared" si="3"/>
        <v>0</v>
      </c>
      <c r="D154" s="14">
        <f t="shared" si="2"/>
        <v>0</v>
      </c>
      <c r="E154" s="14"/>
      <c r="F154" s="38"/>
      <c r="G154" s="38"/>
    </row>
    <row r="155" spans="1:7" ht="15.75" thickBot="1">
      <c r="A155" s="3" t="s">
        <v>21</v>
      </c>
      <c r="B155" s="54"/>
      <c r="C155" s="30">
        <f t="shared" si="3"/>
        <v>0</v>
      </c>
      <c r="D155" s="14">
        <f t="shared" si="2"/>
        <v>0</v>
      </c>
      <c r="E155" s="14"/>
      <c r="F155" s="38"/>
      <c r="G155" s="38"/>
    </row>
    <row r="156" spans="1:7" ht="15.75" thickBot="1">
      <c r="A156" s="3" t="s">
        <v>22</v>
      </c>
      <c r="B156" s="54"/>
      <c r="C156" s="30">
        <f t="shared" si="3"/>
        <v>0</v>
      </c>
      <c r="D156" s="14">
        <f t="shared" si="2"/>
        <v>0</v>
      </c>
      <c r="E156" s="14"/>
      <c r="F156" s="38"/>
      <c r="G156" s="38"/>
    </row>
    <row r="157" spans="1:7" ht="15.75" thickBot="1">
      <c r="A157" s="3" t="s">
        <v>23</v>
      </c>
      <c r="B157" s="54"/>
      <c r="C157" s="30">
        <f t="shared" si="3"/>
        <v>0</v>
      </c>
      <c r="D157" s="14">
        <f t="shared" si="2"/>
        <v>0</v>
      </c>
      <c r="E157" s="14"/>
      <c r="F157" s="38"/>
      <c r="G157" s="38"/>
    </row>
    <row r="158" spans="1:7" ht="15.75" thickBot="1">
      <c r="A158" s="3" t="s">
        <v>24</v>
      </c>
      <c r="B158" s="54"/>
      <c r="C158" s="30">
        <f t="shared" si="3"/>
        <v>0</v>
      </c>
      <c r="D158" s="14">
        <f t="shared" si="2"/>
        <v>0</v>
      </c>
      <c r="E158" s="14"/>
      <c r="F158" s="38"/>
      <c r="G158" s="38"/>
    </row>
    <row r="159" spans="1:7" ht="15.75" thickBot="1">
      <c r="A159" s="3" t="s">
        <v>25</v>
      </c>
      <c r="B159" s="54"/>
      <c r="C159" s="30">
        <f t="shared" si="3"/>
        <v>0</v>
      </c>
      <c r="D159" s="14">
        <f t="shared" si="2"/>
        <v>0</v>
      </c>
      <c r="E159" s="14"/>
      <c r="F159" s="38"/>
      <c r="G159" s="38"/>
    </row>
    <row r="160" spans="1:7" ht="15.75" thickBot="1">
      <c r="A160" s="3" t="s">
        <v>26</v>
      </c>
      <c r="B160" s="54"/>
      <c r="C160" s="30">
        <f t="shared" si="3"/>
        <v>0</v>
      </c>
      <c r="D160" s="14">
        <f t="shared" si="2"/>
        <v>0</v>
      </c>
      <c r="E160" s="14"/>
      <c r="F160" s="38"/>
      <c r="G160" s="38"/>
    </row>
    <row r="161" spans="1:7" ht="15.75" thickBot="1">
      <c r="A161" s="3" t="s">
        <v>27</v>
      </c>
      <c r="B161" s="54"/>
      <c r="C161" s="30">
        <f t="shared" si="3"/>
        <v>0</v>
      </c>
      <c r="D161" s="14">
        <f t="shared" si="2"/>
        <v>0</v>
      </c>
      <c r="E161" s="14"/>
      <c r="F161" s="38"/>
      <c r="G161" s="38"/>
    </row>
    <row r="162" spans="1:7" ht="15.75" thickBot="1">
      <c r="A162" s="3" t="s">
        <v>28</v>
      </c>
      <c r="B162" s="54"/>
      <c r="C162" s="30">
        <f t="shared" si="3"/>
        <v>0</v>
      </c>
      <c r="D162" s="14">
        <f t="shared" si="2"/>
        <v>0</v>
      </c>
      <c r="E162" s="14"/>
      <c r="F162" s="38"/>
      <c r="G162" s="38"/>
    </row>
    <row r="163" spans="1:7" ht="15.75" thickBot="1">
      <c r="A163" s="3" t="s">
        <v>29</v>
      </c>
      <c r="B163" s="54"/>
      <c r="C163" s="30">
        <f t="shared" si="3"/>
        <v>0</v>
      </c>
      <c r="D163" s="14">
        <f t="shared" si="2"/>
        <v>0</v>
      </c>
      <c r="E163" s="14"/>
      <c r="F163" s="38"/>
      <c r="G163" s="38"/>
    </row>
    <row r="164" spans="1:7" ht="15.75" thickBot="1">
      <c r="A164" s="3" t="s">
        <v>30</v>
      </c>
      <c r="B164" s="54"/>
      <c r="C164" s="30">
        <f t="shared" si="3"/>
        <v>0</v>
      </c>
      <c r="D164" s="14">
        <f t="shared" si="2"/>
        <v>0</v>
      </c>
      <c r="E164" s="14"/>
      <c r="F164" s="38"/>
      <c r="G164" s="38"/>
    </row>
    <row r="165" spans="1:7" ht="15.75" thickBot="1">
      <c r="A165" s="3" t="s">
        <v>31</v>
      </c>
      <c r="B165" s="54"/>
      <c r="C165" s="30">
        <f t="shared" si="3"/>
        <v>0</v>
      </c>
      <c r="D165" s="14">
        <f t="shared" si="2"/>
        <v>0</v>
      </c>
      <c r="E165" s="14"/>
      <c r="F165" s="38"/>
      <c r="G165" s="38"/>
    </row>
    <row r="166" spans="1:7" ht="15.75" thickBot="1">
      <c r="A166" s="3" t="s">
        <v>32</v>
      </c>
      <c r="B166" s="54"/>
      <c r="C166" s="30">
        <f t="shared" si="3"/>
        <v>0</v>
      </c>
      <c r="D166" s="14">
        <f t="shared" si="2"/>
        <v>0</v>
      </c>
      <c r="E166" s="14"/>
      <c r="F166" s="38"/>
      <c r="G166" s="38"/>
    </row>
    <row r="167" spans="1:7" ht="15.75" thickBot="1">
      <c r="A167" s="3" t="s">
        <v>33</v>
      </c>
      <c r="B167" s="54"/>
      <c r="C167" s="30">
        <f t="shared" si="3"/>
        <v>0</v>
      </c>
      <c r="D167" s="14">
        <f t="shared" si="2"/>
        <v>0</v>
      </c>
      <c r="E167" s="14"/>
      <c r="F167" s="38"/>
      <c r="G167" s="38"/>
    </row>
    <row r="168" spans="1:7" ht="15.75" thickBot="1">
      <c r="A168" s="3" t="s">
        <v>34</v>
      </c>
      <c r="B168" s="54"/>
      <c r="C168" s="30">
        <f t="shared" si="3"/>
        <v>0</v>
      </c>
      <c r="D168" s="14">
        <f t="shared" si="2"/>
        <v>0</v>
      </c>
      <c r="E168" s="14"/>
      <c r="F168" s="38"/>
      <c r="G168" s="38"/>
    </row>
    <row r="169" spans="1:7" ht="15.75" thickBot="1">
      <c r="A169" s="3" t="s">
        <v>35</v>
      </c>
      <c r="B169" s="54"/>
      <c r="C169" s="30">
        <f t="shared" si="3"/>
        <v>0</v>
      </c>
      <c r="D169" s="14">
        <f t="shared" si="2"/>
        <v>0</v>
      </c>
      <c r="E169" s="14"/>
      <c r="F169" s="38"/>
      <c r="G169" s="38"/>
    </row>
    <row r="170" spans="1:7" ht="15.75" thickBot="1">
      <c r="A170" s="3" t="s">
        <v>36</v>
      </c>
      <c r="B170" s="54"/>
      <c r="C170" s="30">
        <f t="shared" si="3"/>
        <v>0</v>
      </c>
      <c r="D170" s="14">
        <f t="shared" si="2"/>
        <v>0</v>
      </c>
      <c r="E170" s="14"/>
      <c r="F170" s="38"/>
      <c r="G170" s="38"/>
    </row>
    <row r="171" spans="1:7" ht="15.75" thickBot="1">
      <c r="A171" s="3" t="s">
        <v>37</v>
      </c>
      <c r="B171" s="54"/>
      <c r="C171" s="30">
        <f t="shared" si="3"/>
        <v>0</v>
      </c>
      <c r="D171" s="14">
        <f t="shared" si="2"/>
        <v>0</v>
      </c>
      <c r="E171" s="14"/>
      <c r="F171" s="38"/>
      <c r="G171" s="38"/>
    </row>
    <row r="172" spans="1:7" ht="15.75" thickBot="1">
      <c r="A172" s="3" t="s">
        <v>38</v>
      </c>
      <c r="B172" s="54"/>
      <c r="C172" s="30">
        <f t="shared" si="3"/>
        <v>0</v>
      </c>
      <c r="D172" s="14">
        <f t="shared" si="2"/>
        <v>0</v>
      </c>
      <c r="E172" s="14"/>
      <c r="F172" s="38"/>
      <c r="G172" s="38"/>
    </row>
    <row r="173" spans="1:7" ht="15.75" thickBot="1">
      <c r="A173" s="3" t="s">
        <v>39</v>
      </c>
      <c r="B173" s="54"/>
      <c r="C173" s="30">
        <f t="shared" si="3"/>
        <v>0</v>
      </c>
      <c r="D173" s="14">
        <f t="shared" si="2"/>
        <v>0</v>
      </c>
      <c r="E173" s="14"/>
      <c r="F173" s="38"/>
      <c r="G173" s="38"/>
    </row>
    <row r="174" spans="1:7" ht="15.75" thickBot="1">
      <c r="A174" s="3" t="s">
        <v>40</v>
      </c>
      <c r="B174" s="54"/>
      <c r="C174" s="30">
        <f t="shared" si="3"/>
        <v>0</v>
      </c>
      <c r="D174" s="14">
        <f t="shared" si="2"/>
        <v>0</v>
      </c>
      <c r="E174" s="14"/>
      <c r="F174" s="38"/>
      <c r="G174" s="38"/>
    </row>
    <row r="175" spans="1:7" ht="15.75" thickBot="1">
      <c r="A175" s="3" t="s">
        <v>41</v>
      </c>
      <c r="B175" s="54"/>
      <c r="C175" s="30">
        <f t="shared" si="3"/>
        <v>0</v>
      </c>
      <c r="D175" s="14">
        <f t="shared" si="2"/>
        <v>0</v>
      </c>
      <c r="E175" s="14"/>
      <c r="F175" s="38"/>
      <c r="G175" s="38"/>
    </row>
    <row r="176" spans="1:7" ht="15.75" thickBot="1">
      <c r="A176" s="3" t="s">
        <v>42</v>
      </c>
      <c r="B176" s="54"/>
      <c r="C176" s="30">
        <f t="shared" si="3"/>
        <v>0</v>
      </c>
      <c r="D176" s="14">
        <f t="shared" si="2"/>
        <v>0</v>
      </c>
      <c r="E176" s="14"/>
      <c r="F176" s="38"/>
      <c r="G176" s="38"/>
    </row>
    <row r="177" spans="1:7" ht="15.75" thickBot="1">
      <c r="A177" s="3" t="s">
        <v>43</v>
      </c>
      <c r="B177" s="54"/>
      <c r="C177" s="30">
        <f t="shared" si="3"/>
        <v>0</v>
      </c>
      <c r="D177" s="14">
        <f t="shared" si="2"/>
        <v>0</v>
      </c>
      <c r="E177" s="14"/>
      <c r="F177" s="38"/>
      <c r="G177" s="38"/>
    </row>
    <row r="178" spans="1:7" ht="15.75" thickBot="1">
      <c r="A178" s="3" t="s">
        <v>44</v>
      </c>
      <c r="B178" s="54"/>
      <c r="C178" s="30">
        <f t="shared" si="3"/>
        <v>0</v>
      </c>
      <c r="D178" s="14">
        <f t="shared" si="2"/>
        <v>0</v>
      </c>
      <c r="E178" s="14"/>
      <c r="F178" s="38"/>
      <c r="G178" s="38"/>
    </row>
    <row r="179" spans="1:7" ht="15.75" thickBot="1">
      <c r="A179" s="3" t="s">
        <v>45</v>
      </c>
      <c r="B179" s="54"/>
      <c r="C179" s="30">
        <f t="shared" si="3"/>
        <v>0</v>
      </c>
      <c r="D179" s="14">
        <f t="shared" si="2"/>
        <v>0</v>
      </c>
      <c r="E179" s="14"/>
      <c r="F179" s="38"/>
      <c r="G179" s="38"/>
    </row>
    <row r="180" spans="1:7" ht="15.75" thickBot="1">
      <c r="A180" s="3" t="s">
        <v>46</v>
      </c>
      <c r="B180" s="54"/>
      <c r="C180" s="30">
        <f t="shared" si="3"/>
        <v>0</v>
      </c>
      <c r="D180" s="14">
        <f t="shared" si="2"/>
        <v>0</v>
      </c>
      <c r="E180" s="14"/>
      <c r="F180" s="38"/>
      <c r="G180" s="38"/>
    </row>
    <row r="181" spans="1:7" ht="15.75" thickBot="1">
      <c r="A181" s="3" t="s">
        <v>47</v>
      </c>
      <c r="B181" s="54"/>
      <c r="C181" s="30">
        <f t="shared" si="3"/>
        <v>0</v>
      </c>
      <c r="D181" s="14">
        <f t="shared" si="2"/>
        <v>0</v>
      </c>
      <c r="E181" s="14"/>
      <c r="F181" s="38"/>
      <c r="G181" s="38"/>
    </row>
    <row r="182" spans="1:7" ht="15.75" thickBot="1">
      <c r="A182" s="3" t="s">
        <v>48</v>
      </c>
      <c r="B182" s="54"/>
      <c r="C182" s="30">
        <f t="shared" si="3"/>
        <v>0</v>
      </c>
      <c r="D182" s="14">
        <f t="shared" si="2"/>
        <v>0</v>
      </c>
      <c r="E182" s="14"/>
      <c r="F182" s="38"/>
      <c r="G182" s="38"/>
    </row>
    <row r="183" spans="1:7" ht="15.75" thickBot="1">
      <c r="A183" s="3" t="s">
        <v>49</v>
      </c>
      <c r="B183" s="54"/>
      <c r="C183" s="30">
        <f t="shared" si="3"/>
        <v>0</v>
      </c>
      <c r="D183" s="14">
        <f t="shared" si="2"/>
        <v>0</v>
      </c>
      <c r="E183" s="14"/>
      <c r="F183" s="38"/>
      <c r="G183" s="38"/>
    </row>
    <row r="184" spans="1:7" ht="15.75" thickBot="1">
      <c r="A184" s="3" t="s">
        <v>50</v>
      </c>
      <c r="B184" s="54"/>
      <c r="C184" s="30">
        <f t="shared" si="3"/>
        <v>0</v>
      </c>
      <c r="D184" s="14">
        <f t="shared" si="2"/>
        <v>0</v>
      </c>
      <c r="E184" s="14"/>
      <c r="F184" s="38"/>
      <c r="G184" s="38"/>
    </row>
    <row r="185" spans="1:7" ht="15.75" thickBot="1">
      <c r="A185" s="3" t="s">
        <v>51</v>
      </c>
      <c r="B185" s="54"/>
      <c r="C185" s="30">
        <f t="shared" si="3"/>
        <v>0</v>
      </c>
      <c r="D185" s="14">
        <f t="shared" si="2"/>
        <v>0</v>
      </c>
      <c r="E185" s="14"/>
      <c r="F185" s="38"/>
      <c r="G185" s="38"/>
    </row>
    <row r="186" spans="1:7" ht="15.75" thickBot="1">
      <c r="A186" s="3" t="s">
        <v>52</v>
      </c>
      <c r="B186" s="54"/>
      <c r="C186" s="30">
        <f t="shared" si="3"/>
        <v>0</v>
      </c>
      <c r="D186" s="14">
        <f t="shared" si="2"/>
        <v>0</v>
      </c>
      <c r="E186" s="14"/>
      <c r="F186" s="38"/>
      <c r="G186" s="38"/>
    </row>
    <row r="187" spans="1:7" ht="15.75" thickBot="1">
      <c r="A187" s="3" t="s">
        <v>53</v>
      </c>
      <c r="B187" s="23"/>
      <c r="C187" s="30">
        <f>B186</f>
        <v>0</v>
      </c>
      <c r="D187" s="14">
        <f>IF(B187=0,0,IF(B187&lt;=E$192,0,B187-E$192)/B187)</f>
        <v>0</v>
      </c>
      <c r="E187" s="14"/>
      <c r="F187" s="38"/>
      <c r="G187" s="38"/>
    </row>
    <row r="188" spans="1:7" ht="15.75" thickBot="1">
      <c r="A188" s="3" t="s">
        <v>53</v>
      </c>
      <c r="B188" s="3" t="s">
        <v>79</v>
      </c>
      <c r="C188" s="30">
        <f t="shared" si="3"/>
        <v>0</v>
      </c>
      <c r="D188" s="22"/>
      <c r="E188" s="1"/>
      <c r="F188" s="37"/>
      <c r="G188" s="39"/>
    </row>
    <row r="189" spans="1:7" ht="15.75" thickBot="1">
      <c r="A189" s="3"/>
      <c r="B189" s="3">
        <v>5.4</v>
      </c>
      <c r="C189" s="4"/>
      <c r="D189" s="22"/>
      <c r="E189" s="15" t="e">
        <f>AVERAGE(E138:E187)</f>
        <v>#DIV/0!</v>
      </c>
      <c r="F189" s="26" t="e">
        <f>AVERAGE(F138:F187)</f>
        <v>#DIV/0!</v>
      </c>
      <c r="G189" s="26"/>
    </row>
    <row r="190" spans="1:7" ht="60.75" thickBot="1">
      <c r="A190" s="5" t="s">
        <v>55</v>
      </c>
      <c r="B190" s="3">
        <v>6</v>
      </c>
      <c r="C190" s="4"/>
      <c r="D190" s="22"/>
      <c r="E190" s="12" t="e">
        <f>B195</f>
        <v>#DIV/0!</v>
      </c>
      <c r="F190" s="45" t="e">
        <f>B196</f>
        <v>#DIV/0!</v>
      </c>
      <c r="G190" s="46"/>
    </row>
    <row r="191" spans="1:7" ht="60.75" thickBot="1">
      <c r="A191" s="5" t="s">
        <v>56</v>
      </c>
      <c r="B191" s="4">
        <v>4.9000000000000004</v>
      </c>
      <c r="C191" s="4"/>
      <c r="D191" s="1"/>
      <c r="E191" s="1"/>
      <c r="F191" s="37"/>
      <c r="G191" s="37"/>
    </row>
    <row r="192" spans="1:7" ht="97.5" thickBot="1">
      <c r="A192" s="6" t="s">
        <v>57</v>
      </c>
      <c r="B192" s="4">
        <v>3.6</v>
      </c>
      <c r="C192" s="4"/>
      <c r="D192" s="1"/>
      <c r="E192" s="1" t="e">
        <f>0.6*E190</f>
        <v>#DIV/0!</v>
      </c>
      <c r="F192" s="37" t="e">
        <f>0.6*F190</f>
        <v>#DIV/0!</v>
      </c>
      <c r="G192" s="37"/>
    </row>
    <row r="195" spans="1:7">
      <c r="A195" s="16" t="s">
        <v>64</v>
      </c>
      <c r="B195" s="17" t="e">
        <f>AVERAGE(B143:B182)</f>
        <v>#DIV/0!</v>
      </c>
      <c r="C195" s="17"/>
    </row>
    <row r="196" spans="1:7">
      <c r="A196" s="16" t="s">
        <v>65</v>
      </c>
      <c r="B196" s="18" t="e">
        <f>AVERAGE(B148:B177)</f>
        <v>#DIV/0!</v>
      </c>
      <c r="C196" s="18"/>
    </row>
    <row r="197" spans="1:7">
      <c r="A197" s="16" t="s">
        <v>66</v>
      </c>
      <c r="B197" s="18" t="e">
        <f>AVERAGE(B154:B172)</f>
        <v>#DIV/0!</v>
      </c>
      <c r="C197" s="18"/>
    </row>
    <row r="200" spans="1:7" ht="15" customHeight="1">
      <c r="A200" s="473" t="s">
        <v>0</v>
      </c>
      <c r="B200" s="473" t="s">
        <v>3</v>
      </c>
      <c r="C200" s="473"/>
      <c r="D200" s="473"/>
      <c r="E200" s="40">
        <f>(1-E255)^(1/3)-1</f>
        <v>-3.0684168000409184E-2</v>
      </c>
      <c r="F200" s="40">
        <f>(1-F255)^(1/3)-1</f>
        <v>-3.4491780909974956E-2</v>
      </c>
      <c r="G200" s="40"/>
    </row>
    <row r="201" spans="1:7" ht="72">
      <c r="A201" s="473"/>
      <c r="B201" s="11" t="s">
        <v>4</v>
      </c>
      <c r="C201" s="11"/>
      <c r="D201" s="11" t="s">
        <v>80</v>
      </c>
      <c r="E201" s="11" t="s">
        <v>5</v>
      </c>
      <c r="F201" s="39" t="s">
        <v>5</v>
      </c>
      <c r="G201" s="39"/>
    </row>
    <row r="202" spans="1:7" ht="24">
      <c r="A202" s="473"/>
      <c r="B202" s="11" t="s">
        <v>9</v>
      </c>
      <c r="C202" s="11"/>
      <c r="D202" s="11" t="s">
        <v>7</v>
      </c>
      <c r="E202" s="55" t="s">
        <v>65</v>
      </c>
      <c r="F202" s="39"/>
      <c r="G202" s="56"/>
    </row>
    <row r="203" spans="1:7">
      <c r="A203" s="50">
        <v>1</v>
      </c>
      <c r="B203" s="51">
        <v>2</v>
      </c>
      <c r="C203" s="51"/>
      <c r="D203" s="51">
        <v>3</v>
      </c>
      <c r="E203" s="51">
        <v>4</v>
      </c>
      <c r="F203" s="52">
        <v>5</v>
      </c>
      <c r="G203" s="52"/>
    </row>
    <row r="204" spans="1:7">
      <c r="A204" s="27" t="s">
        <v>10</v>
      </c>
      <c r="B204" s="163">
        <v>0.21544843018771856</v>
      </c>
      <c r="C204" s="163">
        <v>0</v>
      </c>
      <c r="D204" s="14">
        <v>0</v>
      </c>
      <c r="E204" s="14">
        <v>0</v>
      </c>
      <c r="F204" s="38">
        <v>0</v>
      </c>
      <c r="G204" s="38">
        <v>0</v>
      </c>
    </row>
    <row r="205" spans="1:7">
      <c r="A205" s="27" t="s">
        <v>58</v>
      </c>
      <c r="B205" s="163">
        <v>0.33544958336733743</v>
      </c>
      <c r="C205" s="30">
        <f>B204</f>
        <v>0.21544843018771856</v>
      </c>
      <c r="D205" s="14">
        <v>0</v>
      </c>
      <c r="E205" s="14">
        <v>0</v>
      </c>
      <c r="F205" s="38">
        <v>0</v>
      </c>
      <c r="G205" s="38">
        <v>0</v>
      </c>
    </row>
    <row r="206" spans="1:7">
      <c r="A206" s="27" t="s">
        <v>59</v>
      </c>
      <c r="B206" s="163">
        <v>0.43907132425388573</v>
      </c>
      <c r="C206" s="30">
        <f t="shared" ref="C206:C254" si="4">B205</f>
        <v>0.33544958336733743</v>
      </c>
      <c r="D206" s="14">
        <v>0</v>
      </c>
      <c r="E206" s="14">
        <v>0</v>
      </c>
      <c r="F206" s="38">
        <v>0</v>
      </c>
      <c r="G206" s="38">
        <v>0</v>
      </c>
    </row>
    <row r="207" spans="1:7">
      <c r="A207" s="27" t="s">
        <v>60</v>
      </c>
      <c r="B207" s="163">
        <v>0.56519313005079153</v>
      </c>
      <c r="C207" s="30">
        <f t="shared" si="4"/>
        <v>0.43907132425388573</v>
      </c>
      <c r="D207" s="14">
        <v>0</v>
      </c>
      <c r="E207" s="14">
        <v>0</v>
      </c>
      <c r="F207" s="38">
        <v>0</v>
      </c>
      <c r="G207" s="38">
        <v>0</v>
      </c>
    </row>
    <row r="208" spans="1:7">
      <c r="A208" s="27" t="s">
        <v>61</v>
      </c>
      <c r="B208" s="163">
        <v>0.72915622312565231</v>
      </c>
      <c r="C208" s="30">
        <f t="shared" si="4"/>
        <v>0.56519313005079153</v>
      </c>
      <c r="D208" s="14">
        <v>0</v>
      </c>
      <c r="E208" s="14">
        <v>0</v>
      </c>
      <c r="F208" s="38">
        <v>0</v>
      </c>
      <c r="G208" s="38">
        <v>0</v>
      </c>
    </row>
    <row r="209" spans="1:7">
      <c r="A209" s="27" t="s">
        <v>62</v>
      </c>
      <c r="B209" s="163">
        <v>0.83306489359680347</v>
      </c>
      <c r="C209" s="30">
        <f t="shared" si="4"/>
        <v>0.72915622312565231</v>
      </c>
      <c r="D209" s="14">
        <v>0</v>
      </c>
      <c r="E209" s="14">
        <v>0</v>
      </c>
      <c r="F209" s="38">
        <v>0</v>
      </c>
      <c r="G209" s="38">
        <v>0</v>
      </c>
    </row>
    <row r="210" spans="1:7">
      <c r="A210" s="27" t="s">
        <v>63</v>
      </c>
      <c r="B210" s="163">
        <v>0.93383280897278653</v>
      </c>
      <c r="C210" s="30">
        <f t="shared" si="4"/>
        <v>0.83306489359680347</v>
      </c>
      <c r="D210" s="14">
        <v>0</v>
      </c>
      <c r="E210" s="14">
        <v>0</v>
      </c>
      <c r="F210" s="38">
        <v>0</v>
      </c>
      <c r="G210" s="38">
        <v>0</v>
      </c>
    </row>
    <row r="211" spans="1:7">
      <c r="A211" s="29" t="s">
        <v>11</v>
      </c>
      <c r="B211" s="163">
        <v>0.96473362930077688</v>
      </c>
      <c r="C211" s="30">
        <f t="shared" si="4"/>
        <v>0.93383280897278653</v>
      </c>
      <c r="D211" s="14">
        <v>0</v>
      </c>
      <c r="E211" s="14">
        <v>0</v>
      </c>
      <c r="F211" s="38">
        <v>0</v>
      </c>
      <c r="G211" s="38">
        <v>0</v>
      </c>
    </row>
    <row r="212" spans="1:7">
      <c r="A212" s="29" t="s">
        <v>12</v>
      </c>
      <c r="B212" s="163">
        <v>1.0788737170087976</v>
      </c>
      <c r="C212" s="30">
        <f t="shared" si="4"/>
        <v>0.96473362930077688</v>
      </c>
      <c r="D212" s="14">
        <v>0</v>
      </c>
      <c r="E212" s="14">
        <v>0</v>
      </c>
      <c r="F212" s="38">
        <v>0</v>
      </c>
      <c r="G212" s="38">
        <v>0</v>
      </c>
    </row>
    <row r="213" spans="1:7">
      <c r="A213" s="29" t="s">
        <v>13</v>
      </c>
      <c r="B213" s="163">
        <v>1.1563106796116505</v>
      </c>
      <c r="C213" s="30">
        <f t="shared" si="4"/>
        <v>1.0788737170087976</v>
      </c>
      <c r="D213" s="14">
        <v>0</v>
      </c>
      <c r="E213" s="14">
        <v>0</v>
      </c>
      <c r="F213" s="38">
        <v>0</v>
      </c>
      <c r="G213" s="38">
        <v>0</v>
      </c>
    </row>
    <row r="214" spans="1:7">
      <c r="A214" s="29" t="s">
        <v>14</v>
      </c>
      <c r="B214" s="163">
        <v>1.1905347190578008</v>
      </c>
      <c r="C214" s="30">
        <f t="shared" si="4"/>
        <v>1.1563106796116505</v>
      </c>
      <c r="D214" s="14">
        <v>0</v>
      </c>
      <c r="E214" s="14">
        <v>0</v>
      </c>
      <c r="F214" s="38">
        <v>0</v>
      </c>
      <c r="G214" s="38">
        <v>0</v>
      </c>
    </row>
    <row r="215" spans="1:7">
      <c r="A215" s="29" t="s">
        <v>15</v>
      </c>
      <c r="B215" s="163">
        <v>1.2283371584855947</v>
      </c>
      <c r="C215" s="30">
        <f t="shared" si="4"/>
        <v>1.1905347190578008</v>
      </c>
      <c r="D215" s="14">
        <v>0</v>
      </c>
      <c r="E215" s="14">
        <v>0</v>
      </c>
      <c r="F215" s="38">
        <v>0</v>
      </c>
      <c r="G215" s="38">
        <v>0</v>
      </c>
    </row>
    <row r="216" spans="1:7">
      <c r="A216" s="29" t="s">
        <v>16</v>
      </c>
      <c r="B216" s="163">
        <v>1.2707986592695331</v>
      </c>
      <c r="C216" s="30">
        <f t="shared" si="4"/>
        <v>1.2283371584855947</v>
      </c>
      <c r="D216" s="14">
        <v>0</v>
      </c>
      <c r="E216" s="14">
        <v>0</v>
      </c>
      <c r="F216" s="38">
        <v>0</v>
      </c>
      <c r="G216" s="38">
        <v>0</v>
      </c>
    </row>
    <row r="217" spans="1:7">
      <c r="A217" s="29" t="s">
        <v>17</v>
      </c>
      <c r="B217" s="163">
        <v>1.3176994427794935</v>
      </c>
      <c r="C217" s="30">
        <f t="shared" si="4"/>
        <v>1.2707986592695331</v>
      </c>
      <c r="D217" s="14">
        <v>0</v>
      </c>
      <c r="E217" s="14">
        <v>0</v>
      </c>
      <c r="F217" s="38">
        <v>0</v>
      </c>
      <c r="G217" s="38">
        <v>0</v>
      </c>
    </row>
    <row r="218" spans="1:7">
      <c r="A218" s="29" t="s">
        <v>18</v>
      </c>
      <c r="B218" s="163">
        <v>1.3558685446009389</v>
      </c>
      <c r="C218" s="30">
        <f t="shared" si="4"/>
        <v>1.3176994427794935</v>
      </c>
      <c r="D218" s="14">
        <v>0</v>
      </c>
      <c r="E218" s="14">
        <v>0</v>
      </c>
      <c r="F218" s="38">
        <v>0</v>
      </c>
      <c r="G218" s="38">
        <v>0</v>
      </c>
    </row>
    <row r="219" spans="1:7">
      <c r="A219" s="29" t="s">
        <v>19</v>
      </c>
      <c r="B219" s="163">
        <v>1.4615226090436175</v>
      </c>
      <c r="C219" s="30">
        <f t="shared" si="4"/>
        <v>1.3558685446009389</v>
      </c>
      <c r="D219" s="14">
        <v>0</v>
      </c>
      <c r="E219" s="14"/>
      <c r="F219" s="38"/>
      <c r="G219" s="38"/>
    </row>
    <row r="220" spans="1:7">
      <c r="A220" s="29" t="s">
        <v>20</v>
      </c>
      <c r="B220" s="163">
        <v>1.6310593681917211</v>
      </c>
      <c r="C220" s="30">
        <f t="shared" si="4"/>
        <v>1.4615226090436175</v>
      </c>
      <c r="D220" s="14">
        <v>0</v>
      </c>
      <c r="E220" s="14"/>
      <c r="F220" s="38"/>
      <c r="G220" s="38"/>
    </row>
    <row r="221" spans="1:7">
      <c r="A221" s="29" t="s">
        <v>21</v>
      </c>
      <c r="B221" s="163">
        <v>1.6621064412950379</v>
      </c>
      <c r="C221" s="30">
        <f t="shared" si="4"/>
        <v>1.6310593681917211</v>
      </c>
      <c r="D221" s="14">
        <v>0</v>
      </c>
      <c r="E221" s="14"/>
      <c r="F221" s="38"/>
      <c r="G221" s="38"/>
    </row>
    <row r="222" spans="1:7">
      <c r="A222" s="29" t="s">
        <v>22</v>
      </c>
      <c r="B222" s="163">
        <v>1.7031355333037372</v>
      </c>
      <c r="C222" s="30">
        <f t="shared" si="4"/>
        <v>1.6621064412950379</v>
      </c>
      <c r="D222" s="14">
        <v>0</v>
      </c>
      <c r="E222" s="14"/>
      <c r="F222" s="38"/>
      <c r="G222" s="38"/>
    </row>
    <row r="223" spans="1:7">
      <c r="A223" s="29" t="s">
        <v>23</v>
      </c>
      <c r="B223" s="163">
        <v>1.8032614685218349</v>
      </c>
      <c r="C223" s="30">
        <f t="shared" si="4"/>
        <v>1.7031355333037372</v>
      </c>
      <c r="D223" s="14">
        <v>4.3714451766540423E-2</v>
      </c>
      <c r="E223" s="14"/>
      <c r="F223" s="38"/>
      <c r="G223" s="38"/>
    </row>
    <row r="224" spans="1:7">
      <c r="A224" s="29" t="s">
        <v>24</v>
      </c>
      <c r="B224" s="163">
        <v>1.9143789375177553</v>
      </c>
      <c r="C224" s="30">
        <f t="shared" si="4"/>
        <v>1.8032614685218349</v>
      </c>
      <c r="D224" s="14">
        <v>9.9220719451901807E-2</v>
      </c>
      <c r="E224" s="14">
        <v>9.9220719451901807E-3</v>
      </c>
      <c r="F224" s="38">
        <v>1.8774988188813665E-2</v>
      </c>
      <c r="G224" s="38">
        <v>0</v>
      </c>
    </row>
    <row r="225" spans="1:7">
      <c r="A225" s="29" t="s">
        <v>25</v>
      </c>
      <c r="B225" s="163">
        <v>1.9892747738427761</v>
      </c>
      <c r="C225" s="30">
        <f t="shared" si="4"/>
        <v>1.9143789375177553</v>
      </c>
      <c r="D225" s="14">
        <v>0.13313489684358296</v>
      </c>
      <c r="E225" s="14">
        <v>1.3313489684358295E-2</v>
      </c>
      <c r="F225" s="38">
        <v>2.1833095228675669E-2</v>
      </c>
      <c r="G225" s="38">
        <v>0</v>
      </c>
    </row>
    <row r="226" spans="1:7">
      <c r="A226" s="29" t="s">
        <v>26</v>
      </c>
      <c r="B226" s="163">
        <v>2.0782438147831614</v>
      </c>
      <c r="C226" s="30">
        <f t="shared" si="4"/>
        <v>1.9892747738427761</v>
      </c>
      <c r="D226" s="14">
        <v>0.17024515133052417</v>
      </c>
      <c r="E226" s="14">
        <v>1.7024515133052417E-2</v>
      </c>
      <c r="F226" s="38">
        <v>2.5179398728445147E-2</v>
      </c>
      <c r="G226" s="38">
        <v>0</v>
      </c>
    </row>
    <row r="227" spans="1:7">
      <c r="A227" s="29" t="s">
        <v>27</v>
      </c>
      <c r="B227" s="163">
        <v>2.1614201486798255</v>
      </c>
      <c r="C227" s="30">
        <f t="shared" si="4"/>
        <v>2.0782438147831614</v>
      </c>
      <c r="D227" s="14">
        <v>0.20217599383121174</v>
      </c>
      <c r="E227" s="14">
        <v>2.0217599383121176E-2</v>
      </c>
      <c r="F227" s="38">
        <v>2.8058664621063545E-2</v>
      </c>
      <c r="G227" s="38">
        <v>0</v>
      </c>
    </row>
    <row r="228" spans="1:7">
      <c r="A228" s="29" t="s">
        <v>28</v>
      </c>
      <c r="B228" s="163">
        <v>2.2156070067310032</v>
      </c>
      <c r="C228" s="30">
        <f t="shared" si="4"/>
        <v>2.1614201486798255</v>
      </c>
      <c r="D228" s="14">
        <v>0.22168828822311101</v>
      </c>
      <c r="E228" s="14">
        <v>2.2168828822311103E-2</v>
      </c>
      <c r="F228" s="38">
        <v>2.9818125985984156E-2</v>
      </c>
      <c r="G228" s="38">
        <v>0</v>
      </c>
    </row>
    <row r="229" spans="1:7">
      <c r="A229" s="29" t="s">
        <v>29</v>
      </c>
      <c r="B229" s="163">
        <v>2.3141559829059828</v>
      </c>
      <c r="C229" s="30">
        <f t="shared" si="4"/>
        <v>2.2156070067310032</v>
      </c>
      <c r="D229" s="14">
        <v>0.25483290894322796</v>
      </c>
      <c r="E229" s="14">
        <v>2.5483290894322799E-2</v>
      </c>
      <c r="F229" s="38">
        <v>3.2806840610759586E-2</v>
      </c>
      <c r="G229" s="38">
        <v>0</v>
      </c>
    </row>
    <row r="230" spans="1:7">
      <c r="A230" s="29" t="s">
        <v>30</v>
      </c>
      <c r="B230" s="163">
        <v>2.3988315756311978</v>
      </c>
      <c r="C230" s="30">
        <f t="shared" si="4"/>
        <v>2.3141559829059828</v>
      </c>
      <c r="D230" s="14">
        <v>0.28113632505444608</v>
      </c>
      <c r="E230" s="14">
        <v>2.8113632505444606E-2</v>
      </c>
      <c r="F230" s="38">
        <v>3.5178670570045777E-2</v>
      </c>
      <c r="G230" s="38">
        <v>0</v>
      </c>
    </row>
    <row r="231" spans="1:7">
      <c r="A231" s="29" t="s">
        <v>31</v>
      </c>
      <c r="B231" s="163">
        <v>2.5644513745912558</v>
      </c>
      <c r="C231" s="30">
        <f t="shared" si="4"/>
        <v>2.3988315756311978</v>
      </c>
      <c r="D231" s="14">
        <v>0.32756265175488808</v>
      </c>
      <c r="E231" s="14">
        <v>3.2756265175488811E-2</v>
      </c>
      <c r="F231" s="38">
        <v>3.9365022339037249E-2</v>
      </c>
      <c r="G231" s="38">
        <v>0</v>
      </c>
    </row>
    <row r="232" spans="1:7">
      <c r="A232" s="29" t="s">
        <v>32</v>
      </c>
      <c r="B232" s="163">
        <v>2.8793973646034816</v>
      </c>
      <c r="C232" s="30">
        <f t="shared" si="4"/>
        <v>2.5644513745912558</v>
      </c>
      <c r="D232" s="14">
        <v>0.4011132665354975</v>
      </c>
      <c r="E232" s="14">
        <v>4.0667959921298492E-2</v>
      </c>
      <c r="F232" s="38">
        <v>7.5983342092738673E-2</v>
      </c>
      <c r="G232" s="38">
        <v>0</v>
      </c>
    </row>
    <row r="233" spans="1:7">
      <c r="A233" s="29" t="s">
        <v>33</v>
      </c>
      <c r="B233" s="163">
        <v>2.9598899958488998</v>
      </c>
      <c r="C233" s="30">
        <f t="shared" si="4"/>
        <v>2.8793973646034816</v>
      </c>
      <c r="D233" s="14">
        <v>0.41739967213237361</v>
      </c>
      <c r="E233" s="14">
        <v>5.0439803279424184E-2</v>
      </c>
      <c r="F233" s="38">
        <v>8.4794802450684131E-2</v>
      </c>
      <c r="G233" s="38">
        <v>2.6990866539277365E-3</v>
      </c>
    </row>
    <row r="234" spans="1:7">
      <c r="A234" s="29" t="s">
        <v>34</v>
      </c>
      <c r="B234" s="163">
        <v>3.2095238095238097</v>
      </c>
      <c r="C234" s="30">
        <f t="shared" si="4"/>
        <v>2.9598899958488998</v>
      </c>
      <c r="D234" s="14">
        <v>0.46271379046428485</v>
      </c>
      <c r="E234" s="14">
        <v>7.7628274278570927E-2</v>
      </c>
      <c r="F234" s="38">
        <v>0.10931117317237807</v>
      </c>
      <c r="G234" s="38">
        <v>1.0267062314540066E-2</v>
      </c>
    </row>
    <row r="235" spans="1:7">
      <c r="A235" s="29" t="s">
        <v>35</v>
      </c>
      <c r="B235" s="163">
        <v>3.3109351432880842</v>
      </c>
      <c r="C235" s="30">
        <f t="shared" si="4"/>
        <v>3.2095238095238097</v>
      </c>
      <c r="D235" s="14">
        <v>0.47917044357409405</v>
      </c>
      <c r="E235" s="14">
        <v>8.7502266144456442E-2</v>
      </c>
      <c r="F235" s="38">
        <v>0.11821474281756469</v>
      </c>
      <c r="G235" s="38">
        <v>1.3015511468464568E-2</v>
      </c>
    </row>
    <row r="236" spans="1:7">
      <c r="A236" s="29" t="s">
        <v>36</v>
      </c>
      <c r="B236" s="163">
        <v>3.4164891153311716</v>
      </c>
      <c r="C236" s="30">
        <f t="shared" si="4"/>
        <v>3.3109351432880842</v>
      </c>
      <c r="D236" s="14">
        <v>0.49526170761222482</v>
      </c>
      <c r="E236" s="14">
        <v>9.715702456733491E-2</v>
      </c>
      <c r="F236" s="38">
        <v>0.12692062542240531</v>
      </c>
      <c r="G236" s="38">
        <v>1.5702936471353811E-2</v>
      </c>
    </row>
    <row r="237" spans="1:7">
      <c r="A237" s="29" t="s">
        <v>37</v>
      </c>
      <c r="B237" s="163">
        <v>3.5917399848828424</v>
      </c>
      <c r="C237" s="30">
        <f t="shared" si="4"/>
        <v>3.4164891153311716</v>
      </c>
      <c r="D237" s="14">
        <v>0.51988927670388563</v>
      </c>
      <c r="E237" s="14">
        <v>0.11193356602233138</v>
      </c>
      <c r="F237" s="38">
        <v>0.14024491895500379</v>
      </c>
      <c r="G237" s="38">
        <v>1.9816021980390053E-2</v>
      </c>
    </row>
    <row r="238" spans="1:7">
      <c r="A238" s="29" t="s">
        <v>38</v>
      </c>
      <c r="B238" s="163">
        <v>3.8079591836734696</v>
      </c>
      <c r="C238" s="30">
        <f t="shared" si="4"/>
        <v>3.5917399848828424</v>
      </c>
      <c r="D238" s="14">
        <v>0.54715037665657251</v>
      </c>
      <c r="E238" s="14">
        <v>0.12829022599394352</v>
      </c>
      <c r="F238" s="38">
        <v>0.15499403594820726</v>
      </c>
      <c r="G238" s="38">
        <v>2.4368937242081577E-2</v>
      </c>
    </row>
    <row r="239" spans="1:7">
      <c r="A239" s="29" t="s">
        <v>39</v>
      </c>
      <c r="B239" s="163">
        <v>4.0486621159452794</v>
      </c>
      <c r="C239" s="30">
        <f t="shared" si="4"/>
        <v>3.8079591836734696</v>
      </c>
      <c r="D239" s="14">
        <v>0.5740734018672099</v>
      </c>
      <c r="E239" s="14">
        <v>0.14444404112032602</v>
      </c>
      <c r="F239" s="38">
        <v>0.1695602438169958</v>
      </c>
      <c r="G239" s="38">
        <v>2.8865390157963848E-2</v>
      </c>
    </row>
    <row r="240" spans="1:7">
      <c r="A240" s="29" t="s">
        <v>40</v>
      </c>
      <c r="B240" s="163">
        <v>4.3169836168028208</v>
      </c>
      <c r="C240" s="30">
        <f t="shared" si="4"/>
        <v>4.0486621159452794</v>
      </c>
      <c r="D240" s="14">
        <v>0.60054680881304801</v>
      </c>
      <c r="E240" s="14">
        <v>0.16032808528782888</v>
      </c>
      <c r="F240" s="38">
        <v>0.18388319398887126</v>
      </c>
      <c r="G240" s="38">
        <v>3.3286751684896553E-2</v>
      </c>
    </row>
    <row r="241" spans="1:7">
      <c r="A241" s="29" t="s">
        <v>41</v>
      </c>
      <c r="B241" s="163">
        <v>4.3780279503105586</v>
      </c>
      <c r="C241" s="30">
        <f t="shared" si="4"/>
        <v>4.3169836168028208</v>
      </c>
      <c r="D241" s="14">
        <v>0.60611652058745935</v>
      </c>
      <c r="E241" s="14">
        <v>0.16366991235247563</v>
      </c>
      <c r="F241" s="38">
        <v>0.18689658415734531</v>
      </c>
      <c r="G241" s="38">
        <v>3.4216957207966088E-2</v>
      </c>
    </row>
    <row r="242" spans="1:7">
      <c r="A242" s="29" t="s">
        <v>42</v>
      </c>
      <c r="B242" s="163">
        <v>4.5945585984484083</v>
      </c>
      <c r="C242" s="30">
        <f t="shared" si="4"/>
        <v>4.3780279503105586</v>
      </c>
      <c r="D242" s="14">
        <v>0.62467931465363813</v>
      </c>
      <c r="E242" s="14">
        <v>0.17480758879218292</v>
      </c>
      <c r="F242" s="38">
        <v>0.19693964265014208</v>
      </c>
      <c r="G242" s="38">
        <v>3.7317155972881016E-2</v>
      </c>
    </row>
    <row r="243" spans="1:7">
      <c r="A243" s="29" t="s">
        <v>43</v>
      </c>
      <c r="B243" s="163">
        <v>4.9728714675919088</v>
      </c>
      <c r="C243" s="30">
        <f t="shared" si="4"/>
        <v>4.5945585984484083</v>
      </c>
      <c r="D243" s="14">
        <v>0.65323196200188027</v>
      </c>
      <c r="E243" s="14">
        <v>0.19193917720112821</v>
      </c>
      <c r="F243" s="38">
        <v>0.21238752761941301</v>
      </c>
      <c r="G243" s="38">
        <v>5.2514646465058074E-2</v>
      </c>
    </row>
    <row r="244" spans="1:7">
      <c r="A244" s="29" t="s">
        <v>44</v>
      </c>
      <c r="B244" s="163">
        <v>5.4194930069930072</v>
      </c>
      <c r="C244" s="30">
        <f t="shared" si="4"/>
        <v>4.9728714675919088</v>
      </c>
      <c r="D244" s="14">
        <v>0.68180918772133003</v>
      </c>
      <c r="E244" s="14">
        <v>0.20908551263279804</v>
      </c>
      <c r="F244" s="38">
        <v>0.22784871026460579</v>
      </c>
      <c r="G244" s="38">
        <v>8.1150986306230771E-2</v>
      </c>
    </row>
    <row r="245" spans="1:7">
      <c r="A245" s="29" t="s">
        <v>45</v>
      </c>
      <c r="B245" s="163">
        <v>5.6205414227543944</v>
      </c>
      <c r="C245" s="30">
        <f t="shared" si="4"/>
        <v>5.4194930069930072</v>
      </c>
      <c r="D245" s="14">
        <v>0.69319096643387013</v>
      </c>
      <c r="E245" s="14">
        <v>0.21591457986032209</v>
      </c>
      <c r="F245" s="38">
        <v>0.23400661240770917</v>
      </c>
      <c r="G245" s="38">
        <v>9.2556309076505527E-2</v>
      </c>
    </row>
    <row r="246" spans="1:7">
      <c r="A246" s="29" t="s">
        <v>46</v>
      </c>
      <c r="B246" s="163">
        <v>5.8586203703703701</v>
      </c>
      <c r="C246" s="30">
        <f t="shared" si="4"/>
        <v>5.6205414227543944</v>
      </c>
      <c r="D246" s="14">
        <v>0.70565887990372356</v>
      </c>
      <c r="E246" s="14">
        <v>0.22339532794223416</v>
      </c>
      <c r="F246" s="38">
        <v>0.2407521477950251</v>
      </c>
      <c r="G246" s="38">
        <v>0.1050500133548064</v>
      </c>
    </row>
    <row r="247" spans="1:7">
      <c r="A247" s="29" t="s">
        <v>47</v>
      </c>
      <c r="B247" s="163">
        <v>6.4735365349400427</v>
      </c>
      <c r="C247" s="30">
        <f t="shared" si="4"/>
        <v>5.8586203703703701</v>
      </c>
      <c r="D247" s="14">
        <v>0.73361811233685292</v>
      </c>
      <c r="E247" s="14">
        <v>0.2401708674021118</v>
      </c>
      <c r="F247" s="38">
        <v>0.25587897653312047</v>
      </c>
      <c r="G247" s="38">
        <v>0.13306708154447694</v>
      </c>
    </row>
    <row r="248" spans="1:7">
      <c r="A248" s="29" t="s">
        <v>48</v>
      </c>
      <c r="B248" s="163">
        <v>8.8754591665467792</v>
      </c>
      <c r="C248" s="30">
        <f t="shared" si="4"/>
        <v>6.4735365349400427</v>
      </c>
      <c r="D248" s="14">
        <v>0.80570775554538321</v>
      </c>
      <c r="E248" s="14">
        <v>0.28342465332722994</v>
      </c>
      <c r="F248" s="38">
        <v>0.29488175277935597</v>
      </c>
      <c r="G248" s="38">
        <v>0.20530584755398951</v>
      </c>
    </row>
    <row r="249" spans="1:7">
      <c r="A249" s="29" t="s">
        <v>49</v>
      </c>
      <c r="B249" s="163">
        <v>10.697098334869009</v>
      </c>
      <c r="C249" s="30">
        <f t="shared" si="4"/>
        <v>8.8754591665467792</v>
      </c>
      <c r="D249" s="14">
        <v>0.83879433206549159</v>
      </c>
      <c r="E249" s="14">
        <v>0.30327659923929495</v>
      </c>
      <c r="F249" s="38">
        <v>0.31278263678061058</v>
      </c>
      <c r="G249" s="38">
        <v>0.23846086612410675</v>
      </c>
    </row>
    <row r="250" spans="1:7">
      <c r="A250" s="29" t="s">
        <v>50</v>
      </c>
      <c r="B250" s="163">
        <v>12.241538952745849</v>
      </c>
      <c r="C250" s="30">
        <f t="shared" si="4"/>
        <v>10.697098334869009</v>
      </c>
      <c r="D250" s="14">
        <v>0.85913267206923549</v>
      </c>
      <c r="E250" s="14">
        <v>0.31547960324154134</v>
      </c>
      <c r="F250" s="38">
        <v>0.32378632176336586</v>
      </c>
      <c r="G250" s="38">
        <v>0.25884127750029345</v>
      </c>
    </row>
    <row r="251" spans="1:7">
      <c r="A251" s="29" t="s">
        <v>51</v>
      </c>
      <c r="B251" s="163">
        <v>17.267915280801905</v>
      </c>
      <c r="C251" s="30">
        <f t="shared" si="4"/>
        <v>12.241538952745849</v>
      </c>
      <c r="D251" s="14">
        <v>0.9001365912449858</v>
      </c>
      <c r="E251" s="14">
        <v>0.34008195474699154</v>
      </c>
      <c r="F251" s="38">
        <v>0.34597073846528226</v>
      </c>
      <c r="G251" s="38">
        <v>0.29993001633954314</v>
      </c>
    </row>
    <row r="252" spans="1:7">
      <c r="A252" s="29" t="s">
        <v>52</v>
      </c>
      <c r="B252" s="163">
        <v>25.51909453545564</v>
      </c>
      <c r="C252" s="30">
        <f t="shared" si="4"/>
        <v>17.267915280801905</v>
      </c>
      <c r="D252" s="14">
        <v>0.93242578103083606</v>
      </c>
      <c r="E252" s="14">
        <v>0.35945546861850169</v>
      </c>
      <c r="F252" s="38">
        <v>0.36344021103219221</v>
      </c>
      <c r="G252" s="38">
        <v>0.33228599872150022</v>
      </c>
    </row>
    <row r="253" spans="1:7">
      <c r="A253" s="29" t="s">
        <v>53</v>
      </c>
      <c r="B253" s="154">
        <v>34.929148629148628</v>
      </c>
      <c r="C253" s="30">
        <f>B252</f>
        <v>25.51909453545564</v>
      </c>
      <c r="D253" s="14">
        <v>0.95063054927726975</v>
      </c>
      <c r="E253" s="14">
        <v>0.37037832956636185</v>
      </c>
      <c r="F253" s="38">
        <v>0.37328956623674403</v>
      </c>
      <c r="G253" s="38">
        <v>0.35052842488814712</v>
      </c>
    </row>
    <row r="254" spans="1:7">
      <c r="A254" s="29" t="s">
        <v>53</v>
      </c>
      <c r="B254" s="29" t="s">
        <v>152</v>
      </c>
      <c r="C254" s="30">
        <f t="shared" si="4"/>
        <v>34.929148629148628</v>
      </c>
      <c r="D254" s="58"/>
      <c r="E254" s="11"/>
      <c r="F254" s="39"/>
      <c r="G254" s="39"/>
    </row>
    <row r="255" spans="1:7">
      <c r="A255" s="29"/>
      <c r="B255" s="29">
        <v>5.4</v>
      </c>
      <c r="C255" s="29"/>
      <c r="D255" s="58"/>
      <c r="E255" s="32">
        <v>8.9256839205172647E-2</v>
      </c>
      <c r="F255" s="40">
        <v>9.9947328162575164E-2</v>
      </c>
      <c r="G255" s="40">
        <v>4.7384945580582462E-2</v>
      </c>
    </row>
    <row r="256" spans="1:7" ht="60">
      <c r="A256" s="33" t="s">
        <v>55</v>
      </c>
      <c r="B256" s="29">
        <v>4.8</v>
      </c>
      <c r="C256" s="29"/>
      <c r="D256" s="58"/>
      <c r="E256" s="34">
        <v>2.8740548033894604</v>
      </c>
      <c r="F256" s="41">
        <v>2.5915908635161005</v>
      </c>
      <c r="G256" s="42">
        <v>4.8</v>
      </c>
    </row>
    <row r="257" spans="1:7" ht="60">
      <c r="A257" s="33" t="s">
        <v>56</v>
      </c>
      <c r="B257" s="29">
        <v>4.87</v>
      </c>
      <c r="C257" s="29"/>
      <c r="D257" s="11"/>
      <c r="E257" s="11"/>
      <c r="F257" s="39"/>
      <c r="G257" s="39"/>
    </row>
    <row r="258" spans="1:7" ht="96.75">
      <c r="A258" s="35" t="s">
        <v>57</v>
      </c>
      <c r="B258" s="29">
        <v>2.88</v>
      </c>
      <c r="C258" s="29"/>
      <c r="D258" s="11"/>
      <c r="E258" s="11">
        <v>1.7244328820336763</v>
      </c>
      <c r="F258" s="39">
        <v>1.5549545181096602</v>
      </c>
      <c r="G258" s="39">
        <v>2.88</v>
      </c>
    </row>
    <row r="261" spans="1:7">
      <c r="A261" s="16" t="s">
        <v>64</v>
      </c>
      <c r="B261" s="17">
        <f>AVERAGE(B209:B248)</f>
        <v>2.8740548033894604</v>
      </c>
      <c r="C261" s="17"/>
    </row>
    <row r="262" spans="1:7">
      <c r="A262" s="16" t="s">
        <v>65</v>
      </c>
      <c r="B262" s="18">
        <f>AVERAGE(B214:B243)</f>
        <v>2.5915908635161005</v>
      </c>
      <c r="C262" s="18"/>
    </row>
    <row r="263" spans="1:7">
      <c r="A263" s="16" t="s">
        <v>66</v>
      </c>
      <c r="B263" s="18">
        <f>AVERAGE(B220:B238)</f>
        <v>2.5058874222708973</v>
      </c>
      <c r="C263" s="18"/>
    </row>
    <row r="267" spans="1:7" ht="15.75" thickBot="1">
      <c r="C267" s="65"/>
    </row>
    <row r="270" spans="1:7">
      <c r="C270">
        <v>0</v>
      </c>
    </row>
    <row r="271" spans="1:7">
      <c r="C271" s="30">
        <f>B270</f>
        <v>0</v>
      </c>
    </row>
    <row r="272" spans="1:7">
      <c r="C272" s="30">
        <f t="shared" ref="C272:C320" si="5">B271</f>
        <v>0</v>
      </c>
    </row>
    <row r="273" spans="3:3">
      <c r="C273" s="30">
        <f t="shared" si="5"/>
        <v>0</v>
      </c>
    </row>
    <row r="274" spans="3:3">
      <c r="C274" s="30">
        <f t="shared" si="5"/>
        <v>0</v>
      </c>
    </row>
    <row r="275" spans="3:3">
      <c r="C275" s="30">
        <f t="shared" si="5"/>
        <v>0</v>
      </c>
    </row>
    <row r="276" spans="3:3">
      <c r="C276" s="30">
        <f t="shared" si="5"/>
        <v>0</v>
      </c>
    </row>
    <row r="277" spans="3:3">
      <c r="C277" s="30">
        <f t="shared" si="5"/>
        <v>0</v>
      </c>
    </row>
    <row r="278" spans="3:3">
      <c r="C278" s="30">
        <f t="shared" si="5"/>
        <v>0</v>
      </c>
    </row>
    <row r="279" spans="3:3">
      <c r="C279" s="30">
        <f t="shared" si="5"/>
        <v>0</v>
      </c>
    </row>
    <row r="280" spans="3:3">
      <c r="C280" s="30">
        <f t="shared" si="5"/>
        <v>0</v>
      </c>
    </row>
    <row r="281" spans="3:3">
      <c r="C281" s="30">
        <f t="shared" si="5"/>
        <v>0</v>
      </c>
    </row>
    <row r="282" spans="3:3">
      <c r="C282" s="30">
        <f t="shared" si="5"/>
        <v>0</v>
      </c>
    </row>
    <row r="283" spans="3:3">
      <c r="C283" s="30">
        <f t="shared" si="5"/>
        <v>0</v>
      </c>
    </row>
    <row r="284" spans="3:3">
      <c r="C284" s="30">
        <f t="shared" si="5"/>
        <v>0</v>
      </c>
    </row>
    <row r="285" spans="3:3">
      <c r="C285" s="30">
        <f t="shared" si="5"/>
        <v>0</v>
      </c>
    </row>
    <row r="286" spans="3:3">
      <c r="C286" s="30">
        <f t="shared" si="5"/>
        <v>0</v>
      </c>
    </row>
    <row r="287" spans="3:3">
      <c r="C287" s="30">
        <f t="shared" si="5"/>
        <v>0</v>
      </c>
    </row>
    <row r="288" spans="3:3">
      <c r="C288" s="30">
        <f t="shared" si="5"/>
        <v>0</v>
      </c>
    </row>
    <row r="289" spans="3:3">
      <c r="C289" s="30">
        <f t="shared" si="5"/>
        <v>0</v>
      </c>
    </row>
    <row r="290" spans="3:3">
      <c r="C290" s="30">
        <f t="shared" si="5"/>
        <v>0</v>
      </c>
    </row>
    <row r="291" spans="3:3">
      <c r="C291" s="30">
        <f t="shared" si="5"/>
        <v>0</v>
      </c>
    </row>
    <row r="292" spans="3:3">
      <c r="C292" s="30">
        <f t="shared" si="5"/>
        <v>0</v>
      </c>
    </row>
    <row r="293" spans="3:3">
      <c r="C293" s="30">
        <f t="shared" si="5"/>
        <v>0</v>
      </c>
    </row>
    <row r="294" spans="3:3">
      <c r="C294" s="30">
        <f t="shared" si="5"/>
        <v>0</v>
      </c>
    </row>
    <row r="295" spans="3:3">
      <c r="C295" s="30">
        <f t="shared" si="5"/>
        <v>0</v>
      </c>
    </row>
    <row r="296" spans="3:3">
      <c r="C296" s="30">
        <f t="shared" si="5"/>
        <v>0</v>
      </c>
    </row>
    <row r="297" spans="3:3">
      <c r="C297" s="30">
        <f t="shared" si="5"/>
        <v>0</v>
      </c>
    </row>
    <row r="298" spans="3:3">
      <c r="C298" s="30">
        <f t="shared" si="5"/>
        <v>0</v>
      </c>
    </row>
    <row r="299" spans="3:3">
      <c r="C299" s="30">
        <f t="shared" si="5"/>
        <v>0</v>
      </c>
    </row>
    <row r="300" spans="3:3">
      <c r="C300" s="30">
        <f t="shared" si="5"/>
        <v>0</v>
      </c>
    </row>
    <row r="301" spans="3:3">
      <c r="C301" s="30">
        <f t="shared" si="5"/>
        <v>0</v>
      </c>
    </row>
    <row r="302" spans="3:3">
      <c r="C302" s="30">
        <f t="shared" si="5"/>
        <v>0</v>
      </c>
    </row>
    <row r="303" spans="3:3">
      <c r="C303" s="30">
        <f t="shared" si="5"/>
        <v>0</v>
      </c>
    </row>
    <row r="304" spans="3:3">
      <c r="C304" s="30">
        <f t="shared" si="5"/>
        <v>0</v>
      </c>
    </row>
    <row r="305" spans="3:3">
      <c r="C305" s="30">
        <f t="shared" si="5"/>
        <v>0</v>
      </c>
    </row>
    <row r="306" spans="3:3">
      <c r="C306" s="30">
        <f t="shared" si="5"/>
        <v>0</v>
      </c>
    </row>
    <row r="307" spans="3:3">
      <c r="C307" s="30">
        <f t="shared" si="5"/>
        <v>0</v>
      </c>
    </row>
    <row r="308" spans="3:3">
      <c r="C308" s="30">
        <f t="shared" si="5"/>
        <v>0</v>
      </c>
    </row>
    <row r="309" spans="3:3">
      <c r="C309" s="30">
        <f t="shared" si="5"/>
        <v>0</v>
      </c>
    </row>
    <row r="310" spans="3:3">
      <c r="C310" s="30">
        <f t="shared" si="5"/>
        <v>0</v>
      </c>
    </row>
    <row r="311" spans="3:3">
      <c r="C311" s="30">
        <f t="shared" si="5"/>
        <v>0</v>
      </c>
    </row>
    <row r="312" spans="3:3">
      <c r="C312" s="30">
        <f t="shared" si="5"/>
        <v>0</v>
      </c>
    </row>
    <row r="313" spans="3:3">
      <c r="C313" s="30">
        <f t="shared" si="5"/>
        <v>0</v>
      </c>
    </row>
    <row r="314" spans="3:3">
      <c r="C314" s="30">
        <f t="shared" si="5"/>
        <v>0</v>
      </c>
    </row>
    <row r="315" spans="3:3">
      <c r="C315" s="30">
        <f t="shared" si="5"/>
        <v>0</v>
      </c>
    </row>
    <row r="316" spans="3:3">
      <c r="C316" s="30">
        <f t="shared" si="5"/>
        <v>0</v>
      </c>
    </row>
    <row r="317" spans="3:3">
      <c r="C317" s="30">
        <f t="shared" si="5"/>
        <v>0</v>
      </c>
    </row>
    <row r="318" spans="3:3">
      <c r="C318" s="30">
        <f t="shared" si="5"/>
        <v>0</v>
      </c>
    </row>
    <row r="319" spans="3:3">
      <c r="C319" s="30">
        <f>B318</f>
        <v>0</v>
      </c>
    </row>
    <row r="320" spans="3:3">
      <c r="C320" s="30">
        <f t="shared" si="5"/>
        <v>0</v>
      </c>
    </row>
    <row r="336" spans="3:3" ht="15.75" thickBot="1">
      <c r="C336" s="117"/>
    </row>
    <row r="337" spans="3:3">
      <c r="C337">
        <v>0</v>
      </c>
    </row>
    <row r="338" spans="3:3">
      <c r="C338" s="30">
        <f>B337</f>
        <v>0</v>
      </c>
    </row>
    <row r="339" spans="3:3">
      <c r="C339" s="30">
        <f t="shared" ref="C339:C387" si="6">B338</f>
        <v>0</v>
      </c>
    </row>
    <row r="340" spans="3:3">
      <c r="C340" s="30">
        <f t="shared" si="6"/>
        <v>0</v>
      </c>
    </row>
    <row r="341" spans="3:3">
      <c r="C341" s="30">
        <f t="shared" si="6"/>
        <v>0</v>
      </c>
    </row>
    <row r="342" spans="3:3">
      <c r="C342" s="30">
        <f t="shared" si="6"/>
        <v>0</v>
      </c>
    </row>
    <row r="343" spans="3:3">
      <c r="C343" s="30">
        <f t="shared" si="6"/>
        <v>0</v>
      </c>
    </row>
    <row r="344" spans="3:3">
      <c r="C344" s="30">
        <f t="shared" si="6"/>
        <v>0</v>
      </c>
    </row>
    <row r="345" spans="3:3">
      <c r="C345" s="30">
        <f t="shared" si="6"/>
        <v>0</v>
      </c>
    </row>
    <row r="346" spans="3:3">
      <c r="C346" s="30">
        <f t="shared" si="6"/>
        <v>0</v>
      </c>
    </row>
    <row r="347" spans="3:3">
      <c r="C347" s="30">
        <f t="shared" si="6"/>
        <v>0</v>
      </c>
    </row>
    <row r="348" spans="3:3">
      <c r="C348" s="30">
        <f t="shared" si="6"/>
        <v>0</v>
      </c>
    </row>
    <row r="349" spans="3:3">
      <c r="C349" s="30">
        <f t="shared" si="6"/>
        <v>0</v>
      </c>
    </row>
    <row r="350" spans="3:3">
      <c r="C350" s="30">
        <f t="shared" si="6"/>
        <v>0</v>
      </c>
    </row>
    <row r="351" spans="3:3">
      <c r="C351" s="30">
        <f t="shared" si="6"/>
        <v>0</v>
      </c>
    </row>
    <row r="352" spans="3:3">
      <c r="C352" s="30">
        <f t="shared" si="6"/>
        <v>0</v>
      </c>
    </row>
    <row r="353" spans="3:3">
      <c r="C353" s="30">
        <f t="shared" si="6"/>
        <v>0</v>
      </c>
    </row>
    <row r="354" spans="3:3">
      <c r="C354" s="30">
        <f t="shared" si="6"/>
        <v>0</v>
      </c>
    </row>
    <row r="355" spans="3:3">
      <c r="C355" s="30">
        <f t="shared" si="6"/>
        <v>0</v>
      </c>
    </row>
    <row r="356" spans="3:3">
      <c r="C356" s="30">
        <f t="shared" si="6"/>
        <v>0</v>
      </c>
    </row>
    <row r="357" spans="3:3">
      <c r="C357" s="30">
        <f t="shared" si="6"/>
        <v>0</v>
      </c>
    </row>
    <row r="358" spans="3:3">
      <c r="C358" s="30">
        <f t="shared" si="6"/>
        <v>0</v>
      </c>
    </row>
    <row r="359" spans="3:3">
      <c r="C359" s="30">
        <f t="shared" si="6"/>
        <v>0</v>
      </c>
    </row>
    <row r="360" spans="3:3">
      <c r="C360" s="30">
        <f t="shared" si="6"/>
        <v>0</v>
      </c>
    </row>
    <row r="361" spans="3:3">
      <c r="C361" s="30">
        <f t="shared" si="6"/>
        <v>0</v>
      </c>
    </row>
    <row r="362" spans="3:3">
      <c r="C362" s="30">
        <f t="shared" si="6"/>
        <v>0</v>
      </c>
    </row>
    <row r="363" spans="3:3">
      <c r="C363" s="30">
        <f t="shared" si="6"/>
        <v>0</v>
      </c>
    </row>
    <row r="364" spans="3:3">
      <c r="C364" s="30">
        <f t="shared" si="6"/>
        <v>0</v>
      </c>
    </row>
    <row r="365" spans="3:3">
      <c r="C365" s="30">
        <f t="shared" si="6"/>
        <v>0</v>
      </c>
    </row>
    <row r="366" spans="3:3">
      <c r="C366" s="30">
        <f t="shared" si="6"/>
        <v>0</v>
      </c>
    </row>
    <row r="367" spans="3:3">
      <c r="C367" s="30">
        <f t="shared" si="6"/>
        <v>0</v>
      </c>
    </row>
    <row r="368" spans="3:3">
      <c r="C368" s="30">
        <f t="shared" si="6"/>
        <v>0</v>
      </c>
    </row>
    <row r="369" spans="3:3">
      <c r="C369" s="30">
        <f t="shared" si="6"/>
        <v>0</v>
      </c>
    </row>
    <row r="370" spans="3:3">
      <c r="C370" s="30">
        <f t="shared" si="6"/>
        <v>0</v>
      </c>
    </row>
    <row r="371" spans="3:3">
      <c r="C371" s="30">
        <f t="shared" si="6"/>
        <v>0</v>
      </c>
    </row>
    <row r="372" spans="3:3">
      <c r="C372" s="30">
        <f t="shared" si="6"/>
        <v>0</v>
      </c>
    </row>
    <row r="373" spans="3:3">
      <c r="C373" s="30">
        <f t="shared" si="6"/>
        <v>0</v>
      </c>
    </row>
    <row r="374" spans="3:3">
      <c r="C374" s="30">
        <f t="shared" si="6"/>
        <v>0</v>
      </c>
    </row>
    <row r="375" spans="3:3">
      <c r="C375" s="30">
        <f t="shared" si="6"/>
        <v>0</v>
      </c>
    </row>
    <row r="376" spans="3:3">
      <c r="C376" s="30">
        <f t="shared" si="6"/>
        <v>0</v>
      </c>
    </row>
    <row r="377" spans="3:3">
      <c r="C377" s="30">
        <f t="shared" si="6"/>
        <v>0</v>
      </c>
    </row>
    <row r="378" spans="3:3">
      <c r="C378" s="30">
        <f t="shared" si="6"/>
        <v>0</v>
      </c>
    </row>
    <row r="379" spans="3:3">
      <c r="C379" s="30">
        <f t="shared" si="6"/>
        <v>0</v>
      </c>
    </row>
    <row r="380" spans="3:3">
      <c r="C380" s="30">
        <f t="shared" si="6"/>
        <v>0</v>
      </c>
    </row>
    <row r="381" spans="3:3">
      <c r="C381" s="30">
        <f t="shared" si="6"/>
        <v>0</v>
      </c>
    </row>
    <row r="382" spans="3:3">
      <c r="C382" s="30">
        <f t="shared" si="6"/>
        <v>0</v>
      </c>
    </row>
    <row r="383" spans="3:3">
      <c r="C383" s="30">
        <f t="shared" si="6"/>
        <v>0</v>
      </c>
    </row>
    <row r="384" spans="3:3">
      <c r="C384" s="30">
        <f t="shared" si="6"/>
        <v>0</v>
      </c>
    </row>
    <row r="385" spans="3:3">
      <c r="C385" s="30">
        <f t="shared" si="6"/>
        <v>0</v>
      </c>
    </row>
    <row r="386" spans="3:3">
      <c r="C386" s="30">
        <f>B385</f>
        <v>0</v>
      </c>
    </row>
    <row r="387" spans="3:3">
      <c r="C387" s="30">
        <f t="shared" si="6"/>
        <v>0</v>
      </c>
    </row>
    <row r="402" spans="3:3">
      <c r="C402">
        <v>0</v>
      </c>
    </row>
    <row r="403" spans="3:3">
      <c r="C403" s="30">
        <f>B402</f>
        <v>0</v>
      </c>
    </row>
    <row r="404" spans="3:3">
      <c r="C404" s="30">
        <f t="shared" ref="C404:C452" si="7">B403</f>
        <v>0</v>
      </c>
    </row>
    <row r="405" spans="3:3">
      <c r="C405" s="30">
        <f t="shared" si="7"/>
        <v>0</v>
      </c>
    </row>
    <row r="406" spans="3:3">
      <c r="C406" s="30">
        <f t="shared" si="7"/>
        <v>0</v>
      </c>
    </row>
    <row r="407" spans="3:3">
      <c r="C407" s="30">
        <f t="shared" si="7"/>
        <v>0</v>
      </c>
    </row>
    <row r="408" spans="3:3">
      <c r="C408" s="30">
        <f t="shared" si="7"/>
        <v>0</v>
      </c>
    </row>
    <row r="409" spans="3:3">
      <c r="C409" s="30">
        <f t="shared" si="7"/>
        <v>0</v>
      </c>
    </row>
    <row r="410" spans="3:3">
      <c r="C410" s="30">
        <f t="shared" si="7"/>
        <v>0</v>
      </c>
    </row>
    <row r="411" spans="3:3">
      <c r="C411" s="30">
        <f t="shared" si="7"/>
        <v>0</v>
      </c>
    </row>
    <row r="412" spans="3:3">
      <c r="C412" s="30">
        <f t="shared" si="7"/>
        <v>0</v>
      </c>
    </row>
    <row r="413" spans="3:3">
      <c r="C413" s="30">
        <f t="shared" si="7"/>
        <v>0</v>
      </c>
    </row>
    <row r="414" spans="3:3">
      <c r="C414" s="30">
        <f t="shared" si="7"/>
        <v>0</v>
      </c>
    </row>
    <row r="415" spans="3:3">
      <c r="C415" s="30">
        <f t="shared" si="7"/>
        <v>0</v>
      </c>
    </row>
    <row r="416" spans="3:3">
      <c r="C416" s="30">
        <f t="shared" si="7"/>
        <v>0</v>
      </c>
    </row>
    <row r="417" spans="3:3">
      <c r="C417" s="30">
        <f t="shared" si="7"/>
        <v>0</v>
      </c>
    </row>
    <row r="418" spans="3:3">
      <c r="C418" s="30">
        <f t="shared" si="7"/>
        <v>0</v>
      </c>
    </row>
    <row r="419" spans="3:3">
      <c r="C419" s="30">
        <f t="shared" si="7"/>
        <v>0</v>
      </c>
    </row>
    <row r="420" spans="3:3">
      <c r="C420" s="30">
        <f t="shared" si="7"/>
        <v>0</v>
      </c>
    </row>
    <row r="421" spans="3:3">
      <c r="C421" s="30">
        <f t="shared" si="7"/>
        <v>0</v>
      </c>
    </row>
    <row r="422" spans="3:3">
      <c r="C422" s="30">
        <f t="shared" si="7"/>
        <v>0</v>
      </c>
    </row>
    <row r="423" spans="3:3">
      <c r="C423" s="30">
        <f t="shared" si="7"/>
        <v>0</v>
      </c>
    </row>
    <row r="424" spans="3:3">
      <c r="C424" s="30">
        <f t="shared" si="7"/>
        <v>0</v>
      </c>
    </row>
    <row r="425" spans="3:3">
      <c r="C425" s="30">
        <f t="shared" si="7"/>
        <v>0</v>
      </c>
    </row>
    <row r="426" spans="3:3">
      <c r="C426" s="30">
        <f t="shared" si="7"/>
        <v>0</v>
      </c>
    </row>
    <row r="427" spans="3:3">
      <c r="C427" s="30">
        <f t="shared" si="7"/>
        <v>0</v>
      </c>
    </row>
    <row r="428" spans="3:3">
      <c r="C428" s="30">
        <f t="shared" si="7"/>
        <v>0</v>
      </c>
    </row>
    <row r="429" spans="3:3">
      <c r="C429" s="30">
        <f t="shared" si="7"/>
        <v>0</v>
      </c>
    </row>
    <row r="430" spans="3:3">
      <c r="C430" s="30">
        <f t="shared" si="7"/>
        <v>0</v>
      </c>
    </row>
    <row r="431" spans="3:3">
      <c r="C431" s="30">
        <f t="shared" si="7"/>
        <v>0</v>
      </c>
    </row>
    <row r="432" spans="3:3">
      <c r="C432" s="30">
        <f t="shared" si="7"/>
        <v>0</v>
      </c>
    </row>
    <row r="433" spans="3:3">
      <c r="C433" s="30">
        <f t="shared" si="7"/>
        <v>0</v>
      </c>
    </row>
    <row r="434" spans="3:3">
      <c r="C434" s="30">
        <f t="shared" si="7"/>
        <v>0</v>
      </c>
    </row>
    <row r="435" spans="3:3">
      <c r="C435" s="30">
        <f t="shared" si="7"/>
        <v>0</v>
      </c>
    </row>
    <row r="436" spans="3:3">
      <c r="C436" s="30">
        <f t="shared" si="7"/>
        <v>0</v>
      </c>
    </row>
    <row r="437" spans="3:3">
      <c r="C437" s="30">
        <f t="shared" si="7"/>
        <v>0</v>
      </c>
    </row>
    <row r="438" spans="3:3">
      <c r="C438" s="30">
        <f t="shared" si="7"/>
        <v>0</v>
      </c>
    </row>
    <row r="439" spans="3:3">
      <c r="C439" s="30">
        <f t="shared" si="7"/>
        <v>0</v>
      </c>
    </row>
    <row r="440" spans="3:3">
      <c r="C440" s="30">
        <f t="shared" si="7"/>
        <v>0</v>
      </c>
    </row>
    <row r="441" spans="3:3">
      <c r="C441" s="30">
        <f t="shared" si="7"/>
        <v>0</v>
      </c>
    </row>
    <row r="442" spans="3:3">
      <c r="C442" s="30">
        <f t="shared" si="7"/>
        <v>0</v>
      </c>
    </row>
    <row r="443" spans="3:3">
      <c r="C443" s="30">
        <f t="shared" si="7"/>
        <v>0</v>
      </c>
    </row>
    <row r="444" spans="3:3">
      <c r="C444" s="30">
        <f t="shared" si="7"/>
        <v>0</v>
      </c>
    </row>
    <row r="445" spans="3:3">
      <c r="C445" s="30">
        <f t="shared" si="7"/>
        <v>0</v>
      </c>
    </row>
    <row r="446" spans="3:3">
      <c r="C446" s="30">
        <f t="shared" si="7"/>
        <v>0</v>
      </c>
    </row>
    <row r="447" spans="3:3">
      <c r="C447" s="30">
        <f t="shared" si="7"/>
        <v>0</v>
      </c>
    </row>
    <row r="448" spans="3:3">
      <c r="C448" s="30">
        <f t="shared" si="7"/>
        <v>0</v>
      </c>
    </row>
    <row r="449" spans="3:3">
      <c r="C449" s="30">
        <f t="shared" si="7"/>
        <v>0</v>
      </c>
    </row>
    <row r="450" spans="3:3">
      <c r="C450" s="30">
        <f t="shared" si="7"/>
        <v>0</v>
      </c>
    </row>
    <row r="451" spans="3:3">
      <c r="C451" s="30">
        <f>B450</f>
        <v>0</v>
      </c>
    </row>
    <row r="452" spans="3:3">
      <c r="C452" s="30">
        <f t="shared" si="7"/>
        <v>0</v>
      </c>
    </row>
  </sheetData>
  <mergeCells count="8">
    <mergeCell ref="A200:A202"/>
    <mergeCell ref="B200:D200"/>
    <mergeCell ref="A2:A4"/>
    <mergeCell ref="B2:D2"/>
    <mergeCell ref="A69:A71"/>
    <mergeCell ref="B69:D69"/>
    <mergeCell ref="A134:A136"/>
    <mergeCell ref="B134:D134"/>
  </mergeCells>
  <pageMargins left="0.7" right="0.7" top="0.75" bottom="0.75" header="0.3" footer="0.3"/>
  <pageSetup paperSize="9" orientation="portrait" horizontalDpi="4294967295" verticalDpi="4294967295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Лист4">
    <tabColor rgb="FF92D050"/>
  </sheetPr>
  <dimension ref="A1:G452"/>
  <sheetViews>
    <sheetView topLeftCell="A289" workbookViewId="0">
      <selection activeCell="E222" sqref="E222:G224"/>
    </sheetView>
  </sheetViews>
  <sheetFormatPr defaultColWidth="8.7109375" defaultRowHeight="15"/>
  <cols>
    <col min="3" max="3" width="9.140625"/>
    <col min="5" max="5" width="9.42578125" bestFit="1" customWidth="1"/>
    <col min="6" max="6" width="8.7109375" style="36"/>
    <col min="7" max="7" width="9.42578125" style="36" bestFit="1" customWidth="1"/>
  </cols>
  <sheetData>
    <row r="1" spans="1:7" ht="15.75" thickBot="1">
      <c r="D1" s="13">
        <v>0.1</v>
      </c>
      <c r="E1" s="13">
        <v>0.4</v>
      </c>
    </row>
    <row r="2" spans="1:7" ht="23.25" customHeight="1" thickBot="1">
      <c r="A2" s="522" t="s">
        <v>0</v>
      </c>
      <c r="B2" s="467" t="s">
        <v>1</v>
      </c>
      <c r="C2" s="468"/>
      <c r="D2" s="469"/>
      <c r="E2" s="19">
        <f>(1-E57)^(1/3)-1</f>
        <v>-2.9004595003036759E-2</v>
      </c>
      <c r="F2" s="19">
        <f>(1-F57)^(1/3)-1</f>
        <v>-3.140750513468793E-2</v>
      </c>
      <c r="G2" s="19"/>
    </row>
    <row r="3" spans="1:7" ht="72.75" thickBot="1">
      <c r="A3" s="523"/>
      <c r="B3" s="1" t="s">
        <v>4</v>
      </c>
      <c r="C3" s="1"/>
      <c r="D3" s="1" t="s">
        <v>80</v>
      </c>
      <c r="E3" s="1" t="s">
        <v>5</v>
      </c>
      <c r="F3" s="37" t="s">
        <v>5</v>
      </c>
      <c r="G3" s="37"/>
    </row>
    <row r="4" spans="1:7" ht="16.5" customHeight="1" thickBot="1">
      <c r="A4" s="524"/>
      <c r="B4" s="1" t="s">
        <v>6</v>
      </c>
      <c r="C4" s="1"/>
      <c r="D4" s="1" t="s">
        <v>7</v>
      </c>
      <c r="E4" s="1" t="s">
        <v>7</v>
      </c>
      <c r="F4" s="37" t="s">
        <v>7</v>
      </c>
      <c r="G4" s="37"/>
    </row>
    <row r="5" spans="1:7" ht="15.75" thickBot="1">
      <c r="A5" s="50">
        <v>1</v>
      </c>
      <c r="B5" s="51">
        <v>2</v>
      </c>
      <c r="C5" s="51"/>
      <c r="D5" s="51">
        <v>3</v>
      </c>
      <c r="E5" s="51">
        <v>4</v>
      </c>
      <c r="F5" s="52">
        <v>5</v>
      </c>
      <c r="G5" s="52"/>
    </row>
    <row r="6" spans="1:7">
      <c r="A6" s="27" t="s">
        <v>10</v>
      </c>
      <c r="B6" s="151">
        <v>2.3982048967355216</v>
      </c>
      <c r="C6" s="30">
        <v>0</v>
      </c>
      <c r="D6" s="14">
        <v>0</v>
      </c>
      <c r="E6" s="14">
        <v>0</v>
      </c>
      <c r="F6" s="38">
        <v>0</v>
      </c>
      <c r="G6" s="38">
        <v>0</v>
      </c>
    </row>
    <row r="7" spans="1:7">
      <c r="A7" s="27" t="s">
        <v>58</v>
      </c>
      <c r="B7" s="152">
        <v>3.9651573012944734</v>
      </c>
      <c r="C7" s="30">
        <f>B6</f>
        <v>2.3982048967355216</v>
      </c>
      <c r="D7" s="14">
        <v>0</v>
      </c>
      <c r="E7" s="14">
        <v>0</v>
      </c>
      <c r="F7" s="38">
        <v>0</v>
      </c>
      <c r="G7" s="38">
        <v>0</v>
      </c>
    </row>
    <row r="8" spans="1:7">
      <c r="A8" s="27" t="s">
        <v>59</v>
      </c>
      <c r="B8" s="152">
        <v>4.6548234548883674</v>
      </c>
      <c r="C8" s="30">
        <f t="shared" ref="C8:C56" si="0">B7</f>
        <v>3.9651573012944734</v>
      </c>
      <c r="D8" s="14">
        <v>0</v>
      </c>
      <c r="E8" s="14">
        <v>0</v>
      </c>
      <c r="F8" s="38">
        <v>0</v>
      </c>
      <c r="G8" s="38">
        <v>0</v>
      </c>
    </row>
    <row r="9" spans="1:7">
      <c r="A9" s="27" t="s">
        <v>60</v>
      </c>
      <c r="B9" s="152">
        <v>5.1221960776915125</v>
      </c>
      <c r="C9" s="30">
        <f t="shared" si="0"/>
        <v>4.6548234548883674</v>
      </c>
      <c r="D9" s="14">
        <v>0</v>
      </c>
      <c r="E9" s="14">
        <v>0</v>
      </c>
      <c r="F9" s="38">
        <v>0</v>
      </c>
      <c r="G9" s="38">
        <v>0</v>
      </c>
    </row>
    <row r="10" spans="1:7">
      <c r="A10" s="27" t="s">
        <v>61</v>
      </c>
      <c r="B10" s="152">
        <v>5.8112092279712169</v>
      </c>
      <c r="C10" s="30">
        <f t="shared" si="0"/>
        <v>5.1221960776915125</v>
      </c>
      <c r="D10" s="14">
        <v>0</v>
      </c>
      <c r="E10" s="14">
        <v>0</v>
      </c>
      <c r="F10" s="38">
        <v>0</v>
      </c>
      <c r="G10" s="38">
        <v>0</v>
      </c>
    </row>
    <row r="11" spans="1:7">
      <c r="A11" s="27" t="s">
        <v>62</v>
      </c>
      <c r="B11" s="152">
        <v>6.7313976651372709</v>
      </c>
      <c r="C11" s="30">
        <f t="shared" si="0"/>
        <v>5.8112092279712169</v>
      </c>
      <c r="D11" s="14">
        <v>0</v>
      </c>
      <c r="E11" s="14">
        <v>0</v>
      </c>
      <c r="F11" s="38">
        <v>0</v>
      </c>
      <c r="G11" s="38">
        <v>1.0865465116186326E-2</v>
      </c>
    </row>
    <row r="12" spans="1:7">
      <c r="A12" s="27" t="s">
        <v>63</v>
      </c>
      <c r="B12" s="152">
        <v>7.4597597825994013</v>
      </c>
      <c r="C12" s="30">
        <f t="shared" si="0"/>
        <v>6.7313976651372709</v>
      </c>
      <c r="D12" s="14">
        <v>0</v>
      </c>
      <c r="E12" s="14">
        <v>0</v>
      </c>
      <c r="F12" s="38">
        <v>0</v>
      </c>
      <c r="G12" s="38">
        <v>1.9568455622450871E-2</v>
      </c>
    </row>
    <row r="13" spans="1:7">
      <c r="A13" s="29" t="s">
        <v>11</v>
      </c>
      <c r="B13" s="152">
        <v>7.9662121676003741</v>
      </c>
      <c r="C13" s="30">
        <f t="shared" si="0"/>
        <v>7.4597597825994013</v>
      </c>
      <c r="D13" s="14">
        <v>0</v>
      </c>
      <c r="E13" s="14">
        <v>0</v>
      </c>
      <c r="F13" s="38">
        <v>0</v>
      </c>
      <c r="G13" s="38">
        <v>2.4681895563831654E-2</v>
      </c>
    </row>
    <row r="14" spans="1:7">
      <c r="A14" s="29" t="s">
        <v>12</v>
      </c>
      <c r="B14" s="152">
        <v>8.5017375050280872</v>
      </c>
      <c r="C14" s="30">
        <f t="shared" si="0"/>
        <v>7.9662121676003741</v>
      </c>
      <c r="D14" s="14">
        <v>0</v>
      </c>
      <c r="E14" s="14">
        <v>0</v>
      </c>
      <c r="F14" s="38">
        <v>0</v>
      </c>
      <c r="G14" s="38">
        <v>2.9426190864496965E-2</v>
      </c>
    </row>
    <row r="15" spans="1:7">
      <c r="A15" s="29" t="s">
        <v>13</v>
      </c>
      <c r="B15" s="152">
        <v>8.8596685976443883</v>
      </c>
      <c r="C15" s="30">
        <f t="shared" si="0"/>
        <v>8.5017375050280872</v>
      </c>
      <c r="D15" s="14">
        <v>0</v>
      </c>
      <c r="E15" s="14">
        <v>0</v>
      </c>
      <c r="F15" s="38">
        <v>0</v>
      </c>
      <c r="G15" s="38">
        <v>3.227737658725427E-2</v>
      </c>
    </row>
    <row r="16" spans="1:7">
      <c r="A16" s="29" t="s">
        <v>14</v>
      </c>
      <c r="B16" s="152">
        <v>9.1775603179333061</v>
      </c>
      <c r="C16" s="30">
        <f t="shared" si="0"/>
        <v>8.8596685976443883</v>
      </c>
      <c r="D16" s="14">
        <v>0</v>
      </c>
      <c r="E16" s="14">
        <v>0</v>
      </c>
      <c r="F16" s="38">
        <v>0</v>
      </c>
      <c r="G16" s="38">
        <v>3.4623148286197926E-2</v>
      </c>
    </row>
    <row r="17" spans="1:7">
      <c r="A17" s="29" t="s">
        <v>15</v>
      </c>
      <c r="B17" s="152">
        <v>9.4237637485892822</v>
      </c>
      <c r="C17" s="30">
        <f t="shared" si="0"/>
        <v>9.1775603179333061</v>
      </c>
      <c r="D17" s="14">
        <v>0</v>
      </c>
      <c r="E17" s="14">
        <v>0</v>
      </c>
      <c r="F17" s="38">
        <v>0</v>
      </c>
      <c r="G17" s="38">
        <v>3.6331171280708438E-2</v>
      </c>
    </row>
    <row r="18" spans="1:7">
      <c r="A18" s="29" t="s">
        <v>16</v>
      </c>
      <c r="B18" s="152">
        <v>9.9707833415103106</v>
      </c>
      <c r="C18" s="30">
        <f t="shared" si="0"/>
        <v>9.4237637485892822</v>
      </c>
      <c r="D18" s="14">
        <v>0</v>
      </c>
      <c r="E18" s="14">
        <v>0</v>
      </c>
      <c r="F18" s="38">
        <v>0</v>
      </c>
      <c r="G18" s="38">
        <v>3.982418638041374E-2</v>
      </c>
    </row>
    <row r="19" spans="1:7">
      <c r="A19" s="29" t="s">
        <v>17</v>
      </c>
      <c r="B19" s="152">
        <v>10.546267911837173</v>
      </c>
      <c r="C19" s="30">
        <f t="shared" si="0"/>
        <v>9.9707833415103106</v>
      </c>
      <c r="D19" s="14">
        <v>0</v>
      </c>
      <c r="E19" s="14"/>
      <c r="F19" s="38"/>
      <c r="G19" s="38"/>
    </row>
    <row r="20" spans="1:7">
      <c r="A20" s="29" t="s">
        <v>18</v>
      </c>
      <c r="B20" s="152">
        <v>10.91892097939456</v>
      </c>
      <c r="C20" s="30">
        <f t="shared" si="0"/>
        <v>10.546267911837173</v>
      </c>
      <c r="D20" s="14">
        <v>0</v>
      </c>
      <c r="E20" s="14"/>
      <c r="F20" s="38"/>
      <c r="G20" s="38"/>
    </row>
    <row r="21" spans="1:7">
      <c r="A21" s="29" t="s">
        <v>19</v>
      </c>
      <c r="B21" s="152">
        <v>11.120852795500154</v>
      </c>
      <c r="C21" s="30">
        <f t="shared" si="0"/>
        <v>10.91892097939456</v>
      </c>
      <c r="D21" s="14">
        <v>0</v>
      </c>
      <c r="E21" s="14"/>
      <c r="F21" s="38"/>
      <c r="G21" s="38"/>
    </row>
    <row r="22" spans="1:7">
      <c r="A22" s="29" t="s">
        <v>20</v>
      </c>
      <c r="B22" s="152">
        <v>11.549342828059681</v>
      </c>
      <c r="C22" s="30">
        <f t="shared" si="0"/>
        <v>11.120852795500154</v>
      </c>
      <c r="D22" s="14">
        <v>3.0153024461554719E-2</v>
      </c>
      <c r="E22" s="14"/>
      <c r="F22" s="38"/>
      <c r="G22" s="38"/>
    </row>
    <row r="23" spans="1:7">
      <c r="A23" s="29" t="s">
        <v>21</v>
      </c>
      <c r="B23" s="152">
        <v>12.019471139070848</v>
      </c>
      <c r="C23" s="30">
        <f t="shared" si="0"/>
        <v>11.549342828059681</v>
      </c>
      <c r="D23" s="14">
        <v>6.8087515528058126E-2</v>
      </c>
      <c r="E23" s="14"/>
      <c r="F23" s="38"/>
      <c r="G23" s="38"/>
    </row>
    <row r="24" spans="1:7">
      <c r="A24" s="29" t="s">
        <v>22</v>
      </c>
      <c r="B24" s="152">
        <v>12.554643472995107</v>
      </c>
      <c r="C24" s="30">
        <f t="shared" si="0"/>
        <v>12.019471139070848</v>
      </c>
      <c r="D24" s="14">
        <v>0.10781256071956626</v>
      </c>
      <c r="E24" s="14">
        <v>1.0781256071956626E-2</v>
      </c>
      <c r="F24" s="38">
        <v>1.5709136650774964E-2</v>
      </c>
      <c r="G24" s="38">
        <v>0.11325350594434973</v>
      </c>
    </row>
    <row r="25" spans="1:7">
      <c r="A25" s="29" t="s">
        <v>23</v>
      </c>
      <c r="B25" s="152">
        <v>13.136746861334888</v>
      </c>
      <c r="C25" s="30">
        <f t="shared" si="0"/>
        <v>12.554643472995107</v>
      </c>
      <c r="D25" s="14">
        <v>0.1473463461324459</v>
      </c>
      <c r="E25" s="14">
        <v>1.4734634613244592E-2</v>
      </c>
      <c r="F25" s="38">
        <v>1.9444155501300606E-2</v>
      </c>
      <c r="G25" s="38">
        <v>0.12595955163025907</v>
      </c>
    </row>
    <row r="26" spans="1:7">
      <c r="A26" s="29" t="s">
        <v>24</v>
      </c>
      <c r="B26" s="152">
        <v>13.742248909128392</v>
      </c>
      <c r="C26" s="30">
        <f t="shared" si="0"/>
        <v>13.136746861334888</v>
      </c>
      <c r="D26" s="14">
        <v>0.1849154177516095</v>
      </c>
      <c r="E26" s="14">
        <v>1.8491541775160953E-2</v>
      </c>
      <c r="F26" s="38">
        <v>2.2993554812012935E-2</v>
      </c>
      <c r="G26" s="38">
        <v>0.13803414391594429</v>
      </c>
    </row>
    <row r="27" spans="1:7">
      <c r="A27" s="29" t="s">
        <v>25</v>
      </c>
      <c r="B27" s="152">
        <v>14.417625091186014</v>
      </c>
      <c r="C27" s="30">
        <f t="shared" si="0"/>
        <v>13.742248909128392</v>
      </c>
      <c r="D27" s="14">
        <v>0.22309706762329901</v>
      </c>
      <c r="E27" s="14">
        <v>2.2309706762329903E-2</v>
      </c>
      <c r="F27" s="38">
        <v>2.6600828452155424E-2</v>
      </c>
      <c r="G27" s="38">
        <v>0.15030561710188992</v>
      </c>
    </row>
    <row r="28" spans="1:7">
      <c r="A28" s="29" t="s">
        <v>26</v>
      </c>
      <c r="B28" s="152">
        <v>14.980931896388187</v>
      </c>
      <c r="C28" s="30">
        <f t="shared" si="0"/>
        <v>14.417625091186014</v>
      </c>
      <c r="D28" s="14">
        <v>0.25230985036713016</v>
      </c>
      <c r="E28" s="14">
        <v>2.5230985036713022E-2</v>
      </c>
      <c r="F28" s="38">
        <v>2.9360753743523368E-2</v>
      </c>
      <c r="G28" s="38">
        <v>0.15969452201648829</v>
      </c>
    </row>
    <row r="29" spans="1:7">
      <c r="A29" s="29" t="s">
        <v>27</v>
      </c>
      <c r="B29" s="152">
        <v>15.6787241798674</v>
      </c>
      <c r="C29" s="30">
        <f t="shared" si="0"/>
        <v>14.980931896388187</v>
      </c>
      <c r="D29" s="14">
        <v>0.28558630901656396</v>
      </c>
      <c r="E29" s="14">
        <v>2.8558630901656393E-2</v>
      </c>
      <c r="F29" s="38">
        <v>3.2504601443315878E-2</v>
      </c>
      <c r="G29" s="38">
        <v>0.17038948075745494</v>
      </c>
    </row>
    <row r="30" spans="1:7">
      <c r="A30" s="29" t="s">
        <v>28</v>
      </c>
      <c r="B30" s="152">
        <v>16.476696781874875</v>
      </c>
      <c r="C30" s="30">
        <f t="shared" si="0"/>
        <v>15.6787241798674</v>
      </c>
      <c r="D30" s="14">
        <v>0.32018563189364291</v>
      </c>
      <c r="E30" s="14">
        <v>3.2018563189364295E-2</v>
      </c>
      <c r="F30" s="38">
        <v>3.5773428898407282E-2</v>
      </c>
      <c r="G30" s="38">
        <v>0.18150960428183849</v>
      </c>
    </row>
    <row r="31" spans="1:7">
      <c r="A31" s="29" t="s">
        <v>29</v>
      </c>
      <c r="B31" s="152">
        <v>17.106544522632017</v>
      </c>
      <c r="C31" s="30">
        <f t="shared" si="0"/>
        <v>16.476696781874875</v>
      </c>
      <c r="D31" s="14">
        <v>0.34521579174384237</v>
      </c>
      <c r="E31" s="14">
        <v>3.452157917438424E-2</v>
      </c>
      <c r="F31" s="38">
        <v>3.8138194070672017E-2</v>
      </c>
      <c r="G31" s="38">
        <v>0.18955422614794079</v>
      </c>
    </row>
    <row r="32" spans="1:7">
      <c r="A32" s="29" t="s">
        <v>30</v>
      </c>
      <c r="B32" s="152">
        <v>17.721913850603659</v>
      </c>
      <c r="C32" s="30">
        <f t="shared" si="0"/>
        <v>17.106544522632017</v>
      </c>
      <c r="D32" s="14">
        <v>0.36795228180906803</v>
      </c>
      <c r="E32" s="14">
        <v>3.6795228180906803E-2</v>
      </c>
      <c r="F32" s="38">
        <v>4.1717566296230309E-2</v>
      </c>
      <c r="G32" s="38">
        <v>0.19686166909803743</v>
      </c>
    </row>
    <row r="33" spans="1:7">
      <c r="A33" s="29" t="s">
        <v>31</v>
      </c>
      <c r="B33" s="152">
        <v>18.289768893215893</v>
      </c>
      <c r="C33" s="30">
        <f t="shared" si="0"/>
        <v>17.721913850603659</v>
      </c>
      <c r="D33" s="14">
        <v>0.38757590231743899</v>
      </c>
      <c r="E33" s="14">
        <v>3.8757590231743903E-2</v>
      </c>
      <c r="F33" s="38">
        <v>5.2841407600399772E-2</v>
      </c>
      <c r="G33" s="38">
        <v>0.20316864466585333</v>
      </c>
    </row>
    <row r="34" spans="1:7">
      <c r="A34" s="29" t="s">
        <v>32</v>
      </c>
      <c r="B34" s="152">
        <v>18.916414341585558</v>
      </c>
      <c r="C34" s="30">
        <f t="shared" si="0"/>
        <v>18.289768893215893</v>
      </c>
      <c r="D34" s="14">
        <v>0.4078637204184094</v>
      </c>
      <c r="E34" s="14">
        <v>4.4718232251045639E-2</v>
      </c>
      <c r="F34" s="38">
        <v>6.4341755809171078E-2</v>
      </c>
      <c r="G34" s="38">
        <v>0.2096890914423557</v>
      </c>
    </row>
    <row r="35" spans="1:7">
      <c r="A35" s="29" t="s">
        <v>33</v>
      </c>
      <c r="B35" s="152">
        <v>19.563252364898865</v>
      </c>
      <c r="C35" s="30">
        <f t="shared" si="0"/>
        <v>18.916414341585558</v>
      </c>
      <c r="D35" s="14">
        <v>0.42744207341782553</v>
      </c>
      <c r="E35" s="14">
        <v>5.6465244050695314E-2</v>
      </c>
      <c r="F35" s="38">
        <v>7.5439936782942599E-2</v>
      </c>
      <c r="G35" s="38">
        <v>0.21598151816212025</v>
      </c>
    </row>
    <row r="36" spans="1:7">
      <c r="A36" s="29" t="s">
        <v>34</v>
      </c>
      <c r="B36" s="152">
        <v>20.5671183006353</v>
      </c>
      <c r="C36" s="30">
        <f t="shared" si="0"/>
        <v>19.563252364898865</v>
      </c>
      <c r="D36" s="14">
        <v>0.45538820521568529</v>
      </c>
      <c r="E36" s="14">
        <v>7.3232923129411168E-2</v>
      </c>
      <c r="F36" s="38">
        <v>9.1281475048126004E-2</v>
      </c>
      <c r="G36" s="38">
        <v>0.22496332508143357</v>
      </c>
    </row>
    <row r="37" spans="1:7">
      <c r="A37" s="29" t="s">
        <v>35</v>
      </c>
      <c r="B37" s="152">
        <v>21.85505891743184</v>
      </c>
      <c r="C37" s="30">
        <f t="shared" si="0"/>
        <v>20.5671183006353</v>
      </c>
      <c r="D37" s="14">
        <v>0.48748272637617113</v>
      </c>
      <c r="E37" s="14">
        <v>9.248963582570266E-2</v>
      </c>
      <c r="F37" s="38">
        <v>0.1094745684158998</v>
      </c>
      <c r="G37" s="38">
        <v>0.23527841249018097</v>
      </c>
    </row>
    <row r="38" spans="1:7">
      <c r="A38" s="29" t="s">
        <v>36</v>
      </c>
      <c r="B38" s="152">
        <v>22.663598502755399</v>
      </c>
      <c r="C38" s="30">
        <f t="shared" si="0"/>
        <v>21.85505891743184</v>
      </c>
      <c r="D38" s="14">
        <v>0.50576713535193862</v>
      </c>
      <c r="E38" s="14">
        <v>0.10346028121116316</v>
      </c>
      <c r="F38" s="38">
        <v>0.11983926455850032</v>
      </c>
      <c r="G38" s="38">
        <v>0.2411549692974698</v>
      </c>
    </row>
    <row r="39" spans="1:7">
      <c r="A39" s="29" t="s">
        <v>37</v>
      </c>
      <c r="B39" s="152">
        <v>23.417221820503947</v>
      </c>
      <c r="C39" s="30">
        <f t="shared" si="0"/>
        <v>22.663598502755399</v>
      </c>
      <c r="D39" s="14">
        <v>0.52167275447496853</v>
      </c>
      <c r="E39" s="14">
        <v>0.11300365268498112</v>
      </c>
      <c r="F39" s="38">
        <v>0.12885552039639087</v>
      </c>
      <c r="G39" s="38">
        <v>0.24626698984215686</v>
      </c>
    </row>
    <row r="40" spans="1:7">
      <c r="A40" s="29" t="s">
        <v>38</v>
      </c>
      <c r="B40" s="152">
        <v>24.224271173680066</v>
      </c>
      <c r="C40" s="30">
        <f t="shared" si="0"/>
        <v>23.417221820503947</v>
      </c>
      <c r="D40" s="14">
        <v>0.53760857732552025</v>
      </c>
      <c r="E40" s="14">
        <v>0.12256514639531212</v>
      </c>
      <c r="F40" s="38">
        <v>0.13788889751277345</v>
      </c>
      <c r="G40" s="38">
        <v>0.25138871777857913</v>
      </c>
    </row>
    <row r="41" spans="1:7">
      <c r="A41" s="29" t="s">
        <v>39</v>
      </c>
      <c r="B41" s="152">
        <v>25.513085708693822</v>
      </c>
      <c r="C41" s="30">
        <f t="shared" si="0"/>
        <v>24.224271173680066</v>
      </c>
      <c r="D41" s="14">
        <v>0.56096666082874336</v>
      </c>
      <c r="E41" s="14">
        <v>0.136579996497246</v>
      </c>
      <c r="F41" s="38">
        <v>0.15112965570765166</v>
      </c>
      <c r="G41" s="38">
        <v>0.25889593908379083</v>
      </c>
    </row>
    <row r="42" spans="1:7">
      <c r="A42" s="29" t="s">
        <v>40</v>
      </c>
      <c r="B42" s="152">
        <v>26.584832577753339</v>
      </c>
      <c r="C42" s="30">
        <f t="shared" si="0"/>
        <v>25.513085708693822</v>
      </c>
      <c r="D42" s="14">
        <v>0.57866594877021749</v>
      </c>
      <c r="E42" s="14">
        <v>0.14719956926213051</v>
      </c>
      <c r="F42" s="38">
        <v>0.16116267026649789</v>
      </c>
      <c r="G42" s="38">
        <v>0.26458443966231543</v>
      </c>
    </row>
    <row r="43" spans="1:7">
      <c r="A43" s="29" t="s">
        <v>41</v>
      </c>
      <c r="B43" s="152">
        <v>27.545188734992323</v>
      </c>
      <c r="C43" s="30">
        <f t="shared" si="0"/>
        <v>26.584832577753339</v>
      </c>
      <c r="D43" s="14">
        <v>0.593355655718529</v>
      </c>
      <c r="E43" s="14">
        <v>0.15601339343111739</v>
      </c>
      <c r="F43" s="38">
        <v>0.16948967439033258</v>
      </c>
      <c r="G43" s="38">
        <v>0.26930566950784035</v>
      </c>
    </row>
    <row r="44" spans="1:7">
      <c r="A44" s="29" t="s">
        <v>42</v>
      </c>
      <c r="B44" s="152">
        <v>29.055500709549964</v>
      </c>
      <c r="C44" s="30">
        <f t="shared" si="0"/>
        <v>27.545188734992323</v>
      </c>
      <c r="D44" s="14">
        <v>0.61449312736955386</v>
      </c>
      <c r="E44" s="14">
        <v>0.16869587642173231</v>
      </c>
      <c r="F44" s="38">
        <v>0.18147165702789333</v>
      </c>
      <c r="G44" s="38">
        <v>0.27609919250791809</v>
      </c>
    </row>
    <row r="45" spans="1:7">
      <c r="A45" s="29" t="s">
        <v>43</v>
      </c>
      <c r="B45" s="152">
        <v>30.382518016633089</v>
      </c>
      <c r="C45" s="30">
        <f t="shared" si="0"/>
        <v>29.055500709549964</v>
      </c>
      <c r="D45" s="14">
        <v>0.63133091190406898</v>
      </c>
      <c r="E45" s="14">
        <v>0.17879854714244139</v>
      </c>
      <c r="F45" s="38">
        <v>0.19101631995061177</v>
      </c>
      <c r="G45" s="38">
        <v>0.28151080835271264</v>
      </c>
    </row>
    <row r="46" spans="1:7">
      <c r="A46" s="29" t="s">
        <v>44</v>
      </c>
      <c r="B46" s="152">
        <v>31.877952848198454</v>
      </c>
      <c r="C46" s="30">
        <f t="shared" si="0"/>
        <v>30.382518016633089</v>
      </c>
      <c r="D46" s="14">
        <v>0.6486256421612302</v>
      </c>
      <c r="E46" s="14">
        <v>0.18917538529673811</v>
      </c>
      <c r="F46" s="38">
        <v>0.2008200070274696</v>
      </c>
      <c r="G46" s="38">
        <v>0.28706928524729752</v>
      </c>
    </row>
    <row r="47" spans="1:7">
      <c r="A47" s="29" t="s">
        <v>45</v>
      </c>
      <c r="B47" s="152">
        <v>33.548521465180642</v>
      </c>
      <c r="C47" s="30">
        <f t="shared" si="0"/>
        <v>31.877952848198454</v>
      </c>
      <c r="D47" s="14">
        <v>0.66612253768394192</v>
      </c>
      <c r="E47" s="14">
        <v>0.19967352261036517</v>
      </c>
      <c r="F47" s="38">
        <v>0.21073829346331122</v>
      </c>
      <c r="G47" s="38">
        <v>0.29269273748065561</v>
      </c>
    </row>
    <row r="48" spans="1:7">
      <c r="A48" s="29" t="s">
        <v>46</v>
      </c>
      <c r="B48" s="152">
        <v>35.300988913308963</v>
      </c>
      <c r="C48" s="30">
        <f t="shared" si="0"/>
        <v>33.548521465180642</v>
      </c>
      <c r="D48" s="14">
        <v>0.68269741001427453</v>
      </c>
      <c r="E48" s="14">
        <v>0.20961844600856472</v>
      </c>
      <c r="F48" s="38">
        <v>0.22013392203046778</v>
      </c>
      <c r="G48" s="38">
        <v>0.29801985409415122</v>
      </c>
    </row>
    <row r="49" spans="1:7">
      <c r="A49" s="29" t="s">
        <v>47</v>
      </c>
      <c r="B49" s="152">
        <v>37.566961150865481</v>
      </c>
      <c r="C49" s="30">
        <f t="shared" si="0"/>
        <v>35.300988913308963</v>
      </c>
      <c r="D49" s="14">
        <v>0.70183653752914055</v>
      </c>
      <c r="E49" s="14">
        <v>0.22110192251748431</v>
      </c>
      <c r="F49" s="38">
        <v>0.23098312374045879</v>
      </c>
      <c r="G49" s="38">
        <v>0.30417111499802368</v>
      </c>
    </row>
    <row r="50" spans="1:7">
      <c r="A50" s="29" t="s">
        <v>48</v>
      </c>
      <c r="B50" s="152">
        <v>39.80561196422272</v>
      </c>
      <c r="C50" s="30">
        <f t="shared" si="0"/>
        <v>37.566961150865481</v>
      </c>
      <c r="D50" s="14">
        <v>0.71860512479200522</v>
      </c>
      <c r="E50" s="14">
        <v>0.23116307487520318</v>
      </c>
      <c r="F50" s="38">
        <v>0.24048856151264025</v>
      </c>
      <c r="G50" s="38">
        <v>0.30956049103740246</v>
      </c>
    </row>
    <row r="51" spans="1:7">
      <c r="A51" s="29" t="s">
        <v>49</v>
      </c>
      <c r="B51" s="152">
        <v>43.717804413645759</v>
      </c>
      <c r="C51" s="30">
        <f t="shared" si="0"/>
        <v>39.80561196422272</v>
      </c>
      <c r="D51" s="14">
        <v>0.7437864192522422</v>
      </c>
      <c r="E51" s="14">
        <v>0.24627185155134526</v>
      </c>
      <c r="F51" s="38">
        <v>0.25476282467879491</v>
      </c>
      <c r="G51" s="38">
        <v>0.31765368713538777</v>
      </c>
    </row>
    <row r="52" spans="1:7">
      <c r="A52" s="29" t="s">
        <v>50</v>
      </c>
      <c r="B52" s="152">
        <v>50.313659866673568</v>
      </c>
      <c r="C52" s="30">
        <f t="shared" si="0"/>
        <v>43.717804413645759</v>
      </c>
      <c r="D52" s="14">
        <v>0.77737466841147806</v>
      </c>
      <c r="E52" s="14">
        <v>0.26642480104688682</v>
      </c>
      <c r="F52" s="38">
        <v>0.2738026523789312</v>
      </c>
      <c r="G52" s="38">
        <v>0.32844885445543692</v>
      </c>
    </row>
    <row r="53" spans="1:7">
      <c r="A53" s="29" t="s">
        <v>51</v>
      </c>
      <c r="B53" s="152">
        <v>63.423184996025803</v>
      </c>
      <c r="C53" s="30">
        <f t="shared" si="0"/>
        <v>50.313659866673568</v>
      </c>
      <c r="D53" s="14">
        <v>0.82339115873868218</v>
      </c>
      <c r="E53" s="14">
        <v>0.2940346952432093</v>
      </c>
      <c r="F53" s="38">
        <v>0.29988755019665619</v>
      </c>
      <c r="G53" s="38">
        <v>0.34323842298008872</v>
      </c>
    </row>
    <row r="54" spans="1:7">
      <c r="A54" s="29" t="s">
        <v>52</v>
      </c>
      <c r="B54" s="152">
        <v>100.12563463093451</v>
      </c>
      <c r="C54" s="30">
        <f t="shared" si="0"/>
        <v>63.423184996025803</v>
      </c>
      <c r="D54" s="14">
        <v>0.88812959585686702</v>
      </c>
      <c r="E54" s="14">
        <v>0.33287775751412024</v>
      </c>
      <c r="F54" s="38">
        <v>0.33658516674888456</v>
      </c>
      <c r="G54" s="38">
        <v>0.36404517171581796</v>
      </c>
    </row>
    <row r="55" spans="1:7">
      <c r="A55" s="29" t="s">
        <v>53</v>
      </c>
      <c r="B55" s="152">
        <v>225.00875972004224</v>
      </c>
      <c r="C55" s="30">
        <f>B54</f>
        <v>100.12563463093451</v>
      </c>
      <c r="D55" s="14">
        <v>0.95021929268359684</v>
      </c>
      <c r="E55" s="14">
        <v>0.37013157561015814</v>
      </c>
      <c r="F55" s="38">
        <v>0.37178131894872513</v>
      </c>
      <c r="G55" s="38">
        <v>0.38400062288917486</v>
      </c>
    </row>
    <row r="56" spans="1:7">
      <c r="A56" s="29" t="s">
        <v>53</v>
      </c>
      <c r="B56" s="31" t="s">
        <v>153</v>
      </c>
      <c r="C56" s="30">
        <f t="shared" si="0"/>
        <v>225.00875972004224</v>
      </c>
      <c r="D56" s="11">
        <v>49.1</v>
      </c>
      <c r="E56" s="11"/>
      <c r="F56" s="39"/>
      <c r="G56" s="39"/>
    </row>
    <row r="57" spans="1:7">
      <c r="A57" s="29"/>
      <c r="B57" s="31"/>
      <c r="C57" s="31"/>
      <c r="D57" s="11"/>
      <c r="E57" s="32">
        <v>8.4514386010269518E-2</v>
      </c>
      <c r="F57" s="40">
        <v>9.1294202616301667E-2</v>
      </c>
      <c r="G57" s="40">
        <v>0.16908712083876984</v>
      </c>
    </row>
    <row r="58" spans="1:7" ht="60">
      <c r="A58" s="33" t="s">
        <v>55</v>
      </c>
      <c r="B58" s="31">
        <v>10</v>
      </c>
      <c r="C58" s="31"/>
      <c r="D58" s="11"/>
      <c r="E58" s="34">
        <v>18.668492018750527</v>
      </c>
      <c r="F58" s="41">
        <v>17.63736228967451</v>
      </c>
      <c r="G58" s="42">
        <v>10</v>
      </c>
    </row>
    <row r="59" spans="1:7" ht="60">
      <c r="A59" s="33" t="s">
        <v>56</v>
      </c>
      <c r="B59" s="31">
        <v>26.7</v>
      </c>
      <c r="C59" s="31"/>
      <c r="D59" s="11"/>
      <c r="E59" s="11"/>
      <c r="F59" s="39"/>
      <c r="G59" s="39"/>
    </row>
    <row r="60" spans="1:7" ht="96.75">
      <c r="A60" s="35" t="s">
        <v>57</v>
      </c>
      <c r="B60" s="29">
        <v>6</v>
      </c>
      <c r="C60" s="29"/>
      <c r="D60" s="11"/>
      <c r="E60" s="11">
        <v>11.201095211250315</v>
      </c>
      <c r="F60" s="39">
        <v>10.582417373804706</v>
      </c>
      <c r="G60" s="39">
        <v>6</v>
      </c>
    </row>
    <row r="62" spans="1:7" ht="60.75" thickBot="1">
      <c r="A62" s="5" t="s">
        <v>56</v>
      </c>
      <c r="B62">
        <f>B59</f>
        <v>26.7</v>
      </c>
    </row>
    <row r="63" spans="1:7">
      <c r="A63" s="16" t="s">
        <v>64</v>
      </c>
      <c r="B63" s="17">
        <f>AVERAGE(B11:B50)</f>
        <v>18.668492018750527</v>
      </c>
      <c r="C63" s="17"/>
    </row>
    <row r="64" spans="1:7">
      <c r="A64" s="16" t="s">
        <v>65</v>
      </c>
      <c r="B64" s="18">
        <f>AVERAGE(B16:B45)</f>
        <v>17.63736228967451</v>
      </c>
      <c r="C64" s="18"/>
    </row>
    <row r="65" spans="1:7">
      <c r="A65" s="16" t="s">
        <v>66</v>
      </c>
      <c r="B65" s="18">
        <f>AVERAGE(B22:B40)</f>
        <v>17.309557570939365</v>
      </c>
      <c r="C65" s="18"/>
    </row>
    <row r="69" spans="1:7" ht="15" customHeight="1">
      <c r="A69" s="473" t="s">
        <v>0</v>
      </c>
      <c r="B69" s="473" t="s">
        <v>2</v>
      </c>
      <c r="C69" s="473"/>
      <c r="D69" s="473"/>
      <c r="E69" s="49">
        <f>(1-E124)^(1/3)-1</f>
        <v>-2.4544238251546946E-2</v>
      </c>
      <c r="F69" s="49">
        <f>(1-F124)^(1/3)-1</f>
        <v>-2.5755754811779163E-2</v>
      </c>
      <c r="G69" s="49"/>
    </row>
    <row r="70" spans="1:7" ht="72">
      <c r="A70" s="473"/>
      <c r="B70" s="11" t="s">
        <v>4</v>
      </c>
      <c r="C70" s="11"/>
      <c r="D70" s="11" t="s">
        <v>80</v>
      </c>
      <c r="E70" s="11" t="s">
        <v>5</v>
      </c>
      <c r="F70" s="39" t="s">
        <v>5</v>
      </c>
      <c r="G70" s="39"/>
    </row>
    <row r="71" spans="1:7" ht="24">
      <c r="A71" s="473"/>
      <c r="B71" s="11" t="s">
        <v>8</v>
      </c>
      <c r="C71" s="11"/>
      <c r="D71" s="11" t="s">
        <v>7</v>
      </c>
      <c r="E71" s="11" t="s">
        <v>7</v>
      </c>
      <c r="F71" s="39" t="s">
        <v>7</v>
      </c>
      <c r="G71" s="39"/>
    </row>
    <row r="72" spans="1:7">
      <c r="A72" s="50">
        <v>1</v>
      </c>
      <c r="B72" s="51">
        <v>2</v>
      </c>
      <c r="C72" s="51"/>
      <c r="D72" s="51">
        <v>3</v>
      </c>
      <c r="E72" s="51">
        <v>4</v>
      </c>
      <c r="F72" s="52">
        <v>5</v>
      </c>
      <c r="G72" s="52"/>
    </row>
    <row r="73" spans="1:7">
      <c r="A73" s="27" t="s">
        <v>10</v>
      </c>
      <c r="B73" s="153">
        <v>11.868843232621824</v>
      </c>
      <c r="C73" s="253">
        <v>0</v>
      </c>
      <c r="D73" s="14">
        <v>0</v>
      </c>
      <c r="E73" s="14">
        <v>0</v>
      </c>
      <c r="F73" s="38">
        <v>0</v>
      </c>
      <c r="G73" s="38">
        <v>0</v>
      </c>
    </row>
    <row r="74" spans="1:7">
      <c r="A74" s="27" t="s">
        <v>58</v>
      </c>
      <c r="B74" s="153">
        <v>20.409942643147232</v>
      </c>
      <c r="C74" s="30">
        <f>B73</f>
        <v>11.868843232621824</v>
      </c>
      <c r="D74" s="14">
        <v>0</v>
      </c>
      <c r="E74" s="14">
        <v>0</v>
      </c>
      <c r="F74" s="38">
        <v>0</v>
      </c>
      <c r="G74" s="38">
        <v>1.9157048657655197E-2</v>
      </c>
    </row>
    <row r="75" spans="1:7">
      <c r="A75" s="27" t="s">
        <v>59</v>
      </c>
      <c r="B75" s="153">
        <v>23.790742933460677</v>
      </c>
      <c r="C75" s="30">
        <f t="shared" ref="C75:C123" si="1">B74</f>
        <v>20.409942643147232</v>
      </c>
      <c r="D75" s="14">
        <v>0</v>
      </c>
      <c r="E75" s="14">
        <v>0</v>
      </c>
      <c r="F75" s="38">
        <v>0</v>
      </c>
      <c r="G75" s="38">
        <v>3.0645293229605516E-2</v>
      </c>
    </row>
    <row r="76" spans="1:7">
      <c r="A76" s="27" t="s">
        <v>60</v>
      </c>
      <c r="B76" s="153">
        <v>26.216618207868695</v>
      </c>
      <c r="C76" s="30">
        <f t="shared" si="1"/>
        <v>23.790742933460677</v>
      </c>
      <c r="D76" s="14">
        <v>0</v>
      </c>
      <c r="E76" s="14">
        <v>0</v>
      </c>
      <c r="F76" s="38">
        <v>0</v>
      </c>
      <c r="G76" s="38">
        <v>3.7062820730067829E-2</v>
      </c>
    </row>
    <row r="77" spans="1:7">
      <c r="A77" s="27" t="s">
        <v>61</v>
      </c>
      <c r="B77" s="153">
        <v>28.227326634898091</v>
      </c>
      <c r="C77" s="30">
        <f t="shared" si="1"/>
        <v>26.216618207868695</v>
      </c>
      <c r="D77" s="14">
        <v>0</v>
      </c>
      <c r="E77" s="14">
        <v>0</v>
      </c>
      <c r="F77" s="38">
        <v>0</v>
      </c>
      <c r="G77" s="38">
        <v>4.9276032121284806E-2</v>
      </c>
    </row>
    <row r="78" spans="1:7">
      <c r="A78" s="27" t="s">
        <v>62</v>
      </c>
      <c r="B78" s="153">
        <v>29.285346357095744</v>
      </c>
      <c r="C78" s="30">
        <f t="shared" si="1"/>
        <v>28.227326634898091</v>
      </c>
      <c r="D78" s="14">
        <v>0</v>
      </c>
      <c r="E78" s="14">
        <v>0</v>
      </c>
      <c r="F78" s="38">
        <v>0</v>
      </c>
      <c r="G78" s="38">
        <v>6.194697241129736E-2</v>
      </c>
    </row>
    <row r="79" spans="1:7">
      <c r="A79" s="27" t="s">
        <v>63</v>
      </c>
      <c r="B79" s="153">
        <v>30.779399235079058</v>
      </c>
      <c r="C79" s="30">
        <f t="shared" si="1"/>
        <v>29.285346357095744</v>
      </c>
      <c r="D79" s="14">
        <v>0</v>
      </c>
      <c r="E79" s="14"/>
      <c r="F79" s="38"/>
      <c r="G79" s="38"/>
    </row>
    <row r="80" spans="1:7">
      <c r="A80" s="29" t="s">
        <v>11</v>
      </c>
      <c r="B80" s="153">
        <v>32.534206242864208</v>
      </c>
      <c r="C80" s="30">
        <f t="shared" si="1"/>
        <v>30.779399235079058</v>
      </c>
      <c r="D80" s="14">
        <v>2.7523206060807645E-2</v>
      </c>
      <c r="E80" s="14"/>
      <c r="F80" s="38"/>
      <c r="G80" s="38"/>
    </row>
    <row r="81" spans="1:7">
      <c r="A81" s="29" t="s">
        <v>12</v>
      </c>
      <c r="B81" s="153">
        <v>33.551494671804228</v>
      </c>
      <c r="C81" s="30">
        <f t="shared" si="1"/>
        <v>32.534206242864208</v>
      </c>
      <c r="D81" s="14">
        <v>5.7008908547808941E-2</v>
      </c>
      <c r="E81" s="14"/>
      <c r="F81" s="38"/>
      <c r="G81" s="38"/>
    </row>
    <row r="82" spans="1:7">
      <c r="A82" s="29" t="s">
        <v>13</v>
      </c>
      <c r="B82" s="153">
        <v>34.934674701797945</v>
      </c>
      <c r="C82" s="30">
        <f t="shared" si="1"/>
        <v>33.551494671804228</v>
      </c>
      <c r="D82" s="14">
        <v>9.4345064023489425E-2</v>
      </c>
      <c r="E82" s="14"/>
      <c r="F82" s="38"/>
      <c r="G82" s="38"/>
    </row>
    <row r="83" spans="1:7">
      <c r="A83" s="29" t="s">
        <v>14</v>
      </c>
      <c r="B83" s="153">
        <v>36.647395251869661</v>
      </c>
      <c r="C83" s="30">
        <f t="shared" si="1"/>
        <v>34.934674701797945</v>
      </c>
      <c r="D83" s="14">
        <v>0.13667095947827534</v>
      </c>
      <c r="E83" s="14">
        <v>1.3667095947827534E-2</v>
      </c>
      <c r="F83" s="38">
        <v>1.557791468200947E-2</v>
      </c>
      <c r="G83" s="38">
        <v>0.12985801768558367</v>
      </c>
    </row>
    <row r="84" spans="1:7">
      <c r="A84" s="29" t="s">
        <v>15</v>
      </c>
      <c r="B84" s="153">
        <v>38.18274971105054</v>
      </c>
      <c r="C84" s="30">
        <f t="shared" si="1"/>
        <v>36.647395251869661</v>
      </c>
      <c r="D84" s="14">
        <v>0.17138601017882141</v>
      </c>
      <c r="E84" s="14">
        <v>1.7138601017882144E-2</v>
      </c>
      <c r="F84" s="38">
        <v>1.8972584424948716E-2</v>
      </c>
      <c r="G84" s="38">
        <v>0.1407206114038764</v>
      </c>
    </row>
    <row r="85" spans="1:7">
      <c r="A85" s="29" t="s">
        <v>16</v>
      </c>
      <c r="B85" s="153">
        <v>39.460657801651237</v>
      </c>
      <c r="C85" s="30">
        <f t="shared" si="1"/>
        <v>38.18274971105054</v>
      </c>
      <c r="D85" s="14">
        <v>0.19822014271913346</v>
      </c>
      <c r="E85" s="14">
        <v>1.9822014271913345E-2</v>
      </c>
      <c r="F85" s="38">
        <v>2.1596605302763125E-2</v>
      </c>
      <c r="G85" s="38">
        <v>0.14911720808704482</v>
      </c>
    </row>
    <row r="86" spans="1:7">
      <c r="A86" s="29" t="s">
        <v>17</v>
      </c>
      <c r="B86" s="153">
        <v>40.523858200410281</v>
      </c>
      <c r="C86" s="30">
        <f t="shared" si="1"/>
        <v>39.460657801651237</v>
      </c>
      <c r="D86" s="14">
        <v>0.21925596462340999</v>
      </c>
      <c r="E86" s="14">
        <v>2.1925596462341001E-2</v>
      </c>
      <c r="F86" s="38">
        <v>2.3653628602319555E-2</v>
      </c>
      <c r="G86" s="38">
        <v>0.15569947088849087</v>
      </c>
    </row>
    <row r="87" spans="1:7">
      <c r="A87" s="29" t="s">
        <v>18</v>
      </c>
      <c r="B87" s="153">
        <v>41.432000589800076</v>
      </c>
      <c r="C87" s="30">
        <f t="shared" si="1"/>
        <v>40.523858200410281</v>
      </c>
      <c r="D87" s="14">
        <v>0.23636898701420611</v>
      </c>
      <c r="E87" s="14">
        <v>2.3636898701420613E-2</v>
      </c>
      <c r="F87" s="38">
        <v>2.53270543398013E-2</v>
      </c>
      <c r="G87" s="38">
        <v>0.16105426098016545</v>
      </c>
    </row>
    <row r="88" spans="1:7">
      <c r="A88" s="29" t="s">
        <v>19</v>
      </c>
      <c r="B88" s="153">
        <v>42.208471856653247</v>
      </c>
      <c r="C88" s="30">
        <f t="shared" si="1"/>
        <v>41.432000589800076</v>
      </c>
      <c r="D88" s="14">
        <v>0.25041681945114341</v>
      </c>
      <c r="E88" s="14">
        <v>2.5041681945114348E-2</v>
      </c>
      <c r="F88" s="38">
        <v>2.6700745311446675E-2</v>
      </c>
      <c r="G88" s="38">
        <v>0.1654499306769032</v>
      </c>
    </row>
    <row r="89" spans="1:7">
      <c r="A89" s="29" t="s">
        <v>20</v>
      </c>
      <c r="B89" s="153">
        <v>43.150747371990597</v>
      </c>
      <c r="C89" s="30">
        <f t="shared" si="1"/>
        <v>42.208471856653247</v>
      </c>
      <c r="D89" s="14">
        <v>0.2667853395986845</v>
      </c>
      <c r="E89" s="14">
        <v>2.6678533959868456E-2</v>
      </c>
      <c r="F89" s="38">
        <v>2.8301368642256765E-2</v>
      </c>
      <c r="G89" s="38">
        <v>0.17057176056176152</v>
      </c>
    </row>
    <row r="90" spans="1:7">
      <c r="A90" s="29" t="s">
        <v>21</v>
      </c>
      <c r="B90" s="153">
        <v>44.389495164938921</v>
      </c>
      <c r="C90" s="30">
        <f t="shared" si="1"/>
        <v>43.150747371990597</v>
      </c>
      <c r="D90" s="14">
        <v>0.28724666809441568</v>
      </c>
      <c r="E90" s="14">
        <v>2.8724666809441572E-2</v>
      </c>
      <c r="F90" s="38">
        <v>3.030221413558357E-2</v>
      </c>
      <c r="G90" s="38">
        <v>0.17697426016641155</v>
      </c>
    </row>
    <row r="91" spans="1:7">
      <c r="A91" s="29" t="s">
        <v>22</v>
      </c>
      <c r="B91" s="153">
        <v>45.23939448842539</v>
      </c>
      <c r="C91" s="30">
        <f t="shared" si="1"/>
        <v>44.389495164938921</v>
      </c>
      <c r="D91" s="14">
        <v>0.30063695727598883</v>
      </c>
      <c r="E91" s="14">
        <v>3.0063695727598882E-2</v>
      </c>
      <c r="F91" s="38">
        <v>3.1611606131752477E-2</v>
      </c>
      <c r="G91" s="38">
        <v>0.18116417976078483</v>
      </c>
    </row>
    <row r="92" spans="1:7">
      <c r="A92" s="29" t="s">
        <v>23</v>
      </c>
      <c r="B92" s="153">
        <v>45.939119261995735</v>
      </c>
      <c r="C92" s="30">
        <f t="shared" si="1"/>
        <v>45.23939448842539</v>
      </c>
      <c r="D92" s="14">
        <v>0.31128935232785399</v>
      </c>
      <c r="E92" s="14">
        <v>3.1128935232785399E-2</v>
      </c>
      <c r="F92" s="38">
        <v>3.265326853588757E-2</v>
      </c>
      <c r="G92" s="38">
        <v>0.18449739222166547</v>
      </c>
    </row>
    <row r="93" spans="1:7">
      <c r="A93" s="29" t="s">
        <v>24</v>
      </c>
      <c r="B93" s="153">
        <v>46.855933271934909</v>
      </c>
      <c r="C93" s="30">
        <f t="shared" si="1"/>
        <v>45.939119261995735</v>
      </c>
      <c r="D93" s="14">
        <v>0.32476511786037626</v>
      </c>
      <c r="E93" s="14">
        <v>3.247651178603763E-2</v>
      </c>
      <c r="F93" s="38">
        <v>3.3971018981099436E-2</v>
      </c>
      <c r="G93" s="38">
        <v>0.18871405799252836</v>
      </c>
    </row>
    <row r="94" spans="1:7">
      <c r="A94" s="29" t="s">
        <v>25</v>
      </c>
      <c r="B94" s="153">
        <v>47.441387848749613</v>
      </c>
      <c r="C94" s="30">
        <f t="shared" si="1"/>
        <v>46.855933271934909</v>
      </c>
      <c r="D94" s="14">
        <v>0.33309791270680694</v>
      </c>
      <c r="E94" s="14">
        <v>3.3309791270680698E-2</v>
      </c>
      <c r="F94" s="38">
        <v>3.478585536959572E-2</v>
      </c>
      <c r="G94" s="38">
        <v>0.19132145055362396</v>
      </c>
    </row>
    <row r="95" spans="1:7">
      <c r="A95" s="29" t="s">
        <v>26</v>
      </c>
      <c r="B95" s="153">
        <v>48.141473559914559</v>
      </c>
      <c r="C95" s="30">
        <f t="shared" si="1"/>
        <v>47.441387848749613</v>
      </c>
      <c r="D95" s="14">
        <v>0.3427961746737776</v>
      </c>
      <c r="E95" s="14">
        <v>3.427961746737776E-2</v>
      </c>
      <c r="F95" s="38">
        <v>3.5734216261888919E-2</v>
      </c>
      <c r="G95" s="38">
        <v>0.19435610778139276</v>
      </c>
    </row>
    <row r="96" spans="1:7">
      <c r="A96" s="29" t="s">
        <v>27</v>
      </c>
      <c r="B96" s="153">
        <v>49.43382675182179</v>
      </c>
      <c r="C96" s="30">
        <f t="shared" si="1"/>
        <v>48.141473559914559</v>
      </c>
      <c r="D96" s="14">
        <v>0.3599775162206908</v>
      </c>
      <c r="E96" s="14">
        <v>3.5997751622069085E-2</v>
      </c>
      <c r="F96" s="38">
        <v>3.7414322703199512E-2</v>
      </c>
      <c r="G96" s="38">
        <v>0.19973227543758476</v>
      </c>
    </row>
    <row r="97" spans="1:7">
      <c r="A97" s="29" t="s">
        <v>28</v>
      </c>
      <c r="B97" s="153">
        <v>50.376644757156647</v>
      </c>
      <c r="C97" s="30">
        <f t="shared" si="1"/>
        <v>49.43382675182179</v>
      </c>
      <c r="D97" s="14">
        <v>0.37195577964881532</v>
      </c>
      <c r="E97" s="14">
        <v>3.7195577964881529E-2</v>
      </c>
      <c r="F97" s="38">
        <v>3.8585637381180683E-2</v>
      </c>
      <c r="G97" s="38">
        <v>0.20348036182791673</v>
      </c>
    </row>
    <row r="98" spans="1:7">
      <c r="A98" s="29" t="s">
        <v>29</v>
      </c>
      <c r="B98" s="153">
        <v>51.253907679861591</v>
      </c>
      <c r="C98" s="30">
        <f t="shared" si="1"/>
        <v>50.376644757156647</v>
      </c>
      <c r="D98" s="14">
        <v>0.38270539725406394</v>
      </c>
      <c r="E98" s="14">
        <v>3.8270539725406394E-2</v>
      </c>
      <c r="F98" s="38">
        <v>3.9636806856561298E-2</v>
      </c>
      <c r="G98" s="38">
        <v>0.20684399593809205</v>
      </c>
    </row>
    <row r="99" spans="1:7">
      <c r="A99" s="29" t="s">
        <v>30</v>
      </c>
      <c r="B99" s="153">
        <v>52.316267541053293</v>
      </c>
      <c r="C99" s="30">
        <f t="shared" si="1"/>
        <v>51.253907679861591</v>
      </c>
      <c r="D99" s="14">
        <v>0.39524048508258597</v>
      </c>
      <c r="E99" s="14">
        <v>3.9524048508258601E-2</v>
      </c>
      <c r="F99" s="38">
        <v>4.5175429282181608E-2</v>
      </c>
      <c r="G99" s="38">
        <v>0.21076631676311133</v>
      </c>
    </row>
    <row r="100" spans="1:7">
      <c r="A100" s="29" t="s">
        <v>31</v>
      </c>
      <c r="B100" s="153">
        <v>53.119487551117906</v>
      </c>
      <c r="C100" s="30">
        <f t="shared" si="1"/>
        <v>52.316267541053293</v>
      </c>
      <c r="D100" s="14">
        <v>0.40438505642641126</v>
      </c>
      <c r="E100" s="14">
        <v>4.2631033855846739E-2</v>
      </c>
      <c r="F100" s="38">
        <v>5.0540733211156361E-2</v>
      </c>
      <c r="G100" s="38">
        <v>0.21362772013805595</v>
      </c>
    </row>
    <row r="101" spans="1:7">
      <c r="A101" s="29" t="s">
        <v>32</v>
      </c>
      <c r="B101" s="153">
        <v>53.76032396179172</v>
      </c>
      <c r="C101" s="30">
        <f t="shared" si="1"/>
        <v>53.119487551117906</v>
      </c>
      <c r="D101" s="14">
        <v>0.41148493444899642</v>
      </c>
      <c r="E101" s="14">
        <v>4.6890960669397852E-2</v>
      </c>
      <c r="F101" s="38">
        <v>5.4706374444360745E-2</v>
      </c>
      <c r="G101" s="38">
        <v>0.21584932399149825</v>
      </c>
    </row>
    <row r="102" spans="1:7">
      <c r="A102" s="29" t="s">
        <v>33</v>
      </c>
      <c r="B102" s="153">
        <v>54.477516153642689</v>
      </c>
      <c r="C102" s="30">
        <f t="shared" si="1"/>
        <v>53.76032396179172</v>
      </c>
      <c r="D102" s="14">
        <v>0.41923268874472197</v>
      </c>
      <c r="E102" s="14">
        <v>5.1539613246833156E-2</v>
      </c>
      <c r="F102" s="38">
        <v>5.925213771752455E-2</v>
      </c>
      <c r="G102" s="38">
        <v>0.21827365307773808</v>
      </c>
    </row>
    <row r="103" spans="1:7">
      <c r="A103" s="29" t="s">
        <v>34</v>
      </c>
      <c r="B103" s="153">
        <v>55.872204479798221</v>
      </c>
      <c r="C103" s="30">
        <f t="shared" si="1"/>
        <v>54.477516153642689</v>
      </c>
      <c r="D103" s="14">
        <v>0.43372986845620692</v>
      </c>
      <c r="E103" s="14">
        <v>6.0237921073724159E-2</v>
      </c>
      <c r="F103" s="38">
        <v>6.7757924630937882E-2</v>
      </c>
      <c r="G103" s="38">
        <v>0.22280992682900935</v>
      </c>
    </row>
    <row r="104" spans="1:7">
      <c r="A104" s="29" t="s">
        <v>35</v>
      </c>
      <c r="B104" s="153">
        <v>57.112902240434146</v>
      </c>
      <c r="C104" s="30">
        <f t="shared" si="1"/>
        <v>55.872204479798221</v>
      </c>
      <c r="D104" s="14">
        <v>0.44603129346808451</v>
      </c>
      <c r="E104" s="14">
        <v>6.7618776080850693E-2</v>
      </c>
      <c r="F104" s="38">
        <v>7.4975418099648236E-2</v>
      </c>
      <c r="G104" s="38">
        <v>0.22665913284667386</v>
      </c>
    </row>
    <row r="105" spans="1:7">
      <c r="A105" s="29" t="s">
        <v>36</v>
      </c>
      <c r="B105" s="153">
        <v>57.972262448219617</v>
      </c>
      <c r="C105" s="30">
        <f t="shared" si="1"/>
        <v>57.112902240434146</v>
      </c>
      <c r="D105" s="14">
        <v>0.45424312862247629</v>
      </c>
      <c r="E105" s="14">
        <v>7.2545877173485748E-2</v>
      </c>
      <c r="F105" s="38">
        <v>7.979346694648691E-2</v>
      </c>
      <c r="G105" s="38">
        <v>0.22922867623386955</v>
      </c>
    </row>
    <row r="106" spans="1:7">
      <c r="A106" s="29" t="s">
        <v>37</v>
      </c>
      <c r="B106" s="153">
        <v>59.641600618524109</v>
      </c>
      <c r="C106" s="30">
        <f t="shared" si="1"/>
        <v>57.972262448219617</v>
      </c>
      <c r="D106" s="14">
        <v>0.469518586820248</v>
      </c>
      <c r="E106" s="14">
        <v>8.171115209214877E-2</v>
      </c>
      <c r="F106" s="38">
        <v>8.8755885501046544E-2</v>
      </c>
      <c r="G106" s="38">
        <v>0.23400847902587718</v>
      </c>
    </row>
    <row r="107" spans="1:7">
      <c r="A107" s="29" t="s">
        <v>38</v>
      </c>
      <c r="B107" s="153">
        <v>61.293232804191817</v>
      </c>
      <c r="C107" s="30">
        <f t="shared" si="1"/>
        <v>59.641600618524109</v>
      </c>
      <c r="D107" s="14">
        <v>0.4838131530524642</v>
      </c>
      <c r="E107" s="14">
        <v>9.0287891831478506E-2</v>
      </c>
      <c r="F107" s="38">
        <v>9.7142795011079114E-2</v>
      </c>
      <c r="G107" s="38">
        <v>0.23848135353495431</v>
      </c>
    </row>
    <row r="108" spans="1:7">
      <c r="A108" s="29" t="s">
        <v>39</v>
      </c>
      <c r="B108" s="153">
        <v>62.682499442920907</v>
      </c>
      <c r="C108" s="30">
        <f t="shared" si="1"/>
        <v>61.293232804191817</v>
      </c>
      <c r="D108" s="14">
        <v>0.49525368545286708</v>
      </c>
      <c r="E108" s="14">
        <v>9.7152211271720218E-2</v>
      </c>
      <c r="F108" s="38">
        <v>0.10385518546980647</v>
      </c>
      <c r="G108" s="38">
        <v>0.24206117994680468</v>
      </c>
    </row>
    <row r="109" spans="1:7">
      <c r="A109" s="29" t="s">
        <v>40</v>
      </c>
      <c r="B109" s="153">
        <v>64.042331924662562</v>
      </c>
      <c r="C109" s="30">
        <f t="shared" si="1"/>
        <v>62.682499442920907</v>
      </c>
      <c r="D109" s="14">
        <v>0.50597113456711862</v>
      </c>
      <c r="E109" s="14">
        <v>0.10358268074027119</v>
      </c>
      <c r="F109" s="38">
        <v>0.11014332842142867</v>
      </c>
      <c r="G109" s="38">
        <v>0.24541474830045137</v>
      </c>
    </row>
    <row r="110" spans="1:7">
      <c r="A110" s="29" t="s">
        <v>41</v>
      </c>
      <c r="B110" s="153">
        <v>65.483890135192425</v>
      </c>
      <c r="C110" s="30">
        <f t="shared" si="1"/>
        <v>64.042331924662562</v>
      </c>
      <c r="D110" s="14">
        <v>0.5168466547253322</v>
      </c>
      <c r="E110" s="14">
        <v>0.11010799283519927</v>
      </c>
      <c r="F110" s="38">
        <v>0.11652421483377069</v>
      </c>
      <c r="G110" s="38">
        <v>0.24881777824192627</v>
      </c>
    </row>
    <row r="111" spans="1:7">
      <c r="A111" s="29" t="s">
        <v>42</v>
      </c>
      <c r="B111" s="153">
        <v>68.01017118977947</v>
      </c>
      <c r="C111" s="30">
        <f t="shared" si="1"/>
        <v>65.483890135192425</v>
      </c>
      <c r="D111" s="14">
        <v>0.53479369295909529</v>
      </c>
      <c r="E111" s="14">
        <v>0.12087621577545714</v>
      </c>
      <c r="F111" s="38">
        <v>0.1270541031279977</v>
      </c>
      <c r="G111" s="38">
        <v>0.25443353800162521</v>
      </c>
    </row>
    <row r="112" spans="1:7">
      <c r="A112" s="29" t="s">
        <v>43</v>
      </c>
      <c r="B112" s="153">
        <v>70.463010258176723</v>
      </c>
      <c r="C112" s="30">
        <f t="shared" si="1"/>
        <v>68.01017118977947</v>
      </c>
      <c r="D112" s="14">
        <v>0.55098766765012575</v>
      </c>
      <c r="E112" s="14">
        <v>0.13059260059007549</v>
      </c>
      <c r="F112" s="38">
        <v>0.13655543378295198</v>
      </c>
      <c r="G112" s="38">
        <v>0.25950075133426226</v>
      </c>
    </row>
    <row r="113" spans="1:7">
      <c r="A113" s="29" t="s">
        <v>44</v>
      </c>
      <c r="B113" s="153">
        <v>74.804036926256515</v>
      </c>
      <c r="C113" s="30">
        <f t="shared" si="1"/>
        <v>70.463010258176723</v>
      </c>
      <c r="D113" s="14">
        <v>0.57704474410108053</v>
      </c>
      <c r="E113" s="14">
        <v>0.14622684646064835</v>
      </c>
      <c r="F113" s="38">
        <v>0.15184364461355629</v>
      </c>
      <c r="G113" s="38">
        <v>0.26765420147364993</v>
      </c>
    </row>
    <row r="114" spans="1:7">
      <c r="A114" s="29" t="s">
        <v>45</v>
      </c>
      <c r="B114" s="153">
        <v>77.471741343127235</v>
      </c>
      <c r="C114" s="30">
        <f t="shared" si="1"/>
        <v>74.804036926256515</v>
      </c>
      <c r="D114" s="14">
        <v>0.59160901727654513</v>
      </c>
      <c r="E114" s="14">
        <v>0.15496541036592704</v>
      </c>
      <c r="F114" s="38">
        <v>0.16038879661171368</v>
      </c>
      <c r="G114" s="38">
        <v>0.27221146926138823</v>
      </c>
    </row>
    <row r="115" spans="1:7">
      <c r="A115" s="29" t="s">
        <v>46</v>
      </c>
      <c r="B115" s="153">
        <v>80.466422581090782</v>
      </c>
      <c r="C115" s="30">
        <f t="shared" si="1"/>
        <v>77.471741343127235</v>
      </c>
      <c r="D115" s="14">
        <v>0.60680791359237096</v>
      </c>
      <c r="E115" s="14">
        <v>0.16408474815542257</v>
      </c>
      <c r="F115" s="38">
        <v>0.16930629477027342</v>
      </c>
      <c r="G115" s="38">
        <v>0.27696731527957291</v>
      </c>
    </row>
    <row r="116" spans="1:7">
      <c r="A116" s="29" t="s">
        <v>47</v>
      </c>
      <c r="B116" s="153">
        <v>82.414333772190204</v>
      </c>
      <c r="C116" s="30">
        <f t="shared" si="1"/>
        <v>80.466422581090782</v>
      </c>
      <c r="D116" s="14">
        <v>0.61610123952620988</v>
      </c>
      <c r="E116" s="14">
        <v>0.1696607437157259</v>
      </c>
      <c r="F116" s="38">
        <v>0.17475887600905801</v>
      </c>
      <c r="G116" s="38">
        <v>0.27987526505564447</v>
      </c>
    </row>
    <row r="117" spans="1:7">
      <c r="A117" s="29" t="s">
        <v>48</v>
      </c>
      <c r="B117" s="153">
        <v>86.084285212099957</v>
      </c>
      <c r="C117" s="30">
        <f t="shared" si="1"/>
        <v>82.414333772190204</v>
      </c>
      <c r="D117" s="14">
        <v>0.63246763909970971</v>
      </c>
      <c r="E117" s="14">
        <v>0.17948058345982582</v>
      </c>
      <c r="F117" s="38">
        <v>0.18436137181047824</v>
      </c>
      <c r="G117" s="38">
        <v>0.28499643139734804</v>
      </c>
    </row>
    <row r="118" spans="1:7">
      <c r="A118" s="29" t="s">
        <v>49</v>
      </c>
      <c r="B118" s="153">
        <v>91.412316486542579</v>
      </c>
      <c r="C118" s="30">
        <f t="shared" si="1"/>
        <v>86.084285212099957</v>
      </c>
      <c r="D118" s="14">
        <v>0.65388952171368731</v>
      </c>
      <c r="E118" s="14">
        <v>0.19233371302821239</v>
      </c>
      <c r="F118" s="38">
        <v>0.19693002119090189</v>
      </c>
      <c r="G118" s="38">
        <v>0.29169949542349205</v>
      </c>
    </row>
    <row r="119" spans="1:7">
      <c r="A119" s="29" t="s">
        <v>50</v>
      </c>
      <c r="B119" s="153">
        <v>99.638657914803829</v>
      </c>
      <c r="C119" s="30">
        <f t="shared" si="1"/>
        <v>91.412316486542579</v>
      </c>
      <c r="D119" s="14">
        <v>0.68246500662955734</v>
      </c>
      <c r="E119" s="14">
        <v>0.20947900397773439</v>
      </c>
      <c r="F119" s="38">
        <v>0.21369583291973709</v>
      </c>
      <c r="G119" s="38">
        <v>0.30064097402370671</v>
      </c>
    </row>
    <row r="120" spans="1:7">
      <c r="A120" s="29" t="s">
        <v>51</v>
      </c>
      <c r="B120" s="153">
        <v>117.64159380765695</v>
      </c>
      <c r="C120" s="30">
        <f t="shared" si="1"/>
        <v>99.638657914803829</v>
      </c>
      <c r="D120" s="14">
        <v>0.73105804200386681</v>
      </c>
      <c r="E120" s="14">
        <v>0.23863482520232007</v>
      </c>
      <c r="F120" s="38">
        <v>0.24220634410850231</v>
      </c>
      <c r="G120" s="38">
        <v>0.31584609082918058</v>
      </c>
    </row>
    <row r="121" spans="1:7">
      <c r="A121" s="29" t="s">
        <v>52</v>
      </c>
      <c r="B121" s="153">
        <v>137.53043244274369</v>
      </c>
      <c r="C121" s="30">
        <f t="shared" si="1"/>
        <v>117.64159380765695</v>
      </c>
      <c r="D121" s="14">
        <v>0.7699508391090909</v>
      </c>
      <c r="E121" s="14">
        <v>0.26197050346545453</v>
      </c>
      <c r="F121" s="38">
        <v>0.26502553040730886</v>
      </c>
      <c r="G121" s="38">
        <v>0.32801593200747375</v>
      </c>
    </row>
    <row r="122" spans="1:7">
      <c r="A122" s="29" t="s">
        <v>53</v>
      </c>
      <c r="B122" s="153">
        <v>176.80472207971232</v>
      </c>
      <c r="C122" s="30">
        <f>B121</f>
        <v>137.53043244274369</v>
      </c>
      <c r="D122" s="14">
        <v>0.82105251370971466</v>
      </c>
      <c r="E122" s="14">
        <v>0.29263150822582873</v>
      </c>
      <c r="F122" s="38">
        <v>0.29500791068553245</v>
      </c>
      <c r="G122" s="38">
        <v>0.34400602040743805</v>
      </c>
    </row>
    <row r="123" spans="1:7">
      <c r="A123" s="29" t="s">
        <v>53</v>
      </c>
      <c r="B123" s="29" t="s">
        <v>154</v>
      </c>
      <c r="C123" s="30">
        <f t="shared" si="1"/>
        <v>176.80472207971232</v>
      </c>
      <c r="D123" s="11" t="s">
        <v>81</v>
      </c>
      <c r="E123" s="11"/>
      <c r="F123" s="39"/>
      <c r="G123" s="39"/>
    </row>
    <row r="124" spans="1:7">
      <c r="A124" s="29"/>
      <c r="B124" s="29"/>
      <c r="C124" s="29"/>
      <c r="D124" s="11"/>
      <c r="E124" s="32">
        <v>7.1840241791554071E-2</v>
      </c>
      <c r="F124" s="40">
        <v>7.5294273026897174E-2</v>
      </c>
      <c r="G124" s="40">
        <v>0.19230191153729234</v>
      </c>
    </row>
    <row r="125" spans="1:7" ht="60">
      <c r="A125" s="33" t="s">
        <v>55</v>
      </c>
      <c r="B125" s="29">
        <v>27.5</v>
      </c>
      <c r="C125" s="29"/>
      <c r="D125" s="11"/>
      <c r="E125" s="34">
        <v>52.731267634028406</v>
      </c>
      <c r="F125" s="41">
        <v>51.564158810591032</v>
      </c>
      <c r="G125" s="42">
        <v>27.5</v>
      </c>
    </row>
    <row r="126" spans="1:7" ht="60">
      <c r="A126" s="33" t="s">
        <v>56</v>
      </c>
      <c r="B126" s="29">
        <v>56.3</v>
      </c>
      <c r="C126" s="29"/>
      <c r="D126" s="11"/>
      <c r="E126" s="11"/>
      <c r="F126" s="39"/>
      <c r="G126" s="39"/>
    </row>
    <row r="127" spans="1:7" ht="96.75">
      <c r="A127" s="35" t="s">
        <v>57</v>
      </c>
      <c r="B127" s="29">
        <v>16.5</v>
      </c>
      <c r="C127" s="29"/>
      <c r="D127" s="11"/>
      <c r="E127" s="11">
        <v>31.638760580417042</v>
      </c>
      <c r="F127" s="39">
        <v>30.938495286354616</v>
      </c>
      <c r="G127" s="39">
        <v>16.5</v>
      </c>
    </row>
    <row r="129" spans="1:7" ht="60.75" thickBot="1">
      <c r="A129" s="5" t="s">
        <v>56</v>
      </c>
      <c r="B129">
        <f>B126</f>
        <v>56.3</v>
      </c>
    </row>
    <row r="130" spans="1:7">
      <c r="A130" s="16" t="s">
        <v>64</v>
      </c>
      <c r="B130" s="17">
        <f>AVERAGE(B78:B117)</f>
        <v>52.731267634028406</v>
      </c>
      <c r="C130" s="17"/>
    </row>
    <row r="131" spans="1:7">
      <c r="A131" s="16" t="s">
        <v>65</v>
      </c>
      <c r="B131" s="18">
        <f>AVERAGE(B83:B112)</f>
        <v>51.564158810591032</v>
      </c>
      <c r="C131" s="18"/>
    </row>
    <row r="132" spans="1:7">
      <c r="A132" s="16" t="s">
        <v>66</v>
      </c>
      <c r="B132" s="18">
        <f>AVERAGE(B89:B107)</f>
        <v>51.462511997661224</v>
      </c>
      <c r="C132" s="18"/>
    </row>
    <row r="133" spans="1:7" ht="15.75" thickBot="1"/>
    <row r="134" spans="1:7" ht="15.75" thickBot="1">
      <c r="A134" s="522" t="s">
        <v>0</v>
      </c>
      <c r="B134" s="467" t="s">
        <v>78</v>
      </c>
      <c r="C134" s="468"/>
      <c r="D134" s="469"/>
      <c r="E134" s="19">
        <f>(1-E189)^(1/3)-1</f>
        <v>-3.0086510904373975E-2</v>
      </c>
      <c r="F134" s="19">
        <f>(1-F189)^(1/3)-1</f>
        <v>-3.3570066930213582E-2</v>
      </c>
      <c r="G134" s="19"/>
    </row>
    <row r="135" spans="1:7" ht="72.75" thickBot="1">
      <c r="A135" s="523"/>
      <c r="B135" s="1" t="s">
        <v>4</v>
      </c>
      <c r="C135" s="254"/>
      <c r="D135" s="11" t="s">
        <v>80</v>
      </c>
      <c r="E135" s="11" t="s">
        <v>5</v>
      </c>
      <c r="F135" s="39" t="s">
        <v>5</v>
      </c>
      <c r="G135" s="39"/>
    </row>
    <row r="136" spans="1:7" ht="24.75" thickBot="1">
      <c r="A136" s="524"/>
      <c r="B136" s="1" t="s">
        <v>9</v>
      </c>
      <c r="C136" s="254"/>
      <c r="D136" s="11" t="s">
        <v>7</v>
      </c>
      <c r="E136" s="11" t="s">
        <v>7</v>
      </c>
      <c r="F136" s="39" t="s">
        <v>7</v>
      </c>
      <c r="G136" s="39"/>
    </row>
    <row r="137" spans="1:7">
      <c r="A137" s="50">
        <v>1</v>
      </c>
      <c r="B137" s="51">
        <v>2</v>
      </c>
      <c r="C137" s="51"/>
      <c r="D137" s="51">
        <v>3</v>
      </c>
      <c r="E137" s="51">
        <v>4</v>
      </c>
      <c r="F137" s="52">
        <v>5</v>
      </c>
      <c r="G137" s="52"/>
    </row>
    <row r="138" spans="1:7" ht="15.75" thickBot="1">
      <c r="A138" s="8" t="s">
        <v>10</v>
      </c>
      <c r="B138" s="227">
        <v>4.0604805086512402E-2</v>
      </c>
      <c r="C138" s="255">
        <v>0</v>
      </c>
      <c r="D138" s="14">
        <v>0</v>
      </c>
      <c r="E138" s="14">
        <v>0</v>
      </c>
      <c r="F138" s="38">
        <v>0</v>
      </c>
      <c r="G138" s="38">
        <v>0</v>
      </c>
    </row>
    <row r="139" spans="1:7" ht="15.75" thickBot="1">
      <c r="A139" s="8" t="s">
        <v>58</v>
      </c>
      <c r="B139" s="227">
        <v>4.6077390716973851E-2</v>
      </c>
      <c r="C139" s="30">
        <f>B138</f>
        <v>4.0604805086512402E-2</v>
      </c>
      <c r="D139" s="14">
        <v>0</v>
      </c>
      <c r="E139" s="14">
        <v>0</v>
      </c>
      <c r="F139" s="38">
        <v>0</v>
      </c>
      <c r="G139" s="38">
        <v>0</v>
      </c>
    </row>
    <row r="140" spans="1:7" ht="15.75" thickBot="1">
      <c r="A140" s="8" t="s">
        <v>59</v>
      </c>
      <c r="B140" s="227">
        <v>4.9991982377427552E-2</v>
      </c>
      <c r="C140" s="30">
        <f t="shared" ref="C140:C188" si="2">B139</f>
        <v>4.6077390716973851E-2</v>
      </c>
      <c r="D140" s="14">
        <v>0</v>
      </c>
      <c r="E140" s="14">
        <v>0</v>
      </c>
      <c r="F140" s="38">
        <v>0</v>
      </c>
      <c r="G140" s="38">
        <v>0</v>
      </c>
    </row>
    <row r="141" spans="1:7" ht="15.75" thickBot="1">
      <c r="A141" s="8" t="s">
        <v>60</v>
      </c>
      <c r="B141" s="227">
        <v>5.6925885463099908E-2</v>
      </c>
      <c r="C141" s="30">
        <f t="shared" si="2"/>
        <v>4.9991982377427552E-2</v>
      </c>
      <c r="D141" s="14">
        <v>0</v>
      </c>
      <c r="E141" s="14">
        <v>0</v>
      </c>
      <c r="F141" s="38">
        <v>0</v>
      </c>
      <c r="G141" s="38">
        <v>0</v>
      </c>
    </row>
    <row r="142" spans="1:7" ht="15.75" thickBot="1">
      <c r="A142" s="8" t="s">
        <v>61</v>
      </c>
      <c r="B142" s="227">
        <v>6.5987546097575719E-2</v>
      </c>
      <c r="C142" s="30">
        <f t="shared" si="2"/>
        <v>5.6925885463099908E-2</v>
      </c>
      <c r="D142" s="14">
        <v>0</v>
      </c>
      <c r="E142" s="14">
        <v>0</v>
      </c>
      <c r="F142" s="38">
        <v>0</v>
      </c>
      <c r="G142" s="38">
        <v>0</v>
      </c>
    </row>
    <row r="143" spans="1:7" ht="15.75" thickBot="1">
      <c r="A143" s="8" t="s">
        <v>62</v>
      </c>
      <c r="B143" s="227">
        <v>7.0026993116556219E-2</v>
      </c>
      <c r="C143" s="30">
        <f t="shared" si="2"/>
        <v>6.5987546097575719E-2</v>
      </c>
      <c r="D143" s="14">
        <v>0</v>
      </c>
      <c r="E143" s="14">
        <v>0</v>
      </c>
      <c r="F143" s="38">
        <v>0</v>
      </c>
      <c r="G143" s="38">
        <v>0</v>
      </c>
    </row>
    <row r="144" spans="1:7" ht="15.75" thickBot="1">
      <c r="A144" s="8" t="s">
        <v>63</v>
      </c>
      <c r="B144" s="227">
        <v>7.2138126773888367E-2</v>
      </c>
      <c r="C144" s="30">
        <f t="shared" si="2"/>
        <v>7.0026993116556219E-2</v>
      </c>
      <c r="D144" s="14">
        <v>0</v>
      </c>
      <c r="E144" s="14">
        <v>0</v>
      </c>
      <c r="F144" s="38">
        <v>0</v>
      </c>
      <c r="G144" s="38">
        <v>0</v>
      </c>
    </row>
    <row r="145" spans="1:7" ht="15.75" thickBot="1">
      <c r="A145" s="3" t="s">
        <v>11</v>
      </c>
      <c r="B145" s="227">
        <v>8.0530116358658449E-2</v>
      </c>
      <c r="C145" s="30">
        <f t="shared" si="2"/>
        <v>7.2138126773888367E-2</v>
      </c>
      <c r="D145" s="14">
        <v>0</v>
      </c>
      <c r="E145" s="14">
        <v>0</v>
      </c>
      <c r="F145" s="38">
        <v>0</v>
      </c>
      <c r="G145" s="38">
        <v>0</v>
      </c>
    </row>
    <row r="146" spans="1:7" ht="15.75" thickBot="1">
      <c r="A146" s="3" t="s">
        <v>12</v>
      </c>
      <c r="B146" s="227">
        <v>8.7066130879080522E-2</v>
      </c>
      <c r="C146" s="30">
        <f t="shared" si="2"/>
        <v>8.0530116358658449E-2</v>
      </c>
      <c r="D146" s="14">
        <v>0</v>
      </c>
      <c r="E146" s="14">
        <v>0</v>
      </c>
      <c r="F146" s="38">
        <v>0</v>
      </c>
      <c r="G146" s="38">
        <v>0</v>
      </c>
    </row>
    <row r="147" spans="1:7" ht="15.75" thickBot="1">
      <c r="A147" s="3" t="s">
        <v>13</v>
      </c>
      <c r="B147" s="227">
        <v>9.7453378207049163E-2</v>
      </c>
      <c r="C147" s="30">
        <f t="shared" si="2"/>
        <v>8.7066130879080522E-2</v>
      </c>
      <c r="D147" s="14">
        <v>0</v>
      </c>
      <c r="E147" s="14">
        <v>0</v>
      </c>
      <c r="F147" s="38">
        <v>0</v>
      </c>
      <c r="G147" s="38">
        <v>0</v>
      </c>
    </row>
    <row r="148" spans="1:7" ht="15.75" thickBot="1">
      <c r="A148" s="3" t="s">
        <v>14</v>
      </c>
      <c r="B148" s="227">
        <v>0.10119796602755704</v>
      </c>
      <c r="C148" s="30">
        <f t="shared" si="2"/>
        <v>9.7453378207049163E-2</v>
      </c>
      <c r="D148" s="14">
        <v>0</v>
      </c>
      <c r="E148" s="14">
        <v>0</v>
      </c>
      <c r="F148" s="38">
        <v>0</v>
      </c>
      <c r="G148" s="38">
        <v>0</v>
      </c>
    </row>
    <row r="149" spans="1:7" ht="15.75" thickBot="1">
      <c r="A149" s="3" t="s">
        <v>15</v>
      </c>
      <c r="B149" s="227">
        <v>0.1038073038073038</v>
      </c>
      <c r="C149" s="30">
        <f t="shared" si="2"/>
        <v>0.10119796602755704</v>
      </c>
      <c r="D149" s="14">
        <v>0</v>
      </c>
      <c r="E149" s="14">
        <v>0</v>
      </c>
      <c r="F149" s="38">
        <v>0</v>
      </c>
      <c r="G149" s="38">
        <v>0</v>
      </c>
    </row>
    <row r="150" spans="1:7" ht="15.75" thickBot="1">
      <c r="A150" s="3" t="s">
        <v>16</v>
      </c>
      <c r="B150" s="227">
        <v>0.1157271287825475</v>
      </c>
      <c r="C150" s="30">
        <f t="shared" si="2"/>
        <v>0.1038073038073038</v>
      </c>
      <c r="D150" s="14">
        <v>0</v>
      </c>
      <c r="E150" s="14">
        <v>0</v>
      </c>
      <c r="F150" s="38">
        <v>0</v>
      </c>
      <c r="G150" s="38">
        <v>0</v>
      </c>
    </row>
    <row r="151" spans="1:7" ht="15.75" thickBot="1">
      <c r="A151" s="3" t="s">
        <v>17</v>
      </c>
      <c r="B151" s="227">
        <v>0.1276357696604489</v>
      </c>
      <c r="C151" s="30">
        <f t="shared" si="2"/>
        <v>0.1157271287825475</v>
      </c>
      <c r="D151" s="14">
        <v>0</v>
      </c>
      <c r="E151" s="14">
        <v>0</v>
      </c>
      <c r="F151" s="38">
        <v>0</v>
      </c>
      <c r="G151" s="38">
        <v>0</v>
      </c>
    </row>
    <row r="152" spans="1:7" ht="15.75" thickBot="1">
      <c r="A152" s="3" t="s">
        <v>18</v>
      </c>
      <c r="B152" s="227">
        <v>0.13665038665038665</v>
      </c>
      <c r="C152" s="30">
        <f t="shared" si="2"/>
        <v>0.1276357696604489</v>
      </c>
      <c r="D152" s="14">
        <v>0</v>
      </c>
      <c r="E152" s="14">
        <v>0</v>
      </c>
      <c r="F152" s="38">
        <v>0</v>
      </c>
      <c r="G152" s="38">
        <v>0</v>
      </c>
    </row>
    <row r="153" spans="1:7" ht="15.75" thickBot="1">
      <c r="A153" s="3" t="s">
        <v>19</v>
      </c>
      <c r="B153" s="227">
        <v>0.14720682456266648</v>
      </c>
      <c r="C153" s="30">
        <f t="shared" si="2"/>
        <v>0.13665038665038665</v>
      </c>
      <c r="D153" s="14">
        <v>0</v>
      </c>
      <c r="E153" s="14">
        <v>0</v>
      </c>
      <c r="F153" s="38">
        <v>0</v>
      </c>
      <c r="G153" s="38">
        <v>0</v>
      </c>
    </row>
    <row r="154" spans="1:7" ht="15.75" thickBot="1">
      <c r="A154" s="3" t="s">
        <v>20</v>
      </c>
      <c r="B154" s="227">
        <v>0.15614690897511713</v>
      </c>
      <c r="C154" s="30">
        <f t="shared" si="2"/>
        <v>0.14720682456266648</v>
      </c>
      <c r="D154" s="14">
        <v>0</v>
      </c>
      <c r="E154" s="14"/>
      <c r="F154" s="38"/>
      <c r="G154" s="38"/>
    </row>
    <row r="155" spans="1:7" ht="15.75" thickBot="1">
      <c r="A155" s="3" t="s">
        <v>21</v>
      </c>
      <c r="B155" s="227">
        <v>0.17384534161490683</v>
      </c>
      <c r="C155" s="30">
        <f t="shared" si="2"/>
        <v>0.15614690897511713</v>
      </c>
      <c r="D155" s="14">
        <v>0</v>
      </c>
      <c r="E155" s="14"/>
      <c r="F155" s="38"/>
      <c r="G155" s="38"/>
    </row>
    <row r="156" spans="1:7" ht="15.75" thickBot="1">
      <c r="A156" s="3" t="s">
        <v>22</v>
      </c>
      <c r="B156" s="227">
        <v>0.19015832550650744</v>
      </c>
      <c r="C156" s="30">
        <f t="shared" si="2"/>
        <v>0.17384534161490683</v>
      </c>
      <c r="D156" s="14">
        <v>8.2794323171094031E-2</v>
      </c>
      <c r="E156" s="14"/>
      <c r="F156" s="38"/>
      <c r="G156" s="38"/>
    </row>
    <row r="157" spans="1:7" ht="15.75" thickBot="1">
      <c r="A157" s="3" t="s">
        <v>23</v>
      </c>
      <c r="B157" s="227">
        <v>0.19305019305019305</v>
      </c>
      <c r="C157" s="30">
        <f t="shared" si="2"/>
        <v>0.19015832550650744</v>
      </c>
      <c r="D157" s="14">
        <v>9.6533948528609609E-2</v>
      </c>
      <c r="E157" s="14">
        <v>9.6533948528609616E-3</v>
      </c>
      <c r="F157" s="38">
        <v>1.7360092035917568E-2</v>
      </c>
      <c r="G157" s="38">
        <v>0</v>
      </c>
    </row>
    <row r="158" spans="1:7" ht="15.75" thickBot="1">
      <c r="A158" s="3" t="s">
        <v>24</v>
      </c>
      <c r="B158" s="227">
        <v>0.19369369369369369</v>
      </c>
      <c r="C158" s="30">
        <f t="shared" si="2"/>
        <v>0.19305019305019305</v>
      </c>
      <c r="D158" s="14">
        <v>9.9535496872368331E-2</v>
      </c>
      <c r="E158" s="14">
        <v>9.9535496872368342E-3</v>
      </c>
      <c r="F158" s="38">
        <v>1.7634643225167008E-2</v>
      </c>
      <c r="G158" s="38">
        <v>0</v>
      </c>
    </row>
    <row r="159" spans="1:7" ht="15.75" thickBot="1">
      <c r="A159" s="3" t="s">
        <v>25</v>
      </c>
      <c r="B159" s="227">
        <v>0.20697368421052631</v>
      </c>
      <c r="C159" s="30">
        <f t="shared" si="2"/>
        <v>0.19369369369369369</v>
      </c>
      <c r="D159" s="14">
        <v>0.15731173112114333</v>
      </c>
      <c r="E159" s="14">
        <v>1.5731173112114333E-2</v>
      </c>
      <c r="F159" s="38">
        <v>2.2919426945655512E-2</v>
      </c>
      <c r="G159" s="38">
        <v>0</v>
      </c>
    </row>
    <row r="160" spans="1:7" ht="15.75" thickBot="1">
      <c r="A160" s="3" t="s">
        <v>26</v>
      </c>
      <c r="B160" s="227">
        <v>0.22033898305084745</v>
      </c>
      <c r="C160" s="30">
        <f t="shared" si="2"/>
        <v>0.20697368421052631</v>
      </c>
      <c r="D160" s="14">
        <v>0.20842742743076872</v>
      </c>
      <c r="E160" s="14">
        <v>2.0842742743076872E-2</v>
      </c>
      <c r="F160" s="38">
        <v>2.7594972232241409E-2</v>
      </c>
      <c r="G160" s="38">
        <v>0</v>
      </c>
    </row>
    <row r="161" spans="1:7" ht="15.75" thickBot="1">
      <c r="A161" s="3" t="s">
        <v>27</v>
      </c>
      <c r="B161" s="227">
        <v>0.22167487684729065</v>
      </c>
      <c r="C161" s="30">
        <f t="shared" si="2"/>
        <v>0.22033898305084745</v>
      </c>
      <c r="D161" s="14">
        <v>0.21319773295284322</v>
      </c>
      <c r="E161" s="14">
        <v>2.1319773295284325E-2</v>
      </c>
      <c r="F161" s="38">
        <v>2.803131138263092E-2</v>
      </c>
      <c r="G161" s="38">
        <v>0</v>
      </c>
    </row>
    <row r="162" spans="1:7" ht="15.75" thickBot="1">
      <c r="A162" s="3" t="s">
        <v>28</v>
      </c>
      <c r="B162" s="227">
        <v>0.23114754098360657</v>
      </c>
      <c r="C162" s="30">
        <f t="shared" si="2"/>
        <v>0.22167487684729065</v>
      </c>
      <c r="D162" s="14">
        <v>0.24544169966654603</v>
      </c>
      <c r="E162" s="14">
        <v>2.4544169966654605E-2</v>
      </c>
      <c r="F162" s="38">
        <v>3.0980662315383389E-2</v>
      </c>
      <c r="G162" s="38">
        <v>0</v>
      </c>
    </row>
    <row r="163" spans="1:7" ht="15.75" thickBot="1">
      <c r="A163" s="3" t="s">
        <v>29</v>
      </c>
      <c r="B163" s="227">
        <v>0.24824324324324323</v>
      </c>
      <c r="C163" s="30">
        <f t="shared" si="2"/>
        <v>0.23114754098360657</v>
      </c>
      <c r="D163" s="14">
        <v>0.2974056680368688</v>
      </c>
      <c r="E163" s="14">
        <v>2.974056680368688E-2</v>
      </c>
      <c r="F163" s="38">
        <v>3.5733798923646913E-2</v>
      </c>
      <c r="G163" s="38">
        <v>0</v>
      </c>
    </row>
    <row r="164" spans="1:7" ht="15.75" thickBot="1">
      <c r="A164" s="3" t="s">
        <v>30</v>
      </c>
      <c r="B164" s="227">
        <v>0.25372907153729068</v>
      </c>
      <c r="C164" s="30">
        <f t="shared" si="2"/>
        <v>0.24824324324324323</v>
      </c>
      <c r="D164" s="14">
        <v>0.31259632727890302</v>
      </c>
      <c r="E164" s="14">
        <v>3.1259632727890299E-2</v>
      </c>
      <c r="F164" s="38">
        <v>3.7123286309067721E-2</v>
      </c>
      <c r="G164" s="38">
        <v>0</v>
      </c>
    </row>
    <row r="165" spans="1:7" ht="15.75" thickBot="1">
      <c r="A165" s="3" t="s">
        <v>31</v>
      </c>
      <c r="B165" s="227">
        <v>0.28398692810457521</v>
      </c>
      <c r="C165" s="30">
        <f t="shared" si="2"/>
        <v>0.25372907153729068</v>
      </c>
      <c r="D165" s="14">
        <v>0.38583688758159557</v>
      </c>
      <c r="E165" s="14">
        <v>3.8583688758159561E-2</v>
      </c>
      <c r="F165" s="38">
        <v>6.2935538070086033E-2</v>
      </c>
      <c r="G165" s="38">
        <v>0</v>
      </c>
    </row>
    <row r="166" spans="1:7" ht="15.75" thickBot="1">
      <c r="A166" s="3" t="s">
        <v>32</v>
      </c>
      <c r="B166" s="227">
        <v>0.29873448527622293</v>
      </c>
      <c r="C166" s="30">
        <f t="shared" si="2"/>
        <v>0.28398692810457521</v>
      </c>
      <c r="D166" s="14">
        <v>0.41615613781724425</v>
      </c>
      <c r="E166" s="14">
        <v>4.9693682690346561E-2</v>
      </c>
      <c r="F166" s="38">
        <v>7.9575322453351291E-2</v>
      </c>
      <c r="G166" s="38">
        <v>0</v>
      </c>
    </row>
    <row r="167" spans="1:7" ht="15.75" thickBot="1">
      <c r="A167" s="3" t="s">
        <v>33</v>
      </c>
      <c r="B167" s="227">
        <v>0.31047619047619046</v>
      </c>
      <c r="C167" s="30">
        <f t="shared" si="2"/>
        <v>0.29873448527622293</v>
      </c>
      <c r="D167" s="14">
        <v>0.43823616431475476</v>
      </c>
      <c r="E167" s="14">
        <v>6.2941698588852846E-2</v>
      </c>
      <c r="F167" s="38">
        <v>9.1693263274439565E-2</v>
      </c>
      <c r="G167" s="38">
        <v>0</v>
      </c>
    </row>
    <row r="168" spans="1:7" ht="15.75" thickBot="1">
      <c r="A168" s="3" t="s">
        <v>34</v>
      </c>
      <c r="B168" s="227">
        <v>0.31891386720343823</v>
      </c>
      <c r="C168" s="30">
        <f t="shared" si="2"/>
        <v>0.31047619047619046</v>
      </c>
      <c r="D168" s="14">
        <v>0.45309905404775952</v>
      </c>
      <c r="E168" s="14">
        <v>7.1859432428655709E-2</v>
      </c>
      <c r="F168" s="38">
        <v>9.9850301411835804E-2</v>
      </c>
      <c r="G168" s="38">
        <v>0</v>
      </c>
    </row>
    <row r="169" spans="1:7" ht="15.75" thickBot="1">
      <c r="A169" s="3" t="s">
        <v>35</v>
      </c>
      <c r="B169" s="227">
        <v>0.32937745098039217</v>
      </c>
      <c r="C169" s="30">
        <f t="shared" si="2"/>
        <v>0.31891386720343823</v>
      </c>
      <c r="D169" s="14">
        <v>0.47047287198409204</v>
      </c>
      <c r="E169" s="14">
        <v>8.2283723190455224E-2</v>
      </c>
      <c r="F169" s="38">
        <v>0.1093853849685778</v>
      </c>
      <c r="G169" s="38">
        <v>0</v>
      </c>
    </row>
    <row r="170" spans="1:7" ht="15.75" thickBot="1">
      <c r="A170" s="3" t="s">
        <v>36</v>
      </c>
      <c r="B170" s="227">
        <v>0.33898214756258238</v>
      </c>
      <c r="C170" s="30">
        <f t="shared" si="2"/>
        <v>0.32937745098039217</v>
      </c>
      <c r="D170" s="14">
        <v>0.48547645678406276</v>
      </c>
      <c r="E170" s="14">
        <v>9.1285874070437659E-2</v>
      </c>
      <c r="F170" s="38">
        <v>0.11761963924951013</v>
      </c>
      <c r="G170" s="38">
        <v>0</v>
      </c>
    </row>
    <row r="171" spans="1:7" ht="15.75" thickBot="1">
      <c r="A171" s="3" t="s">
        <v>37</v>
      </c>
      <c r="B171" s="227">
        <v>0.37060308972073674</v>
      </c>
      <c r="C171" s="30">
        <f t="shared" si="2"/>
        <v>0.33898214756258238</v>
      </c>
      <c r="D171" s="14">
        <v>0.52937711398392484</v>
      </c>
      <c r="E171" s="14">
        <v>0.11762626839035491</v>
      </c>
      <c r="F171" s="38">
        <v>0.1417131595183736</v>
      </c>
      <c r="G171" s="38">
        <v>0</v>
      </c>
    </row>
    <row r="172" spans="1:7" ht="15.75" thickBot="1">
      <c r="A172" s="3" t="s">
        <v>38</v>
      </c>
      <c r="B172" s="227">
        <v>0.38105666138023381</v>
      </c>
      <c r="C172" s="30">
        <f t="shared" si="2"/>
        <v>0.37060308972073674</v>
      </c>
      <c r="D172" s="14">
        <v>0.54228776628888298</v>
      </c>
      <c r="E172" s="14">
        <v>0.12537265977332976</v>
      </c>
      <c r="F172" s="38">
        <v>0.14879877241882775</v>
      </c>
      <c r="G172" s="38">
        <v>0</v>
      </c>
    </row>
    <row r="173" spans="1:7" ht="15.75" thickBot="1">
      <c r="A173" s="3" t="s">
        <v>39</v>
      </c>
      <c r="B173" s="227">
        <v>0.39908708410741428</v>
      </c>
      <c r="C173" s="30">
        <f t="shared" si="2"/>
        <v>0.38105666138023381</v>
      </c>
      <c r="D173" s="14">
        <v>0.56296682454422919</v>
      </c>
      <c r="E173" s="14">
        <v>0.13778009472653749</v>
      </c>
      <c r="F173" s="38">
        <v>0.1601478350751781</v>
      </c>
      <c r="G173" s="38">
        <v>0</v>
      </c>
    </row>
    <row r="174" spans="1:7" ht="15.75" thickBot="1">
      <c r="A174" s="3" t="s">
        <v>40</v>
      </c>
      <c r="B174" s="227">
        <v>0.42613095238095239</v>
      </c>
      <c r="C174" s="30">
        <f t="shared" si="2"/>
        <v>0.39908708410741428</v>
      </c>
      <c r="D174" s="14">
        <v>0.59070258877856685</v>
      </c>
      <c r="E174" s="14">
        <v>0.15442155326714019</v>
      </c>
      <c r="F174" s="38">
        <v>0.17536975293190066</v>
      </c>
      <c r="G174" s="38">
        <v>0</v>
      </c>
    </row>
    <row r="175" spans="1:7" ht="15.75" thickBot="1">
      <c r="A175" s="3" t="s">
        <v>41</v>
      </c>
      <c r="B175" s="227">
        <v>0.46319015534344005</v>
      </c>
      <c r="C175" s="30">
        <f t="shared" si="2"/>
        <v>0.42613095238095239</v>
      </c>
      <c r="D175" s="14">
        <v>0.62344990790763843</v>
      </c>
      <c r="E175" s="14">
        <v>0.17406994474458312</v>
      </c>
      <c r="F175" s="38">
        <v>0.19334210796055631</v>
      </c>
      <c r="G175" s="38">
        <v>0</v>
      </c>
    </row>
    <row r="176" spans="1:7" ht="15.75" thickBot="1">
      <c r="A176" s="3" t="s">
        <v>42</v>
      </c>
      <c r="B176" s="227">
        <v>0.50268229510796314</v>
      </c>
      <c r="C176" s="30">
        <f t="shared" si="2"/>
        <v>0.46319015534344005</v>
      </c>
      <c r="D176" s="14">
        <v>0.65303274583524396</v>
      </c>
      <c r="E176" s="14">
        <v>0.19181964750114636</v>
      </c>
      <c r="F176" s="38">
        <v>0.20957773518532374</v>
      </c>
      <c r="G176" s="38">
        <v>0</v>
      </c>
    </row>
    <row r="177" spans="1:7" ht="15.75" thickBot="1">
      <c r="A177" s="3" t="s">
        <v>43</v>
      </c>
      <c r="B177" s="227">
        <v>0.5323765432098766</v>
      </c>
      <c r="C177" s="30">
        <f t="shared" si="2"/>
        <v>0.50268229510796314</v>
      </c>
      <c r="D177" s="14">
        <v>0.67238546123905962</v>
      </c>
      <c r="E177" s="14">
        <v>0.20343127674343578</v>
      </c>
      <c r="F177" s="38">
        <v>0.22019887551852232</v>
      </c>
      <c r="G177" s="38">
        <v>0</v>
      </c>
    </row>
    <row r="178" spans="1:7" ht="15.75" thickBot="1">
      <c r="A178" s="3" t="s">
        <v>44</v>
      </c>
      <c r="B178" s="227">
        <v>0.56031976744186052</v>
      </c>
      <c r="C178" s="30">
        <f t="shared" si="2"/>
        <v>0.5323765432098766</v>
      </c>
      <c r="D178" s="14">
        <v>0.68872364355957694</v>
      </c>
      <c r="E178" s="14">
        <v>0.21323418613574613</v>
      </c>
      <c r="F178" s="38">
        <v>0.2291655824428325</v>
      </c>
      <c r="G178" s="38">
        <v>0</v>
      </c>
    </row>
    <row r="179" spans="1:7" ht="15.75" thickBot="1">
      <c r="A179" s="3" t="s">
        <v>45</v>
      </c>
      <c r="B179" s="227">
        <v>0.62212545537340613</v>
      </c>
      <c r="C179" s="30">
        <f t="shared" si="2"/>
        <v>0.56031976744186052</v>
      </c>
      <c r="D179" s="14">
        <v>0.71964771069178923</v>
      </c>
      <c r="E179" s="14">
        <v>0.2317886264150735</v>
      </c>
      <c r="F179" s="38">
        <v>0.24613730190602068</v>
      </c>
      <c r="G179" s="38">
        <v>0</v>
      </c>
    </row>
    <row r="180" spans="1:7" ht="15.75" thickBot="1">
      <c r="A180" s="3" t="s">
        <v>46</v>
      </c>
      <c r="B180" s="227">
        <v>0.66826156299840511</v>
      </c>
      <c r="C180" s="30">
        <f t="shared" si="2"/>
        <v>0.62212545537340613</v>
      </c>
      <c r="D180" s="14">
        <v>0.73900295137689398</v>
      </c>
      <c r="E180" s="14">
        <v>0.2434017708261364</v>
      </c>
      <c r="F180" s="38">
        <v>0.25675982816188658</v>
      </c>
      <c r="G180" s="38">
        <v>0</v>
      </c>
    </row>
    <row r="181" spans="1:7" ht="15.75" thickBot="1">
      <c r="A181" s="3" t="s">
        <v>47</v>
      </c>
      <c r="B181" s="227">
        <v>0.68752292736610421</v>
      </c>
      <c r="C181" s="30">
        <f t="shared" si="2"/>
        <v>0.66826156299840511</v>
      </c>
      <c r="D181" s="14">
        <v>0.74631493917006153</v>
      </c>
      <c r="E181" s="14">
        <v>0.24778896350203686</v>
      </c>
      <c r="F181" s="38">
        <v>0.26077278690412875</v>
      </c>
      <c r="G181" s="38">
        <v>0</v>
      </c>
    </row>
    <row r="182" spans="1:7" ht="15.75" thickBot="1">
      <c r="A182" s="3" t="s">
        <v>48</v>
      </c>
      <c r="B182" s="227">
        <v>0.70535015848334437</v>
      </c>
      <c r="C182" s="30">
        <f t="shared" si="2"/>
        <v>0.68752292736610421</v>
      </c>
      <c r="D182" s="14">
        <v>0.75272665136153649</v>
      </c>
      <c r="E182" s="14">
        <v>0.25163599081692184</v>
      </c>
      <c r="F182" s="38">
        <v>0.26429165717844227</v>
      </c>
      <c r="G182" s="38">
        <v>0</v>
      </c>
    </row>
    <row r="183" spans="1:7" ht="15.75" thickBot="1">
      <c r="A183" s="3" t="s">
        <v>49</v>
      </c>
      <c r="B183" s="227">
        <v>0.78880434782608688</v>
      </c>
      <c r="C183" s="30">
        <f t="shared" si="2"/>
        <v>0.70535015848334437</v>
      </c>
      <c r="D183" s="14">
        <v>0.77888776078437405</v>
      </c>
      <c r="E183" s="14">
        <v>0.26733265647062437</v>
      </c>
      <c r="F183" s="38">
        <v>0.27864937435942955</v>
      </c>
      <c r="G183" s="38">
        <v>0</v>
      </c>
    </row>
    <row r="184" spans="1:7" ht="15.75" thickBot="1">
      <c r="A184" s="3" t="s">
        <v>50</v>
      </c>
      <c r="B184" s="227">
        <v>0.92375824175824173</v>
      </c>
      <c r="C184" s="30">
        <f t="shared" si="2"/>
        <v>0.78880434782608688</v>
      </c>
      <c r="D184" s="14">
        <v>0.81119053907559746</v>
      </c>
      <c r="E184" s="14">
        <v>0.28671432344535847</v>
      </c>
      <c r="F184" s="38">
        <v>0.29637775687445572</v>
      </c>
      <c r="G184" s="38">
        <v>0</v>
      </c>
    </row>
    <row r="185" spans="1:7" ht="15.75" thickBot="1">
      <c r="A185" s="3" t="s">
        <v>51</v>
      </c>
      <c r="B185" s="227">
        <v>1.0931329113924053</v>
      </c>
      <c r="C185" s="30">
        <f t="shared" si="2"/>
        <v>0.92375824175824173</v>
      </c>
      <c r="D185" s="14">
        <v>0.84044548120988971</v>
      </c>
      <c r="E185" s="14">
        <v>0.30426728872593378</v>
      </c>
      <c r="F185" s="38">
        <v>0.31243342861686446</v>
      </c>
      <c r="G185" s="38">
        <v>0</v>
      </c>
    </row>
    <row r="186" spans="1:7" ht="15.75" thickBot="1">
      <c r="A186" s="3" t="s">
        <v>52</v>
      </c>
      <c r="B186" s="227">
        <v>1.2836528813995369</v>
      </c>
      <c r="C186" s="30">
        <f t="shared" si="2"/>
        <v>1.0931329113924053</v>
      </c>
      <c r="D186" s="14">
        <v>0.86412658891032301</v>
      </c>
      <c r="E186" s="14">
        <v>0.31847595334619383</v>
      </c>
      <c r="F186" s="38">
        <v>0.32543007342270408</v>
      </c>
      <c r="G186" s="38">
        <v>0</v>
      </c>
    </row>
    <row r="187" spans="1:7" ht="15.75" thickBot="1">
      <c r="A187" s="3" t="s">
        <v>53</v>
      </c>
      <c r="B187" s="228">
        <v>1.7865706603465186</v>
      </c>
      <c r="C187" s="30">
        <f>B186</f>
        <v>1.2836528813995369</v>
      </c>
      <c r="D187" s="14">
        <v>0.90237481252657603</v>
      </c>
      <c r="E187" s="14">
        <v>0.34142488751594569</v>
      </c>
      <c r="F187" s="38">
        <v>0.34642143003841119</v>
      </c>
      <c r="G187" s="38">
        <v>0</v>
      </c>
    </row>
    <row r="188" spans="1:7" ht="15.75" thickBot="1">
      <c r="A188" s="3" t="s">
        <v>53</v>
      </c>
      <c r="B188" s="229" t="s">
        <v>155</v>
      </c>
      <c r="C188" s="30">
        <f t="shared" si="2"/>
        <v>1.7865706603465186</v>
      </c>
      <c r="D188" s="22"/>
      <c r="E188" s="1"/>
      <c r="F188" s="37"/>
      <c r="G188" s="39"/>
    </row>
    <row r="189" spans="1:7" ht="15.75" thickBot="1">
      <c r="A189" s="3"/>
      <c r="B189" s="3">
        <v>5.4</v>
      </c>
      <c r="C189" s="4"/>
      <c r="D189" s="22"/>
      <c r="E189" s="15">
        <v>8.7571172551586418E-2</v>
      </c>
      <c r="F189" s="26">
        <v>9.7367184376117105E-2</v>
      </c>
      <c r="G189" s="26">
        <v>0</v>
      </c>
    </row>
    <row r="190" spans="1:7" ht="60.75" thickBot="1">
      <c r="A190" s="5" t="s">
        <v>55</v>
      </c>
      <c r="B190" s="3">
        <v>2.4</v>
      </c>
      <c r="C190" s="4"/>
      <c r="D190" s="22"/>
      <c r="E190" s="12">
        <v>0.29069049275141262</v>
      </c>
      <c r="F190" s="45">
        <v>0.26589416976860503</v>
      </c>
      <c r="G190" s="46">
        <v>2.4</v>
      </c>
    </row>
    <row r="191" spans="1:7" ht="60.75" thickBot="1">
      <c r="A191" s="5" t="s">
        <v>56</v>
      </c>
      <c r="B191" s="4">
        <v>0.36499999999999999</v>
      </c>
      <c r="C191" s="4"/>
      <c r="D191" s="1"/>
      <c r="E191" s="1"/>
      <c r="F191" s="37"/>
      <c r="G191" s="37"/>
    </row>
    <row r="192" spans="1:7" ht="97.5" thickBot="1">
      <c r="A192" s="6" t="s">
        <v>57</v>
      </c>
      <c r="B192" s="4">
        <v>1.44</v>
      </c>
      <c r="C192" s="4"/>
      <c r="D192" s="1"/>
      <c r="E192" s="1">
        <v>0.17441429565084757</v>
      </c>
      <c r="F192" s="37">
        <v>0.159536501861163</v>
      </c>
      <c r="G192" s="37">
        <v>1.44</v>
      </c>
    </row>
    <row r="195" spans="1:7">
      <c r="A195" s="16" t="s">
        <v>64</v>
      </c>
      <c r="B195" s="17">
        <f>AVERAGE(B143:B182)</f>
        <v>0.29069049275141262</v>
      </c>
      <c r="C195" s="17"/>
    </row>
    <row r="196" spans="1:7">
      <c r="A196" s="16" t="s">
        <v>65</v>
      </c>
      <c r="B196" s="18">
        <f>AVERAGE(B148:B177)</f>
        <v>0.26589416976860503</v>
      </c>
      <c r="C196" s="18"/>
    </row>
    <row r="197" spans="1:7">
      <c r="A197" s="16" t="s">
        <v>66</v>
      </c>
      <c r="B197" s="18">
        <f>AVERAGE(B154:B172)</f>
        <v>0.25900698333776812</v>
      </c>
      <c r="C197" s="18"/>
    </row>
    <row r="200" spans="1:7" ht="15" customHeight="1">
      <c r="A200" s="473" t="s">
        <v>0</v>
      </c>
      <c r="B200" s="473" t="s">
        <v>3</v>
      </c>
      <c r="C200" s="473"/>
      <c r="D200" s="473"/>
      <c r="E200" s="40">
        <f>(1-E255)^(1/3)-1</f>
        <v>-2.9765411898525995E-2</v>
      </c>
      <c r="F200" s="40">
        <f>(1-F255)^(1/3)-1</f>
        <v>-3.3976271140690129E-2</v>
      </c>
      <c r="G200" s="40"/>
    </row>
    <row r="201" spans="1:7" ht="72">
      <c r="A201" s="473"/>
      <c r="B201" s="11" t="s">
        <v>4</v>
      </c>
      <c r="C201" s="11"/>
      <c r="D201" s="11" t="s">
        <v>80</v>
      </c>
      <c r="E201" s="11" t="s">
        <v>5</v>
      </c>
      <c r="F201" s="39" t="s">
        <v>5</v>
      </c>
      <c r="G201" s="39"/>
    </row>
    <row r="202" spans="1:7" ht="24">
      <c r="A202" s="473"/>
      <c r="B202" s="11" t="s">
        <v>9</v>
      </c>
      <c r="C202" s="11"/>
      <c r="D202" s="11" t="s">
        <v>7</v>
      </c>
      <c r="E202" s="55" t="s">
        <v>65</v>
      </c>
      <c r="F202" s="39"/>
      <c r="G202" s="56"/>
    </row>
    <row r="203" spans="1:7">
      <c r="A203" s="50">
        <v>1</v>
      </c>
      <c r="B203" s="51">
        <v>2</v>
      </c>
      <c r="C203" s="51"/>
      <c r="D203" s="51">
        <v>3</v>
      </c>
      <c r="E203" s="51">
        <v>4</v>
      </c>
      <c r="F203" s="52">
        <v>5</v>
      </c>
      <c r="G203" s="52"/>
    </row>
    <row r="204" spans="1:7">
      <c r="A204" s="27" t="s">
        <v>10</v>
      </c>
      <c r="B204" s="195">
        <v>0.11356773115120901</v>
      </c>
      <c r="C204" s="163">
        <v>0</v>
      </c>
      <c r="D204" s="14">
        <v>0</v>
      </c>
      <c r="E204" s="14">
        <v>0</v>
      </c>
      <c r="F204" s="38">
        <v>0</v>
      </c>
      <c r="G204" s="38">
        <v>0</v>
      </c>
    </row>
    <row r="205" spans="1:7">
      <c r="A205" s="27" t="s">
        <v>58</v>
      </c>
      <c r="B205" s="195">
        <v>0.13895261926959243</v>
      </c>
      <c r="C205" s="30">
        <f>B204</f>
        <v>0.11356773115120901</v>
      </c>
      <c r="D205" s="14">
        <v>0</v>
      </c>
      <c r="E205" s="14">
        <v>0</v>
      </c>
      <c r="F205" s="38">
        <v>0</v>
      </c>
      <c r="G205" s="38">
        <v>0</v>
      </c>
    </row>
    <row r="206" spans="1:7">
      <c r="A206" s="27" t="s">
        <v>59</v>
      </c>
      <c r="B206" s="195">
        <v>0.17349336934465215</v>
      </c>
      <c r="C206" s="30">
        <f t="shared" ref="C206:C254" si="3">B205</f>
        <v>0.13895261926959243</v>
      </c>
      <c r="D206" s="14">
        <v>0</v>
      </c>
      <c r="E206" s="14">
        <v>0</v>
      </c>
      <c r="F206" s="38">
        <v>0</v>
      </c>
      <c r="G206" s="38">
        <v>0</v>
      </c>
    </row>
    <row r="207" spans="1:7">
      <c r="A207" s="27" t="s">
        <v>60</v>
      </c>
      <c r="B207" s="195">
        <v>0.1940010171494474</v>
      </c>
      <c r="C207" s="30">
        <f t="shared" si="3"/>
        <v>0.17349336934465215</v>
      </c>
      <c r="D207" s="14">
        <v>0</v>
      </c>
      <c r="E207" s="14">
        <v>0</v>
      </c>
      <c r="F207" s="38">
        <v>0</v>
      </c>
      <c r="G207" s="38">
        <v>0</v>
      </c>
    </row>
    <row r="208" spans="1:7">
      <c r="A208" s="27" t="s">
        <v>61</v>
      </c>
      <c r="B208" s="195">
        <v>0.21662740098890854</v>
      </c>
      <c r="C208" s="30">
        <f t="shared" si="3"/>
        <v>0.1940010171494474</v>
      </c>
      <c r="D208" s="14">
        <v>0</v>
      </c>
      <c r="E208" s="14">
        <v>0</v>
      </c>
      <c r="F208" s="38">
        <v>0</v>
      </c>
      <c r="G208" s="38">
        <v>0</v>
      </c>
    </row>
    <row r="209" spans="1:7">
      <c r="A209" s="27" t="s">
        <v>62</v>
      </c>
      <c r="B209" s="195">
        <v>0.23472846949857043</v>
      </c>
      <c r="C209" s="30">
        <f t="shared" si="3"/>
        <v>0.21662740098890854</v>
      </c>
      <c r="D209" s="14">
        <v>0</v>
      </c>
      <c r="E209" s="14">
        <v>0</v>
      </c>
      <c r="F209" s="38">
        <v>0</v>
      </c>
      <c r="G209" s="38">
        <v>0</v>
      </c>
    </row>
    <row r="210" spans="1:7">
      <c r="A210" s="27" t="s">
        <v>63</v>
      </c>
      <c r="B210" s="195">
        <v>0.25093215168137384</v>
      </c>
      <c r="C210" s="30">
        <f t="shared" si="3"/>
        <v>0.23472846949857043</v>
      </c>
      <c r="D210" s="14">
        <v>0</v>
      </c>
      <c r="E210" s="14">
        <v>0</v>
      </c>
      <c r="F210" s="38">
        <v>0</v>
      </c>
      <c r="G210" s="38">
        <v>0</v>
      </c>
    </row>
    <row r="211" spans="1:7">
      <c r="A211" s="29" t="s">
        <v>11</v>
      </c>
      <c r="B211" s="195">
        <v>0.2700686356250081</v>
      </c>
      <c r="C211" s="30">
        <f t="shared" si="3"/>
        <v>0.25093215168137384</v>
      </c>
      <c r="D211" s="14">
        <v>0</v>
      </c>
      <c r="E211" s="14">
        <v>0</v>
      </c>
      <c r="F211" s="38">
        <v>0</v>
      </c>
      <c r="G211" s="38">
        <v>0</v>
      </c>
    </row>
    <row r="212" spans="1:7">
      <c r="A212" s="29" t="s">
        <v>12</v>
      </c>
      <c r="B212" s="195">
        <v>0.28297426385426144</v>
      </c>
      <c r="C212" s="30">
        <f t="shared" si="3"/>
        <v>0.2700686356250081</v>
      </c>
      <c r="D212" s="14">
        <v>0</v>
      </c>
      <c r="E212" s="14">
        <v>0</v>
      </c>
      <c r="F212" s="38">
        <v>0</v>
      </c>
      <c r="G212" s="38">
        <v>0</v>
      </c>
    </row>
    <row r="213" spans="1:7">
      <c r="A213" s="29" t="s">
        <v>13</v>
      </c>
      <c r="B213" s="195">
        <v>0.30466767508165993</v>
      </c>
      <c r="C213" s="30">
        <f t="shared" si="3"/>
        <v>0.28297426385426144</v>
      </c>
      <c r="D213" s="14">
        <v>0</v>
      </c>
      <c r="E213" s="14">
        <v>0</v>
      </c>
      <c r="F213" s="38">
        <v>0</v>
      </c>
      <c r="G213" s="38">
        <v>0</v>
      </c>
    </row>
    <row r="214" spans="1:7">
      <c r="A214" s="29" t="s">
        <v>14</v>
      </c>
      <c r="B214" s="195">
        <v>0.32752894857922549</v>
      </c>
      <c r="C214" s="30">
        <f t="shared" si="3"/>
        <v>0.30466767508165993</v>
      </c>
      <c r="D214" s="14">
        <v>0</v>
      </c>
      <c r="E214" s="14">
        <v>0</v>
      </c>
      <c r="F214" s="38">
        <v>0</v>
      </c>
      <c r="G214" s="38">
        <v>0</v>
      </c>
    </row>
    <row r="215" spans="1:7">
      <c r="A215" s="29" t="s">
        <v>15</v>
      </c>
      <c r="B215" s="195">
        <v>0.34343093639151046</v>
      </c>
      <c r="C215" s="30">
        <f t="shared" si="3"/>
        <v>0.32752894857922549</v>
      </c>
      <c r="D215" s="14">
        <v>0</v>
      </c>
      <c r="E215" s="14">
        <v>0</v>
      </c>
      <c r="F215" s="38">
        <v>0</v>
      </c>
      <c r="G215" s="38">
        <v>0</v>
      </c>
    </row>
    <row r="216" spans="1:7">
      <c r="A216" s="29" t="s">
        <v>16</v>
      </c>
      <c r="B216" s="195">
        <v>0.35276312590910758</v>
      </c>
      <c r="C216" s="30">
        <f t="shared" si="3"/>
        <v>0.34343093639151046</v>
      </c>
      <c r="D216" s="14">
        <v>0</v>
      </c>
      <c r="E216" s="14">
        <v>0</v>
      </c>
      <c r="F216" s="38">
        <v>0</v>
      </c>
      <c r="G216" s="38">
        <v>0</v>
      </c>
    </row>
    <row r="217" spans="1:7">
      <c r="A217" s="29" t="s">
        <v>17</v>
      </c>
      <c r="B217" s="195">
        <v>0.36270233461631274</v>
      </c>
      <c r="C217" s="30">
        <f t="shared" si="3"/>
        <v>0.35276312590910758</v>
      </c>
      <c r="D217" s="14">
        <v>0</v>
      </c>
      <c r="E217" s="14">
        <v>0</v>
      </c>
      <c r="F217" s="38">
        <v>0</v>
      </c>
      <c r="G217" s="38">
        <v>0</v>
      </c>
    </row>
    <row r="218" spans="1:7">
      <c r="A218" s="29" t="s">
        <v>18</v>
      </c>
      <c r="B218" s="195">
        <v>0.37499953468863134</v>
      </c>
      <c r="C218" s="30">
        <f t="shared" si="3"/>
        <v>0.36270233461631274</v>
      </c>
      <c r="D218" s="14">
        <v>0</v>
      </c>
      <c r="E218" s="14">
        <v>0</v>
      </c>
      <c r="F218" s="38">
        <v>0</v>
      </c>
      <c r="G218" s="38">
        <v>0</v>
      </c>
    </row>
    <row r="219" spans="1:7">
      <c r="A219" s="29" t="s">
        <v>19</v>
      </c>
      <c r="B219" s="195">
        <v>0.38948742645984069</v>
      </c>
      <c r="C219" s="30">
        <f t="shared" si="3"/>
        <v>0.37499953468863134</v>
      </c>
      <c r="D219" s="14">
        <v>0</v>
      </c>
      <c r="E219" s="14">
        <v>0</v>
      </c>
      <c r="F219" s="38">
        <v>0</v>
      </c>
      <c r="G219" s="38">
        <v>0</v>
      </c>
    </row>
    <row r="220" spans="1:7">
      <c r="A220" s="29" t="s">
        <v>20</v>
      </c>
      <c r="B220" s="195">
        <v>0.4110523601534698</v>
      </c>
      <c r="C220" s="30">
        <f t="shared" si="3"/>
        <v>0.38948742645984069</v>
      </c>
      <c r="D220" s="14">
        <v>0</v>
      </c>
      <c r="E220" s="14">
        <v>0</v>
      </c>
      <c r="F220" s="38">
        <v>0</v>
      </c>
      <c r="G220" s="38">
        <v>0</v>
      </c>
    </row>
    <row r="221" spans="1:7">
      <c r="A221" s="29" t="s">
        <v>21</v>
      </c>
      <c r="B221" s="195">
        <v>0.42930903119516495</v>
      </c>
      <c r="C221" s="30">
        <f t="shared" si="3"/>
        <v>0.4110523601534698</v>
      </c>
      <c r="D221" s="14">
        <v>0</v>
      </c>
      <c r="E221" s="14">
        <v>0</v>
      </c>
      <c r="F221" s="38">
        <v>3.4660481845882737E-3</v>
      </c>
      <c r="G221" s="38">
        <v>0</v>
      </c>
    </row>
    <row r="222" spans="1:7">
      <c r="A222" s="29" t="s">
        <v>22</v>
      </c>
      <c r="B222" s="195">
        <v>0.45122800820922215</v>
      </c>
      <c r="C222" s="30">
        <f t="shared" si="3"/>
        <v>0.42930903119516495</v>
      </c>
      <c r="D222" s="14">
        <v>0</v>
      </c>
      <c r="E222" s="14"/>
      <c r="F222" s="38"/>
      <c r="G222" s="38"/>
    </row>
    <row r="223" spans="1:7">
      <c r="A223" s="29" t="s">
        <v>23</v>
      </c>
      <c r="B223" s="195">
        <v>0.48019544866628905</v>
      </c>
      <c r="C223" s="30">
        <f t="shared" si="3"/>
        <v>0.45122800820922215</v>
      </c>
      <c r="D223" s="14">
        <v>2.5371387785934344E-2</v>
      </c>
      <c r="E223" s="14"/>
      <c r="F223" s="38"/>
      <c r="G223" s="38"/>
    </row>
    <row r="224" spans="1:7">
      <c r="A224" s="29" t="s">
        <v>24</v>
      </c>
      <c r="B224" s="195">
        <v>0.50941648756950519</v>
      </c>
      <c r="C224" s="30">
        <f t="shared" si="3"/>
        <v>0.48019544866628905</v>
      </c>
      <c r="D224" s="14">
        <v>8.1277824441675653E-2</v>
      </c>
      <c r="E224" s="14"/>
      <c r="F224" s="38"/>
      <c r="G224" s="38"/>
    </row>
    <row r="225" spans="1:7">
      <c r="A225" s="29" t="s">
        <v>25</v>
      </c>
      <c r="B225" s="195">
        <v>0.52460803720441951</v>
      </c>
      <c r="C225" s="30">
        <f t="shared" si="3"/>
        <v>0.50941648756950519</v>
      </c>
      <c r="D225" s="14">
        <v>0.10788209380259724</v>
      </c>
      <c r="E225" s="14">
        <v>1.0788209380259725E-2</v>
      </c>
      <c r="F225" s="38">
        <v>2.1002168491051073E-2</v>
      </c>
      <c r="G225" s="38">
        <v>0</v>
      </c>
    </row>
    <row r="226" spans="1:7">
      <c r="A226" s="29" t="s">
        <v>26</v>
      </c>
      <c r="B226" s="195">
        <v>0.54160360990014078</v>
      </c>
      <c r="C226" s="30">
        <f t="shared" si="3"/>
        <v>0.52460803720441951</v>
      </c>
      <c r="D226" s="14">
        <v>0.13587683839214704</v>
      </c>
      <c r="E226" s="14">
        <v>1.3587683839214706E-2</v>
      </c>
      <c r="F226" s="38">
        <v>2.3481127943448796E-2</v>
      </c>
      <c r="G226" s="38">
        <v>0</v>
      </c>
    </row>
    <row r="227" spans="1:7">
      <c r="A227" s="29" t="s">
        <v>27</v>
      </c>
      <c r="B227" s="195">
        <v>0.57054897346917333</v>
      </c>
      <c r="C227" s="30">
        <f t="shared" si="3"/>
        <v>0.54160360990014078</v>
      </c>
      <c r="D227" s="14">
        <v>0.17971594816930728</v>
      </c>
      <c r="E227" s="14">
        <v>1.7971594816930728E-2</v>
      </c>
      <c r="F227" s="38">
        <v>2.7363119980174155E-2</v>
      </c>
      <c r="G227" s="38">
        <v>0</v>
      </c>
    </row>
    <row r="228" spans="1:7">
      <c r="A228" s="29" t="s">
        <v>28</v>
      </c>
      <c r="B228" s="195">
        <v>0.5945414663629417</v>
      </c>
      <c r="C228" s="30">
        <f t="shared" si="3"/>
        <v>0.57054897346917333</v>
      </c>
      <c r="D228" s="14">
        <v>0.21281819653696821</v>
      </c>
      <c r="E228" s="14">
        <v>2.1281819653696823E-2</v>
      </c>
      <c r="F228" s="38">
        <v>3.0294353420227117E-2</v>
      </c>
      <c r="G228" s="38">
        <v>0</v>
      </c>
    </row>
    <row r="229" spans="1:7">
      <c r="A229" s="29" t="s">
        <v>29</v>
      </c>
      <c r="B229" s="195">
        <v>0.61303283273456444</v>
      </c>
      <c r="C229" s="30">
        <f t="shared" si="3"/>
        <v>0.5945414663629417</v>
      </c>
      <c r="D229" s="14">
        <v>0.23656254814694508</v>
      </c>
      <c r="E229" s="14">
        <v>2.3656254814694511E-2</v>
      </c>
      <c r="F229" s="38">
        <v>3.2396936806059463E-2</v>
      </c>
      <c r="G229" s="38">
        <v>0</v>
      </c>
    </row>
    <row r="230" spans="1:7">
      <c r="A230" s="29" t="s">
        <v>30</v>
      </c>
      <c r="B230" s="195">
        <v>0.64112254656484713</v>
      </c>
      <c r="C230" s="30">
        <f t="shared" si="3"/>
        <v>0.61303283273456444</v>
      </c>
      <c r="D230" s="14">
        <v>0.27001128531080565</v>
      </c>
      <c r="E230" s="14">
        <v>2.7001128531080571E-2</v>
      </c>
      <c r="F230" s="38">
        <v>3.5358852136198667E-2</v>
      </c>
      <c r="G230" s="38">
        <v>0</v>
      </c>
    </row>
    <row r="231" spans="1:7">
      <c r="A231" s="29" t="s">
        <v>31</v>
      </c>
      <c r="B231" s="195">
        <v>0.67823962804496762</v>
      </c>
      <c r="C231" s="30">
        <f t="shared" si="3"/>
        <v>0.64112254656484713</v>
      </c>
      <c r="D231" s="14">
        <v>0.30996036743800165</v>
      </c>
      <c r="E231" s="14">
        <v>3.0996036743800165E-2</v>
      </c>
      <c r="F231" s="38">
        <v>3.8896378775780623E-2</v>
      </c>
      <c r="G231" s="38">
        <v>0</v>
      </c>
    </row>
    <row r="232" spans="1:7">
      <c r="A232" s="29" t="s">
        <v>32</v>
      </c>
      <c r="B232" s="195">
        <v>0.71357903963482949</v>
      </c>
      <c r="C232" s="30">
        <f t="shared" si="3"/>
        <v>0.67823962804496762</v>
      </c>
      <c r="D232" s="14">
        <v>0.34413400936686872</v>
      </c>
      <c r="E232" s="14">
        <v>3.4413400936686871E-2</v>
      </c>
      <c r="F232" s="38">
        <v>5.1534910393191989E-2</v>
      </c>
      <c r="G232" s="38">
        <v>0</v>
      </c>
    </row>
    <row r="233" spans="1:7">
      <c r="A233" s="29" t="s">
        <v>33</v>
      </c>
      <c r="B233" s="195">
        <v>0.75357302224783729</v>
      </c>
      <c r="C233" s="30">
        <f t="shared" si="3"/>
        <v>0.71357903963482949</v>
      </c>
      <c r="D233" s="14">
        <v>0.37894243834645308</v>
      </c>
      <c r="E233" s="14">
        <v>3.7894243834645312E-2</v>
      </c>
      <c r="F233" s="38">
        <v>7.0028813868403442E-2</v>
      </c>
      <c r="G233" s="38">
        <v>0</v>
      </c>
    </row>
    <row r="234" spans="1:7">
      <c r="A234" s="29" t="s">
        <v>34</v>
      </c>
      <c r="B234" s="195">
        <v>0.79128688865741903</v>
      </c>
      <c r="C234" s="30">
        <f t="shared" si="3"/>
        <v>0.75357302224783729</v>
      </c>
      <c r="D234" s="14">
        <v>0.40854293122534241</v>
      </c>
      <c r="E234" s="14">
        <v>4.5125758735205447E-2</v>
      </c>
      <c r="F234" s="38">
        <v>8.575571319045959E-2</v>
      </c>
      <c r="G234" s="38">
        <v>0</v>
      </c>
    </row>
    <row r="235" spans="1:7">
      <c r="A235" s="29" t="s">
        <v>35</v>
      </c>
      <c r="B235" s="195">
        <v>0.83681405751109739</v>
      </c>
      <c r="C235" s="30">
        <f t="shared" si="3"/>
        <v>0.79128688865741903</v>
      </c>
      <c r="D235" s="14">
        <v>0.44072136512963711</v>
      </c>
      <c r="E235" s="14">
        <v>6.4432819077782241E-2</v>
      </c>
      <c r="F235" s="38">
        <v>0.10285228629229462</v>
      </c>
      <c r="G235" s="38">
        <v>0</v>
      </c>
    </row>
    <row r="236" spans="1:7">
      <c r="A236" s="29" t="s">
        <v>36</v>
      </c>
      <c r="B236" s="195">
        <v>0.87623852298468674</v>
      </c>
      <c r="C236" s="30">
        <f t="shared" si="3"/>
        <v>0.83681405751109739</v>
      </c>
      <c r="D236" s="14">
        <v>0.46588490297028978</v>
      </c>
      <c r="E236" s="14">
        <v>7.9530941782173875E-2</v>
      </c>
      <c r="F236" s="38">
        <v>0.11622180780080078</v>
      </c>
      <c r="G236" s="38">
        <v>0</v>
      </c>
    </row>
    <row r="237" spans="1:7">
      <c r="A237" s="29" t="s">
        <v>37</v>
      </c>
      <c r="B237" s="195">
        <v>0.91758066477344813</v>
      </c>
      <c r="C237" s="30">
        <f t="shared" si="3"/>
        <v>0.87623852298468674</v>
      </c>
      <c r="D237" s="14">
        <v>0.48994977586990812</v>
      </c>
      <c r="E237" s="14">
        <v>9.3969865521944876E-2</v>
      </c>
      <c r="F237" s="38">
        <v>0.12900760278194756</v>
      </c>
      <c r="G237" s="38">
        <v>0</v>
      </c>
    </row>
    <row r="238" spans="1:7">
      <c r="A238" s="29" t="s">
        <v>38</v>
      </c>
      <c r="B238" s="195">
        <v>0.97813268264481512</v>
      </c>
      <c r="C238" s="30">
        <f t="shared" si="3"/>
        <v>0.91758066477344813</v>
      </c>
      <c r="D238" s="14">
        <v>0.52152480739151108</v>
      </c>
      <c r="E238" s="14">
        <v>0.11291488443490663</v>
      </c>
      <c r="F238" s="38">
        <v>0.14578358498814756</v>
      </c>
      <c r="G238" s="38">
        <v>0</v>
      </c>
    </row>
    <row r="239" spans="1:7">
      <c r="A239" s="29" t="s">
        <v>39</v>
      </c>
      <c r="B239" s="195">
        <v>1.0874007310971963</v>
      </c>
      <c r="C239" s="30">
        <f t="shared" si="3"/>
        <v>0.97813268264481512</v>
      </c>
      <c r="D239" s="14">
        <v>0.5696046449656994</v>
      </c>
      <c r="E239" s="14">
        <v>0.1417627869794196</v>
      </c>
      <c r="F239" s="38">
        <v>0.1713286584449934</v>
      </c>
      <c r="G239" s="38">
        <v>0</v>
      </c>
    </row>
    <row r="240" spans="1:7">
      <c r="A240" s="29" t="s">
        <v>40</v>
      </c>
      <c r="B240" s="195">
        <v>1.1588091710104631</v>
      </c>
      <c r="C240" s="30">
        <f t="shared" si="3"/>
        <v>1.0874007310971963</v>
      </c>
      <c r="D240" s="14">
        <v>0.59612657939439961</v>
      </c>
      <c r="E240" s="14">
        <v>0.15767594763663975</v>
      </c>
      <c r="F240" s="38">
        <v>0.18541990328652164</v>
      </c>
      <c r="G240" s="38">
        <v>0</v>
      </c>
    </row>
    <row r="241" spans="1:7">
      <c r="A241" s="29" t="s">
        <v>41</v>
      </c>
      <c r="B241" s="195">
        <v>1.2521896115413003</v>
      </c>
      <c r="C241" s="30">
        <f t="shared" si="3"/>
        <v>1.1588091710104631</v>
      </c>
      <c r="D241" s="14">
        <v>0.62624492376273022</v>
      </c>
      <c r="E241" s="14">
        <v>0.17574695425763814</v>
      </c>
      <c r="F241" s="38">
        <v>0.20142193985955334</v>
      </c>
      <c r="G241" s="38">
        <v>0</v>
      </c>
    </row>
    <row r="242" spans="1:7">
      <c r="A242" s="29" t="s">
        <v>42</v>
      </c>
      <c r="B242" s="195">
        <v>1.3285718076850541</v>
      </c>
      <c r="C242" s="30">
        <f t="shared" si="3"/>
        <v>1.2521896115413003</v>
      </c>
      <c r="D242" s="14">
        <v>0.64773283535150783</v>
      </c>
      <c r="E242" s="14">
        <v>0.1886397012109047</v>
      </c>
      <c r="F242" s="38">
        <v>0.21283858158848076</v>
      </c>
      <c r="G242" s="38">
        <v>0</v>
      </c>
    </row>
    <row r="243" spans="1:7">
      <c r="A243" s="29" t="s">
        <v>43</v>
      </c>
      <c r="B243" s="195">
        <v>1.4314617291500913</v>
      </c>
      <c r="C243" s="30">
        <f t="shared" si="3"/>
        <v>1.3285718076850541</v>
      </c>
      <c r="D243" s="14">
        <v>0.67305292611419587</v>
      </c>
      <c r="E243" s="14">
        <v>0.20383175566851752</v>
      </c>
      <c r="F243" s="38">
        <v>0.22629128049722474</v>
      </c>
      <c r="G243" s="38">
        <v>0</v>
      </c>
    </row>
    <row r="244" spans="1:7">
      <c r="A244" s="29" t="s">
        <v>44</v>
      </c>
      <c r="B244" s="195">
        <v>1.549217473307734</v>
      </c>
      <c r="C244" s="30">
        <f t="shared" si="3"/>
        <v>1.4314617291500913</v>
      </c>
      <c r="D244" s="14">
        <v>0.69790411495560856</v>
      </c>
      <c r="E244" s="14">
        <v>0.21874246897336511</v>
      </c>
      <c r="F244" s="38">
        <v>0.23949484932093976</v>
      </c>
      <c r="G244" s="38">
        <v>0</v>
      </c>
    </row>
    <row r="245" spans="1:7">
      <c r="A245" s="29" t="s">
        <v>45</v>
      </c>
      <c r="B245" s="195">
        <v>1.634735068380591</v>
      </c>
      <c r="C245" s="30">
        <f t="shared" si="3"/>
        <v>1.549217473307734</v>
      </c>
      <c r="D245" s="14">
        <v>0.71370760144715051</v>
      </c>
      <c r="E245" s="14">
        <v>0.22822456086829032</v>
      </c>
      <c r="F245" s="38">
        <v>0.24789132575823616</v>
      </c>
      <c r="G245" s="38">
        <v>0</v>
      </c>
    </row>
    <row r="246" spans="1:7">
      <c r="A246" s="29" t="s">
        <v>46</v>
      </c>
      <c r="B246" s="195">
        <v>1.7839995155374204</v>
      </c>
      <c r="C246" s="30">
        <f t="shared" si="3"/>
        <v>1.634735068380591</v>
      </c>
      <c r="D246" s="14">
        <v>0.73766123833046582</v>
      </c>
      <c r="E246" s="14">
        <v>0.24259674299827941</v>
      </c>
      <c r="F246" s="38">
        <v>0.26061802045221732</v>
      </c>
      <c r="G246" s="38">
        <v>0</v>
      </c>
    </row>
    <row r="247" spans="1:7">
      <c r="A247" s="29" t="s">
        <v>47</v>
      </c>
      <c r="B247" s="195">
        <v>1.9567246046147946</v>
      </c>
      <c r="C247" s="30">
        <f t="shared" si="3"/>
        <v>1.7839995155374204</v>
      </c>
      <c r="D247" s="14">
        <v>0.76081855227794315</v>
      </c>
      <c r="E247" s="14">
        <v>0.25649113136676588</v>
      </c>
      <c r="F247" s="38">
        <v>0.27292162453446422</v>
      </c>
      <c r="G247" s="38">
        <v>0</v>
      </c>
    </row>
    <row r="248" spans="1:7">
      <c r="A248" s="29" t="s">
        <v>48</v>
      </c>
      <c r="B248" s="195">
        <v>2.2113183917700723</v>
      </c>
      <c r="C248" s="30">
        <f t="shared" si="3"/>
        <v>1.9567246046147946</v>
      </c>
      <c r="D248" s="14">
        <v>0.78835602079422373</v>
      </c>
      <c r="E248" s="14">
        <v>0.27301361247653416</v>
      </c>
      <c r="F248" s="38">
        <v>0.28755242803870928</v>
      </c>
      <c r="G248" s="38">
        <v>0</v>
      </c>
    </row>
    <row r="249" spans="1:7">
      <c r="A249" s="29" t="s">
        <v>49</v>
      </c>
      <c r="B249" s="195">
        <v>2.475551998156321</v>
      </c>
      <c r="C249" s="30">
        <f t="shared" si="3"/>
        <v>2.2113183917700723</v>
      </c>
      <c r="D249" s="14">
        <v>0.81094631658971805</v>
      </c>
      <c r="E249" s="14">
        <v>0.28656778995383086</v>
      </c>
      <c r="F249" s="38">
        <v>0.29955477236063732</v>
      </c>
      <c r="G249" s="38">
        <v>0</v>
      </c>
    </row>
    <row r="250" spans="1:7">
      <c r="A250" s="29" t="s">
        <v>50</v>
      </c>
      <c r="B250" s="195">
        <v>2.873275647234081</v>
      </c>
      <c r="C250" s="30">
        <f t="shared" si="3"/>
        <v>2.475551998156321</v>
      </c>
      <c r="D250" s="14">
        <v>0.83711544551054073</v>
      </c>
      <c r="E250" s="14">
        <v>0.30226926730632447</v>
      </c>
      <c r="F250" s="38">
        <v>0.31345856975913278</v>
      </c>
      <c r="G250" s="38">
        <v>0</v>
      </c>
    </row>
    <row r="251" spans="1:7">
      <c r="A251" s="29" t="s">
        <v>51</v>
      </c>
      <c r="B251" s="195">
        <v>3.7419703394087045</v>
      </c>
      <c r="C251" s="30">
        <f t="shared" si="3"/>
        <v>2.873275647234081</v>
      </c>
      <c r="D251" s="14">
        <v>0.8749289328148202</v>
      </c>
      <c r="E251" s="14">
        <v>0.32495735968889217</v>
      </c>
      <c r="F251" s="38">
        <v>0.333549076707224</v>
      </c>
      <c r="G251" s="38">
        <v>2.3035199673573863E-2</v>
      </c>
    </row>
    <row r="252" spans="1:7">
      <c r="A252" s="29" t="s">
        <v>52</v>
      </c>
      <c r="B252" s="195">
        <v>4.561103526277889</v>
      </c>
      <c r="C252" s="30">
        <f t="shared" si="3"/>
        <v>3.7419703394087045</v>
      </c>
      <c r="D252" s="14">
        <v>0.89739057203398764</v>
      </c>
      <c r="E252" s="14">
        <v>0.33843434322039262</v>
      </c>
      <c r="F252" s="38">
        <v>0.34548306510577959</v>
      </c>
      <c r="G252" s="38">
        <v>3.6857385862709459E-2</v>
      </c>
    </row>
    <row r="253" spans="1:7">
      <c r="A253" s="29" t="s">
        <v>53</v>
      </c>
      <c r="B253" s="224">
        <v>9.375687678119581</v>
      </c>
      <c r="C253" s="30">
        <f>B252</f>
        <v>4.561103526277889</v>
      </c>
      <c r="D253" s="14">
        <v>0.95008235771149296</v>
      </c>
      <c r="E253" s="14">
        <v>0.37004941462689583</v>
      </c>
      <c r="F253" s="38">
        <v>0.3734784911225027</v>
      </c>
      <c r="G253" s="38">
        <v>0.21569351931030054</v>
      </c>
    </row>
    <row r="254" spans="1:7">
      <c r="A254" s="29" t="s">
        <v>53</v>
      </c>
      <c r="B254" s="29" t="s">
        <v>156</v>
      </c>
      <c r="C254" s="30">
        <f t="shared" si="3"/>
        <v>9.375687678119581</v>
      </c>
      <c r="D254" s="58"/>
      <c r="E254" s="11"/>
      <c r="F254" s="39"/>
      <c r="G254" s="39"/>
    </row>
    <row r="255" spans="1:7">
      <c r="A255" s="29"/>
      <c r="B255" s="29">
        <v>5.4</v>
      </c>
      <c r="C255" s="29"/>
      <c r="D255" s="58"/>
      <c r="E255" s="32">
        <v>8.6664668011169482E-2</v>
      </c>
      <c r="F255" s="40">
        <v>9.8504874185927752E-2</v>
      </c>
      <c r="G255" s="40">
        <v>5.5117220969316772E-3</v>
      </c>
    </row>
    <row r="256" spans="1:7" ht="60">
      <c r="A256" s="33" t="s">
        <v>55</v>
      </c>
      <c r="B256" s="29">
        <v>4.8</v>
      </c>
      <c r="C256" s="29"/>
      <c r="D256" s="58"/>
      <c r="E256" s="34">
        <v>0.78002037287522652</v>
      </c>
      <c r="F256" s="41">
        <v>0.69071495552191908</v>
      </c>
      <c r="G256" s="42">
        <v>4.8</v>
      </c>
    </row>
    <row r="257" spans="1:7" ht="60">
      <c r="A257" s="33" t="s">
        <v>56</v>
      </c>
      <c r="B257" s="29">
        <v>1.08</v>
      </c>
      <c r="C257" s="29"/>
      <c r="D257" s="11"/>
      <c r="E257" s="11"/>
      <c r="F257" s="39"/>
      <c r="G257" s="39"/>
    </row>
    <row r="258" spans="1:7" ht="96.75">
      <c r="A258" s="35" t="s">
        <v>57</v>
      </c>
      <c r="B258" s="29">
        <v>2.88</v>
      </c>
      <c r="C258" s="29"/>
      <c r="D258" s="11"/>
      <c r="E258" s="11">
        <v>0.4680122237251359</v>
      </c>
      <c r="F258" s="39">
        <v>0.41442897331315143</v>
      </c>
      <c r="G258" s="39">
        <v>2.88</v>
      </c>
    </row>
    <row r="261" spans="1:7">
      <c r="A261" s="16" t="s">
        <v>64</v>
      </c>
      <c r="B261" s="17">
        <f>AVERAGE(B209:B248)</f>
        <v>0.78002037287522652</v>
      </c>
      <c r="C261" s="17"/>
    </row>
    <row r="262" spans="1:7">
      <c r="A262" s="16" t="s">
        <v>65</v>
      </c>
      <c r="B262" s="18">
        <f>AVERAGE(B214:B243)</f>
        <v>0.69071495552191908</v>
      </c>
      <c r="C262" s="18"/>
    </row>
    <row r="263" spans="1:7">
      <c r="A263" s="16" t="s">
        <v>66</v>
      </c>
      <c r="B263" s="18">
        <f>AVERAGE(B220:B238)</f>
        <v>0.64800543729099158</v>
      </c>
      <c r="C263" s="18"/>
    </row>
    <row r="267" spans="1:7" ht="15.75" thickBot="1">
      <c r="C267" s="65"/>
    </row>
    <row r="270" spans="1:7">
      <c r="C270">
        <v>0</v>
      </c>
    </row>
    <row r="271" spans="1:7">
      <c r="C271" s="30">
        <f>B270</f>
        <v>0</v>
      </c>
    </row>
    <row r="272" spans="1:7">
      <c r="C272" s="30">
        <f t="shared" ref="C272:C320" si="4">B271</f>
        <v>0</v>
      </c>
    </row>
    <row r="273" spans="3:3">
      <c r="C273" s="30">
        <f t="shared" si="4"/>
        <v>0</v>
      </c>
    </row>
    <row r="274" spans="3:3">
      <c r="C274" s="30">
        <f t="shared" si="4"/>
        <v>0</v>
      </c>
    </row>
    <row r="275" spans="3:3">
      <c r="C275" s="30">
        <f t="shared" si="4"/>
        <v>0</v>
      </c>
    </row>
    <row r="276" spans="3:3">
      <c r="C276" s="30">
        <f t="shared" si="4"/>
        <v>0</v>
      </c>
    </row>
    <row r="277" spans="3:3">
      <c r="C277" s="30">
        <f t="shared" si="4"/>
        <v>0</v>
      </c>
    </row>
    <row r="278" spans="3:3">
      <c r="C278" s="30">
        <f t="shared" si="4"/>
        <v>0</v>
      </c>
    </row>
    <row r="279" spans="3:3">
      <c r="C279" s="30">
        <f t="shared" si="4"/>
        <v>0</v>
      </c>
    </row>
    <row r="280" spans="3:3">
      <c r="C280" s="30">
        <f t="shared" si="4"/>
        <v>0</v>
      </c>
    </row>
    <row r="281" spans="3:3">
      <c r="C281" s="30">
        <f t="shared" si="4"/>
        <v>0</v>
      </c>
    </row>
    <row r="282" spans="3:3">
      <c r="C282" s="30">
        <f t="shared" si="4"/>
        <v>0</v>
      </c>
    </row>
    <row r="283" spans="3:3">
      <c r="C283" s="30">
        <f t="shared" si="4"/>
        <v>0</v>
      </c>
    </row>
    <row r="284" spans="3:3">
      <c r="C284" s="30">
        <f t="shared" si="4"/>
        <v>0</v>
      </c>
    </row>
    <row r="285" spans="3:3">
      <c r="C285" s="30">
        <f t="shared" si="4"/>
        <v>0</v>
      </c>
    </row>
    <row r="286" spans="3:3">
      <c r="C286" s="30">
        <f t="shared" si="4"/>
        <v>0</v>
      </c>
    </row>
    <row r="287" spans="3:3">
      <c r="C287" s="30">
        <f t="shared" si="4"/>
        <v>0</v>
      </c>
    </row>
    <row r="288" spans="3:3">
      <c r="C288" s="30">
        <f t="shared" si="4"/>
        <v>0</v>
      </c>
    </row>
    <row r="289" spans="3:3">
      <c r="C289" s="30">
        <f t="shared" si="4"/>
        <v>0</v>
      </c>
    </row>
    <row r="290" spans="3:3">
      <c r="C290" s="30">
        <f t="shared" si="4"/>
        <v>0</v>
      </c>
    </row>
    <row r="291" spans="3:3">
      <c r="C291" s="30">
        <f t="shared" si="4"/>
        <v>0</v>
      </c>
    </row>
    <row r="292" spans="3:3">
      <c r="C292" s="30">
        <f t="shared" si="4"/>
        <v>0</v>
      </c>
    </row>
    <row r="293" spans="3:3">
      <c r="C293" s="30">
        <f t="shared" si="4"/>
        <v>0</v>
      </c>
    </row>
    <row r="294" spans="3:3">
      <c r="C294" s="30">
        <f t="shared" si="4"/>
        <v>0</v>
      </c>
    </row>
    <row r="295" spans="3:3">
      <c r="C295" s="30">
        <f t="shared" si="4"/>
        <v>0</v>
      </c>
    </row>
    <row r="296" spans="3:3">
      <c r="C296" s="30">
        <f t="shared" si="4"/>
        <v>0</v>
      </c>
    </row>
    <row r="297" spans="3:3">
      <c r="C297" s="30">
        <f t="shared" si="4"/>
        <v>0</v>
      </c>
    </row>
    <row r="298" spans="3:3">
      <c r="C298" s="30">
        <f t="shared" si="4"/>
        <v>0</v>
      </c>
    </row>
    <row r="299" spans="3:3">
      <c r="C299" s="30">
        <f t="shared" si="4"/>
        <v>0</v>
      </c>
    </row>
    <row r="300" spans="3:3">
      <c r="C300" s="30">
        <f t="shared" si="4"/>
        <v>0</v>
      </c>
    </row>
    <row r="301" spans="3:3">
      <c r="C301" s="30">
        <f t="shared" si="4"/>
        <v>0</v>
      </c>
    </row>
    <row r="302" spans="3:3">
      <c r="C302" s="30">
        <f t="shared" si="4"/>
        <v>0</v>
      </c>
    </row>
    <row r="303" spans="3:3">
      <c r="C303" s="30">
        <f t="shared" si="4"/>
        <v>0</v>
      </c>
    </row>
    <row r="304" spans="3:3">
      <c r="C304" s="30">
        <f t="shared" si="4"/>
        <v>0</v>
      </c>
    </row>
    <row r="305" spans="3:3">
      <c r="C305" s="30">
        <f t="shared" si="4"/>
        <v>0</v>
      </c>
    </row>
    <row r="306" spans="3:3">
      <c r="C306" s="30">
        <f t="shared" si="4"/>
        <v>0</v>
      </c>
    </row>
    <row r="307" spans="3:3">
      <c r="C307" s="30">
        <f t="shared" si="4"/>
        <v>0</v>
      </c>
    </row>
    <row r="308" spans="3:3">
      <c r="C308" s="30">
        <f t="shared" si="4"/>
        <v>0</v>
      </c>
    </row>
    <row r="309" spans="3:3">
      <c r="C309" s="30">
        <f t="shared" si="4"/>
        <v>0</v>
      </c>
    </row>
    <row r="310" spans="3:3">
      <c r="C310" s="30">
        <f t="shared" si="4"/>
        <v>0</v>
      </c>
    </row>
    <row r="311" spans="3:3">
      <c r="C311" s="30">
        <f t="shared" si="4"/>
        <v>0</v>
      </c>
    </row>
    <row r="312" spans="3:3">
      <c r="C312" s="30">
        <f t="shared" si="4"/>
        <v>0</v>
      </c>
    </row>
    <row r="313" spans="3:3">
      <c r="C313" s="30">
        <f t="shared" si="4"/>
        <v>0</v>
      </c>
    </row>
    <row r="314" spans="3:3">
      <c r="C314" s="30">
        <f t="shared" si="4"/>
        <v>0</v>
      </c>
    </row>
    <row r="315" spans="3:3">
      <c r="C315" s="30">
        <f t="shared" si="4"/>
        <v>0</v>
      </c>
    </row>
    <row r="316" spans="3:3">
      <c r="C316" s="30">
        <f t="shared" si="4"/>
        <v>0</v>
      </c>
    </row>
    <row r="317" spans="3:3">
      <c r="C317" s="30">
        <f t="shared" si="4"/>
        <v>0</v>
      </c>
    </row>
    <row r="318" spans="3:3">
      <c r="C318" s="30">
        <f t="shared" si="4"/>
        <v>0</v>
      </c>
    </row>
    <row r="319" spans="3:3">
      <c r="C319" s="30">
        <f>B318</f>
        <v>0</v>
      </c>
    </row>
    <row r="320" spans="3:3">
      <c r="C320" s="30">
        <f t="shared" si="4"/>
        <v>0</v>
      </c>
    </row>
    <row r="336" spans="3:3" ht="15.75" thickBot="1">
      <c r="C336" s="117"/>
    </row>
    <row r="337" spans="3:3">
      <c r="C337">
        <v>0</v>
      </c>
    </row>
    <row r="338" spans="3:3">
      <c r="C338" s="30">
        <f>B337</f>
        <v>0</v>
      </c>
    </row>
    <row r="339" spans="3:3">
      <c r="C339" s="30">
        <f t="shared" ref="C339:C387" si="5">B338</f>
        <v>0</v>
      </c>
    </row>
    <row r="340" spans="3:3">
      <c r="C340" s="30">
        <f t="shared" si="5"/>
        <v>0</v>
      </c>
    </row>
    <row r="341" spans="3:3">
      <c r="C341" s="30">
        <f t="shared" si="5"/>
        <v>0</v>
      </c>
    </row>
    <row r="342" spans="3:3">
      <c r="C342" s="30">
        <f t="shared" si="5"/>
        <v>0</v>
      </c>
    </row>
    <row r="343" spans="3:3">
      <c r="C343" s="30">
        <f t="shared" si="5"/>
        <v>0</v>
      </c>
    </row>
    <row r="344" spans="3:3">
      <c r="C344" s="30">
        <f t="shared" si="5"/>
        <v>0</v>
      </c>
    </row>
    <row r="345" spans="3:3">
      <c r="C345" s="30">
        <f t="shared" si="5"/>
        <v>0</v>
      </c>
    </row>
    <row r="346" spans="3:3">
      <c r="C346" s="30">
        <f t="shared" si="5"/>
        <v>0</v>
      </c>
    </row>
    <row r="347" spans="3:3">
      <c r="C347" s="30">
        <f t="shared" si="5"/>
        <v>0</v>
      </c>
    </row>
    <row r="348" spans="3:3">
      <c r="C348" s="30">
        <f t="shared" si="5"/>
        <v>0</v>
      </c>
    </row>
    <row r="349" spans="3:3">
      <c r="C349" s="30">
        <f t="shared" si="5"/>
        <v>0</v>
      </c>
    </row>
    <row r="350" spans="3:3">
      <c r="C350" s="30">
        <f t="shared" si="5"/>
        <v>0</v>
      </c>
    </row>
    <row r="351" spans="3:3">
      <c r="C351" s="30">
        <f t="shared" si="5"/>
        <v>0</v>
      </c>
    </row>
    <row r="352" spans="3:3">
      <c r="C352" s="30">
        <f t="shared" si="5"/>
        <v>0</v>
      </c>
    </row>
    <row r="353" spans="3:3">
      <c r="C353" s="30">
        <f t="shared" si="5"/>
        <v>0</v>
      </c>
    </row>
    <row r="354" spans="3:3">
      <c r="C354" s="30">
        <f t="shared" si="5"/>
        <v>0</v>
      </c>
    </row>
    <row r="355" spans="3:3">
      <c r="C355" s="30">
        <f t="shared" si="5"/>
        <v>0</v>
      </c>
    </row>
    <row r="356" spans="3:3">
      <c r="C356" s="30">
        <f t="shared" si="5"/>
        <v>0</v>
      </c>
    </row>
    <row r="357" spans="3:3">
      <c r="C357" s="30">
        <f t="shared" si="5"/>
        <v>0</v>
      </c>
    </row>
    <row r="358" spans="3:3">
      <c r="C358" s="30">
        <f t="shared" si="5"/>
        <v>0</v>
      </c>
    </row>
    <row r="359" spans="3:3">
      <c r="C359" s="30">
        <f t="shared" si="5"/>
        <v>0</v>
      </c>
    </row>
    <row r="360" spans="3:3">
      <c r="C360" s="30">
        <f t="shared" si="5"/>
        <v>0</v>
      </c>
    </row>
    <row r="361" spans="3:3">
      <c r="C361" s="30">
        <f t="shared" si="5"/>
        <v>0</v>
      </c>
    </row>
    <row r="362" spans="3:3">
      <c r="C362" s="30">
        <f t="shared" si="5"/>
        <v>0</v>
      </c>
    </row>
    <row r="363" spans="3:3">
      <c r="C363" s="30">
        <f t="shared" si="5"/>
        <v>0</v>
      </c>
    </row>
    <row r="364" spans="3:3">
      <c r="C364" s="30">
        <f t="shared" si="5"/>
        <v>0</v>
      </c>
    </row>
    <row r="365" spans="3:3">
      <c r="C365" s="30">
        <f t="shared" si="5"/>
        <v>0</v>
      </c>
    </row>
    <row r="366" spans="3:3">
      <c r="C366" s="30">
        <f t="shared" si="5"/>
        <v>0</v>
      </c>
    </row>
    <row r="367" spans="3:3">
      <c r="C367" s="30">
        <f t="shared" si="5"/>
        <v>0</v>
      </c>
    </row>
    <row r="368" spans="3:3">
      <c r="C368" s="30">
        <f t="shared" si="5"/>
        <v>0</v>
      </c>
    </row>
    <row r="369" spans="3:3">
      <c r="C369" s="30">
        <f t="shared" si="5"/>
        <v>0</v>
      </c>
    </row>
    <row r="370" spans="3:3">
      <c r="C370" s="30">
        <f t="shared" si="5"/>
        <v>0</v>
      </c>
    </row>
    <row r="371" spans="3:3">
      <c r="C371" s="30">
        <f t="shared" si="5"/>
        <v>0</v>
      </c>
    </row>
    <row r="372" spans="3:3">
      <c r="C372" s="30">
        <f t="shared" si="5"/>
        <v>0</v>
      </c>
    </row>
    <row r="373" spans="3:3">
      <c r="C373" s="30">
        <f t="shared" si="5"/>
        <v>0</v>
      </c>
    </row>
    <row r="374" spans="3:3">
      <c r="C374" s="30">
        <f t="shared" si="5"/>
        <v>0</v>
      </c>
    </row>
    <row r="375" spans="3:3">
      <c r="C375" s="30">
        <f t="shared" si="5"/>
        <v>0</v>
      </c>
    </row>
    <row r="376" spans="3:3">
      <c r="C376" s="30">
        <f t="shared" si="5"/>
        <v>0</v>
      </c>
    </row>
    <row r="377" spans="3:3">
      <c r="C377" s="30">
        <f t="shared" si="5"/>
        <v>0</v>
      </c>
    </row>
    <row r="378" spans="3:3">
      <c r="C378" s="30">
        <f t="shared" si="5"/>
        <v>0</v>
      </c>
    </row>
    <row r="379" spans="3:3">
      <c r="C379" s="30">
        <f t="shared" si="5"/>
        <v>0</v>
      </c>
    </row>
    <row r="380" spans="3:3">
      <c r="C380" s="30">
        <f t="shared" si="5"/>
        <v>0</v>
      </c>
    </row>
    <row r="381" spans="3:3">
      <c r="C381" s="30">
        <f t="shared" si="5"/>
        <v>0</v>
      </c>
    </row>
    <row r="382" spans="3:3">
      <c r="C382" s="30">
        <f t="shared" si="5"/>
        <v>0</v>
      </c>
    </row>
    <row r="383" spans="3:3">
      <c r="C383" s="30">
        <f t="shared" si="5"/>
        <v>0</v>
      </c>
    </row>
    <row r="384" spans="3:3">
      <c r="C384" s="30">
        <f t="shared" si="5"/>
        <v>0</v>
      </c>
    </row>
    <row r="385" spans="3:3">
      <c r="C385" s="30">
        <f t="shared" si="5"/>
        <v>0</v>
      </c>
    </row>
    <row r="386" spans="3:3">
      <c r="C386" s="30">
        <f>B385</f>
        <v>0</v>
      </c>
    </row>
    <row r="387" spans="3:3">
      <c r="C387" s="30">
        <f t="shared" si="5"/>
        <v>0</v>
      </c>
    </row>
    <row r="402" spans="3:3">
      <c r="C402">
        <v>0</v>
      </c>
    </row>
    <row r="403" spans="3:3">
      <c r="C403" s="30">
        <f>B402</f>
        <v>0</v>
      </c>
    </row>
    <row r="404" spans="3:3">
      <c r="C404" s="30">
        <f t="shared" ref="C404:C452" si="6">B403</f>
        <v>0</v>
      </c>
    </row>
    <row r="405" spans="3:3">
      <c r="C405" s="30">
        <f t="shared" si="6"/>
        <v>0</v>
      </c>
    </row>
    <row r="406" spans="3:3">
      <c r="C406" s="30">
        <f t="shared" si="6"/>
        <v>0</v>
      </c>
    </row>
    <row r="407" spans="3:3">
      <c r="C407" s="30">
        <f t="shared" si="6"/>
        <v>0</v>
      </c>
    </row>
    <row r="408" spans="3:3">
      <c r="C408" s="30">
        <f t="shared" si="6"/>
        <v>0</v>
      </c>
    </row>
    <row r="409" spans="3:3">
      <c r="C409" s="30">
        <f t="shared" si="6"/>
        <v>0</v>
      </c>
    </row>
    <row r="410" spans="3:3">
      <c r="C410" s="30">
        <f t="shared" si="6"/>
        <v>0</v>
      </c>
    </row>
    <row r="411" spans="3:3">
      <c r="C411" s="30">
        <f t="shared" si="6"/>
        <v>0</v>
      </c>
    </row>
    <row r="412" spans="3:3">
      <c r="C412" s="30">
        <f t="shared" si="6"/>
        <v>0</v>
      </c>
    </row>
    <row r="413" spans="3:3">
      <c r="C413" s="30">
        <f t="shared" si="6"/>
        <v>0</v>
      </c>
    </row>
    <row r="414" spans="3:3">
      <c r="C414" s="30">
        <f t="shared" si="6"/>
        <v>0</v>
      </c>
    </row>
    <row r="415" spans="3:3">
      <c r="C415" s="30">
        <f t="shared" si="6"/>
        <v>0</v>
      </c>
    </row>
    <row r="416" spans="3:3">
      <c r="C416" s="30">
        <f t="shared" si="6"/>
        <v>0</v>
      </c>
    </row>
    <row r="417" spans="3:3">
      <c r="C417" s="30">
        <f t="shared" si="6"/>
        <v>0</v>
      </c>
    </row>
    <row r="418" spans="3:3">
      <c r="C418" s="30">
        <f t="shared" si="6"/>
        <v>0</v>
      </c>
    </row>
    <row r="419" spans="3:3">
      <c r="C419" s="30">
        <f t="shared" si="6"/>
        <v>0</v>
      </c>
    </row>
    <row r="420" spans="3:3">
      <c r="C420" s="30">
        <f t="shared" si="6"/>
        <v>0</v>
      </c>
    </row>
    <row r="421" spans="3:3">
      <c r="C421" s="30">
        <f t="shared" si="6"/>
        <v>0</v>
      </c>
    </row>
    <row r="422" spans="3:3">
      <c r="C422" s="30">
        <f t="shared" si="6"/>
        <v>0</v>
      </c>
    </row>
    <row r="423" spans="3:3">
      <c r="C423" s="30">
        <f t="shared" si="6"/>
        <v>0</v>
      </c>
    </row>
    <row r="424" spans="3:3">
      <c r="C424" s="30">
        <f t="shared" si="6"/>
        <v>0</v>
      </c>
    </row>
    <row r="425" spans="3:3">
      <c r="C425" s="30">
        <f t="shared" si="6"/>
        <v>0</v>
      </c>
    </row>
    <row r="426" spans="3:3">
      <c r="C426" s="30">
        <f t="shared" si="6"/>
        <v>0</v>
      </c>
    </row>
    <row r="427" spans="3:3">
      <c r="C427" s="30">
        <f t="shared" si="6"/>
        <v>0</v>
      </c>
    </row>
    <row r="428" spans="3:3">
      <c r="C428" s="30">
        <f t="shared" si="6"/>
        <v>0</v>
      </c>
    </row>
    <row r="429" spans="3:3">
      <c r="C429" s="30">
        <f t="shared" si="6"/>
        <v>0</v>
      </c>
    </row>
    <row r="430" spans="3:3">
      <c r="C430" s="30">
        <f t="shared" si="6"/>
        <v>0</v>
      </c>
    </row>
    <row r="431" spans="3:3">
      <c r="C431" s="30">
        <f t="shared" si="6"/>
        <v>0</v>
      </c>
    </row>
    <row r="432" spans="3:3">
      <c r="C432" s="30">
        <f t="shared" si="6"/>
        <v>0</v>
      </c>
    </row>
    <row r="433" spans="3:3">
      <c r="C433" s="30">
        <f t="shared" si="6"/>
        <v>0</v>
      </c>
    </row>
    <row r="434" spans="3:3">
      <c r="C434" s="30">
        <f t="shared" si="6"/>
        <v>0</v>
      </c>
    </row>
    <row r="435" spans="3:3">
      <c r="C435" s="30">
        <f t="shared" si="6"/>
        <v>0</v>
      </c>
    </row>
    <row r="436" spans="3:3">
      <c r="C436" s="30">
        <f t="shared" si="6"/>
        <v>0</v>
      </c>
    </row>
    <row r="437" spans="3:3">
      <c r="C437" s="30">
        <f t="shared" si="6"/>
        <v>0</v>
      </c>
    </row>
    <row r="438" spans="3:3">
      <c r="C438" s="30">
        <f t="shared" si="6"/>
        <v>0</v>
      </c>
    </row>
    <row r="439" spans="3:3">
      <c r="C439" s="30">
        <f t="shared" si="6"/>
        <v>0</v>
      </c>
    </row>
    <row r="440" spans="3:3">
      <c r="C440" s="30">
        <f t="shared" si="6"/>
        <v>0</v>
      </c>
    </row>
    <row r="441" spans="3:3">
      <c r="C441" s="30">
        <f t="shared" si="6"/>
        <v>0</v>
      </c>
    </row>
    <row r="442" spans="3:3">
      <c r="C442" s="30">
        <f t="shared" si="6"/>
        <v>0</v>
      </c>
    </row>
    <row r="443" spans="3:3">
      <c r="C443" s="30">
        <f t="shared" si="6"/>
        <v>0</v>
      </c>
    </row>
    <row r="444" spans="3:3">
      <c r="C444" s="30">
        <f t="shared" si="6"/>
        <v>0</v>
      </c>
    </row>
    <row r="445" spans="3:3">
      <c r="C445" s="30">
        <f t="shared" si="6"/>
        <v>0</v>
      </c>
    </row>
    <row r="446" spans="3:3">
      <c r="C446" s="30">
        <f t="shared" si="6"/>
        <v>0</v>
      </c>
    </row>
    <row r="447" spans="3:3">
      <c r="C447" s="30">
        <f t="shared" si="6"/>
        <v>0</v>
      </c>
    </row>
    <row r="448" spans="3:3">
      <c r="C448" s="30">
        <f t="shared" si="6"/>
        <v>0</v>
      </c>
    </row>
    <row r="449" spans="3:3">
      <c r="C449" s="30">
        <f t="shared" si="6"/>
        <v>0</v>
      </c>
    </row>
    <row r="450" spans="3:3">
      <c r="C450" s="30">
        <f t="shared" si="6"/>
        <v>0</v>
      </c>
    </row>
    <row r="451" spans="3:3">
      <c r="C451" s="30">
        <f>B450</f>
        <v>0</v>
      </c>
    </row>
    <row r="452" spans="3:3">
      <c r="C452" s="30">
        <f t="shared" si="6"/>
        <v>0</v>
      </c>
    </row>
  </sheetData>
  <mergeCells count="8">
    <mergeCell ref="A200:A202"/>
    <mergeCell ref="B200:D200"/>
    <mergeCell ref="A2:A4"/>
    <mergeCell ref="B2:D2"/>
    <mergeCell ref="A69:A71"/>
    <mergeCell ref="B69:D69"/>
    <mergeCell ref="A134:A136"/>
    <mergeCell ref="B134:D134"/>
  </mergeCells>
  <pageMargins left="0.7" right="0.7" top="0.75" bottom="0.75" header="0.3" footer="0.3"/>
  <pageSetup paperSize="9" orientation="portrait" horizontalDpi="4294967295" verticalDpi="4294967295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Лист5">
    <tabColor rgb="FF92D050"/>
  </sheetPr>
  <dimension ref="A1:G452"/>
  <sheetViews>
    <sheetView topLeftCell="A313" workbookViewId="0">
      <selection activeCell="E218" sqref="E218:H223"/>
    </sheetView>
  </sheetViews>
  <sheetFormatPr defaultColWidth="8.7109375" defaultRowHeight="15"/>
  <cols>
    <col min="3" max="3" width="9.140625"/>
    <col min="5" max="5" width="9.42578125" bestFit="1" customWidth="1"/>
    <col min="6" max="6" width="8.7109375" style="36"/>
    <col min="7" max="7" width="9.42578125" style="36" bestFit="1" customWidth="1"/>
  </cols>
  <sheetData>
    <row r="1" spans="1:7" ht="15.75" thickBot="1">
      <c r="D1" s="13">
        <v>0.1</v>
      </c>
      <c r="E1" s="13">
        <v>0.4</v>
      </c>
    </row>
    <row r="2" spans="1:7" ht="23.25" customHeight="1" thickBot="1">
      <c r="A2" s="522" t="s">
        <v>0</v>
      </c>
      <c r="B2" s="467" t="s">
        <v>1</v>
      </c>
      <c r="C2" s="468"/>
      <c r="D2" s="469"/>
      <c r="E2" s="19">
        <f>(1-E57)^(1/3)-1</f>
        <v>-2.698023897584223E-2</v>
      </c>
      <c r="F2" s="19">
        <f>(1-F57)^(1/3)-1</f>
        <v>-2.9516228921492971E-2</v>
      </c>
      <c r="G2" s="19"/>
    </row>
    <row r="3" spans="1:7" ht="72.75" thickBot="1">
      <c r="A3" s="523"/>
      <c r="B3" s="1" t="s">
        <v>4</v>
      </c>
      <c r="C3" s="1"/>
      <c r="D3" s="1" t="s">
        <v>80</v>
      </c>
      <c r="E3" s="1" t="s">
        <v>5</v>
      </c>
      <c r="F3" s="37" t="s">
        <v>5</v>
      </c>
      <c r="G3" s="37"/>
    </row>
    <row r="4" spans="1:7" ht="16.5" customHeight="1" thickBot="1">
      <c r="A4" s="524"/>
      <c r="B4" s="1" t="s">
        <v>6</v>
      </c>
      <c r="C4" s="1"/>
      <c r="D4" s="1" t="s">
        <v>7</v>
      </c>
      <c r="E4" s="1" t="s">
        <v>7</v>
      </c>
      <c r="F4" s="37" t="s">
        <v>7</v>
      </c>
      <c r="G4" s="37"/>
    </row>
    <row r="5" spans="1:7" ht="15.75" thickBot="1">
      <c r="A5" s="50">
        <v>1</v>
      </c>
      <c r="B5" s="51">
        <v>2</v>
      </c>
      <c r="C5" s="51"/>
      <c r="D5" s="51">
        <v>3</v>
      </c>
      <c r="E5" s="51">
        <v>4</v>
      </c>
      <c r="F5" s="52">
        <v>5</v>
      </c>
      <c r="G5" s="52"/>
    </row>
    <row r="6" spans="1:7">
      <c r="A6" s="27" t="s">
        <v>10</v>
      </c>
      <c r="B6" s="151">
        <v>3.5518673221477517</v>
      </c>
      <c r="C6" s="30">
        <v>0</v>
      </c>
      <c r="D6" s="14">
        <v>0</v>
      </c>
      <c r="E6" s="14">
        <v>0</v>
      </c>
      <c r="F6" s="38">
        <v>0</v>
      </c>
      <c r="G6" s="38">
        <v>0</v>
      </c>
    </row>
    <row r="7" spans="1:7">
      <c r="A7" s="27" t="s">
        <v>58</v>
      </c>
      <c r="B7" s="152">
        <v>5.0539232946611623</v>
      </c>
      <c r="C7" s="30">
        <f>B6</f>
        <v>3.5518673221477517</v>
      </c>
      <c r="D7" s="14">
        <v>0</v>
      </c>
      <c r="E7" s="14">
        <v>0</v>
      </c>
      <c r="F7" s="38">
        <v>0</v>
      </c>
      <c r="G7" s="38">
        <v>0</v>
      </c>
    </row>
    <row r="8" spans="1:7">
      <c r="A8" s="27" t="s">
        <v>59</v>
      </c>
      <c r="B8" s="152">
        <v>5.9291538357918068</v>
      </c>
      <c r="C8" s="30">
        <f t="shared" ref="C8:C56" si="0">B7</f>
        <v>5.0539232946611623</v>
      </c>
      <c r="D8" s="14">
        <v>0</v>
      </c>
      <c r="E8" s="14">
        <v>0</v>
      </c>
      <c r="F8" s="38">
        <v>0</v>
      </c>
      <c r="G8" s="38">
        <v>0</v>
      </c>
    </row>
    <row r="9" spans="1:7">
      <c r="A9" s="27" t="s">
        <v>60</v>
      </c>
      <c r="B9" s="152">
        <v>6.4433452289120385</v>
      </c>
      <c r="C9" s="30">
        <f t="shared" si="0"/>
        <v>5.9291538357918068</v>
      </c>
      <c r="D9" s="14">
        <v>0</v>
      </c>
      <c r="E9" s="14">
        <v>0</v>
      </c>
      <c r="F9" s="38">
        <v>0</v>
      </c>
      <c r="G9" s="38">
        <v>6.8806685527681649E-3</v>
      </c>
    </row>
    <row r="10" spans="1:7">
      <c r="A10" s="27" t="s">
        <v>61</v>
      </c>
      <c r="B10" s="152">
        <v>6.9956766612963843</v>
      </c>
      <c r="C10" s="30">
        <f t="shared" si="0"/>
        <v>6.4433452289120385</v>
      </c>
      <c r="D10" s="14">
        <v>0</v>
      </c>
      <c r="E10" s="14">
        <v>0</v>
      </c>
      <c r="F10" s="38">
        <v>0</v>
      </c>
      <c r="G10" s="38">
        <v>1.4232742728161957E-2</v>
      </c>
    </row>
    <row r="11" spans="1:7">
      <c r="A11" s="27" t="s">
        <v>62</v>
      </c>
      <c r="B11" s="152">
        <v>7.6961783342882946</v>
      </c>
      <c r="C11" s="30">
        <f t="shared" si="0"/>
        <v>6.9956766612963843</v>
      </c>
      <c r="D11" s="14">
        <v>0</v>
      </c>
      <c r="E11" s="14">
        <v>0</v>
      </c>
      <c r="F11" s="38">
        <v>0</v>
      </c>
      <c r="G11" s="38">
        <v>2.2039228570515563E-2</v>
      </c>
    </row>
    <row r="12" spans="1:7">
      <c r="A12" s="27" t="s">
        <v>63</v>
      </c>
      <c r="B12" s="152">
        <v>8.4467809398108198</v>
      </c>
      <c r="C12" s="30">
        <f t="shared" si="0"/>
        <v>7.6961783342882946</v>
      </c>
      <c r="D12" s="14">
        <v>0</v>
      </c>
      <c r="E12" s="14">
        <v>0</v>
      </c>
      <c r="F12" s="38">
        <v>0</v>
      </c>
      <c r="G12" s="38">
        <v>2.8967022552684071E-2</v>
      </c>
    </row>
    <row r="13" spans="1:7">
      <c r="A13" s="29" t="s">
        <v>11</v>
      </c>
      <c r="B13" s="152">
        <v>8.9150391159359863</v>
      </c>
      <c r="C13" s="30">
        <f t="shared" si="0"/>
        <v>8.4467809398108198</v>
      </c>
      <c r="D13" s="14">
        <v>0</v>
      </c>
      <c r="E13" s="14">
        <v>0</v>
      </c>
      <c r="F13" s="38">
        <v>0</v>
      </c>
      <c r="G13" s="38">
        <v>3.2697995802679521E-2</v>
      </c>
    </row>
    <row r="14" spans="1:7">
      <c r="A14" s="29" t="s">
        <v>12</v>
      </c>
      <c r="B14" s="152">
        <v>9.4779438351095102</v>
      </c>
      <c r="C14" s="30">
        <f t="shared" si="0"/>
        <v>8.9150391159359863</v>
      </c>
      <c r="D14" s="14">
        <v>0</v>
      </c>
      <c r="E14" s="14">
        <v>0</v>
      </c>
      <c r="F14" s="38">
        <v>0</v>
      </c>
      <c r="G14" s="38">
        <v>3.6695130247828965E-2</v>
      </c>
    </row>
    <row r="15" spans="1:7">
      <c r="A15" s="29" t="s">
        <v>13</v>
      </c>
      <c r="B15" s="152">
        <v>10.018360891533657</v>
      </c>
      <c r="C15" s="30">
        <f t="shared" si="0"/>
        <v>9.4779438351095102</v>
      </c>
      <c r="D15" s="14">
        <v>0</v>
      </c>
      <c r="E15" s="14">
        <v>0</v>
      </c>
      <c r="F15" s="38">
        <v>0</v>
      </c>
      <c r="G15" s="38">
        <v>4.0659780679063229E-2</v>
      </c>
    </row>
    <row r="16" spans="1:7">
      <c r="A16" s="29" t="s">
        <v>14</v>
      </c>
      <c r="B16" s="152">
        <v>10.361785071767949</v>
      </c>
      <c r="C16" s="30">
        <f t="shared" si="0"/>
        <v>10.018360891533657</v>
      </c>
      <c r="D16" s="14">
        <v>0</v>
      </c>
      <c r="E16" s="14">
        <v>0</v>
      </c>
      <c r="F16" s="38">
        <v>2.6361685983278616E-3</v>
      </c>
      <c r="G16" s="38">
        <v>5.2569516249794154E-2</v>
      </c>
    </row>
    <row r="17" spans="1:7">
      <c r="A17" s="29" t="s">
        <v>15</v>
      </c>
      <c r="B17" s="152">
        <v>10.608081842069767</v>
      </c>
      <c r="C17" s="30">
        <f t="shared" si="0"/>
        <v>10.361785071767949</v>
      </c>
      <c r="D17" s="14">
        <v>0</v>
      </c>
      <c r="E17" s="14"/>
      <c r="F17" s="38"/>
      <c r="G17" s="38"/>
    </row>
    <row r="18" spans="1:7">
      <c r="A18" s="29" t="s">
        <v>16</v>
      </c>
      <c r="B18" s="152">
        <v>10.906847889769631</v>
      </c>
      <c r="C18" s="30">
        <f t="shared" si="0"/>
        <v>10.608081842069767</v>
      </c>
      <c r="D18" s="14">
        <v>2.1776525160638101E-2</v>
      </c>
      <c r="E18" s="14"/>
      <c r="F18" s="38"/>
      <c r="G18" s="38"/>
    </row>
    <row r="19" spans="1:7">
      <c r="A19" s="29" t="s">
        <v>17</v>
      </c>
      <c r="B19" s="152">
        <v>11.268631485924558</v>
      </c>
      <c r="C19" s="30">
        <f t="shared" si="0"/>
        <v>10.906847889769631</v>
      </c>
      <c r="D19" s="14">
        <v>5.318275288337531E-2</v>
      </c>
      <c r="E19" s="14"/>
      <c r="F19" s="38"/>
      <c r="G19" s="38"/>
    </row>
    <row r="20" spans="1:7">
      <c r="A20" s="29" t="s">
        <v>18</v>
      </c>
      <c r="B20" s="152">
        <v>11.711302400622895</v>
      </c>
      <c r="C20" s="30">
        <f t="shared" si="0"/>
        <v>11.268631485924558</v>
      </c>
      <c r="D20" s="14">
        <v>8.897112573001828E-2</v>
      </c>
      <c r="E20" s="14"/>
      <c r="F20" s="38"/>
      <c r="G20" s="38"/>
    </row>
    <row r="21" spans="1:7">
      <c r="A21" s="29" t="s">
        <v>19</v>
      </c>
      <c r="B21" s="152">
        <v>11.921816678833185</v>
      </c>
      <c r="C21" s="30">
        <f t="shared" si="0"/>
        <v>11.711302400622895</v>
      </c>
      <c r="D21" s="14">
        <v>0.10505798489437583</v>
      </c>
      <c r="E21" s="14">
        <v>1.0505798489437584E-2</v>
      </c>
      <c r="F21" s="38">
        <v>1.5376731422218319E-2</v>
      </c>
      <c r="G21" s="38">
        <v>9.8032598807555216E-2</v>
      </c>
    </row>
    <row r="22" spans="1:7">
      <c r="A22" s="29" t="s">
        <v>20</v>
      </c>
      <c r="B22" s="152">
        <v>12.082435286994308</v>
      </c>
      <c r="C22" s="30">
        <f t="shared" si="0"/>
        <v>11.921816678833185</v>
      </c>
      <c r="D22" s="14">
        <v>0.11695495247059817</v>
      </c>
      <c r="E22" s="14">
        <v>1.1695495247059817E-2</v>
      </c>
      <c r="F22" s="38">
        <v>1.6501676128658323E-2</v>
      </c>
      <c r="G22" s="38">
        <v>0.10204682131630473</v>
      </c>
    </row>
    <row r="23" spans="1:7">
      <c r="A23" s="29" t="s">
        <v>21</v>
      </c>
      <c r="B23" s="152">
        <v>12.450241842384656</v>
      </c>
      <c r="C23" s="30">
        <f t="shared" si="0"/>
        <v>12.082435286994308</v>
      </c>
      <c r="D23" s="14">
        <v>0.14304197642547481</v>
      </c>
      <c r="E23" s="14">
        <v>1.4304197642547482E-2</v>
      </c>
      <c r="F23" s="38">
        <v>1.8968393745294083E-2</v>
      </c>
      <c r="G23" s="38">
        <v>0.11084899027869212</v>
      </c>
    </row>
    <row r="24" spans="1:7">
      <c r="A24" s="29" t="s">
        <v>22</v>
      </c>
      <c r="B24" s="152">
        <v>13.088082985019456</v>
      </c>
      <c r="C24" s="30">
        <f t="shared" si="0"/>
        <v>12.450241842384656</v>
      </c>
      <c r="D24" s="14">
        <v>0.18480539476355179</v>
      </c>
      <c r="E24" s="14">
        <v>1.8480539476355178E-2</v>
      </c>
      <c r="F24" s="38">
        <v>2.2917428327531492E-2</v>
      </c>
      <c r="G24" s="38">
        <v>0.12494061933130017</v>
      </c>
    </row>
    <row r="25" spans="1:7">
      <c r="A25" s="29" t="s">
        <v>23</v>
      </c>
      <c r="B25" s="152">
        <v>13.484598605503967</v>
      </c>
      <c r="C25" s="30">
        <f t="shared" si="0"/>
        <v>13.088082985019456</v>
      </c>
      <c r="D25" s="14">
        <v>0.2087762524929781</v>
      </c>
      <c r="E25" s="14">
        <v>2.0877625249297812E-2</v>
      </c>
      <c r="F25" s="38">
        <v>2.5184047055268423E-2</v>
      </c>
      <c r="G25" s="38">
        <v>0.13302876078709538</v>
      </c>
    </row>
    <row r="26" spans="1:7">
      <c r="A26" s="29" t="s">
        <v>24</v>
      </c>
      <c r="B26" s="152">
        <v>14.223231915175178</v>
      </c>
      <c r="C26" s="30">
        <f t="shared" si="0"/>
        <v>13.484598605503967</v>
      </c>
      <c r="D26" s="14">
        <v>0.24986566302899219</v>
      </c>
      <c r="E26" s="14">
        <v>2.4986566302899218E-2</v>
      </c>
      <c r="F26" s="38">
        <v>2.906934930368445E-2</v>
      </c>
      <c r="G26" s="38">
        <v>0.14689296908960223</v>
      </c>
    </row>
    <row r="27" spans="1:7">
      <c r="A27" s="29" t="s">
        <v>25</v>
      </c>
      <c r="B27" s="152">
        <v>14.577259155172198</v>
      </c>
      <c r="C27" s="30">
        <f t="shared" si="0"/>
        <v>14.223231915175178</v>
      </c>
      <c r="D27" s="14">
        <v>0.26808362747058706</v>
      </c>
      <c r="E27" s="14">
        <v>2.6808362747058705E-2</v>
      </c>
      <c r="F27" s="38">
        <v>3.0791990180813911E-2</v>
      </c>
      <c r="G27" s="38">
        <v>0.15303999457794684</v>
      </c>
    </row>
    <row r="28" spans="1:7">
      <c r="A28" s="29" t="s">
        <v>26</v>
      </c>
      <c r="B28" s="152">
        <v>14.97310073679928</v>
      </c>
      <c r="C28" s="30">
        <f t="shared" si="0"/>
        <v>14.577259155172198</v>
      </c>
      <c r="D28" s="14">
        <v>0.28743318903526344</v>
      </c>
      <c r="E28" s="14">
        <v>2.8743318903526344E-2</v>
      </c>
      <c r="F28" s="38">
        <v>3.2621631786093418E-2</v>
      </c>
      <c r="G28" s="38">
        <v>0.15956883859384541</v>
      </c>
    </row>
    <row r="29" spans="1:7">
      <c r="A29" s="29" t="s">
        <v>27</v>
      </c>
      <c r="B29" s="152">
        <v>15.334706073335719</v>
      </c>
      <c r="C29" s="30">
        <f t="shared" si="0"/>
        <v>14.97310073679928</v>
      </c>
      <c r="D29" s="14">
        <v>0.30423611699823483</v>
      </c>
      <c r="E29" s="14">
        <v>3.0423611699823487E-2</v>
      </c>
      <c r="F29" s="38">
        <v>3.4210470685042453E-2</v>
      </c>
      <c r="G29" s="38">
        <v>0.165238408693092</v>
      </c>
    </row>
    <row r="30" spans="1:7">
      <c r="A30" s="29" t="s">
        <v>28</v>
      </c>
      <c r="B30" s="152">
        <v>15.517283958260629</v>
      </c>
      <c r="C30" s="30">
        <f t="shared" si="0"/>
        <v>15.334706073335719</v>
      </c>
      <c r="D30" s="14">
        <v>0.31242254308332174</v>
      </c>
      <c r="E30" s="14">
        <v>3.1242254308332176E-2</v>
      </c>
      <c r="F30" s="38">
        <v>3.4984556739331346E-2</v>
      </c>
      <c r="G30" s="38">
        <v>0.16800063660086986</v>
      </c>
    </row>
    <row r="31" spans="1:7">
      <c r="A31" s="29" t="s">
        <v>29</v>
      </c>
      <c r="B31" s="152">
        <v>15.8931106625735</v>
      </c>
      <c r="C31" s="30">
        <f t="shared" si="0"/>
        <v>15.517283958260629</v>
      </c>
      <c r="D31" s="14">
        <v>0.32868178742378601</v>
      </c>
      <c r="E31" s="14">
        <v>3.2868178742378601E-2</v>
      </c>
      <c r="F31" s="38">
        <v>3.6521986402338613E-2</v>
      </c>
      <c r="G31" s="38">
        <v>0.17348675936186631</v>
      </c>
    </row>
    <row r="32" spans="1:7">
      <c r="A32" s="29" t="s">
        <v>30</v>
      </c>
      <c r="B32" s="152">
        <v>16.214379583327382</v>
      </c>
      <c r="C32" s="30">
        <f t="shared" si="0"/>
        <v>15.8931106625735</v>
      </c>
      <c r="D32" s="14">
        <v>0.34198317071313211</v>
      </c>
      <c r="E32" s="14">
        <v>3.4198317071313211E-2</v>
      </c>
      <c r="F32" s="38">
        <v>3.7779728816429547E-2</v>
      </c>
      <c r="G32" s="38">
        <v>0.17797485364770047</v>
      </c>
    </row>
    <row r="33" spans="1:7">
      <c r="A33" s="29" t="s">
        <v>31</v>
      </c>
      <c r="B33" s="152">
        <v>16.815148534854522</v>
      </c>
      <c r="C33" s="30">
        <f t="shared" si="0"/>
        <v>16.214379583327382</v>
      </c>
      <c r="D33" s="14">
        <v>0.3654926912980066</v>
      </c>
      <c r="E33" s="14">
        <v>3.6549269129800666E-2</v>
      </c>
      <c r="F33" s="38">
        <v>4.0016348595386525E-2</v>
      </c>
      <c r="G33" s="38">
        <v>0.18590733275189913</v>
      </c>
    </row>
    <row r="34" spans="1:7">
      <c r="A34" s="29" t="s">
        <v>32</v>
      </c>
      <c r="B34" s="152">
        <v>17.883800638990259</v>
      </c>
      <c r="C34" s="30">
        <f t="shared" si="0"/>
        <v>16.815148534854522</v>
      </c>
      <c r="D34" s="14">
        <v>0.40340787410627199</v>
      </c>
      <c r="E34" s="14">
        <v>4.2044724463763193E-2</v>
      </c>
      <c r="F34" s="38">
        <v>6.1527284346330251E-2</v>
      </c>
      <c r="G34" s="38">
        <v>0.19870050708621295</v>
      </c>
    </row>
    <row r="35" spans="1:7">
      <c r="A35" s="29" t="s">
        <v>33</v>
      </c>
      <c r="B35" s="152">
        <v>18.468310061298283</v>
      </c>
      <c r="C35" s="30">
        <f t="shared" si="0"/>
        <v>17.883800638990259</v>
      </c>
      <c r="D35" s="14">
        <v>0.42228960815244299</v>
      </c>
      <c r="E35" s="14">
        <v>5.3373764891465808E-2</v>
      </c>
      <c r="F35" s="38">
        <v>7.2239715036366364E-2</v>
      </c>
      <c r="G35" s="38">
        <v>0.20507149879706277</v>
      </c>
    </row>
    <row r="36" spans="1:7">
      <c r="A36" s="29" t="s">
        <v>34</v>
      </c>
      <c r="B36" s="152">
        <v>19.017142221890978</v>
      </c>
      <c r="C36" s="30">
        <f t="shared" si="0"/>
        <v>18.468310061298283</v>
      </c>
      <c r="D36" s="14">
        <v>0.43896225217303442</v>
      </c>
      <c r="E36" s="14">
        <v>6.3377351303820675E-2</v>
      </c>
      <c r="F36" s="38">
        <v>8.1698832671086435E-2</v>
      </c>
      <c r="G36" s="38">
        <v>0.21069710906110942</v>
      </c>
    </row>
    <row r="37" spans="1:7">
      <c r="A37" s="29" t="s">
        <v>35</v>
      </c>
      <c r="B37" s="152">
        <v>19.654043933323702</v>
      </c>
      <c r="C37" s="30">
        <f t="shared" si="0"/>
        <v>19.017142221890978</v>
      </c>
      <c r="D37" s="14">
        <v>0.45714303486496199</v>
      </c>
      <c r="E37" s="14">
        <v>7.4285820918977202E-2</v>
      </c>
      <c r="F37" s="38">
        <v>9.2013583106700006E-2</v>
      </c>
      <c r="G37" s="38">
        <v>0.21683158884690645</v>
      </c>
    </row>
    <row r="38" spans="1:7">
      <c r="A38" s="29" t="s">
        <v>36</v>
      </c>
      <c r="B38" s="152">
        <v>20.378399346150111</v>
      </c>
      <c r="C38" s="30">
        <f t="shared" si="0"/>
        <v>19.654043933323702</v>
      </c>
      <c r="D38" s="14">
        <v>0.47643902442757546</v>
      </c>
      <c r="E38" s="14">
        <v>8.5863414656545303E-2</v>
      </c>
      <c r="F38" s="38">
        <v>0.10296103900665611</v>
      </c>
      <c r="G38" s="38">
        <v>0.22334235683333431</v>
      </c>
    </row>
    <row r="39" spans="1:7">
      <c r="A39" s="29" t="s">
        <v>37</v>
      </c>
      <c r="B39" s="152">
        <v>20.930053070416129</v>
      </c>
      <c r="C39" s="30">
        <f t="shared" si="0"/>
        <v>20.378399346150111</v>
      </c>
      <c r="D39" s="14">
        <v>0.49023852895263187</v>
      </c>
      <c r="E39" s="14">
        <v>9.4143117371579113E-2</v>
      </c>
      <c r="F39" s="38">
        <v>0.11079009937897312</v>
      </c>
      <c r="G39" s="38">
        <v>0.22799852499712633</v>
      </c>
    </row>
    <row r="40" spans="1:7">
      <c r="A40" s="29" t="s">
        <v>38</v>
      </c>
      <c r="B40" s="152">
        <v>22.38422092502163</v>
      </c>
      <c r="C40" s="30">
        <f t="shared" si="0"/>
        <v>20.930053070416129</v>
      </c>
      <c r="D40" s="14">
        <v>0.52335465781842927</v>
      </c>
      <c r="E40" s="14">
        <v>0.11401279469105757</v>
      </c>
      <c r="F40" s="38">
        <v>0.12957832266025054</v>
      </c>
      <c r="G40" s="38">
        <v>0.23917242364348582</v>
      </c>
    </row>
    <row r="41" spans="1:7">
      <c r="A41" s="29" t="s">
        <v>39</v>
      </c>
      <c r="B41" s="152">
        <v>23.212729843037188</v>
      </c>
      <c r="C41" s="30">
        <f t="shared" si="0"/>
        <v>22.38422092502163</v>
      </c>
      <c r="D41" s="14">
        <v>0.54036708674851752</v>
      </c>
      <c r="E41" s="14">
        <v>0.12422025204911052</v>
      </c>
      <c r="F41" s="38">
        <v>0.13923021508374817</v>
      </c>
      <c r="G41" s="38">
        <v>0.24491268263823598</v>
      </c>
    </row>
    <row r="42" spans="1:7">
      <c r="A42" s="29" t="s">
        <v>40</v>
      </c>
      <c r="B42" s="152">
        <v>24.018985639314906</v>
      </c>
      <c r="C42" s="30">
        <f t="shared" si="0"/>
        <v>23.212729843037188</v>
      </c>
      <c r="D42" s="14">
        <v>0.55579578577993882</v>
      </c>
      <c r="E42" s="14">
        <v>0.13347747146796332</v>
      </c>
      <c r="F42" s="38">
        <v>0.14798358850842289</v>
      </c>
      <c r="G42" s="38">
        <v>0.25011856645155633</v>
      </c>
    </row>
    <row r="43" spans="1:7">
      <c r="A43" s="29" t="s">
        <v>41</v>
      </c>
      <c r="B43" s="152">
        <v>25.055505305742191</v>
      </c>
      <c r="C43" s="30">
        <f t="shared" si="0"/>
        <v>24.018985639314906</v>
      </c>
      <c r="D43" s="14">
        <v>0.5741720427474426</v>
      </c>
      <c r="E43" s="14">
        <v>0.14450322564846557</v>
      </c>
      <c r="F43" s="38">
        <v>0.15840924002037163</v>
      </c>
      <c r="G43" s="38">
        <v>0.256319002308249</v>
      </c>
    </row>
    <row r="44" spans="1:7">
      <c r="A44" s="29" t="s">
        <v>42</v>
      </c>
      <c r="B44" s="152">
        <v>25.76706820215195</v>
      </c>
      <c r="C44" s="30">
        <f t="shared" si="0"/>
        <v>25.055505305742191</v>
      </c>
      <c r="D44" s="14">
        <v>0.58593136950738711</v>
      </c>
      <c r="E44" s="14">
        <v>0.1515588217044323</v>
      </c>
      <c r="F44" s="38">
        <v>0.16508081862482388</v>
      </c>
      <c r="G44" s="38">
        <v>0.26028678265774358</v>
      </c>
    </row>
    <row r="45" spans="1:7">
      <c r="A45" s="29" t="s">
        <v>43</v>
      </c>
      <c r="B45" s="152">
        <v>26.229243478262852</v>
      </c>
      <c r="C45" s="30">
        <f t="shared" si="0"/>
        <v>25.76706820215195</v>
      </c>
      <c r="D45" s="14">
        <v>0.59322751145617736</v>
      </c>
      <c r="E45" s="14">
        <v>0.15593650687370644</v>
      </c>
      <c r="F45" s="38">
        <v>0.16922023795675384</v>
      </c>
      <c r="G45" s="38">
        <v>0.26274861480532397</v>
      </c>
    </row>
    <row r="46" spans="1:7">
      <c r="A46" s="29" t="s">
        <v>44</v>
      </c>
      <c r="B46" s="152">
        <v>27.416390239445743</v>
      </c>
      <c r="C46" s="30">
        <f t="shared" si="0"/>
        <v>26.229243478262852</v>
      </c>
      <c r="D46" s="14">
        <v>0.61084101338314978</v>
      </c>
      <c r="E46" s="14">
        <v>0.16650460802988987</v>
      </c>
      <c r="F46" s="38">
        <v>0.179213145289318</v>
      </c>
      <c r="G46" s="38">
        <v>0.26869168520878273</v>
      </c>
    </row>
    <row r="47" spans="1:7">
      <c r="A47" s="29" t="s">
        <v>45</v>
      </c>
      <c r="B47" s="152">
        <v>29.434808605414396</v>
      </c>
      <c r="C47" s="30">
        <f t="shared" si="0"/>
        <v>27.416390239445743</v>
      </c>
      <c r="D47" s="14">
        <v>0.63752661736987692</v>
      </c>
      <c r="E47" s="14">
        <v>0.18251597042192622</v>
      </c>
      <c r="F47" s="38">
        <v>0.19435305153047902</v>
      </c>
      <c r="G47" s="38">
        <v>0.27769582441457435</v>
      </c>
    </row>
    <row r="48" spans="1:7">
      <c r="A48" s="29" t="s">
        <v>46</v>
      </c>
      <c r="B48" s="152">
        <v>31.708117688035536</v>
      </c>
      <c r="C48" s="30">
        <f t="shared" si="0"/>
        <v>29.434808605414396</v>
      </c>
      <c r="D48" s="14">
        <v>0.66351409606692968</v>
      </c>
      <c r="E48" s="14">
        <v>0.19810845764015789</v>
      </c>
      <c r="F48" s="38">
        <v>0.20909688086682229</v>
      </c>
      <c r="G48" s="38">
        <v>0.28646440525359879</v>
      </c>
    </row>
    <row r="49" spans="1:7">
      <c r="A49" s="29" t="s">
        <v>47</v>
      </c>
      <c r="B49" s="152">
        <v>35.332289944621138</v>
      </c>
      <c r="C49" s="30">
        <f t="shared" si="0"/>
        <v>31.708117688035536</v>
      </c>
      <c r="D49" s="14">
        <v>0.69802878163295856</v>
      </c>
      <c r="E49" s="14">
        <v>0.21881726897977519</v>
      </c>
      <c r="F49" s="38">
        <v>0.22867856632062475</v>
      </c>
      <c r="G49" s="38">
        <v>0.29811019875466488</v>
      </c>
    </row>
    <row r="50" spans="1:7">
      <c r="A50" s="29" t="s">
        <v>48</v>
      </c>
      <c r="B50" s="152">
        <v>38.411519183469828</v>
      </c>
      <c r="C50" s="30">
        <f t="shared" si="0"/>
        <v>35.332289944621138</v>
      </c>
      <c r="D50" s="14">
        <v>0.72223606696435227</v>
      </c>
      <c r="E50" s="14">
        <v>0.23334164017861139</v>
      </c>
      <c r="F50" s="38">
        <v>0.24241241437040539</v>
      </c>
      <c r="G50" s="38">
        <v>0.30627811457274418</v>
      </c>
    </row>
    <row r="51" spans="1:7">
      <c r="A51" s="29" t="s">
        <v>49</v>
      </c>
      <c r="B51" s="152">
        <v>40.122722049302524</v>
      </c>
      <c r="C51" s="30">
        <f t="shared" si="0"/>
        <v>38.411519183469828</v>
      </c>
      <c r="D51" s="14">
        <v>0.73408248251042374</v>
      </c>
      <c r="E51" s="14">
        <v>0.24044948950625428</v>
      </c>
      <c r="F51" s="38">
        <v>0.24913340223901653</v>
      </c>
      <c r="G51" s="38">
        <v>0.31027528003767185</v>
      </c>
    </row>
    <row r="52" spans="1:7">
      <c r="A52" s="29" t="s">
        <v>50</v>
      </c>
      <c r="B52" s="152">
        <v>42.720510848667644</v>
      </c>
      <c r="C52" s="30">
        <f t="shared" si="0"/>
        <v>40.122722049302524</v>
      </c>
      <c r="D52" s="14">
        <v>0.75025264374600609</v>
      </c>
      <c r="E52" s="14">
        <v>0.25015158624760364</v>
      </c>
      <c r="F52" s="38">
        <v>0.25830743948894863</v>
      </c>
      <c r="G52" s="38">
        <v>0.31573134476896653</v>
      </c>
    </row>
    <row r="53" spans="1:7">
      <c r="A53" s="29" t="s">
        <v>51</v>
      </c>
      <c r="B53" s="152">
        <v>47.474813326262201</v>
      </c>
      <c r="C53" s="30">
        <f t="shared" si="0"/>
        <v>42.720510848667644</v>
      </c>
      <c r="D53" s="14">
        <v>0.77526326288106262</v>
      </c>
      <c r="E53" s="14">
        <v>0.26515795772863759</v>
      </c>
      <c r="F53" s="38">
        <v>0.27249705381907507</v>
      </c>
      <c r="G53" s="38">
        <v>0.32417031794817941</v>
      </c>
    </row>
    <row r="54" spans="1:7">
      <c r="A54" s="29" t="s">
        <v>52</v>
      </c>
      <c r="B54" s="152">
        <v>53.040604534583281</v>
      </c>
      <c r="C54" s="30">
        <f t="shared" si="0"/>
        <v>47.474813326262201</v>
      </c>
      <c r="D54" s="14">
        <v>0.79884590803790245</v>
      </c>
      <c r="E54" s="14">
        <v>0.27930754482274156</v>
      </c>
      <c r="F54" s="38">
        <v>0.28587651627271521</v>
      </c>
      <c r="G54" s="38">
        <v>0.33212747042404567</v>
      </c>
    </row>
    <row r="55" spans="1:7">
      <c r="A55" s="29" t="s">
        <v>53</v>
      </c>
      <c r="B55" s="152">
        <v>90.931154879914928</v>
      </c>
      <c r="C55" s="30">
        <f>B54</f>
        <v>53.040604534583281</v>
      </c>
      <c r="D55" s="14">
        <v>0.88266579637787634</v>
      </c>
      <c r="E55" s="14">
        <v>0.32959947782672577</v>
      </c>
      <c r="F55" s="38">
        <v>0.33343119224118745</v>
      </c>
      <c r="G55" s="38">
        <v>0.36040960873361594</v>
      </c>
    </row>
    <row r="56" spans="1:7">
      <c r="A56" s="29" t="s">
        <v>53</v>
      </c>
      <c r="B56" s="31" t="s">
        <v>157</v>
      </c>
      <c r="C56" s="30">
        <f t="shared" si="0"/>
        <v>90.931154879914928</v>
      </c>
      <c r="D56" s="11">
        <v>49.1</v>
      </c>
      <c r="E56" s="11"/>
      <c r="F56" s="39"/>
      <c r="G56" s="39"/>
    </row>
    <row r="57" spans="1:7">
      <c r="A57" s="29"/>
      <c r="B57" s="31"/>
      <c r="C57" s="31"/>
      <c r="D57" s="11"/>
      <c r="E57" s="32">
        <v>7.8776556856208865E-2</v>
      </c>
      <c r="F57" s="40">
        <v>8.5960778223210868E-2</v>
      </c>
      <c r="G57" s="40">
        <v>0.16627211084199381</v>
      </c>
    </row>
    <row r="58" spans="1:7" ht="60">
      <c r="A58" s="33" t="s">
        <v>55</v>
      </c>
      <c r="B58" s="31">
        <v>10</v>
      </c>
      <c r="C58" s="31"/>
      <c r="D58" s="11"/>
      <c r="E58" s="34">
        <v>17.78222440379135</v>
      </c>
      <c r="F58" s="41">
        <v>16.814384912466299</v>
      </c>
      <c r="G58" s="42">
        <v>10</v>
      </c>
    </row>
    <row r="59" spans="1:7" ht="60">
      <c r="A59" s="33" t="s">
        <v>56</v>
      </c>
      <c r="B59" s="31">
        <v>20.28</v>
      </c>
      <c r="C59" s="31"/>
      <c r="D59" s="11"/>
      <c r="E59" s="11"/>
      <c r="F59" s="39"/>
      <c r="G59" s="39"/>
    </row>
    <row r="60" spans="1:7" ht="96.75">
      <c r="A60" s="35" t="s">
        <v>57</v>
      </c>
      <c r="B60" s="29">
        <v>6</v>
      </c>
      <c r="C60" s="29"/>
      <c r="D60" s="11"/>
      <c r="E60" s="11">
        <v>10.66933464227481</v>
      </c>
      <c r="F60" s="39">
        <v>10.088630947479778</v>
      </c>
      <c r="G60" s="39">
        <v>6</v>
      </c>
    </row>
    <row r="62" spans="1:7" ht="60.75" thickBot="1">
      <c r="A62" s="5" t="s">
        <v>56</v>
      </c>
      <c r="B62">
        <f>B59</f>
        <v>20.28</v>
      </c>
    </row>
    <row r="63" spans="1:7">
      <c r="A63" s="16" t="s">
        <v>64</v>
      </c>
      <c r="B63" s="17">
        <f>AVERAGE(B11:B50)</f>
        <v>17.78222440379135</v>
      </c>
      <c r="C63" s="17"/>
    </row>
    <row r="64" spans="1:7">
      <c r="A64" s="16" t="s">
        <v>65</v>
      </c>
      <c r="B64" s="18">
        <f>AVERAGE(B16:B45)</f>
        <v>16.814384912466299</v>
      </c>
      <c r="C64" s="18"/>
    </row>
    <row r="65" spans="1:7">
      <c r="A65" s="16" t="s">
        <v>66</v>
      </c>
      <c r="B65" s="18">
        <f>AVERAGE(B22:B40)</f>
        <v>16.493134186131151</v>
      </c>
      <c r="C65" s="18"/>
    </row>
    <row r="69" spans="1:7" ht="15" customHeight="1">
      <c r="A69" s="473" t="s">
        <v>0</v>
      </c>
      <c r="B69" s="473" t="s">
        <v>2</v>
      </c>
      <c r="C69" s="473"/>
      <c r="D69" s="473"/>
      <c r="E69" s="49">
        <f>(1-E124)^(1/3)-1</f>
        <v>-2.415301983615914E-2</v>
      </c>
      <c r="F69" s="49">
        <f>(1-F124)^(1/3)-1</f>
        <v>-2.5058880313005738E-2</v>
      </c>
      <c r="G69" s="49"/>
    </row>
    <row r="70" spans="1:7" ht="72">
      <c r="A70" s="473"/>
      <c r="B70" s="11" t="s">
        <v>4</v>
      </c>
      <c r="C70" s="11"/>
      <c r="D70" s="11" t="s">
        <v>80</v>
      </c>
      <c r="E70" s="11" t="s">
        <v>5</v>
      </c>
      <c r="F70" s="39" t="s">
        <v>5</v>
      </c>
      <c r="G70" s="39"/>
    </row>
    <row r="71" spans="1:7" ht="24">
      <c r="A71" s="473"/>
      <c r="B71" s="11" t="s">
        <v>8</v>
      </c>
      <c r="C71" s="11"/>
      <c r="D71" s="11" t="s">
        <v>7</v>
      </c>
      <c r="E71" s="11" t="s">
        <v>7</v>
      </c>
      <c r="F71" s="39" t="s">
        <v>7</v>
      </c>
      <c r="G71" s="39"/>
    </row>
    <row r="72" spans="1:7">
      <c r="A72" s="50">
        <v>1</v>
      </c>
      <c r="B72" s="51">
        <v>2</v>
      </c>
      <c r="C72" s="51"/>
      <c r="D72" s="51">
        <v>3</v>
      </c>
      <c r="E72" s="51">
        <v>4</v>
      </c>
      <c r="F72" s="52">
        <v>5</v>
      </c>
      <c r="G72" s="52"/>
    </row>
    <row r="73" spans="1:7">
      <c r="A73" s="27" t="s">
        <v>10</v>
      </c>
      <c r="B73" s="153">
        <v>17.044507860820072</v>
      </c>
      <c r="C73" s="253">
        <v>0</v>
      </c>
      <c r="D73" s="14">
        <v>0</v>
      </c>
      <c r="E73" s="14">
        <v>0</v>
      </c>
      <c r="F73" s="38">
        <v>0</v>
      </c>
      <c r="G73" s="38">
        <v>3.1946235424709659E-3</v>
      </c>
    </row>
    <row r="74" spans="1:7">
      <c r="A74" s="27" t="s">
        <v>58</v>
      </c>
      <c r="B74" s="153">
        <v>21.435705629189055</v>
      </c>
      <c r="C74" s="30">
        <f>B73</f>
        <v>17.044507860820072</v>
      </c>
      <c r="D74" s="14">
        <v>0</v>
      </c>
      <c r="E74" s="14">
        <v>0</v>
      </c>
      <c r="F74" s="38">
        <v>0</v>
      </c>
      <c r="G74" s="38">
        <v>2.3025627028895622E-2</v>
      </c>
    </row>
    <row r="75" spans="1:7">
      <c r="A75" s="27" t="s">
        <v>59</v>
      </c>
      <c r="B75" s="153">
        <v>24.918433724856058</v>
      </c>
      <c r="C75" s="30">
        <f t="shared" ref="C75:C123" si="1">B74</f>
        <v>21.435705629189055</v>
      </c>
      <c r="D75" s="14">
        <v>0</v>
      </c>
      <c r="E75" s="14">
        <v>0</v>
      </c>
      <c r="F75" s="38">
        <v>0</v>
      </c>
      <c r="G75" s="38">
        <v>3.3783960171054804E-2</v>
      </c>
    </row>
    <row r="76" spans="1:7">
      <c r="A76" s="27" t="s">
        <v>60</v>
      </c>
      <c r="B76" s="153">
        <v>27.83801665447503</v>
      </c>
      <c r="C76" s="30">
        <f t="shared" si="1"/>
        <v>24.918433724856058</v>
      </c>
      <c r="D76" s="14">
        <v>0</v>
      </c>
      <c r="E76" s="14">
        <v>0</v>
      </c>
      <c r="F76" s="38">
        <v>0</v>
      </c>
      <c r="G76" s="38">
        <v>4.4371216423977879E-2</v>
      </c>
    </row>
    <row r="77" spans="1:7">
      <c r="A77" s="27" t="s">
        <v>61</v>
      </c>
      <c r="B77" s="153">
        <v>33.960500546087879</v>
      </c>
      <c r="C77" s="30">
        <f t="shared" si="1"/>
        <v>27.83801665447503</v>
      </c>
      <c r="D77" s="14">
        <v>0</v>
      </c>
      <c r="E77" s="14">
        <v>0</v>
      </c>
      <c r="F77" s="38">
        <v>8.1678273118346171E-4</v>
      </c>
      <c r="G77" s="38">
        <v>0.10848486209546042</v>
      </c>
    </row>
    <row r="78" spans="1:7">
      <c r="A78" s="27" t="s">
        <v>62</v>
      </c>
      <c r="B78" s="153">
        <v>35.145895402359649</v>
      </c>
      <c r="C78" s="30">
        <f t="shared" si="1"/>
        <v>33.960500546087879</v>
      </c>
      <c r="D78" s="14">
        <v>2.5526131703714806E-2</v>
      </c>
      <c r="E78" s="14"/>
      <c r="F78" s="38"/>
      <c r="G78" s="38"/>
    </row>
    <row r="79" spans="1:7">
      <c r="A79" s="27" t="s">
        <v>63</v>
      </c>
      <c r="B79" s="153">
        <v>35.635751439172509</v>
      </c>
      <c r="C79" s="30">
        <f t="shared" si="1"/>
        <v>35.145895402359649</v>
      </c>
      <c r="D79" s="14">
        <v>3.8921440847570467E-2</v>
      </c>
      <c r="E79" s="14"/>
      <c r="F79" s="38"/>
      <c r="G79" s="38"/>
    </row>
    <row r="80" spans="1:7">
      <c r="A80" s="29" t="s">
        <v>11</v>
      </c>
      <c r="B80" s="153">
        <v>36.590859131945521</v>
      </c>
      <c r="C80" s="30">
        <f t="shared" si="1"/>
        <v>35.635751439172509</v>
      </c>
      <c r="D80" s="14">
        <v>6.4007857154322043E-2</v>
      </c>
      <c r="E80" s="14"/>
      <c r="F80" s="38"/>
      <c r="G80" s="38"/>
    </row>
    <row r="81" spans="1:7">
      <c r="A81" s="29" t="s">
        <v>12</v>
      </c>
      <c r="B81" s="153">
        <v>37.532053710523222</v>
      </c>
      <c r="C81" s="30">
        <f t="shared" si="1"/>
        <v>36.590859131945521</v>
      </c>
      <c r="D81" s="14">
        <v>8.7479813611388402E-2</v>
      </c>
      <c r="E81" s="14"/>
      <c r="F81" s="38"/>
      <c r="G81" s="38"/>
    </row>
    <row r="82" spans="1:7">
      <c r="A82" s="29" t="s">
        <v>13</v>
      </c>
      <c r="B82" s="153">
        <v>38.331418363401774</v>
      </c>
      <c r="C82" s="30">
        <f t="shared" si="1"/>
        <v>37.532053710523222</v>
      </c>
      <c r="D82" s="14">
        <v>0.10650953943895283</v>
      </c>
      <c r="E82" s="14">
        <v>1.0650953943895284E-2</v>
      </c>
      <c r="F82" s="38">
        <v>1.2126609240309068E-2</v>
      </c>
      <c r="G82" s="38">
        <v>0.14172622817807437</v>
      </c>
    </row>
    <row r="83" spans="1:7">
      <c r="A83" s="29" t="s">
        <v>14</v>
      </c>
      <c r="B83" s="153">
        <v>38.976884842426131</v>
      </c>
      <c r="C83" s="30">
        <f t="shared" si="1"/>
        <v>38.331418363401774</v>
      </c>
      <c r="D83" s="14">
        <v>0.12130595387668222</v>
      </c>
      <c r="E83" s="14">
        <v>1.2130595387668223E-2</v>
      </c>
      <c r="F83" s="38">
        <v>1.3581813481563631E-2</v>
      </c>
      <c r="G83" s="38">
        <v>0.14600330323925984</v>
      </c>
    </row>
    <row r="84" spans="1:7">
      <c r="A84" s="29" t="s">
        <v>15</v>
      </c>
      <c r="B84" s="153">
        <v>39.682644886744349</v>
      </c>
      <c r="C84" s="30">
        <f t="shared" si="1"/>
        <v>38.976884842426131</v>
      </c>
      <c r="D84" s="14">
        <v>0.13693362059859729</v>
      </c>
      <c r="E84" s="14">
        <v>1.3693362059859727E-2</v>
      </c>
      <c r="F84" s="38">
        <v>1.5118770086175565E-2</v>
      </c>
      <c r="G84" s="38">
        <v>0.15052066140614004</v>
      </c>
    </row>
    <row r="85" spans="1:7">
      <c r="A85" s="29" t="s">
        <v>16</v>
      </c>
      <c r="B85" s="153">
        <v>40.787808115488986</v>
      </c>
      <c r="C85" s="30">
        <f t="shared" si="1"/>
        <v>39.682644886744349</v>
      </c>
      <c r="D85" s="14">
        <v>0.16031877588273194</v>
      </c>
      <c r="E85" s="14">
        <v>1.6031877588273194E-2</v>
      </c>
      <c r="F85" s="38">
        <v>1.741866357017367E-2</v>
      </c>
      <c r="G85" s="38">
        <v>0.15728041153943453</v>
      </c>
    </row>
    <row r="86" spans="1:7">
      <c r="A86" s="29" t="s">
        <v>17</v>
      </c>
      <c r="B86" s="153">
        <v>42.347035129802542</v>
      </c>
      <c r="C86" s="30">
        <f t="shared" si="1"/>
        <v>40.787808115488986</v>
      </c>
      <c r="D86" s="14">
        <v>0.19123602059755987</v>
      </c>
      <c r="E86" s="14">
        <v>1.9123602059755988E-2</v>
      </c>
      <c r="F86" s="38">
        <v>2.0459326281147779E-2</v>
      </c>
      <c r="G86" s="38">
        <v>0.16621739940814217</v>
      </c>
    </row>
    <row r="87" spans="1:7">
      <c r="A87" s="29" t="s">
        <v>18</v>
      </c>
      <c r="B87" s="153">
        <v>43.161335684022241</v>
      </c>
      <c r="C87" s="30">
        <f t="shared" si="1"/>
        <v>42.347035129802542</v>
      </c>
      <c r="D87" s="14">
        <v>0.20649451402050861</v>
      </c>
      <c r="E87" s="14">
        <v>2.0649451402050861E-2</v>
      </c>
      <c r="F87" s="38">
        <v>2.1959975268622155E-2</v>
      </c>
      <c r="G87" s="38">
        <v>0.17062804375479859</v>
      </c>
    </row>
    <row r="88" spans="1:7">
      <c r="A88" s="29" t="s">
        <v>19</v>
      </c>
      <c r="B88" s="153">
        <v>43.953790642838612</v>
      </c>
      <c r="C88" s="30">
        <f t="shared" si="1"/>
        <v>43.161335684022241</v>
      </c>
      <c r="D88" s="14">
        <v>0.220800842280615</v>
      </c>
      <c r="E88" s="14">
        <v>2.20800842280615E-2</v>
      </c>
      <c r="F88" s="38">
        <v>2.3366980300043919E-2</v>
      </c>
      <c r="G88" s="38">
        <v>0.17476345372698804</v>
      </c>
    </row>
    <row r="89" spans="1:7">
      <c r="A89" s="29" t="s">
        <v>20</v>
      </c>
      <c r="B89" s="153">
        <v>44.649690498051676</v>
      </c>
      <c r="C89" s="30">
        <f t="shared" si="1"/>
        <v>43.953790642838612</v>
      </c>
      <c r="D89" s="14">
        <v>0.23294526198410037</v>
      </c>
      <c r="E89" s="14">
        <v>2.3294526198410038E-2</v>
      </c>
      <c r="F89" s="38">
        <v>2.4561365002801629E-2</v>
      </c>
      <c r="G89" s="38">
        <v>0.17827393897765106</v>
      </c>
    </row>
    <row r="90" spans="1:7">
      <c r="A90" s="29" t="s">
        <v>21</v>
      </c>
      <c r="B90" s="153">
        <v>46.327702333635955</v>
      </c>
      <c r="C90" s="30">
        <f t="shared" si="1"/>
        <v>44.649690498051676</v>
      </c>
      <c r="D90" s="14">
        <v>0.26072835641995729</v>
      </c>
      <c r="E90" s="14">
        <v>2.6072835641995733E-2</v>
      </c>
      <c r="F90" s="38">
        <v>2.7293788930800183E-2</v>
      </c>
      <c r="G90" s="38">
        <v>0.18630496438818286</v>
      </c>
    </row>
    <row r="91" spans="1:7">
      <c r="A91" s="29" t="s">
        <v>22</v>
      </c>
      <c r="B91" s="153">
        <v>46.81043736512887</v>
      </c>
      <c r="C91" s="30">
        <f t="shared" si="1"/>
        <v>46.327702333635955</v>
      </c>
      <c r="D91" s="14">
        <v>0.2683521330867244</v>
      </c>
      <c r="E91" s="14">
        <v>2.6835213308672442E-2</v>
      </c>
      <c r="F91" s="38">
        <v>2.8043575454187092E-2</v>
      </c>
      <c r="G91" s="38">
        <v>0.18850870538169889</v>
      </c>
    </row>
    <row r="92" spans="1:7">
      <c r="A92" s="29" t="s">
        <v>23</v>
      </c>
      <c r="B92" s="153">
        <v>47.041147542539797</v>
      </c>
      <c r="C92" s="30">
        <f t="shared" si="1"/>
        <v>46.81043736512887</v>
      </c>
      <c r="D92" s="14">
        <v>0.27194045135692052</v>
      </c>
      <c r="E92" s="14">
        <v>2.7194045135692055E-2</v>
      </c>
      <c r="F92" s="38">
        <v>2.8396480949483691E-2</v>
      </c>
      <c r="G92" s="38">
        <v>0.18954595036085531</v>
      </c>
    </row>
    <row r="93" spans="1:7">
      <c r="A93" s="29" t="s">
        <v>24</v>
      </c>
      <c r="B93" s="153">
        <v>48.688259067785275</v>
      </c>
      <c r="C93" s="30">
        <f t="shared" si="1"/>
        <v>47.041147542539797</v>
      </c>
      <c r="D93" s="14">
        <v>0.29657052227330882</v>
      </c>
      <c r="E93" s="14">
        <v>2.9657052227330883E-2</v>
      </c>
      <c r="F93" s="38">
        <v>3.0818809940792283E-2</v>
      </c>
      <c r="G93" s="38">
        <v>0.1966655577843332</v>
      </c>
    </row>
    <row r="94" spans="1:7">
      <c r="A94" s="29" t="s">
        <v>25</v>
      </c>
      <c r="B94" s="153">
        <v>49.47365041331048</v>
      </c>
      <c r="C94" s="30">
        <f t="shared" si="1"/>
        <v>48.688259067785275</v>
      </c>
      <c r="D94" s="14">
        <v>0.30773742464211445</v>
      </c>
      <c r="E94" s="14">
        <v>3.0773742464211447E-2</v>
      </c>
      <c r="F94" s="38">
        <v>3.1917057341008741E-2</v>
      </c>
      <c r="G94" s="38">
        <v>0.1998934803214665</v>
      </c>
    </row>
    <row r="95" spans="1:7">
      <c r="A95" s="29" t="s">
        <v>26</v>
      </c>
      <c r="B95" s="153">
        <v>50.357703178274924</v>
      </c>
      <c r="C95" s="30">
        <f t="shared" si="1"/>
        <v>49.47365041331048</v>
      </c>
      <c r="D95" s="14">
        <v>0.31989041425841946</v>
      </c>
      <c r="E95" s="14">
        <v>3.1989041425841948E-2</v>
      </c>
      <c r="F95" s="38">
        <v>3.3112284881302183E-2</v>
      </c>
      <c r="G95" s="38">
        <v>0.20340644280474235</v>
      </c>
    </row>
    <row r="96" spans="1:7">
      <c r="A96" s="29" t="s">
        <v>27</v>
      </c>
      <c r="B96" s="153">
        <v>51.429878307576963</v>
      </c>
      <c r="C96" s="30">
        <f t="shared" si="1"/>
        <v>50.357703178274924</v>
      </c>
      <c r="D96" s="14">
        <v>0.33406887640976013</v>
      </c>
      <c r="E96" s="14">
        <v>3.3406887640976012E-2</v>
      </c>
      <c r="F96" s="38">
        <v>3.4506714480711569E-2</v>
      </c>
      <c r="G96" s="38">
        <v>0.20750489159641913</v>
      </c>
    </row>
    <row r="97" spans="1:7">
      <c r="A97" s="29" t="s">
        <v>28</v>
      </c>
      <c r="B97" s="153">
        <v>52.628162195710701</v>
      </c>
      <c r="C97" s="30">
        <f t="shared" si="1"/>
        <v>51.429878307576963</v>
      </c>
      <c r="D97" s="14">
        <v>0.34923137691733092</v>
      </c>
      <c r="E97" s="14">
        <v>3.4923137691733094E-2</v>
      </c>
      <c r="F97" s="38">
        <v>3.5997922714942898E-2</v>
      </c>
      <c r="G97" s="38">
        <v>0.21188778807847353</v>
      </c>
    </row>
    <row r="98" spans="1:7">
      <c r="A98" s="29" t="s">
        <v>29</v>
      </c>
      <c r="B98" s="153">
        <v>53.973776626151313</v>
      </c>
      <c r="C98" s="30">
        <f t="shared" si="1"/>
        <v>52.628162195710701</v>
      </c>
      <c r="D98" s="14">
        <v>0.36545561959286976</v>
      </c>
      <c r="E98" s="14">
        <v>3.654556195928698E-2</v>
      </c>
      <c r="F98" s="38">
        <v>3.7593551632472091E-2</v>
      </c>
      <c r="G98" s="38">
        <v>0.21657759343815747</v>
      </c>
    </row>
    <row r="99" spans="1:7">
      <c r="A99" s="29" t="s">
        <v>30</v>
      </c>
      <c r="B99" s="153">
        <v>55.444671731317847</v>
      </c>
      <c r="C99" s="30">
        <f t="shared" si="1"/>
        <v>53.973776626151313</v>
      </c>
      <c r="D99" s="14">
        <v>0.38228948647325711</v>
      </c>
      <c r="E99" s="14">
        <v>3.8228948647325713E-2</v>
      </c>
      <c r="F99" s="38">
        <v>3.9249136138039202E-2</v>
      </c>
      <c r="G99" s="38">
        <v>0.22144361773887106</v>
      </c>
    </row>
    <row r="100" spans="1:7">
      <c r="A100" s="29" t="s">
        <v>31</v>
      </c>
      <c r="B100" s="153">
        <v>56.808112241970015</v>
      </c>
      <c r="C100" s="30">
        <f t="shared" si="1"/>
        <v>55.444671731317847</v>
      </c>
      <c r="D100" s="14">
        <v>0.39711503699341483</v>
      </c>
      <c r="E100" s="14">
        <v>3.9711503699341476E-2</v>
      </c>
      <c r="F100" s="38">
        <v>4.4243235204861051E-2</v>
      </c>
      <c r="G100" s="38">
        <v>0.22572911492232534</v>
      </c>
    </row>
    <row r="101" spans="1:7">
      <c r="A101" s="29" t="s">
        <v>32</v>
      </c>
      <c r="B101" s="153">
        <v>59.038115885943824</v>
      </c>
      <c r="C101" s="30">
        <f t="shared" si="1"/>
        <v>56.808112241970015</v>
      </c>
      <c r="D101" s="14">
        <v>0.41988737049740105</v>
      </c>
      <c r="E101" s="14">
        <v>5.1932422298440584E-2</v>
      </c>
      <c r="F101" s="38">
        <v>5.7680975721413966E-2</v>
      </c>
      <c r="G101" s="38">
        <v>0.23231172181839468</v>
      </c>
    </row>
    <row r="102" spans="1:7">
      <c r="A102" s="29" t="s">
        <v>33</v>
      </c>
      <c r="B102" s="153">
        <v>60.41841094525963</v>
      </c>
      <c r="C102" s="30">
        <f t="shared" si="1"/>
        <v>59.038115885943824</v>
      </c>
      <c r="D102" s="14">
        <v>0.43314039360445716</v>
      </c>
      <c r="E102" s="14">
        <v>5.9884236162674256E-2</v>
      </c>
      <c r="F102" s="38">
        <v>6.5501460413565762E-2</v>
      </c>
      <c r="G102" s="38">
        <v>0.23614266172988874</v>
      </c>
    </row>
    <row r="103" spans="1:7">
      <c r="A103" s="29" t="s">
        <v>34</v>
      </c>
      <c r="B103" s="153">
        <v>64.15804296193707</v>
      </c>
      <c r="C103" s="30">
        <f t="shared" si="1"/>
        <v>60.41841094525963</v>
      </c>
      <c r="D103" s="14">
        <v>0.46618140039289024</v>
      </c>
      <c r="E103" s="14">
        <v>7.9708840235734102E-2</v>
      </c>
      <c r="F103" s="38">
        <v>8.4998648769379473E-2</v>
      </c>
      <c r="G103" s="38">
        <v>0.24569354763714732</v>
      </c>
    </row>
    <row r="104" spans="1:7">
      <c r="A104" s="29" t="s">
        <v>35</v>
      </c>
      <c r="B104" s="153">
        <v>67.69795399654366</v>
      </c>
      <c r="C104" s="30">
        <f t="shared" si="1"/>
        <v>64.15804296193707</v>
      </c>
      <c r="D104" s="14">
        <v>0.49409465684557302</v>
      </c>
      <c r="E104" s="14">
        <v>9.6456794107343785E-2</v>
      </c>
      <c r="F104" s="38">
        <v>0.10146999972326783</v>
      </c>
      <c r="G104" s="38">
        <v>0.25376219788702259</v>
      </c>
    </row>
    <row r="105" spans="1:7">
      <c r="A105" s="29" t="s">
        <v>36</v>
      </c>
      <c r="B105" s="153">
        <v>69.171996770982631</v>
      </c>
      <c r="C105" s="30">
        <f t="shared" si="1"/>
        <v>67.69795399654366</v>
      </c>
      <c r="D105" s="14">
        <v>0.50487540845660184</v>
      </c>
      <c r="E105" s="14">
        <v>0.10292524507396109</v>
      </c>
      <c r="F105" s="38">
        <v>0.10783162018245603</v>
      </c>
      <c r="G105" s="38">
        <v>0.25687849907271998</v>
      </c>
    </row>
    <row r="106" spans="1:7">
      <c r="A106" s="29" t="s">
        <v>37</v>
      </c>
      <c r="B106" s="153">
        <v>70.345471418812238</v>
      </c>
      <c r="C106" s="30">
        <f t="shared" si="1"/>
        <v>69.171996770982631</v>
      </c>
      <c r="D106" s="14">
        <v>0.5131348762513942</v>
      </c>
      <c r="E106" s="14">
        <v>0.10788092575083651</v>
      </c>
      <c r="F106" s="38">
        <v>0.11270545469800169</v>
      </c>
      <c r="G106" s="38">
        <v>0.25926599395348604</v>
      </c>
    </row>
    <row r="107" spans="1:7">
      <c r="A107" s="29" t="s">
        <v>38</v>
      </c>
      <c r="B107" s="153">
        <v>71.283317056770429</v>
      </c>
      <c r="C107" s="30">
        <f t="shared" si="1"/>
        <v>70.345471418812238</v>
      </c>
      <c r="D107" s="14">
        <v>0.51954036285659755</v>
      </c>
      <c r="E107" s="14">
        <v>0.1117242177139585</v>
      </c>
      <c r="F107" s="38">
        <v>0.11648527229411719</v>
      </c>
      <c r="G107" s="38">
        <v>0.26111757408657649</v>
      </c>
    </row>
    <row r="108" spans="1:7">
      <c r="A108" s="29" t="s">
        <v>39</v>
      </c>
      <c r="B108" s="153">
        <v>71.903468961970347</v>
      </c>
      <c r="C108" s="30">
        <f t="shared" si="1"/>
        <v>71.283317056770429</v>
      </c>
      <c r="D108" s="14">
        <v>0.52368422355827982</v>
      </c>
      <c r="E108" s="14">
        <v>0.11421053413496787</v>
      </c>
      <c r="F108" s="38">
        <v>0.11893052564666449</v>
      </c>
      <c r="G108" s="38">
        <v>0.26231540504344658</v>
      </c>
    </row>
    <row r="109" spans="1:7">
      <c r="A109" s="29" t="s">
        <v>40</v>
      </c>
      <c r="B109" s="153">
        <v>72.791922534017445</v>
      </c>
      <c r="C109" s="30">
        <f t="shared" si="1"/>
        <v>71.903468961970347</v>
      </c>
      <c r="D109" s="14">
        <v>0.52949784185918769</v>
      </c>
      <c r="E109" s="14">
        <v>0.11769870511551261</v>
      </c>
      <c r="F109" s="38">
        <v>0.12236108730501227</v>
      </c>
      <c r="G109" s="38">
        <v>0.26399589878432617</v>
      </c>
    </row>
    <row r="110" spans="1:7">
      <c r="A110" s="29" t="s">
        <v>41</v>
      </c>
      <c r="B110" s="153">
        <v>73.848160465970821</v>
      </c>
      <c r="C110" s="30">
        <f t="shared" si="1"/>
        <v>72.791922534017445</v>
      </c>
      <c r="D110" s="14">
        <v>0.53622735581537151</v>
      </c>
      <c r="E110" s="14">
        <v>0.12173641348922291</v>
      </c>
      <c r="F110" s="38">
        <v>0.12633211040327708</v>
      </c>
      <c r="G110" s="38">
        <v>0.26594114277820219</v>
      </c>
    </row>
    <row r="111" spans="1:7">
      <c r="A111" s="29" t="s">
        <v>42</v>
      </c>
      <c r="B111" s="153">
        <v>74.877883434194587</v>
      </c>
      <c r="C111" s="30">
        <f t="shared" si="1"/>
        <v>73.848160465970821</v>
      </c>
      <c r="D111" s="14">
        <v>0.54260517155812649</v>
      </c>
      <c r="E111" s="14">
        <v>0.12556310293487588</v>
      </c>
      <c r="F111" s="38">
        <v>0.1300955996828683</v>
      </c>
      <c r="G111" s="38">
        <v>0.26778472432783873</v>
      </c>
    </row>
    <row r="112" spans="1:7">
      <c r="A112" s="29" t="s">
        <v>43</v>
      </c>
      <c r="B112" s="153">
        <v>76.078416875019343</v>
      </c>
      <c r="C112" s="30">
        <f t="shared" si="1"/>
        <v>74.877883434194587</v>
      </c>
      <c r="D112" s="14">
        <v>0.5498229582808295</v>
      </c>
      <c r="E112" s="14">
        <v>0.12989377496849766</v>
      </c>
      <c r="F112" s="38">
        <v>0.13435474796323776</v>
      </c>
      <c r="G112" s="38">
        <v>0.2698711092232165</v>
      </c>
    </row>
    <row r="113" spans="1:7">
      <c r="A113" s="29" t="s">
        <v>44</v>
      </c>
      <c r="B113" s="153">
        <v>77.617113623713394</v>
      </c>
      <c r="C113" s="30">
        <f t="shared" si="1"/>
        <v>76.078416875019343</v>
      </c>
      <c r="D113" s="14">
        <v>0.55874735546710108</v>
      </c>
      <c r="E113" s="14">
        <v>0.13524841328026063</v>
      </c>
      <c r="F113" s="38">
        <v>0.13962095107917144</v>
      </c>
      <c r="G113" s="38">
        <v>0.27245080965011081</v>
      </c>
    </row>
    <row r="114" spans="1:7">
      <c r="A114" s="29" t="s">
        <v>45</v>
      </c>
      <c r="B114" s="153">
        <v>79.180499222179307</v>
      </c>
      <c r="C114" s="30">
        <f t="shared" si="1"/>
        <v>77.617113623713394</v>
      </c>
      <c r="D114" s="14">
        <v>0.56745970303404469</v>
      </c>
      <c r="E114" s="14">
        <v>0.14047582182042678</v>
      </c>
      <c r="F114" s="38">
        <v>0.14476202570264449</v>
      </c>
      <c r="G114" s="38">
        <v>0.27496921467720553</v>
      </c>
    </row>
    <row r="115" spans="1:7">
      <c r="A115" s="29" t="s">
        <v>46</v>
      </c>
      <c r="B115" s="153">
        <v>82.152231538001359</v>
      </c>
      <c r="C115" s="30">
        <f t="shared" si="1"/>
        <v>79.180499222179307</v>
      </c>
      <c r="D115" s="14">
        <v>0.58310619192819491</v>
      </c>
      <c r="E115" s="14">
        <v>0.14986371515691693</v>
      </c>
      <c r="F115" s="38">
        <v>0.15399487211769958</v>
      </c>
      <c r="G115" s="38">
        <v>0.27949201361109066</v>
      </c>
    </row>
    <row r="116" spans="1:7">
      <c r="A116" s="29" t="s">
        <v>47</v>
      </c>
      <c r="B116" s="153">
        <v>85.535095061189054</v>
      </c>
      <c r="C116" s="30">
        <f t="shared" si="1"/>
        <v>82.152231538001359</v>
      </c>
      <c r="D116" s="14">
        <v>0.59959410084277598</v>
      </c>
      <c r="E116" s="14">
        <v>0.15975646050566561</v>
      </c>
      <c r="F116" s="38">
        <v>0.16372423259873753</v>
      </c>
      <c r="G116" s="38">
        <v>0.28425803475266082</v>
      </c>
    </row>
    <row r="117" spans="1:7">
      <c r="A117" s="29" t="s">
        <v>48</v>
      </c>
      <c r="B117" s="153">
        <v>91.373673562251909</v>
      </c>
      <c r="C117" s="30">
        <f t="shared" si="1"/>
        <v>85.535095061189054</v>
      </c>
      <c r="D117" s="14">
        <v>0.62517916471705914</v>
      </c>
      <c r="E117" s="14">
        <v>0.17510749883023546</v>
      </c>
      <c r="F117" s="38">
        <v>0.17882173893825543</v>
      </c>
      <c r="G117" s="38">
        <v>0.29165369395753543</v>
      </c>
    </row>
    <row r="118" spans="1:7">
      <c r="A118" s="29" t="s">
        <v>49</v>
      </c>
      <c r="B118" s="153">
        <v>93.196991242353832</v>
      </c>
      <c r="C118" s="30">
        <f t="shared" si="1"/>
        <v>91.373673562251909</v>
      </c>
      <c r="D118" s="14">
        <v>0.63251220676843567</v>
      </c>
      <c r="E118" s="14">
        <v>0.1795073240610614</v>
      </c>
      <c r="F118" s="38">
        <v>0.18314889830758929</v>
      </c>
      <c r="G118" s="38">
        <v>0.29377339474130049</v>
      </c>
    </row>
    <row r="119" spans="1:7">
      <c r="A119" s="29" t="s">
        <v>50</v>
      </c>
      <c r="B119" s="153">
        <v>95.925547821830378</v>
      </c>
      <c r="C119" s="30">
        <f t="shared" si="1"/>
        <v>93.196991242353832</v>
      </c>
      <c r="D119" s="14">
        <v>0.64296522224624886</v>
      </c>
      <c r="E119" s="14">
        <v>0.18577913334774931</v>
      </c>
      <c r="F119" s="38">
        <v>0.18931712474699997</v>
      </c>
      <c r="G119" s="38">
        <v>0.2967949599997281</v>
      </c>
    </row>
    <row r="120" spans="1:7">
      <c r="A120" s="29" t="s">
        <v>51</v>
      </c>
      <c r="B120" s="153">
        <v>102.68099408175645</v>
      </c>
      <c r="C120" s="30">
        <f t="shared" si="1"/>
        <v>95.925547821830378</v>
      </c>
      <c r="D120" s="14">
        <v>0.66645476162604589</v>
      </c>
      <c r="E120" s="14">
        <v>0.19987285697562748</v>
      </c>
      <c r="F120" s="38">
        <v>0.20317808172726765</v>
      </c>
      <c r="G120" s="38">
        <v>0.30358488356552682</v>
      </c>
    </row>
    <row r="121" spans="1:7">
      <c r="A121" s="29" t="s">
        <v>52</v>
      </c>
      <c r="B121" s="153">
        <v>116.01238105595549</v>
      </c>
      <c r="C121" s="30">
        <f t="shared" si="1"/>
        <v>102.68099408175645</v>
      </c>
      <c r="D121" s="14">
        <v>0.70478360726899447</v>
      </c>
      <c r="E121" s="14">
        <v>0.22287016436139662</v>
      </c>
      <c r="F121" s="38">
        <v>0.22579557421914576</v>
      </c>
      <c r="G121" s="38">
        <v>0.31466428057170037</v>
      </c>
    </row>
    <row r="122" spans="1:7">
      <c r="A122" s="29" t="s">
        <v>53</v>
      </c>
      <c r="B122" s="153">
        <v>140.23891955523251</v>
      </c>
      <c r="C122" s="30">
        <f>B121</f>
        <v>116.01238105595549</v>
      </c>
      <c r="D122" s="14">
        <v>0.75578279727130027</v>
      </c>
      <c r="E122" s="14">
        <v>0.25346967836278017</v>
      </c>
      <c r="F122" s="38">
        <v>0.2558897181366061</v>
      </c>
      <c r="G122" s="38">
        <v>0.3294061874449844</v>
      </c>
    </row>
    <row r="123" spans="1:7">
      <c r="A123" s="29" t="s">
        <v>53</v>
      </c>
      <c r="B123" s="29" t="s">
        <v>158</v>
      </c>
      <c r="C123" s="30">
        <f t="shared" si="1"/>
        <v>140.23891955523251</v>
      </c>
      <c r="D123" s="11" t="s">
        <v>81</v>
      </c>
      <c r="E123" s="11"/>
      <c r="F123" s="39"/>
      <c r="G123" s="39"/>
    </row>
    <row r="124" spans="1:7">
      <c r="A124" s="29"/>
      <c r="B124" s="29"/>
      <c r="C124" s="29"/>
      <c r="D124" s="11"/>
      <c r="E124" s="32">
        <v>7.072304451460458E-2</v>
      </c>
      <c r="F124" s="40">
        <v>7.3308534152200455E-2</v>
      </c>
      <c r="G124" s="40">
        <v>0.20536084032284438</v>
      </c>
    </row>
    <row r="125" spans="1:7" ht="60">
      <c r="A125" s="33" t="s">
        <v>55</v>
      </c>
      <c r="B125" s="29">
        <v>27.5</v>
      </c>
      <c r="C125" s="29"/>
      <c r="D125" s="11"/>
      <c r="E125" s="34">
        <v>57.081261079123394</v>
      </c>
      <c r="F125" s="41">
        <v>56.138528403673277</v>
      </c>
      <c r="G125" s="42">
        <v>27.5</v>
      </c>
    </row>
    <row r="126" spans="1:7" ht="60">
      <c r="A126" s="33" t="s">
        <v>56</v>
      </c>
      <c r="B126" s="29">
        <v>59.371217996301517</v>
      </c>
      <c r="C126" s="29"/>
      <c r="D126" s="11"/>
      <c r="E126" s="11"/>
      <c r="F126" s="39"/>
      <c r="G126" s="39"/>
    </row>
    <row r="127" spans="1:7" ht="96.75">
      <c r="A127" s="35" t="s">
        <v>57</v>
      </c>
      <c r="B127" s="29">
        <v>16.5</v>
      </c>
      <c r="C127" s="29"/>
      <c r="D127" s="11"/>
      <c r="E127" s="11">
        <v>34.248756647474032</v>
      </c>
      <c r="F127" s="39">
        <v>33.683117042203968</v>
      </c>
      <c r="G127" s="39">
        <v>16.5</v>
      </c>
    </row>
    <row r="129" spans="1:7" ht="60.75" thickBot="1">
      <c r="A129" s="5" t="s">
        <v>56</v>
      </c>
      <c r="B129">
        <f>B126</f>
        <v>59.371217996301517</v>
      </c>
    </row>
    <row r="130" spans="1:7">
      <c r="A130" s="16" t="s">
        <v>64</v>
      </c>
      <c r="B130" s="17">
        <f>AVERAGE(B78:B117)</f>
        <v>57.081261079123394</v>
      </c>
      <c r="C130" s="17"/>
    </row>
    <row r="131" spans="1:7">
      <c r="A131" s="16" t="s">
        <v>65</v>
      </c>
      <c r="B131" s="18">
        <f>AVERAGE(B83:B112)</f>
        <v>56.138528403673277</v>
      </c>
      <c r="C131" s="18"/>
    </row>
    <row r="132" spans="1:7">
      <c r="A132" s="16" t="s">
        <v>66</v>
      </c>
      <c r="B132" s="18">
        <f>AVERAGE(B89:B107)</f>
        <v>56.091921080931762</v>
      </c>
      <c r="C132" s="18"/>
    </row>
    <row r="133" spans="1:7" ht="15.75" thickBot="1"/>
    <row r="134" spans="1:7" ht="15.75" thickBot="1">
      <c r="A134" s="522" t="s">
        <v>0</v>
      </c>
      <c r="B134" s="467" t="s">
        <v>78</v>
      </c>
      <c r="C134" s="468"/>
      <c r="D134" s="469"/>
      <c r="E134" s="19">
        <f>(1-E189)^(1/3)-1</f>
        <v>0</v>
      </c>
      <c r="F134" s="19">
        <f>(1-F189)^(1/3)-1</f>
        <v>0</v>
      </c>
      <c r="G134" s="19"/>
    </row>
    <row r="135" spans="1:7" ht="72.75" thickBot="1">
      <c r="A135" s="523"/>
      <c r="B135" s="1" t="s">
        <v>4</v>
      </c>
      <c r="C135" s="254"/>
      <c r="D135" s="11" t="s">
        <v>80</v>
      </c>
      <c r="E135" s="11" t="s">
        <v>5</v>
      </c>
      <c r="F135" s="39" t="s">
        <v>5</v>
      </c>
      <c r="G135" s="39"/>
    </row>
    <row r="136" spans="1:7" ht="24.75" thickBot="1">
      <c r="A136" s="524"/>
      <c r="B136" s="1" t="s">
        <v>9</v>
      </c>
      <c r="C136" s="254"/>
      <c r="D136" s="11" t="s">
        <v>7</v>
      </c>
      <c r="E136" s="11" t="s">
        <v>7</v>
      </c>
      <c r="F136" s="39" t="s">
        <v>7</v>
      </c>
      <c r="G136" s="39"/>
    </row>
    <row r="137" spans="1:7">
      <c r="A137" s="50">
        <v>1</v>
      </c>
      <c r="B137" s="51">
        <v>2</v>
      </c>
      <c r="C137" s="51"/>
      <c r="D137" s="51">
        <v>3</v>
      </c>
      <c r="E137" s="51">
        <v>4</v>
      </c>
      <c r="F137" s="52">
        <v>5</v>
      </c>
      <c r="G137" s="52"/>
    </row>
    <row r="138" spans="1:7" ht="15.75" thickBot="1">
      <c r="A138" s="8" t="s">
        <v>10</v>
      </c>
      <c r="B138" s="230"/>
      <c r="C138" s="255">
        <v>0</v>
      </c>
      <c r="D138" s="14">
        <f t="shared" ref="D138:D186" si="2">IF(B138=0,0,IF(B138&lt;=E$192,0,B138-E$192)/B138)</f>
        <v>0</v>
      </c>
      <c r="E138" s="14"/>
      <c r="F138" s="38"/>
      <c r="G138" s="38"/>
    </row>
    <row r="139" spans="1:7" ht="15.75" thickBot="1">
      <c r="A139" s="8" t="s">
        <v>58</v>
      </c>
      <c r="B139" s="230"/>
      <c r="C139" s="30">
        <f>B138</f>
        <v>0</v>
      </c>
      <c r="D139" s="14">
        <f t="shared" si="2"/>
        <v>0</v>
      </c>
      <c r="E139" s="14"/>
      <c r="F139" s="38"/>
      <c r="G139" s="38"/>
    </row>
    <row r="140" spans="1:7" ht="15.75" thickBot="1">
      <c r="A140" s="8" t="s">
        <v>59</v>
      </c>
      <c r="B140" s="230"/>
      <c r="C140" s="30">
        <f t="shared" ref="C140:C188" si="3">B139</f>
        <v>0</v>
      </c>
      <c r="D140" s="14">
        <f t="shared" si="2"/>
        <v>0</v>
      </c>
      <c r="E140" s="14"/>
      <c r="F140" s="38"/>
      <c r="G140" s="38"/>
    </row>
    <row r="141" spans="1:7" ht="15.75" thickBot="1">
      <c r="A141" s="8" t="s">
        <v>60</v>
      </c>
      <c r="B141" s="230"/>
      <c r="C141" s="30">
        <f t="shared" si="3"/>
        <v>0</v>
      </c>
      <c r="D141" s="14">
        <f t="shared" si="2"/>
        <v>0</v>
      </c>
      <c r="E141" s="14"/>
      <c r="F141" s="38"/>
      <c r="G141" s="38"/>
    </row>
    <row r="142" spans="1:7" ht="15.75" thickBot="1">
      <c r="A142" s="8" t="s">
        <v>61</v>
      </c>
      <c r="B142" s="230"/>
      <c r="C142" s="30">
        <f t="shared" si="3"/>
        <v>0</v>
      </c>
      <c r="D142" s="14">
        <f t="shared" si="2"/>
        <v>0</v>
      </c>
      <c r="E142" s="14"/>
      <c r="F142" s="38"/>
      <c r="G142" s="38"/>
    </row>
    <row r="143" spans="1:7" ht="15.75" thickBot="1">
      <c r="A143" s="8" t="s">
        <v>62</v>
      </c>
      <c r="B143" s="230"/>
      <c r="C143" s="30">
        <f t="shared" si="3"/>
        <v>0</v>
      </c>
      <c r="D143" s="14">
        <f t="shared" si="2"/>
        <v>0</v>
      </c>
      <c r="E143" s="14"/>
      <c r="F143" s="38"/>
      <c r="G143" s="38"/>
    </row>
    <row r="144" spans="1:7" ht="15.75" thickBot="1">
      <c r="A144" s="8" t="s">
        <v>63</v>
      </c>
      <c r="B144" s="230"/>
      <c r="C144" s="30">
        <f t="shared" si="3"/>
        <v>0</v>
      </c>
      <c r="D144" s="14">
        <f t="shared" si="2"/>
        <v>0</v>
      </c>
      <c r="E144" s="14"/>
      <c r="F144" s="38"/>
      <c r="G144" s="38"/>
    </row>
    <row r="145" spans="1:7" ht="15.75" thickBot="1">
      <c r="A145" s="3" t="s">
        <v>11</v>
      </c>
      <c r="B145" s="230"/>
      <c r="C145" s="30">
        <f t="shared" si="3"/>
        <v>0</v>
      </c>
      <c r="D145" s="14">
        <f t="shared" si="2"/>
        <v>0</v>
      </c>
      <c r="E145" s="14"/>
      <c r="F145" s="38"/>
      <c r="G145" s="38"/>
    </row>
    <row r="146" spans="1:7" ht="15.75" thickBot="1">
      <c r="A146" s="3" t="s">
        <v>12</v>
      </c>
      <c r="B146" s="230"/>
      <c r="C146" s="30">
        <f t="shared" si="3"/>
        <v>0</v>
      </c>
      <c r="D146" s="14">
        <f t="shared" si="2"/>
        <v>0</v>
      </c>
      <c r="E146" s="14"/>
      <c r="F146" s="38"/>
      <c r="G146" s="38"/>
    </row>
    <row r="147" spans="1:7" ht="15.75" thickBot="1">
      <c r="A147" s="3" t="s">
        <v>13</v>
      </c>
      <c r="B147" s="230"/>
      <c r="C147" s="30">
        <f t="shared" si="3"/>
        <v>0</v>
      </c>
      <c r="D147" s="14">
        <f t="shared" si="2"/>
        <v>0</v>
      </c>
      <c r="E147" s="14"/>
      <c r="F147" s="38"/>
      <c r="G147" s="38"/>
    </row>
    <row r="148" spans="1:7" ht="15.75" thickBot="1">
      <c r="A148" s="3" t="s">
        <v>14</v>
      </c>
      <c r="B148" s="230"/>
      <c r="C148" s="30">
        <f t="shared" si="3"/>
        <v>0</v>
      </c>
      <c r="D148" s="14">
        <f t="shared" si="2"/>
        <v>0</v>
      </c>
      <c r="E148" s="14"/>
      <c r="F148" s="38"/>
      <c r="G148" s="38"/>
    </row>
    <row r="149" spans="1:7" ht="15.75" thickBot="1">
      <c r="A149" s="3" t="s">
        <v>15</v>
      </c>
      <c r="B149" s="230"/>
      <c r="C149" s="30">
        <f t="shared" si="3"/>
        <v>0</v>
      </c>
      <c r="D149" s="14">
        <f t="shared" si="2"/>
        <v>0</v>
      </c>
      <c r="E149" s="14"/>
      <c r="F149" s="38"/>
      <c r="G149" s="38"/>
    </row>
    <row r="150" spans="1:7" ht="15.75" thickBot="1">
      <c r="A150" s="3" t="s">
        <v>16</v>
      </c>
      <c r="B150" s="230"/>
      <c r="C150" s="30">
        <f t="shared" si="3"/>
        <v>0</v>
      </c>
      <c r="D150" s="14">
        <f t="shared" si="2"/>
        <v>0</v>
      </c>
      <c r="E150" s="14"/>
      <c r="F150" s="38"/>
      <c r="G150" s="38"/>
    </row>
    <row r="151" spans="1:7" ht="15.75" thickBot="1">
      <c r="A151" s="3" t="s">
        <v>17</v>
      </c>
      <c r="B151" s="230"/>
      <c r="C151" s="30">
        <f t="shared" si="3"/>
        <v>0</v>
      </c>
      <c r="D151" s="14">
        <f t="shared" si="2"/>
        <v>0</v>
      </c>
      <c r="E151" s="14"/>
      <c r="F151" s="38"/>
      <c r="G151" s="38"/>
    </row>
    <row r="152" spans="1:7" ht="15.75" thickBot="1">
      <c r="A152" s="3" t="s">
        <v>18</v>
      </c>
      <c r="B152" s="230"/>
      <c r="C152" s="30">
        <f t="shared" si="3"/>
        <v>0</v>
      </c>
      <c r="D152" s="14">
        <f t="shared" si="2"/>
        <v>0</v>
      </c>
      <c r="E152" s="14"/>
      <c r="F152" s="38"/>
      <c r="G152" s="38"/>
    </row>
    <row r="153" spans="1:7" ht="15.75" thickBot="1">
      <c r="A153" s="3" t="s">
        <v>19</v>
      </c>
      <c r="B153" s="230"/>
      <c r="C153" s="30">
        <f t="shared" si="3"/>
        <v>0</v>
      </c>
      <c r="D153" s="14">
        <f t="shared" si="2"/>
        <v>0</v>
      </c>
      <c r="E153" s="14"/>
      <c r="F153" s="38"/>
      <c r="G153" s="38"/>
    </row>
    <row r="154" spans="1:7" ht="15.75" thickBot="1">
      <c r="A154" s="3" t="s">
        <v>20</v>
      </c>
      <c r="B154" s="230"/>
      <c r="C154" s="30">
        <f t="shared" si="3"/>
        <v>0</v>
      </c>
      <c r="D154" s="14">
        <f t="shared" si="2"/>
        <v>0</v>
      </c>
      <c r="E154" s="14"/>
      <c r="F154" s="38"/>
      <c r="G154" s="38"/>
    </row>
    <row r="155" spans="1:7" ht="15.75" thickBot="1">
      <c r="A155" s="3" t="s">
        <v>21</v>
      </c>
      <c r="B155" s="230"/>
      <c r="C155" s="30">
        <f t="shared" si="3"/>
        <v>0</v>
      </c>
      <c r="D155" s="14">
        <f t="shared" si="2"/>
        <v>0</v>
      </c>
      <c r="E155" s="14"/>
      <c r="F155" s="38"/>
      <c r="G155" s="38"/>
    </row>
    <row r="156" spans="1:7" ht="15.75" thickBot="1">
      <c r="A156" s="3" t="s">
        <v>22</v>
      </c>
      <c r="B156" s="230"/>
      <c r="C156" s="30">
        <f t="shared" si="3"/>
        <v>0</v>
      </c>
      <c r="D156" s="14">
        <f t="shared" si="2"/>
        <v>0</v>
      </c>
      <c r="E156" s="14"/>
      <c r="F156" s="38"/>
      <c r="G156" s="38"/>
    </row>
    <row r="157" spans="1:7" ht="15.75" thickBot="1">
      <c r="A157" s="3" t="s">
        <v>23</v>
      </c>
      <c r="B157" s="230"/>
      <c r="C157" s="30">
        <f t="shared" si="3"/>
        <v>0</v>
      </c>
      <c r="D157" s="14">
        <f t="shared" si="2"/>
        <v>0</v>
      </c>
      <c r="E157" s="14"/>
      <c r="F157" s="38"/>
      <c r="G157" s="38"/>
    </row>
    <row r="158" spans="1:7" ht="15.75" thickBot="1">
      <c r="A158" s="3" t="s">
        <v>24</v>
      </c>
      <c r="B158" s="230"/>
      <c r="C158" s="30">
        <f t="shared" si="3"/>
        <v>0</v>
      </c>
      <c r="D158" s="14">
        <f t="shared" si="2"/>
        <v>0</v>
      </c>
      <c r="E158" s="14"/>
      <c r="F158" s="38"/>
      <c r="G158" s="38"/>
    </row>
    <row r="159" spans="1:7" ht="15.75" thickBot="1">
      <c r="A159" s="3" t="s">
        <v>25</v>
      </c>
      <c r="B159" s="230"/>
      <c r="C159" s="30">
        <f t="shared" si="3"/>
        <v>0</v>
      </c>
      <c r="D159" s="14">
        <f t="shared" si="2"/>
        <v>0</v>
      </c>
      <c r="E159" s="14"/>
      <c r="F159" s="38"/>
      <c r="G159" s="38"/>
    </row>
    <row r="160" spans="1:7" ht="15.75" thickBot="1">
      <c r="A160" s="3" t="s">
        <v>26</v>
      </c>
      <c r="B160" s="230"/>
      <c r="C160" s="30">
        <f t="shared" si="3"/>
        <v>0</v>
      </c>
      <c r="D160" s="14">
        <f t="shared" si="2"/>
        <v>0</v>
      </c>
      <c r="E160" s="14"/>
      <c r="F160" s="38"/>
      <c r="G160" s="38"/>
    </row>
    <row r="161" spans="1:7" ht="15.75" thickBot="1">
      <c r="A161" s="3" t="s">
        <v>27</v>
      </c>
      <c r="B161" s="230"/>
      <c r="C161" s="30">
        <f t="shared" si="3"/>
        <v>0</v>
      </c>
      <c r="D161" s="14">
        <f t="shared" si="2"/>
        <v>0</v>
      </c>
      <c r="E161" s="14"/>
      <c r="F161" s="38"/>
      <c r="G161" s="38"/>
    </row>
    <row r="162" spans="1:7" ht="15.75" thickBot="1">
      <c r="A162" s="3" t="s">
        <v>28</v>
      </c>
      <c r="B162" s="230"/>
      <c r="C162" s="30">
        <f t="shared" si="3"/>
        <v>0</v>
      </c>
      <c r="D162" s="14">
        <f t="shared" si="2"/>
        <v>0</v>
      </c>
      <c r="E162" s="14"/>
      <c r="F162" s="38"/>
      <c r="G162" s="38"/>
    </row>
    <row r="163" spans="1:7" ht="15.75" thickBot="1">
      <c r="A163" s="3" t="s">
        <v>29</v>
      </c>
      <c r="B163" s="230"/>
      <c r="C163" s="30">
        <f t="shared" si="3"/>
        <v>0</v>
      </c>
      <c r="D163" s="14">
        <f t="shared" si="2"/>
        <v>0</v>
      </c>
      <c r="E163" s="14"/>
      <c r="F163" s="38"/>
      <c r="G163" s="38"/>
    </row>
    <row r="164" spans="1:7" ht="15.75" thickBot="1">
      <c r="A164" s="3" t="s">
        <v>30</v>
      </c>
      <c r="B164" s="230"/>
      <c r="C164" s="30">
        <f t="shared" si="3"/>
        <v>0</v>
      </c>
      <c r="D164" s="14">
        <f t="shared" si="2"/>
        <v>0</v>
      </c>
      <c r="E164" s="14"/>
      <c r="F164" s="38"/>
      <c r="G164" s="38"/>
    </row>
    <row r="165" spans="1:7" ht="15.75" thickBot="1">
      <c r="A165" s="3" t="s">
        <v>31</v>
      </c>
      <c r="B165" s="230"/>
      <c r="C165" s="30">
        <f t="shared" si="3"/>
        <v>0</v>
      </c>
      <c r="D165" s="14">
        <f t="shared" si="2"/>
        <v>0</v>
      </c>
      <c r="E165" s="14"/>
      <c r="F165" s="38"/>
      <c r="G165" s="38"/>
    </row>
    <row r="166" spans="1:7" ht="15.75" thickBot="1">
      <c r="A166" s="3" t="s">
        <v>32</v>
      </c>
      <c r="B166" s="230"/>
      <c r="C166" s="30">
        <f t="shared" si="3"/>
        <v>0</v>
      </c>
      <c r="D166" s="14">
        <f t="shared" si="2"/>
        <v>0</v>
      </c>
      <c r="E166" s="14"/>
      <c r="F166" s="38"/>
      <c r="G166" s="38"/>
    </row>
    <row r="167" spans="1:7" ht="15.75" thickBot="1">
      <c r="A167" s="3" t="s">
        <v>33</v>
      </c>
      <c r="B167" s="230"/>
      <c r="C167" s="30">
        <f t="shared" si="3"/>
        <v>0</v>
      </c>
      <c r="D167" s="14">
        <f t="shared" si="2"/>
        <v>0</v>
      </c>
      <c r="E167" s="14"/>
      <c r="F167" s="38"/>
      <c r="G167" s="38"/>
    </row>
    <row r="168" spans="1:7" ht="15.75" thickBot="1">
      <c r="A168" s="3" t="s">
        <v>34</v>
      </c>
      <c r="B168" s="230"/>
      <c r="C168" s="30">
        <f t="shared" si="3"/>
        <v>0</v>
      </c>
      <c r="D168" s="14">
        <f t="shared" si="2"/>
        <v>0</v>
      </c>
      <c r="E168" s="14"/>
      <c r="F168" s="38"/>
      <c r="G168" s="38"/>
    </row>
    <row r="169" spans="1:7" ht="15.75" thickBot="1">
      <c r="A169" s="3" t="s">
        <v>35</v>
      </c>
      <c r="B169" s="230"/>
      <c r="C169" s="30">
        <f t="shared" si="3"/>
        <v>0</v>
      </c>
      <c r="D169" s="14">
        <f t="shared" si="2"/>
        <v>0</v>
      </c>
      <c r="E169" s="14"/>
      <c r="F169" s="38"/>
      <c r="G169" s="38"/>
    </row>
    <row r="170" spans="1:7" ht="15.75" thickBot="1">
      <c r="A170" s="3" t="s">
        <v>36</v>
      </c>
      <c r="B170" s="230"/>
      <c r="C170" s="30">
        <f t="shared" si="3"/>
        <v>0</v>
      </c>
      <c r="D170" s="14">
        <f t="shared" si="2"/>
        <v>0</v>
      </c>
      <c r="E170" s="14"/>
      <c r="F170" s="38"/>
      <c r="G170" s="38"/>
    </row>
    <row r="171" spans="1:7" ht="15.75" thickBot="1">
      <c r="A171" s="3" t="s">
        <v>37</v>
      </c>
      <c r="B171" s="230"/>
      <c r="C171" s="30">
        <f t="shared" si="3"/>
        <v>0</v>
      </c>
      <c r="D171" s="14">
        <f t="shared" si="2"/>
        <v>0</v>
      </c>
      <c r="E171" s="14"/>
      <c r="F171" s="38"/>
      <c r="G171" s="38"/>
    </row>
    <row r="172" spans="1:7" ht="15.75" thickBot="1">
      <c r="A172" s="3" t="s">
        <v>38</v>
      </c>
      <c r="B172" s="230"/>
      <c r="C172" s="30">
        <f t="shared" si="3"/>
        <v>0</v>
      </c>
      <c r="D172" s="14">
        <f t="shared" si="2"/>
        <v>0</v>
      </c>
      <c r="E172" s="14"/>
      <c r="F172" s="38"/>
      <c r="G172" s="38"/>
    </row>
    <row r="173" spans="1:7" ht="15.75" thickBot="1">
      <c r="A173" s="3" t="s">
        <v>39</v>
      </c>
      <c r="B173" s="230"/>
      <c r="C173" s="30">
        <f t="shared" si="3"/>
        <v>0</v>
      </c>
      <c r="D173" s="14">
        <f t="shared" si="2"/>
        <v>0</v>
      </c>
      <c r="E173" s="14"/>
      <c r="F173" s="38"/>
      <c r="G173" s="38"/>
    </row>
    <row r="174" spans="1:7" ht="15.75" thickBot="1">
      <c r="A174" s="3" t="s">
        <v>40</v>
      </c>
      <c r="B174" s="230"/>
      <c r="C174" s="30">
        <f t="shared" si="3"/>
        <v>0</v>
      </c>
      <c r="D174" s="14">
        <f t="shared" si="2"/>
        <v>0</v>
      </c>
      <c r="E174" s="14"/>
      <c r="F174" s="38"/>
      <c r="G174" s="38"/>
    </row>
    <row r="175" spans="1:7" ht="15.75" thickBot="1">
      <c r="A175" s="3" t="s">
        <v>41</v>
      </c>
      <c r="B175" s="230"/>
      <c r="C175" s="30">
        <f t="shared" si="3"/>
        <v>0</v>
      </c>
      <c r="D175" s="14">
        <f t="shared" si="2"/>
        <v>0</v>
      </c>
      <c r="E175" s="14"/>
      <c r="F175" s="38"/>
      <c r="G175" s="38"/>
    </row>
    <row r="176" spans="1:7" ht="15.75" thickBot="1">
      <c r="A176" s="3" t="s">
        <v>42</v>
      </c>
      <c r="B176" s="230"/>
      <c r="C176" s="30">
        <f t="shared" si="3"/>
        <v>0</v>
      </c>
      <c r="D176" s="14">
        <f t="shared" si="2"/>
        <v>0</v>
      </c>
      <c r="E176" s="14"/>
      <c r="F176" s="38"/>
      <c r="G176" s="38"/>
    </row>
    <row r="177" spans="1:7" ht="15.75" thickBot="1">
      <c r="A177" s="3" t="s">
        <v>43</v>
      </c>
      <c r="B177" s="230"/>
      <c r="C177" s="30">
        <f t="shared" si="3"/>
        <v>0</v>
      </c>
      <c r="D177" s="14">
        <f t="shared" si="2"/>
        <v>0</v>
      </c>
      <c r="E177" s="14"/>
      <c r="F177" s="38"/>
      <c r="G177" s="38"/>
    </row>
    <row r="178" spans="1:7" ht="15.75" thickBot="1">
      <c r="A178" s="3" t="s">
        <v>44</v>
      </c>
      <c r="B178" s="230"/>
      <c r="C178" s="30">
        <f t="shared" si="3"/>
        <v>0</v>
      </c>
      <c r="D178" s="14">
        <f t="shared" si="2"/>
        <v>0</v>
      </c>
      <c r="E178" s="14"/>
      <c r="F178" s="38"/>
      <c r="G178" s="38"/>
    </row>
    <row r="179" spans="1:7" ht="15.75" thickBot="1">
      <c r="A179" s="3" t="s">
        <v>45</v>
      </c>
      <c r="B179" s="230"/>
      <c r="C179" s="30">
        <f t="shared" si="3"/>
        <v>0</v>
      </c>
      <c r="D179" s="14">
        <f t="shared" si="2"/>
        <v>0</v>
      </c>
      <c r="E179" s="14"/>
      <c r="F179" s="38"/>
      <c r="G179" s="38"/>
    </row>
    <row r="180" spans="1:7" ht="15.75" thickBot="1">
      <c r="A180" s="3" t="s">
        <v>46</v>
      </c>
      <c r="B180" s="230"/>
      <c r="C180" s="30">
        <f t="shared" si="3"/>
        <v>0</v>
      </c>
      <c r="D180" s="14">
        <f t="shared" si="2"/>
        <v>0</v>
      </c>
      <c r="E180" s="14"/>
      <c r="F180" s="38"/>
      <c r="G180" s="38"/>
    </row>
    <row r="181" spans="1:7" ht="15.75" thickBot="1">
      <c r="A181" s="3" t="s">
        <v>47</v>
      </c>
      <c r="B181" s="230"/>
      <c r="C181" s="30">
        <f t="shared" si="3"/>
        <v>0</v>
      </c>
      <c r="D181" s="14">
        <f t="shared" si="2"/>
        <v>0</v>
      </c>
      <c r="E181" s="14"/>
      <c r="F181" s="38"/>
      <c r="G181" s="38"/>
    </row>
    <row r="182" spans="1:7" ht="15.75" thickBot="1">
      <c r="A182" s="3" t="s">
        <v>48</v>
      </c>
      <c r="B182" s="230"/>
      <c r="C182" s="30">
        <f t="shared" si="3"/>
        <v>0</v>
      </c>
      <c r="D182" s="14">
        <f t="shared" si="2"/>
        <v>0</v>
      </c>
      <c r="E182" s="14"/>
      <c r="F182" s="38"/>
      <c r="G182" s="38"/>
    </row>
    <row r="183" spans="1:7" ht="15.75" thickBot="1">
      <c r="A183" s="3" t="s">
        <v>49</v>
      </c>
      <c r="B183" s="230"/>
      <c r="C183" s="30">
        <f t="shared" si="3"/>
        <v>0</v>
      </c>
      <c r="D183" s="14">
        <f t="shared" si="2"/>
        <v>0</v>
      </c>
      <c r="E183" s="14"/>
      <c r="F183" s="38"/>
      <c r="G183" s="38"/>
    </row>
    <row r="184" spans="1:7" ht="15.75" thickBot="1">
      <c r="A184" s="3" t="s">
        <v>50</v>
      </c>
      <c r="B184" s="230"/>
      <c r="C184" s="30">
        <f t="shared" si="3"/>
        <v>0</v>
      </c>
      <c r="D184" s="14">
        <f t="shared" si="2"/>
        <v>0</v>
      </c>
      <c r="E184" s="14"/>
      <c r="F184" s="38"/>
      <c r="G184" s="38"/>
    </row>
    <row r="185" spans="1:7" ht="15.75" thickBot="1">
      <c r="A185" s="3" t="s">
        <v>51</v>
      </c>
      <c r="B185" s="230"/>
      <c r="C185" s="30">
        <f t="shared" si="3"/>
        <v>0</v>
      </c>
      <c r="D185" s="14">
        <f t="shared" si="2"/>
        <v>0</v>
      </c>
      <c r="E185" s="14"/>
      <c r="F185" s="38"/>
      <c r="G185" s="38"/>
    </row>
    <row r="186" spans="1:7" ht="15.75" thickBot="1">
      <c r="A186" s="3" t="s">
        <v>52</v>
      </c>
      <c r="B186" s="230"/>
      <c r="C186" s="30">
        <f t="shared" si="3"/>
        <v>0</v>
      </c>
      <c r="D186" s="14">
        <f t="shared" si="2"/>
        <v>0</v>
      </c>
      <c r="E186" s="14"/>
      <c r="F186" s="38"/>
      <c r="G186" s="38"/>
    </row>
    <row r="187" spans="1:7" ht="15.75" thickBot="1">
      <c r="A187" s="3" t="s">
        <v>53</v>
      </c>
      <c r="B187" s="231"/>
      <c r="C187" s="30">
        <f>B186</f>
        <v>0</v>
      </c>
      <c r="D187" s="14">
        <f>IF(B187=0,0,IF(B187&lt;=E$192,0,B187-E$192)/B187)</f>
        <v>0</v>
      </c>
      <c r="E187" s="14"/>
      <c r="F187" s="38"/>
      <c r="G187" s="38"/>
    </row>
    <row r="188" spans="1:7" ht="15.75" thickBot="1">
      <c r="A188" s="3" t="s">
        <v>53</v>
      </c>
      <c r="B188" s="229"/>
      <c r="C188" s="30">
        <f t="shared" si="3"/>
        <v>0</v>
      </c>
      <c r="D188" s="22"/>
      <c r="E188" s="1"/>
      <c r="F188" s="37"/>
      <c r="G188" s="39"/>
    </row>
    <row r="189" spans="1:7" ht="15.75" thickBot="1">
      <c r="A189" s="3"/>
      <c r="B189" s="3">
        <v>5.4</v>
      </c>
      <c r="C189" s="4"/>
      <c r="D189" s="22"/>
      <c r="E189" s="15"/>
      <c r="F189" s="26"/>
      <c r="G189" s="26"/>
    </row>
    <row r="190" spans="1:7" ht="60.75" thickBot="1">
      <c r="A190" s="5" t="s">
        <v>55</v>
      </c>
      <c r="B190" s="3">
        <v>2.4</v>
      </c>
      <c r="C190" s="4"/>
      <c r="D190" s="22"/>
      <c r="E190" s="12"/>
      <c r="F190" s="45"/>
      <c r="G190" s="46"/>
    </row>
    <row r="191" spans="1:7" ht="60.75" thickBot="1">
      <c r="A191" s="5" t="s">
        <v>56</v>
      </c>
      <c r="B191" s="4">
        <v>0.3</v>
      </c>
      <c r="C191" s="4"/>
      <c r="D191" s="1"/>
      <c r="E191" s="1"/>
      <c r="F191" s="37"/>
      <c r="G191" s="37"/>
    </row>
    <row r="192" spans="1:7" ht="97.5" thickBot="1">
      <c r="A192" s="6" t="s">
        <v>57</v>
      </c>
      <c r="B192" s="4">
        <f>0.6*B190</f>
        <v>1.44</v>
      </c>
      <c r="C192" s="4"/>
      <c r="D192" s="1"/>
      <c r="E192" s="1">
        <f>0.6*E190</f>
        <v>0</v>
      </c>
      <c r="F192" s="37">
        <f>0.6*F190</f>
        <v>0</v>
      </c>
      <c r="G192" s="37"/>
    </row>
    <row r="195" spans="1:7">
      <c r="A195" s="16" t="s">
        <v>64</v>
      </c>
      <c r="B195" s="17" t="e">
        <f>AVERAGE(B143:B182)</f>
        <v>#DIV/0!</v>
      </c>
      <c r="C195" s="17"/>
    </row>
    <row r="196" spans="1:7">
      <c r="A196" s="16" t="s">
        <v>65</v>
      </c>
      <c r="B196" s="18" t="e">
        <f>AVERAGE(B148:B177)</f>
        <v>#DIV/0!</v>
      </c>
      <c r="C196" s="18"/>
    </row>
    <row r="197" spans="1:7">
      <c r="A197" s="16" t="s">
        <v>66</v>
      </c>
      <c r="B197" s="18" t="e">
        <f>AVERAGE(B154:B172)</f>
        <v>#DIV/0!</v>
      </c>
      <c r="C197" s="18"/>
    </row>
    <row r="200" spans="1:7" ht="15" customHeight="1">
      <c r="A200" s="473" t="s">
        <v>0</v>
      </c>
      <c r="B200" s="473" t="s">
        <v>3</v>
      </c>
      <c r="C200" s="473"/>
      <c r="D200" s="473"/>
      <c r="E200" s="40">
        <f>(1-E255)^(1/3)-1</f>
        <v>-2.8878774483475755E-2</v>
      </c>
      <c r="F200" s="40">
        <f>(1-F255)^(1/3)-1</f>
        <v>-3.3560951757872104E-2</v>
      </c>
      <c r="G200" s="40"/>
    </row>
    <row r="201" spans="1:7" ht="72">
      <c r="A201" s="473"/>
      <c r="B201" s="11" t="s">
        <v>4</v>
      </c>
      <c r="C201" s="11"/>
      <c r="D201" s="11" t="s">
        <v>80</v>
      </c>
      <c r="E201" s="11" t="s">
        <v>5</v>
      </c>
      <c r="F201" s="39" t="s">
        <v>5</v>
      </c>
      <c r="G201" s="39"/>
    </row>
    <row r="202" spans="1:7" ht="24">
      <c r="A202" s="473"/>
      <c r="B202" s="11" t="s">
        <v>9</v>
      </c>
      <c r="C202" s="11"/>
      <c r="D202" s="11" t="s">
        <v>7</v>
      </c>
      <c r="E202" s="55" t="s">
        <v>65</v>
      </c>
      <c r="F202" s="39"/>
      <c r="G202" s="56"/>
    </row>
    <row r="203" spans="1:7">
      <c r="A203" s="50">
        <v>1</v>
      </c>
      <c r="B203" s="51">
        <v>2</v>
      </c>
      <c r="C203" s="51"/>
      <c r="D203" s="51">
        <v>3</v>
      </c>
      <c r="E203" s="51">
        <v>4</v>
      </c>
      <c r="F203" s="52">
        <v>5</v>
      </c>
      <c r="G203" s="52"/>
    </row>
    <row r="204" spans="1:7">
      <c r="A204" s="27" t="s">
        <v>10</v>
      </c>
      <c r="B204" s="195">
        <v>0.10688588027803714</v>
      </c>
      <c r="C204" s="163">
        <v>0</v>
      </c>
      <c r="D204" s="14">
        <v>0</v>
      </c>
      <c r="E204" s="14">
        <v>0</v>
      </c>
      <c r="F204" s="38">
        <v>0</v>
      </c>
      <c r="G204" s="38">
        <v>0</v>
      </c>
    </row>
    <row r="205" spans="1:7">
      <c r="A205" s="27" t="s">
        <v>58</v>
      </c>
      <c r="B205" s="195">
        <v>0.13672875934594841</v>
      </c>
      <c r="C205" s="30">
        <f>B204</f>
        <v>0.10688588027803714</v>
      </c>
      <c r="D205" s="14">
        <v>0</v>
      </c>
      <c r="E205" s="14">
        <v>0</v>
      </c>
      <c r="F205" s="38">
        <v>0</v>
      </c>
      <c r="G205" s="38">
        <v>0</v>
      </c>
    </row>
    <row r="206" spans="1:7">
      <c r="A206" s="27" t="s">
        <v>59</v>
      </c>
      <c r="B206" s="195">
        <v>0.15809252044292962</v>
      </c>
      <c r="C206" s="30">
        <f t="shared" ref="C206:C254" si="4">B205</f>
        <v>0.13672875934594841</v>
      </c>
      <c r="D206" s="14">
        <v>0</v>
      </c>
      <c r="E206" s="14">
        <v>0</v>
      </c>
      <c r="F206" s="38">
        <v>0</v>
      </c>
      <c r="G206" s="38">
        <v>0</v>
      </c>
    </row>
    <row r="207" spans="1:7">
      <c r="A207" s="27" t="s">
        <v>60</v>
      </c>
      <c r="B207" s="195">
        <v>0.19085143994718043</v>
      </c>
      <c r="C207" s="30">
        <f t="shared" si="4"/>
        <v>0.15809252044292962</v>
      </c>
      <c r="D207" s="14">
        <v>0</v>
      </c>
      <c r="E207" s="14">
        <v>0</v>
      </c>
      <c r="F207" s="38">
        <v>0</v>
      </c>
      <c r="G207" s="38">
        <v>0</v>
      </c>
    </row>
    <row r="208" spans="1:7">
      <c r="A208" s="27" t="s">
        <v>61</v>
      </c>
      <c r="B208" s="195">
        <v>0.20886056661826732</v>
      </c>
      <c r="C208" s="30">
        <f t="shared" si="4"/>
        <v>0.19085143994718043</v>
      </c>
      <c r="D208" s="14">
        <v>0</v>
      </c>
      <c r="E208" s="14">
        <v>0</v>
      </c>
      <c r="F208" s="38">
        <v>0</v>
      </c>
      <c r="G208" s="38">
        <v>0</v>
      </c>
    </row>
    <row r="209" spans="1:7">
      <c r="A209" s="27" t="s">
        <v>62</v>
      </c>
      <c r="B209" s="195">
        <v>0.21794636425517291</v>
      </c>
      <c r="C209" s="30">
        <f t="shared" si="4"/>
        <v>0.20886056661826732</v>
      </c>
      <c r="D209" s="14">
        <v>0</v>
      </c>
      <c r="E209" s="14">
        <v>0</v>
      </c>
      <c r="F209" s="38">
        <v>0</v>
      </c>
      <c r="G209" s="38">
        <v>0</v>
      </c>
    </row>
    <row r="210" spans="1:7">
      <c r="A210" s="27" t="s">
        <v>63</v>
      </c>
      <c r="B210" s="195">
        <v>0.25089969089703174</v>
      </c>
      <c r="C210" s="30">
        <f t="shared" si="4"/>
        <v>0.21794636425517291</v>
      </c>
      <c r="D210" s="14">
        <v>0</v>
      </c>
      <c r="E210" s="14">
        <v>0</v>
      </c>
      <c r="F210" s="38">
        <v>0</v>
      </c>
      <c r="G210" s="38">
        <v>0</v>
      </c>
    </row>
    <row r="211" spans="1:7">
      <c r="A211" s="29" t="s">
        <v>11</v>
      </c>
      <c r="B211" s="195">
        <v>0.27748764799373477</v>
      </c>
      <c r="C211" s="30">
        <f t="shared" si="4"/>
        <v>0.25089969089703174</v>
      </c>
      <c r="D211" s="14">
        <v>0</v>
      </c>
      <c r="E211" s="14">
        <v>0</v>
      </c>
      <c r="F211" s="38">
        <v>0</v>
      </c>
      <c r="G211" s="38">
        <v>0</v>
      </c>
    </row>
    <row r="212" spans="1:7">
      <c r="A212" s="29" t="s">
        <v>12</v>
      </c>
      <c r="B212" s="195">
        <v>0.29625808911404478</v>
      </c>
      <c r="C212" s="30">
        <f t="shared" si="4"/>
        <v>0.27748764799373477</v>
      </c>
      <c r="D212" s="14">
        <v>0</v>
      </c>
      <c r="E212" s="14">
        <v>0</v>
      </c>
      <c r="F212" s="38">
        <v>0</v>
      </c>
      <c r="G212" s="38">
        <v>0</v>
      </c>
    </row>
    <row r="213" spans="1:7">
      <c r="A213" s="29" t="s">
        <v>13</v>
      </c>
      <c r="B213" s="195">
        <v>0.31609975125483653</v>
      </c>
      <c r="C213" s="30">
        <f t="shared" si="4"/>
        <v>0.29625808911404478</v>
      </c>
      <c r="D213" s="14">
        <v>0</v>
      </c>
      <c r="E213" s="14">
        <v>0</v>
      </c>
      <c r="F213" s="38">
        <v>0</v>
      </c>
      <c r="G213" s="38">
        <v>0</v>
      </c>
    </row>
    <row r="214" spans="1:7">
      <c r="A214" s="29" t="s">
        <v>14</v>
      </c>
      <c r="B214" s="195">
        <v>0.32331394096124</v>
      </c>
      <c r="C214" s="30">
        <f t="shared" si="4"/>
        <v>0.31609975125483653</v>
      </c>
      <c r="D214" s="14">
        <v>0</v>
      </c>
      <c r="E214" s="14">
        <v>0</v>
      </c>
      <c r="F214" s="38">
        <v>0</v>
      </c>
      <c r="G214" s="38">
        <v>0</v>
      </c>
    </row>
    <row r="215" spans="1:7">
      <c r="A215" s="29" t="s">
        <v>15</v>
      </c>
      <c r="B215" s="195">
        <v>0.33269124644825582</v>
      </c>
      <c r="C215" s="30">
        <f t="shared" si="4"/>
        <v>0.32331394096124</v>
      </c>
      <c r="D215" s="14">
        <v>0</v>
      </c>
      <c r="E215" s="14">
        <v>0</v>
      </c>
      <c r="F215" s="38">
        <v>0</v>
      </c>
      <c r="G215" s="38">
        <v>0</v>
      </c>
    </row>
    <row r="216" spans="1:7">
      <c r="A216" s="29" t="s">
        <v>16</v>
      </c>
      <c r="B216" s="195">
        <v>0.3405546408323345</v>
      </c>
      <c r="C216" s="30">
        <f t="shared" si="4"/>
        <v>0.33269124644825582</v>
      </c>
      <c r="D216" s="14">
        <v>0</v>
      </c>
      <c r="E216" s="14">
        <v>0</v>
      </c>
      <c r="F216" s="38">
        <v>0</v>
      </c>
      <c r="G216" s="38">
        <v>0</v>
      </c>
    </row>
    <row r="217" spans="1:7">
      <c r="A217" s="29" t="s">
        <v>17</v>
      </c>
      <c r="B217" s="195">
        <v>0.3492652198077581</v>
      </c>
      <c r="C217" s="30">
        <f t="shared" si="4"/>
        <v>0.3405546408323345</v>
      </c>
      <c r="D217" s="14">
        <v>0</v>
      </c>
      <c r="E217" s="14">
        <v>0</v>
      </c>
      <c r="F217" s="38">
        <v>0</v>
      </c>
      <c r="G217" s="38">
        <v>0</v>
      </c>
    </row>
    <row r="218" spans="1:7">
      <c r="A218" s="29" t="s">
        <v>18</v>
      </c>
      <c r="B218" s="195">
        <v>0.36375541394764599</v>
      </c>
      <c r="C218" s="30">
        <f t="shared" si="4"/>
        <v>0.3492652198077581</v>
      </c>
      <c r="D218" s="14">
        <v>0</v>
      </c>
      <c r="E218" s="14"/>
      <c r="F218" s="38"/>
      <c r="G218" s="38"/>
    </row>
    <row r="219" spans="1:7">
      <c r="A219" s="29" t="s">
        <v>19</v>
      </c>
      <c r="B219" s="195">
        <v>0.38092253406690341</v>
      </c>
      <c r="C219" s="30">
        <f t="shared" si="4"/>
        <v>0.36375541394764599</v>
      </c>
      <c r="D219" s="14">
        <v>0</v>
      </c>
      <c r="E219" s="14"/>
      <c r="F219" s="38"/>
      <c r="G219" s="38"/>
    </row>
    <row r="220" spans="1:7">
      <c r="A220" s="29" t="s">
        <v>20</v>
      </c>
      <c r="B220" s="195">
        <v>0.39852721976317484</v>
      </c>
      <c r="C220" s="30">
        <f t="shared" si="4"/>
        <v>0.38092253406690341</v>
      </c>
      <c r="D220" s="14">
        <v>0</v>
      </c>
      <c r="E220" s="14"/>
      <c r="F220" s="38"/>
      <c r="G220" s="38"/>
    </row>
    <row r="221" spans="1:7">
      <c r="A221" s="29" t="s">
        <v>21</v>
      </c>
      <c r="B221" s="195">
        <v>0.41784207353827602</v>
      </c>
      <c r="C221" s="30">
        <f t="shared" si="4"/>
        <v>0.39852721976317484</v>
      </c>
      <c r="D221" s="14">
        <v>0</v>
      </c>
      <c r="E221" s="14"/>
      <c r="F221" s="38"/>
      <c r="G221" s="38"/>
    </row>
    <row r="222" spans="1:7">
      <c r="A222" s="29" t="s">
        <v>22</v>
      </c>
      <c r="B222" s="195">
        <v>0.42788141938696445</v>
      </c>
      <c r="C222" s="30">
        <f t="shared" si="4"/>
        <v>0.41784207353827602</v>
      </c>
      <c r="D222" s="14">
        <v>0</v>
      </c>
      <c r="E222" s="14"/>
      <c r="F222" s="38"/>
      <c r="G222" s="38"/>
    </row>
    <row r="223" spans="1:7">
      <c r="A223" s="29" t="s">
        <v>23</v>
      </c>
      <c r="B223" s="195">
        <v>0.43805805054062913</v>
      </c>
      <c r="C223" s="30">
        <f t="shared" si="4"/>
        <v>0.42788141938696445</v>
      </c>
      <c r="D223" s="14">
        <v>8.6888517766893231E-3</v>
      </c>
      <c r="E223" s="14"/>
      <c r="F223" s="38"/>
      <c r="G223" s="38"/>
    </row>
    <row r="224" spans="1:7">
      <c r="A224" s="29" t="s">
        <v>24</v>
      </c>
      <c r="B224" s="195">
        <v>0.45152327401235021</v>
      </c>
      <c r="C224" s="30">
        <f t="shared" si="4"/>
        <v>0.43805805054062913</v>
      </c>
      <c r="D224" s="14">
        <v>3.8251505374187353E-2</v>
      </c>
      <c r="E224" s="14"/>
      <c r="F224" s="38"/>
      <c r="G224" s="38"/>
    </row>
    <row r="225" spans="1:7">
      <c r="A225" s="29" t="s">
        <v>25</v>
      </c>
      <c r="B225" s="195">
        <v>0.49411030660588184</v>
      </c>
      <c r="C225" s="30">
        <f t="shared" si="4"/>
        <v>0.45152327401235021</v>
      </c>
      <c r="D225" s="14">
        <v>0.12114395659374649</v>
      </c>
      <c r="E225" s="14">
        <v>1.211439565937465E-2</v>
      </c>
      <c r="F225" s="38">
        <v>2.3776426979072739E-2</v>
      </c>
      <c r="G225" s="38">
        <v>0</v>
      </c>
    </row>
    <row r="226" spans="1:7">
      <c r="A226" s="29" t="s">
        <v>26</v>
      </c>
      <c r="B226" s="195">
        <v>0.50548963054849372</v>
      </c>
      <c r="C226" s="30">
        <f t="shared" si="4"/>
        <v>0.49411030660588184</v>
      </c>
      <c r="D226" s="14">
        <v>0.14092831419963908</v>
      </c>
      <c r="E226" s="14">
        <v>1.4092831419963908E-2</v>
      </c>
      <c r="F226" s="38">
        <v>2.5492333057160428E-2</v>
      </c>
      <c r="G226" s="38">
        <v>0</v>
      </c>
    </row>
    <row r="227" spans="1:7">
      <c r="A227" s="29" t="s">
        <v>27</v>
      </c>
      <c r="B227" s="195">
        <v>0.50809180839986112</v>
      </c>
      <c r="C227" s="30">
        <f t="shared" si="4"/>
        <v>0.50548963054849372</v>
      </c>
      <c r="D227" s="14">
        <v>0.1453280255836244</v>
      </c>
      <c r="E227" s="14">
        <v>1.4532802558362439E-2</v>
      </c>
      <c r="F227" s="38">
        <v>2.5873921969775084E-2</v>
      </c>
      <c r="G227" s="38">
        <v>0</v>
      </c>
    </row>
    <row r="228" spans="1:7">
      <c r="A228" s="29" t="s">
        <v>28</v>
      </c>
      <c r="B228" s="195">
        <v>0.51821344316046225</v>
      </c>
      <c r="C228" s="30">
        <f t="shared" si="4"/>
        <v>0.50809180839986112</v>
      </c>
      <c r="D228" s="14">
        <v>0.16202129682029076</v>
      </c>
      <c r="E228" s="14">
        <v>1.6202129682029075E-2</v>
      </c>
      <c r="F228" s="38">
        <v>2.7321736761074192E-2</v>
      </c>
      <c r="G228" s="38">
        <v>0</v>
      </c>
    </row>
    <row r="229" spans="1:7">
      <c r="A229" s="29" t="s">
        <v>29</v>
      </c>
      <c r="B229" s="195">
        <v>0.53443749233222926</v>
      </c>
      <c r="C229" s="30">
        <f t="shared" si="4"/>
        <v>0.51821344316046225</v>
      </c>
      <c r="D229" s="14">
        <v>0.18746002048833324</v>
      </c>
      <c r="E229" s="14">
        <v>1.8746002048833324E-2</v>
      </c>
      <c r="F229" s="38">
        <v>2.9528048506459671E-2</v>
      </c>
      <c r="G229" s="38">
        <v>0</v>
      </c>
    </row>
    <row r="230" spans="1:7">
      <c r="A230" s="29" t="s">
        <v>30</v>
      </c>
      <c r="B230" s="195">
        <v>0.54877502686781032</v>
      </c>
      <c r="C230" s="30">
        <f t="shared" si="4"/>
        <v>0.53443749233222926</v>
      </c>
      <c r="D230" s="14">
        <v>0.20868879265801704</v>
      </c>
      <c r="E230" s="14">
        <v>2.0868879265801707E-2</v>
      </c>
      <c r="F230" s="38">
        <v>3.1369229297967906E-2</v>
      </c>
      <c r="G230" s="38">
        <v>0</v>
      </c>
    </row>
    <row r="231" spans="1:7">
      <c r="A231" s="29" t="s">
        <v>31</v>
      </c>
      <c r="B231" s="195">
        <v>0.55782195332757134</v>
      </c>
      <c r="C231" s="30">
        <f t="shared" si="4"/>
        <v>0.54877502686781032</v>
      </c>
      <c r="D231" s="14">
        <v>0.22152251900546982</v>
      </c>
      <c r="E231" s="14">
        <v>2.2152251900546982E-2</v>
      </c>
      <c r="F231" s="38">
        <v>3.2482304055449517E-2</v>
      </c>
      <c r="G231" s="38">
        <v>0</v>
      </c>
    </row>
    <row r="232" spans="1:7">
      <c r="A232" s="29" t="s">
        <v>32</v>
      </c>
      <c r="B232" s="195">
        <v>0.57460405829971051</v>
      </c>
      <c r="C232" s="30">
        <f t="shared" si="4"/>
        <v>0.55782195332757134</v>
      </c>
      <c r="D232" s="14">
        <v>0.24425902880868167</v>
      </c>
      <c r="E232" s="14">
        <v>2.4425902880868169E-2</v>
      </c>
      <c r="F232" s="38">
        <v>3.4454251598199738E-2</v>
      </c>
      <c r="G232" s="38">
        <v>0</v>
      </c>
    </row>
    <row r="233" spans="1:7">
      <c r="A233" s="29" t="s">
        <v>33</v>
      </c>
      <c r="B233" s="195">
        <v>0.6232613208038349</v>
      </c>
      <c r="C233" s="30">
        <f t="shared" si="4"/>
        <v>0.57460405829971051</v>
      </c>
      <c r="D233" s="14">
        <v>0.30325881845221642</v>
      </c>
      <c r="E233" s="14">
        <v>3.0325881845221645E-2</v>
      </c>
      <c r="F233" s="38">
        <v>3.9571329426649621E-2</v>
      </c>
      <c r="G233" s="38">
        <v>0</v>
      </c>
    </row>
    <row r="234" spans="1:7">
      <c r="A234" s="29" t="s">
        <v>34</v>
      </c>
      <c r="B234" s="195">
        <v>0.68436470878855238</v>
      </c>
      <c r="C234" s="30">
        <f t="shared" si="4"/>
        <v>0.6232613208038349</v>
      </c>
      <c r="D234" s="14">
        <v>0.36546723772679729</v>
      </c>
      <c r="E234" s="14">
        <v>3.6546723772679729E-2</v>
      </c>
      <c r="F234" s="38">
        <v>6.980015872557635E-2</v>
      </c>
      <c r="G234" s="38">
        <v>0</v>
      </c>
    </row>
    <row r="235" spans="1:7">
      <c r="A235" s="29" t="s">
        <v>35</v>
      </c>
      <c r="B235" s="195">
        <v>0.71418354870868839</v>
      </c>
      <c r="C235" s="30">
        <f t="shared" si="4"/>
        <v>0.68436470878855238</v>
      </c>
      <c r="D235" s="14">
        <v>0.39196047030897779</v>
      </c>
      <c r="E235" s="14">
        <v>3.9196047030897782E-2</v>
      </c>
      <c r="F235" s="38">
        <v>8.3586777342624E-2</v>
      </c>
      <c r="G235" s="38">
        <v>0</v>
      </c>
    </row>
    <row r="236" spans="1:7">
      <c r="A236" s="29" t="s">
        <v>36</v>
      </c>
      <c r="B236" s="195">
        <v>0.77240149552807791</v>
      </c>
      <c r="C236" s="30">
        <f t="shared" si="4"/>
        <v>0.71418354870868839</v>
      </c>
      <c r="D236" s="14">
        <v>0.43779002036627929</v>
      </c>
      <c r="E236" s="14">
        <v>6.2674012219767553E-2</v>
      </c>
      <c r="F236" s="38">
        <v>0.10743568011698321</v>
      </c>
      <c r="G236" s="38">
        <v>0</v>
      </c>
    </row>
    <row r="237" spans="1:7">
      <c r="A237" s="29" t="s">
        <v>37</v>
      </c>
      <c r="B237" s="195">
        <v>0.80423320835349132</v>
      </c>
      <c r="C237" s="30">
        <f t="shared" si="4"/>
        <v>0.77240149552807791</v>
      </c>
      <c r="D237" s="14">
        <v>0.460042404915185</v>
      </c>
      <c r="E237" s="14">
        <v>7.6025442949110997E-2</v>
      </c>
      <c r="F237" s="38">
        <v>0.11901543499000661</v>
      </c>
      <c r="G237" s="38">
        <v>0</v>
      </c>
    </row>
    <row r="238" spans="1:7">
      <c r="A238" s="29" t="s">
        <v>38</v>
      </c>
      <c r="B238" s="195">
        <v>0.89387421590745009</v>
      </c>
      <c r="C238" s="30">
        <f t="shared" si="4"/>
        <v>0.80423320835349132</v>
      </c>
      <c r="D238" s="14">
        <v>0.51419134667728494</v>
      </c>
      <c r="E238" s="14">
        <v>0.10851480800637098</v>
      </c>
      <c r="F238" s="38">
        <v>0.1471936048783016</v>
      </c>
      <c r="G238" s="38">
        <v>0</v>
      </c>
    </row>
    <row r="239" spans="1:7">
      <c r="A239" s="29" t="s">
        <v>39</v>
      </c>
      <c r="B239" s="195">
        <v>0.98861788617886182</v>
      </c>
      <c r="C239" s="30">
        <f t="shared" si="4"/>
        <v>0.89387421590745009</v>
      </c>
      <c r="D239" s="14">
        <v>0.56074856105594395</v>
      </c>
      <c r="E239" s="14">
        <v>0.13644913663356634</v>
      </c>
      <c r="F239" s="38">
        <v>0.17142117154158679</v>
      </c>
      <c r="G239" s="38">
        <v>0</v>
      </c>
    </row>
    <row r="240" spans="1:7">
      <c r="A240" s="29" t="s">
        <v>40</v>
      </c>
      <c r="B240" s="195">
        <v>1.036122787827287</v>
      </c>
      <c r="C240" s="30">
        <f t="shared" si="4"/>
        <v>0.98861788617886182</v>
      </c>
      <c r="D240" s="14">
        <v>0.58088767646882189</v>
      </c>
      <c r="E240" s="14">
        <v>0.14853260588129311</v>
      </c>
      <c r="F240" s="38">
        <v>0.18190121781834059</v>
      </c>
      <c r="G240" s="38">
        <v>0</v>
      </c>
    </row>
    <row r="241" spans="1:7">
      <c r="A241" s="29" t="s">
        <v>41</v>
      </c>
      <c r="B241" s="195">
        <v>1.1317339832212585</v>
      </c>
      <c r="C241" s="30">
        <f t="shared" si="4"/>
        <v>1.036122787827287</v>
      </c>
      <c r="D241" s="14">
        <v>0.61629514045881739</v>
      </c>
      <c r="E241" s="14">
        <v>0.16977708427529042</v>
      </c>
      <c r="F241" s="38">
        <v>0.20032664781117762</v>
      </c>
      <c r="G241" s="38">
        <v>0</v>
      </c>
    </row>
    <row r="242" spans="1:7">
      <c r="A242" s="29" t="s">
        <v>42</v>
      </c>
      <c r="B242" s="195">
        <v>1.2807847185981514</v>
      </c>
      <c r="C242" s="30">
        <f t="shared" si="4"/>
        <v>1.1317339832212585</v>
      </c>
      <c r="D242" s="14">
        <v>0.66094861785578229</v>
      </c>
      <c r="E242" s="14">
        <v>0.19656917071346941</v>
      </c>
      <c r="F242" s="38">
        <v>0.22356354277623303</v>
      </c>
      <c r="G242" s="38">
        <v>0</v>
      </c>
    </row>
    <row r="243" spans="1:7">
      <c r="A243" s="29" t="s">
        <v>43</v>
      </c>
      <c r="B243" s="195">
        <v>1.4359698912198915</v>
      </c>
      <c r="C243" s="30">
        <f t="shared" si="4"/>
        <v>1.2807847185981514</v>
      </c>
      <c r="D243" s="14">
        <v>0.69758987864224042</v>
      </c>
      <c r="E243" s="14">
        <v>0.2185539271853443</v>
      </c>
      <c r="F243" s="38">
        <v>0.24263101921738481</v>
      </c>
      <c r="G243" s="38">
        <v>0</v>
      </c>
    </row>
    <row r="244" spans="1:7">
      <c r="A244" s="29" t="s">
        <v>44</v>
      </c>
      <c r="B244" s="195">
        <v>1.5400365140918983</v>
      </c>
      <c r="C244" s="30">
        <f t="shared" si="4"/>
        <v>1.4359698912198915</v>
      </c>
      <c r="D244" s="14">
        <v>0.71802497856620096</v>
      </c>
      <c r="E244" s="14">
        <v>0.2308149871397206</v>
      </c>
      <c r="F244" s="38">
        <v>0.25326509069880898</v>
      </c>
      <c r="G244" s="38">
        <v>0</v>
      </c>
    </row>
    <row r="245" spans="1:7">
      <c r="A245" s="29" t="s">
        <v>45</v>
      </c>
      <c r="B245" s="195">
        <v>1.647754919818565</v>
      </c>
      <c r="C245" s="30">
        <f t="shared" si="4"/>
        <v>1.5400365140918983</v>
      </c>
      <c r="D245" s="14">
        <v>0.73645848430074057</v>
      </c>
      <c r="E245" s="14">
        <v>0.2418750905804444</v>
      </c>
      <c r="F245" s="38">
        <v>0.26285756728878129</v>
      </c>
      <c r="G245" s="38">
        <v>0</v>
      </c>
    </row>
    <row r="246" spans="1:7">
      <c r="A246" s="29" t="s">
        <v>46</v>
      </c>
      <c r="B246" s="195">
        <v>1.7547635319846913</v>
      </c>
      <c r="C246" s="30">
        <f t="shared" si="4"/>
        <v>1.647754919818565</v>
      </c>
      <c r="D246" s="14">
        <v>0.75252971630955645</v>
      </c>
      <c r="E246" s="14">
        <v>0.25151782978573389</v>
      </c>
      <c r="F246" s="38">
        <v>0.2712207576138706</v>
      </c>
      <c r="G246" s="38">
        <v>0</v>
      </c>
    </row>
    <row r="247" spans="1:7">
      <c r="A247" s="29" t="s">
        <v>47</v>
      </c>
      <c r="B247" s="195">
        <v>1.864215672742527</v>
      </c>
      <c r="C247" s="30">
        <f t="shared" si="4"/>
        <v>1.7547635319846913</v>
      </c>
      <c r="D247" s="14">
        <v>0.76705923278123189</v>
      </c>
      <c r="E247" s="14">
        <v>0.26023553966873914</v>
      </c>
      <c r="F247" s="38">
        <v>0.27878166591993475</v>
      </c>
      <c r="G247" s="38">
        <v>0</v>
      </c>
    </row>
    <row r="248" spans="1:7">
      <c r="A248" s="29" t="s">
        <v>48</v>
      </c>
      <c r="B248" s="195">
        <v>1.953233237857477</v>
      </c>
      <c r="C248" s="30">
        <f t="shared" si="4"/>
        <v>1.864215672742527</v>
      </c>
      <c r="D248" s="14">
        <v>0.77767538425353044</v>
      </c>
      <c r="E248" s="14">
        <v>0.26660523055211827</v>
      </c>
      <c r="F248" s="38">
        <v>0.28430612697146507</v>
      </c>
      <c r="G248" s="38">
        <v>0</v>
      </c>
    </row>
    <row r="249" spans="1:7">
      <c r="A249" s="29" t="s">
        <v>49</v>
      </c>
      <c r="B249" s="195">
        <v>2.2130161456941848</v>
      </c>
      <c r="C249" s="30">
        <f t="shared" si="4"/>
        <v>1.953233237857477</v>
      </c>
      <c r="D249" s="14">
        <v>0.80377376373199538</v>
      </c>
      <c r="E249" s="14">
        <v>0.28226425823919721</v>
      </c>
      <c r="F249" s="38">
        <v>0.29788727088346117</v>
      </c>
      <c r="G249" s="38">
        <v>0</v>
      </c>
    </row>
    <row r="250" spans="1:7">
      <c r="A250" s="29" t="s">
        <v>50</v>
      </c>
      <c r="B250" s="195">
        <v>2.7718427188214676</v>
      </c>
      <c r="C250" s="30">
        <f t="shared" si="4"/>
        <v>2.2130161456941848</v>
      </c>
      <c r="D250" s="14">
        <v>0.84333460693089712</v>
      </c>
      <c r="E250" s="14">
        <v>0.30600076415853833</v>
      </c>
      <c r="F250" s="38">
        <v>0.31847404736157686</v>
      </c>
      <c r="G250" s="38">
        <v>0</v>
      </c>
    </row>
    <row r="251" spans="1:7">
      <c r="A251" s="29" t="s">
        <v>51</v>
      </c>
      <c r="B251" s="195">
        <v>3.3434327363443423</v>
      </c>
      <c r="C251" s="30">
        <f t="shared" si="4"/>
        <v>2.7718427188214676</v>
      </c>
      <c r="D251" s="14">
        <v>0.87011797056677131</v>
      </c>
      <c r="E251" s="14">
        <v>0.32207078234006281</v>
      </c>
      <c r="F251" s="38">
        <v>0.33241164514561844</v>
      </c>
      <c r="G251" s="38">
        <v>1.3860985785855906E-2</v>
      </c>
    </row>
    <row r="252" spans="1:7">
      <c r="A252" s="29" t="s">
        <v>52</v>
      </c>
      <c r="B252" s="195">
        <v>3.6966816033529519</v>
      </c>
      <c r="C252" s="30">
        <f t="shared" si="4"/>
        <v>3.3434327363443423</v>
      </c>
      <c r="D252" s="14">
        <v>0.88252928554192434</v>
      </c>
      <c r="E252" s="14">
        <v>0.32951757132515452</v>
      </c>
      <c r="F252" s="38">
        <v>0.33887027814058096</v>
      </c>
      <c r="G252" s="38">
        <v>2.2092289544552831E-2</v>
      </c>
    </row>
    <row r="253" spans="1:7">
      <c r="A253" s="29" t="s">
        <v>53</v>
      </c>
      <c r="B253" s="224">
        <v>4.8274095309541671</v>
      </c>
      <c r="C253" s="30">
        <f>B252</f>
        <v>3.6966816033529519</v>
      </c>
      <c r="D253" s="14">
        <v>0.91004454329275364</v>
      </c>
      <c r="E253" s="14">
        <v>0.34602672597565221</v>
      </c>
      <c r="F253" s="38">
        <v>0.35318874092475611</v>
      </c>
      <c r="G253" s="38">
        <v>4.2044042685881237E-2</v>
      </c>
    </row>
    <row r="254" spans="1:7">
      <c r="A254" s="29" t="s">
        <v>53</v>
      </c>
      <c r="B254" s="29" t="s">
        <v>159</v>
      </c>
      <c r="C254" s="30">
        <f t="shared" si="4"/>
        <v>4.8274095309541671</v>
      </c>
      <c r="D254" s="58"/>
      <c r="E254" s="11"/>
      <c r="F254" s="39"/>
      <c r="G254" s="39"/>
    </row>
    <row r="255" spans="1:7">
      <c r="A255" s="29"/>
      <c r="B255" s="29">
        <v>5.4</v>
      </c>
      <c r="C255" s="29"/>
      <c r="D255" s="58"/>
      <c r="E255" s="32">
        <v>8.4158457028184835E-2</v>
      </c>
      <c r="F255" s="40">
        <v>9.7341643782860116E-2</v>
      </c>
      <c r="G255" s="40">
        <v>1.5599463603257996E-3</v>
      </c>
    </row>
    <row r="256" spans="1:7" ht="60">
      <c r="A256" s="33" t="s">
        <v>55</v>
      </c>
      <c r="B256" s="29">
        <v>4.8</v>
      </c>
      <c r="C256" s="29"/>
      <c r="D256" s="58"/>
      <c r="E256" s="34">
        <v>0.72375304844982691</v>
      </c>
      <c r="F256" s="41">
        <v>0.62771421726610321</v>
      </c>
      <c r="G256" s="42">
        <v>4.8</v>
      </c>
    </row>
    <row r="257" spans="1:7" ht="60">
      <c r="A257" s="33" t="s">
        <v>56</v>
      </c>
      <c r="B257" s="29">
        <v>0.94599999999999995</v>
      </c>
      <c r="C257" s="29"/>
      <c r="D257" s="11"/>
      <c r="E257" s="11"/>
      <c r="F257" s="39"/>
      <c r="G257" s="39"/>
    </row>
    <row r="258" spans="1:7" ht="96.75">
      <c r="A258" s="35" t="s">
        <v>57</v>
      </c>
      <c r="B258" s="29">
        <v>2.88</v>
      </c>
      <c r="C258" s="29"/>
      <c r="D258" s="11"/>
      <c r="E258" s="11">
        <v>0.43425182906989612</v>
      </c>
      <c r="F258" s="39">
        <v>0.37662853035966193</v>
      </c>
      <c r="G258" s="39">
        <v>2.88</v>
      </c>
    </row>
    <row r="261" spans="1:7">
      <c r="A261" s="16" t="s">
        <v>64</v>
      </c>
      <c r="B261" s="17">
        <f>AVERAGE(B209:B248)</f>
        <v>0.72375304844982691</v>
      </c>
      <c r="C261" s="17"/>
    </row>
    <row r="262" spans="1:7">
      <c r="A262" s="16" t="s">
        <v>65</v>
      </c>
      <c r="B262" s="18">
        <f>AVERAGE(B214:B243)</f>
        <v>0.62771421726610321</v>
      </c>
      <c r="C262" s="18"/>
    </row>
    <row r="263" spans="1:7">
      <c r="A263" s="16" t="s">
        <v>66</v>
      </c>
      <c r="B263" s="18">
        <f>AVERAGE(B220:B238)</f>
        <v>0.57198390815123734</v>
      </c>
      <c r="C263" s="18"/>
    </row>
    <row r="267" spans="1:7" ht="15.75" thickBot="1">
      <c r="C267" s="65"/>
    </row>
    <row r="270" spans="1:7">
      <c r="C270">
        <v>0</v>
      </c>
    </row>
    <row r="271" spans="1:7">
      <c r="C271" s="30">
        <f>B270</f>
        <v>0</v>
      </c>
    </row>
    <row r="272" spans="1:7">
      <c r="C272" s="30">
        <f t="shared" ref="C272:C320" si="5">B271</f>
        <v>0</v>
      </c>
    </row>
    <row r="273" spans="3:3">
      <c r="C273" s="30">
        <f t="shared" si="5"/>
        <v>0</v>
      </c>
    </row>
    <row r="274" spans="3:3">
      <c r="C274" s="30">
        <f t="shared" si="5"/>
        <v>0</v>
      </c>
    </row>
    <row r="275" spans="3:3">
      <c r="C275" s="30">
        <f t="shared" si="5"/>
        <v>0</v>
      </c>
    </row>
    <row r="276" spans="3:3">
      <c r="C276" s="30">
        <f t="shared" si="5"/>
        <v>0</v>
      </c>
    </row>
    <row r="277" spans="3:3">
      <c r="C277" s="30">
        <f t="shared" si="5"/>
        <v>0</v>
      </c>
    </row>
    <row r="278" spans="3:3">
      <c r="C278" s="30">
        <f t="shared" si="5"/>
        <v>0</v>
      </c>
    </row>
    <row r="279" spans="3:3">
      <c r="C279" s="30">
        <f t="shared" si="5"/>
        <v>0</v>
      </c>
    </row>
    <row r="280" spans="3:3">
      <c r="C280" s="30">
        <f t="shared" si="5"/>
        <v>0</v>
      </c>
    </row>
    <row r="281" spans="3:3">
      <c r="C281" s="30">
        <f t="shared" si="5"/>
        <v>0</v>
      </c>
    </row>
    <row r="282" spans="3:3">
      <c r="C282" s="30">
        <f t="shared" si="5"/>
        <v>0</v>
      </c>
    </row>
    <row r="283" spans="3:3">
      <c r="C283" s="30">
        <f t="shared" si="5"/>
        <v>0</v>
      </c>
    </row>
    <row r="284" spans="3:3">
      <c r="C284" s="30">
        <f t="shared" si="5"/>
        <v>0</v>
      </c>
    </row>
    <row r="285" spans="3:3">
      <c r="C285" s="30">
        <f t="shared" si="5"/>
        <v>0</v>
      </c>
    </row>
    <row r="286" spans="3:3">
      <c r="C286" s="30">
        <f t="shared" si="5"/>
        <v>0</v>
      </c>
    </row>
    <row r="287" spans="3:3">
      <c r="C287" s="30">
        <f t="shared" si="5"/>
        <v>0</v>
      </c>
    </row>
    <row r="288" spans="3:3">
      <c r="C288" s="30">
        <f t="shared" si="5"/>
        <v>0</v>
      </c>
    </row>
    <row r="289" spans="3:3">
      <c r="C289" s="30">
        <f t="shared" si="5"/>
        <v>0</v>
      </c>
    </row>
    <row r="290" spans="3:3">
      <c r="C290" s="30">
        <f t="shared" si="5"/>
        <v>0</v>
      </c>
    </row>
    <row r="291" spans="3:3">
      <c r="C291" s="30">
        <f t="shared" si="5"/>
        <v>0</v>
      </c>
    </row>
    <row r="292" spans="3:3">
      <c r="C292" s="30">
        <f t="shared" si="5"/>
        <v>0</v>
      </c>
    </row>
    <row r="293" spans="3:3">
      <c r="C293" s="30">
        <f t="shared" si="5"/>
        <v>0</v>
      </c>
    </row>
    <row r="294" spans="3:3">
      <c r="C294" s="30">
        <f t="shared" si="5"/>
        <v>0</v>
      </c>
    </row>
    <row r="295" spans="3:3">
      <c r="C295" s="30">
        <f t="shared" si="5"/>
        <v>0</v>
      </c>
    </row>
    <row r="296" spans="3:3">
      <c r="C296" s="30">
        <f t="shared" si="5"/>
        <v>0</v>
      </c>
    </row>
    <row r="297" spans="3:3">
      <c r="C297" s="30">
        <f t="shared" si="5"/>
        <v>0</v>
      </c>
    </row>
    <row r="298" spans="3:3">
      <c r="C298" s="30">
        <f t="shared" si="5"/>
        <v>0</v>
      </c>
    </row>
    <row r="299" spans="3:3">
      <c r="C299" s="30">
        <f t="shared" si="5"/>
        <v>0</v>
      </c>
    </row>
    <row r="300" spans="3:3">
      <c r="C300" s="30">
        <f t="shared" si="5"/>
        <v>0</v>
      </c>
    </row>
    <row r="301" spans="3:3">
      <c r="C301" s="30">
        <f t="shared" si="5"/>
        <v>0</v>
      </c>
    </row>
    <row r="302" spans="3:3">
      <c r="C302" s="30">
        <f t="shared" si="5"/>
        <v>0</v>
      </c>
    </row>
    <row r="303" spans="3:3">
      <c r="C303" s="30">
        <f t="shared" si="5"/>
        <v>0</v>
      </c>
    </row>
    <row r="304" spans="3:3">
      <c r="C304" s="30">
        <f t="shared" si="5"/>
        <v>0</v>
      </c>
    </row>
    <row r="305" spans="3:3">
      <c r="C305" s="30">
        <f t="shared" si="5"/>
        <v>0</v>
      </c>
    </row>
    <row r="306" spans="3:3">
      <c r="C306" s="30">
        <f t="shared" si="5"/>
        <v>0</v>
      </c>
    </row>
    <row r="307" spans="3:3">
      <c r="C307" s="30">
        <f t="shared" si="5"/>
        <v>0</v>
      </c>
    </row>
    <row r="308" spans="3:3">
      <c r="C308" s="30">
        <f t="shared" si="5"/>
        <v>0</v>
      </c>
    </row>
    <row r="309" spans="3:3">
      <c r="C309" s="30">
        <f t="shared" si="5"/>
        <v>0</v>
      </c>
    </row>
    <row r="310" spans="3:3">
      <c r="C310" s="30">
        <f t="shared" si="5"/>
        <v>0</v>
      </c>
    </row>
    <row r="311" spans="3:3">
      <c r="C311" s="30">
        <f t="shared" si="5"/>
        <v>0</v>
      </c>
    </row>
    <row r="312" spans="3:3">
      <c r="C312" s="30">
        <f t="shared" si="5"/>
        <v>0</v>
      </c>
    </row>
    <row r="313" spans="3:3">
      <c r="C313" s="30">
        <f t="shared" si="5"/>
        <v>0</v>
      </c>
    </row>
    <row r="314" spans="3:3">
      <c r="C314" s="30">
        <f t="shared" si="5"/>
        <v>0</v>
      </c>
    </row>
    <row r="315" spans="3:3">
      <c r="C315" s="30">
        <f t="shared" si="5"/>
        <v>0</v>
      </c>
    </row>
    <row r="316" spans="3:3">
      <c r="C316" s="30">
        <f t="shared" si="5"/>
        <v>0</v>
      </c>
    </row>
    <row r="317" spans="3:3">
      <c r="C317" s="30">
        <f t="shared" si="5"/>
        <v>0</v>
      </c>
    </row>
    <row r="318" spans="3:3">
      <c r="C318" s="30">
        <f t="shared" si="5"/>
        <v>0</v>
      </c>
    </row>
    <row r="319" spans="3:3">
      <c r="C319" s="30">
        <f>B318</f>
        <v>0</v>
      </c>
    </row>
    <row r="320" spans="3:3">
      <c r="C320" s="30">
        <f t="shared" si="5"/>
        <v>0</v>
      </c>
    </row>
    <row r="336" spans="3:3" ht="15.75" thickBot="1">
      <c r="C336" s="117"/>
    </row>
    <row r="337" spans="3:3">
      <c r="C337">
        <v>0</v>
      </c>
    </row>
    <row r="338" spans="3:3">
      <c r="C338" s="30">
        <f>B337</f>
        <v>0</v>
      </c>
    </row>
    <row r="339" spans="3:3">
      <c r="C339" s="30">
        <f t="shared" ref="C339:C387" si="6">B338</f>
        <v>0</v>
      </c>
    </row>
    <row r="340" spans="3:3">
      <c r="C340" s="30">
        <f t="shared" si="6"/>
        <v>0</v>
      </c>
    </row>
    <row r="341" spans="3:3">
      <c r="C341" s="30">
        <f t="shared" si="6"/>
        <v>0</v>
      </c>
    </row>
    <row r="342" spans="3:3">
      <c r="C342" s="30">
        <f t="shared" si="6"/>
        <v>0</v>
      </c>
    </row>
    <row r="343" spans="3:3">
      <c r="C343" s="30">
        <f t="shared" si="6"/>
        <v>0</v>
      </c>
    </row>
    <row r="344" spans="3:3">
      <c r="C344" s="30">
        <f t="shared" si="6"/>
        <v>0</v>
      </c>
    </row>
    <row r="345" spans="3:3">
      <c r="C345" s="30">
        <f t="shared" si="6"/>
        <v>0</v>
      </c>
    </row>
    <row r="346" spans="3:3">
      <c r="C346" s="30">
        <f t="shared" si="6"/>
        <v>0</v>
      </c>
    </row>
    <row r="347" spans="3:3">
      <c r="C347" s="30">
        <f t="shared" si="6"/>
        <v>0</v>
      </c>
    </row>
    <row r="348" spans="3:3">
      <c r="C348" s="30">
        <f t="shared" si="6"/>
        <v>0</v>
      </c>
    </row>
    <row r="349" spans="3:3">
      <c r="C349" s="30">
        <f t="shared" si="6"/>
        <v>0</v>
      </c>
    </row>
    <row r="350" spans="3:3">
      <c r="C350" s="30">
        <f t="shared" si="6"/>
        <v>0</v>
      </c>
    </row>
    <row r="351" spans="3:3">
      <c r="C351" s="30">
        <f t="shared" si="6"/>
        <v>0</v>
      </c>
    </row>
    <row r="352" spans="3:3">
      <c r="C352" s="30">
        <f t="shared" si="6"/>
        <v>0</v>
      </c>
    </row>
    <row r="353" spans="3:3">
      <c r="C353" s="30">
        <f t="shared" si="6"/>
        <v>0</v>
      </c>
    </row>
    <row r="354" spans="3:3">
      <c r="C354" s="30">
        <f t="shared" si="6"/>
        <v>0</v>
      </c>
    </row>
    <row r="355" spans="3:3">
      <c r="C355" s="30">
        <f t="shared" si="6"/>
        <v>0</v>
      </c>
    </row>
    <row r="356" spans="3:3">
      <c r="C356" s="30">
        <f t="shared" si="6"/>
        <v>0</v>
      </c>
    </row>
    <row r="357" spans="3:3">
      <c r="C357" s="30">
        <f t="shared" si="6"/>
        <v>0</v>
      </c>
    </row>
    <row r="358" spans="3:3">
      <c r="C358" s="30">
        <f t="shared" si="6"/>
        <v>0</v>
      </c>
    </row>
    <row r="359" spans="3:3">
      <c r="C359" s="30">
        <f t="shared" si="6"/>
        <v>0</v>
      </c>
    </row>
    <row r="360" spans="3:3">
      <c r="C360" s="30">
        <f t="shared" si="6"/>
        <v>0</v>
      </c>
    </row>
    <row r="361" spans="3:3">
      <c r="C361" s="30">
        <f t="shared" si="6"/>
        <v>0</v>
      </c>
    </row>
    <row r="362" spans="3:3">
      <c r="C362" s="30">
        <f t="shared" si="6"/>
        <v>0</v>
      </c>
    </row>
    <row r="363" spans="3:3">
      <c r="C363" s="30">
        <f t="shared" si="6"/>
        <v>0</v>
      </c>
    </row>
    <row r="364" spans="3:3">
      <c r="C364" s="30">
        <f t="shared" si="6"/>
        <v>0</v>
      </c>
    </row>
    <row r="365" spans="3:3">
      <c r="C365" s="30">
        <f t="shared" si="6"/>
        <v>0</v>
      </c>
    </row>
    <row r="366" spans="3:3">
      <c r="C366" s="30">
        <f t="shared" si="6"/>
        <v>0</v>
      </c>
    </row>
    <row r="367" spans="3:3">
      <c r="C367" s="30">
        <f t="shared" si="6"/>
        <v>0</v>
      </c>
    </row>
    <row r="368" spans="3:3">
      <c r="C368" s="30">
        <f t="shared" si="6"/>
        <v>0</v>
      </c>
    </row>
    <row r="369" spans="3:3">
      <c r="C369" s="30">
        <f t="shared" si="6"/>
        <v>0</v>
      </c>
    </row>
    <row r="370" spans="3:3">
      <c r="C370" s="30">
        <f t="shared" si="6"/>
        <v>0</v>
      </c>
    </row>
    <row r="371" spans="3:3">
      <c r="C371" s="30">
        <f t="shared" si="6"/>
        <v>0</v>
      </c>
    </row>
    <row r="372" spans="3:3">
      <c r="C372" s="30">
        <f t="shared" si="6"/>
        <v>0</v>
      </c>
    </row>
    <row r="373" spans="3:3">
      <c r="C373" s="30">
        <f t="shared" si="6"/>
        <v>0</v>
      </c>
    </row>
    <row r="374" spans="3:3">
      <c r="C374" s="30">
        <f t="shared" si="6"/>
        <v>0</v>
      </c>
    </row>
    <row r="375" spans="3:3">
      <c r="C375" s="30">
        <f t="shared" si="6"/>
        <v>0</v>
      </c>
    </row>
    <row r="376" spans="3:3">
      <c r="C376" s="30">
        <f t="shared" si="6"/>
        <v>0</v>
      </c>
    </row>
    <row r="377" spans="3:3">
      <c r="C377" s="30">
        <f t="shared" si="6"/>
        <v>0</v>
      </c>
    </row>
    <row r="378" spans="3:3">
      <c r="C378" s="30">
        <f t="shared" si="6"/>
        <v>0</v>
      </c>
    </row>
    <row r="379" spans="3:3">
      <c r="C379" s="30">
        <f t="shared" si="6"/>
        <v>0</v>
      </c>
    </row>
    <row r="380" spans="3:3">
      <c r="C380" s="30">
        <f t="shared" si="6"/>
        <v>0</v>
      </c>
    </row>
    <row r="381" spans="3:3">
      <c r="C381" s="30">
        <f t="shared" si="6"/>
        <v>0</v>
      </c>
    </row>
    <row r="382" spans="3:3">
      <c r="C382" s="30">
        <f t="shared" si="6"/>
        <v>0</v>
      </c>
    </row>
    <row r="383" spans="3:3">
      <c r="C383" s="30">
        <f t="shared" si="6"/>
        <v>0</v>
      </c>
    </row>
    <row r="384" spans="3:3">
      <c r="C384" s="30">
        <f t="shared" si="6"/>
        <v>0</v>
      </c>
    </row>
    <row r="385" spans="3:3">
      <c r="C385" s="30">
        <f t="shared" si="6"/>
        <v>0</v>
      </c>
    </row>
    <row r="386" spans="3:3">
      <c r="C386" s="30">
        <f>B385</f>
        <v>0</v>
      </c>
    </row>
    <row r="387" spans="3:3">
      <c r="C387" s="30">
        <f t="shared" si="6"/>
        <v>0</v>
      </c>
    </row>
    <row r="402" spans="3:3">
      <c r="C402">
        <v>0</v>
      </c>
    </row>
    <row r="403" spans="3:3">
      <c r="C403" s="30">
        <f>B402</f>
        <v>0</v>
      </c>
    </row>
    <row r="404" spans="3:3">
      <c r="C404" s="30">
        <f t="shared" ref="C404:C452" si="7">B403</f>
        <v>0</v>
      </c>
    </row>
    <row r="405" spans="3:3">
      <c r="C405" s="30">
        <f t="shared" si="7"/>
        <v>0</v>
      </c>
    </row>
    <row r="406" spans="3:3">
      <c r="C406" s="30">
        <f t="shared" si="7"/>
        <v>0</v>
      </c>
    </row>
    <row r="407" spans="3:3">
      <c r="C407" s="30">
        <f t="shared" si="7"/>
        <v>0</v>
      </c>
    </row>
    <row r="408" spans="3:3">
      <c r="C408" s="30">
        <f t="shared" si="7"/>
        <v>0</v>
      </c>
    </row>
    <row r="409" spans="3:3">
      <c r="C409" s="30">
        <f t="shared" si="7"/>
        <v>0</v>
      </c>
    </row>
    <row r="410" spans="3:3">
      <c r="C410" s="30">
        <f t="shared" si="7"/>
        <v>0</v>
      </c>
    </row>
    <row r="411" spans="3:3">
      <c r="C411" s="30">
        <f t="shared" si="7"/>
        <v>0</v>
      </c>
    </row>
    <row r="412" spans="3:3">
      <c r="C412" s="30">
        <f t="shared" si="7"/>
        <v>0</v>
      </c>
    </row>
    <row r="413" spans="3:3">
      <c r="C413" s="30">
        <f t="shared" si="7"/>
        <v>0</v>
      </c>
    </row>
    <row r="414" spans="3:3">
      <c r="C414" s="30">
        <f t="shared" si="7"/>
        <v>0</v>
      </c>
    </row>
    <row r="415" spans="3:3">
      <c r="C415" s="30">
        <f t="shared" si="7"/>
        <v>0</v>
      </c>
    </row>
    <row r="416" spans="3:3">
      <c r="C416" s="30">
        <f t="shared" si="7"/>
        <v>0</v>
      </c>
    </row>
    <row r="417" spans="3:3">
      <c r="C417" s="30">
        <f t="shared" si="7"/>
        <v>0</v>
      </c>
    </row>
    <row r="418" spans="3:3">
      <c r="C418" s="30">
        <f t="shared" si="7"/>
        <v>0</v>
      </c>
    </row>
    <row r="419" spans="3:3">
      <c r="C419" s="30">
        <f t="shared" si="7"/>
        <v>0</v>
      </c>
    </row>
    <row r="420" spans="3:3">
      <c r="C420" s="30">
        <f t="shared" si="7"/>
        <v>0</v>
      </c>
    </row>
    <row r="421" spans="3:3">
      <c r="C421" s="30">
        <f t="shared" si="7"/>
        <v>0</v>
      </c>
    </row>
    <row r="422" spans="3:3">
      <c r="C422" s="30">
        <f t="shared" si="7"/>
        <v>0</v>
      </c>
    </row>
    <row r="423" spans="3:3">
      <c r="C423" s="30">
        <f t="shared" si="7"/>
        <v>0</v>
      </c>
    </row>
    <row r="424" spans="3:3">
      <c r="C424" s="30">
        <f t="shared" si="7"/>
        <v>0</v>
      </c>
    </row>
    <row r="425" spans="3:3">
      <c r="C425" s="30">
        <f t="shared" si="7"/>
        <v>0</v>
      </c>
    </row>
    <row r="426" spans="3:3">
      <c r="C426" s="30">
        <f t="shared" si="7"/>
        <v>0</v>
      </c>
    </row>
    <row r="427" spans="3:3">
      <c r="C427" s="30">
        <f t="shared" si="7"/>
        <v>0</v>
      </c>
    </row>
    <row r="428" spans="3:3">
      <c r="C428" s="30">
        <f t="shared" si="7"/>
        <v>0</v>
      </c>
    </row>
    <row r="429" spans="3:3">
      <c r="C429" s="30">
        <f t="shared" si="7"/>
        <v>0</v>
      </c>
    </row>
    <row r="430" spans="3:3">
      <c r="C430" s="30">
        <f t="shared" si="7"/>
        <v>0</v>
      </c>
    </row>
    <row r="431" spans="3:3">
      <c r="C431" s="30">
        <f t="shared" si="7"/>
        <v>0</v>
      </c>
    </row>
    <row r="432" spans="3:3">
      <c r="C432" s="30">
        <f t="shared" si="7"/>
        <v>0</v>
      </c>
    </row>
    <row r="433" spans="3:3">
      <c r="C433" s="30">
        <f t="shared" si="7"/>
        <v>0</v>
      </c>
    </row>
    <row r="434" spans="3:3">
      <c r="C434" s="30">
        <f t="shared" si="7"/>
        <v>0</v>
      </c>
    </row>
    <row r="435" spans="3:3">
      <c r="C435" s="30">
        <f t="shared" si="7"/>
        <v>0</v>
      </c>
    </row>
    <row r="436" spans="3:3">
      <c r="C436" s="30">
        <f t="shared" si="7"/>
        <v>0</v>
      </c>
    </row>
    <row r="437" spans="3:3">
      <c r="C437" s="30">
        <f t="shared" si="7"/>
        <v>0</v>
      </c>
    </row>
    <row r="438" spans="3:3">
      <c r="C438" s="30">
        <f t="shared" si="7"/>
        <v>0</v>
      </c>
    </row>
    <row r="439" spans="3:3">
      <c r="C439" s="30">
        <f t="shared" si="7"/>
        <v>0</v>
      </c>
    </row>
    <row r="440" spans="3:3">
      <c r="C440" s="30">
        <f t="shared" si="7"/>
        <v>0</v>
      </c>
    </row>
    <row r="441" spans="3:3">
      <c r="C441" s="30">
        <f t="shared" si="7"/>
        <v>0</v>
      </c>
    </row>
    <row r="442" spans="3:3">
      <c r="C442" s="30">
        <f t="shared" si="7"/>
        <v>0</v>
      </c>
    </row>
    <row r="443" spans="3:3">
      <c r="C443" s="30">
        <f t="shared" si="7"/>
        <v>0</v>
      </c>
    </row>
    <row r="444" spans="3:3">
      <c r="C444" s="30">
        <f t="shared" si="7"/>
        <v>0</v>
      </c>
    </row>
    <row r="445" spans="3:3">
      <c r="C445" s="30">
        <f t="shared" si="7"/>
        <v>0</v>
      </c>
    </row>
    <row r="446" spans="3:3">
      <c r="C446" s="30">
        <f t="shared" si="7"/>
        <v>0</v>
      </c>
    </row>
    <row r="447" spans="3:3">
      <c r="C447" s="30">
        <f t="shared" si="7"/>
        <v>0</v>
      </c>
    </row>
    <row r="448" spans="3:3">
      <c r="C448" s="30">
        <f t="shared" si="7"/>
        <v>0</v>
      </c>
    </row>
    <row r="449" spans="3:3">
      <c r="C449" s="30">
        <f t="shared" si="7"/>
        <v>0</v>
      </c>
    </row>
    <row r="450" spans="3:3">
      <c r="C450" s="30">
        <f t="shared" si="7"/>
        <v>0</v>
      </c>
    </row>
    <row r="451" spans="3:3">
      <c r="C451" s="30">
        <f>B450</f>
        <v>0</v>
      </c>
    </row>
    <row r="452" spans="3:3">
      <c r="C452" s="30">
        <f t="shared" si="7"/>
        <v>0</v>
      </c>
    </row>
  </sheetData>
  <mergeCells count="8">
    <mergeCell ref="A200:A202"/>
    <mergeCell ref="B200:D200"/>
    <mergeCell ref="A2:A4"/>
    <mergeCell ref="B2:D2"/>
    <mergeCell ref="A69:A71"/>
    <mergeCell ref="B69:D69"/>
    <mergeCell ref="A134:A136"/>
    <mergeCell ref="B134:D134"/>
  </mergeCells>
  <pageMargins left="0.7" right="0.7" top="0.75" bottom="0.75" header="0.3" footer="0.3"/>
  <pageSetup paperSize="9" orientation="portrait" horizontalDpi="4294967295" verticalDpi="4294967295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Лист6">
    <tabColor rgb="FF92D050"/>
  </sheetPr>
  <dimension ref="A1:G452"/>
  <sheetViews>
    <sheetView topLeftCell="A340" workbookViewId="0">
      <selection activeCell="E20" sqref="E20:H21"/>
    </sheetView>
  </sheetViews>
  <sheetFormatPr defaultColWidth="8.7109375" defaultRowHeight="15"/>
  <cols>
    <col min="3" max="3" width="9.140625"/>
    <col min="5" max="5" width="9.42578125" bestFit="1" customWidth="1"/>
    <col min="6" max="6" width="8.7109375" style="36"/>
    <col min="7" max="7" width="9.42578125" style="36" bestFit="1" customWidth="1"/>
  </cols>
  <sheetData>
    <row r="1" spans="1:7" ht="15.75" thickBot="1">
      <c r="D1" s="13">
        <v>0.1</v>
      </c>
      <c r="E1" s="13">
        <v>0.4</v>
      </c>
    </row>
    <row r="2" spans="1:7" ht="23.25" customHeight="1" thickBot="1">
      <c r="A2" s="522" t="s">
        <v>0</v>
      </c>
      <c r="B2" s="467" t="s">
        <v>1</v>
      </c>
      <c r="C2" s="468"/>
      <c r="D2" s="469"/>
      <c r="E2" s="19">
        <f>(1-E57)^(1/3)-1</f>
        <v>-2.9454456766426773E-2</v>
      </c>
      <c r="F2" s="19">
        <f>(1-F57)^(1/3)-1</f>
        <v>-3.2288240511232691E-2</v>
      </c>
      <c r="G2" s="19"/>
    </row>
    <row r="3" spans="1:7" ht="72.75" thickBot="1">
      <c r="A3" s="523"/>
      <c r="B3" s="1" t="s">
        <v>4</v>
      </c>
      <c r="C3" s="1"/>
      <c r="D3" s="1" t="s">
        <v>80</v>
      </c>
      <c r="E3" s="1" t="s">
        <v>5</v>
      </c>
      <c r="F3" s="37" t="s">
        <v>5</v>
      </c>
      <c r="G3" s="37"/>
    </row>
    <row r="4" spans="1:7" ht="16.5" customHeight="1" thickBot="1">
      <c r="A4" s="524"/>
      <c r="B4" s="1" t="s">
        <v>6</v>
      </c>
      <c r="C4" s="1"/>
      <c r="D4" s="1" t="s">
        <v>7</v>
      </c>
      <c r="E4" s="1" t="s">
        <v>7</v>
      </c>
      <c r="F4" s="37" t="s">
        <v>7</v>
      </c>
      <c r="G4" s="37"/>
    </row>
    <row r="5" spans="1:7" ht="15.75" thickBot="1">
      <c r="A5" s="50">
        <v>1</v>
      </c>
      <c r="B5" s="51">
        <v>2</v>
      </c>
      <c r="C5" s="51"/>
      <c r="D5" s="51">
        <v>3</v>
      </c>
      <c r="E5" s="51">
        <v>4</v>
      </c>
      <c r="F5" s="52">
        <v>5</v>
      </c>
      <c r="G5" s="52"/>
    </row>
    <row r="6" spans="1:7">
      <c r="A6" s="27" t="s">
        <v>10</v>
      </c>
      <c r="B6" s="151">
        <v>0.61699086649772217</v>
      </c>
      <c r="C6" s="30">
        <v>0</v>
      </c>
      <c r="D6" s="14">
        <v>0</v>
      </c>
      <c r="E6" s="14">
        <v>0</v>
      </c>
      <c r="F6" s="38">
        <v>0</v>
      </c>
      <c r="G6" s="38">
        <v>0</v>
      </c>
    </row>
    <row r="7" spans="1:7">
      <c r="A7" s="27" t="s">
        <v>58</v>
      </c>
      <c r="B7" s="152">
        <v>0.92993179169799189</v>
      </c>
      <c r="C7" s="30">
        <f>B6</f>
        <v>0.61699086649772217</v>
      </c>
      <c r="D7" s="14">
        <v>0</v>
      </c>
      <c r="E7" s="14">
        <v>0</v>
      </c>
      <c r="F7" s="38">
        <v>0</v>
      </c>
      <c r="G7" s="38">
        <v>0</v>
      </c>
    </row>
    <row r="8" spans="1:7">
      <c r="A8" s="27" t="s">
        <v>59</v>
      </c>
      <c r="B8" s="152">
        <v>1.2122582255137018</v>
      </c>
      <c r="C8" s="30">
        <f t="shared" ref="C8:C56" si="0">B7</f>
        <v>0.92993179169799189</v>
      </c>
      <c r="D8" s="14">
        <v>0</v>
      </c>
      <c r="E8" s="14">
        <v>0</v>
      </c>
      <c r="F8" s="38">
        <v>0</v>
      </c>
      <c r="G8" s="38">
        <v>0</v>
      </c>
    </row>
    <row r="9" spans="1:7">
      <c r="A9" s="27" t="s">
        <v>60</v>
      </c>
      <c r="B9" s="152">
        <v>1.5002060126205299</v>
      </c>
      <c r="C9" s="30">
        <f t="shared" si="0"/>
        <v>1.2122582255137018</v>
      </c>
      <c r="D9" s="14">
        <v>0</v>
      </c>
      <c r="E9" s="14">
        <v>0</v>
      </c>
      <c r="F9" s="38">
        <v>0</v>
      </c>
      <c r="G9" s="38">
        <v>0</v>
      </c>
    </row>
    <row r="10" spans="1:7">
      <c r="A10" s="27" t="s">
        <v>61</v>
      </c>
      <c r="B10" s="152">
        <v>1.8096299654335255</v>
      </c>
      <c r="C10" s="30">
        <f t="shared" si="0"/>
        <v>1.5002060126205299</v>
      </c>
      <c r="D10" s="14">
        <v>0</v>
      </c>
      <c r="E10" s="14">
        <v>0</v>
      </c>
      <c r="F10" s="38">
        <v>0</v>
      </c>
      <c r="G10" s="38">
        <v>0</v>
      </c>
    </row>
    <row r="11" spans="1:7">
      <c r="A11" s="27" t="s">
        <v>62</v>
      </c>
      <c r="B11" s="152">
        <v>2.0954112525932</v>
      </c>
      <c r="C11" s="30">
        <f t="shared" si="0"/>
        <v>1.8096299654335255</v>
      </c>
      <c r="D11" s="14">
        <v>0</v>
      </c>
      <c r="E11" s="14">
        <v>0</v>
      </c>
      <c r="F11" s="38">
        <v>0</v>
      </c>
      <c r="G11" s="38">
        <v>0</v>
      </c>
    </row>
    <row r="12" spans="1:7">
      <c r="A12" s="27" t="s">
        <v>63</v>
      </c>
      <c r="B12" s="152">
        <v>2.4106121875448903</v>
      </c>
      <c r="C12" s="30">
        <f t="shared" si="0"/>
        <v>2.0954112525932</v>
      </c>
      <c r="D12" s="14">
        <v>0</v>
      </c>
      <c r="E12" s="14">
        <v>0</v>
      </c>
      <c r="F12" s="38">
        <v>0</v>
      </c>
      <c r="G12" s="38">
        <v>0</v>
      </c>
    </row>
    <row r="13" spans="1:7">
      <c r="A13" s="29" t="s">
        <v>11</v>
      </c>
      <c r="B13" s="152">
        <v>2.6398236380479383</v>
      </c>
      <c r="C13" s="30">
        <f t="shared" si="0"/>
        <v>2.4106121875448903</v>
      </c>
      <c r="D13" s="14">
        <v>0</v>
      </c>
      <c r="E13" s="14">
        <v>0</v>
      </c>
      <c r="F13" s="38">
        <v>0</v>
      </c>
      <c r="G13" s="38">
        <v>0</v>
      </c>
    </row>
    <row r="14" spans="1:7">
      <c r="A14" s="29" t="s">
        <v>12</v>
      </c>
      <c r="B14" s="152">
        <v>2.7797022401814977</v>
      </c>
      <c r="C14" s="30">
        <f t="shared" si="0"/>
        <v>2.6398236380479383</v>
      </c>
      <c r="D14" s="14">
        <v>0</v>
      </c>
      <c r="E14" s="14">
        <v>0</v>
      </c>
      <c r="F14" s="38">
        <v>0</v>
      </c>
      <c r="G14" s="38">
        <v>0</v>
      </c>
    </row>
    <row r="15" spans="1:7">
      <c r="A15" s="29" t="s">
        <v>13</v>
      </c>
      <c r="B15" s="152">
        <v>3.0043735659289714</v>
      </c>
      <c r="C15" s="30">
        <f t="shared" si="0"/>
        <v>2.7797022401814977</v>
      </c>
      <c r="D15" s="14">
        <v>0</v>
      </c>
      <c r="E15" s="14">
        <v>0</v>
      </c>
      <c r="F15" s="38">
        <v>0</v>
      </c>
      <c r="G15" s="38">
        <v>0</v>
      </c>
    </row>
    <row r="16" spans="1:7">
      <c r="A16" s="29" t="s">
        <v>14</v>
      </c>
      <c r="B16" s="152">
        <v>3.209955955961763</v>
      </c>
      <c r="C16" s="30">
        <f t="shared" si="0"/>
        <v>3.0043735659289714</v>
      </c>
      <c r="D16" s="14">
        <v>0</v>
      </c>
      <c r="E16" s="14">
        <v>0</v>
      </c>
      <c r="F16" s="38">
        <v>0</v>
      </c>
      <c r="G16" s="38">
        <v>0</v>
      </c>
    </row>
    <row r="17" spans="1:7">
      <c r="A17" s="29" t="s">
        <v>15</v>
      </c>
      <c r="B17" s="152">
        <v>3.3454117541886959</v>
      </c>
      <c r="C17" s="30">
        <f t="shared" si="0"/>
        <v>3.209955955961763</v>
      </c>
      <c r="D17" s="14">
        <v>0</v>
      </c>
      <c r="E17" s="14">
        <v>0</v>
      </c>
      <c r="F17" s="38">
        <v>0</v>
      </c>
      <c r="G17" s="38">
        <v>0</v>
      </c>
    </row>
    <row r="18" spans="1:7">
      <c r="A18" s="29" t="s">
        <v>16</v>
      </c>
      <c r="B18" s="152">
        <v>3.6504224807416019</v>
      </c>
      <c r="C18" s="30">
        <f t="shared" si="0"/>
        <v>3.3454117541886959</v>
      </c>
      <c r="D18" s="14">
        <v>0</v>
      </c>
      <c r="E18" s="14">
        <v>0</v>
      </c>
      <c r="F18" s="38">
        <v>4.7885813706900933E-3</v>
      </c>
      <c r="G18" s="38">
        <v>0</v>
      </c>
    </row>
    <row r="19" spans="1:7">
      <c r="A19" s="29" t="s">
        <v>17</v>
      </c>
      <c r="B19" s="152">
        <v>3.7244285968448274</v>
      </c>
      <c r="C19" s="30">
        <f t="shared" si="0"/>
        <v>3.6504224807416019</v>
      </c>
      <c r="D19" s="14">
        <v>0</v>
      </c>
      <c r="E19" s="14">
        <v>0</v>
      </c>
      <c r="F19" s="38">
        <v>6.6804762260251564E-3</v>
      </c>
      <c r="G19" s="38">
        <v>0</v>
      </c>
    </row>
    <row r="20" spans="1:7">
      <c r="A20" s="29" t="s">
        <v>18</v>
      </c>
      <c r="B20" s="152">
        <v>3.8829537606249938</v>
      </c>
      <c r="C20" s="30">
        <f t="shared" si="0"/>
        <v>3.7244285968448274</v>
      </c>
      <c r="D20" s="14">
        <v>3.8900269729016994E-2</v>
      </c>
      <c r="E20" s="14"/>
      <c r="F20" s="38"/>
      <c r="G20" s="38"/>
    </row>
    <row r="21" spans="1:7">
      <c r="A21" s="29" t="s">
        <v>19</v>
      </c>
      <c r="B21" s="152">
        <v>4.0085364649897599</v>
      </c>
      <c r="C21" s="30">
        <f t="shared" si="0"/>
        <v>3.8829537606249938</v>
      </c>
      <c r="D21" s="14">
        <v>6.9010387061325132E-2</v>
      </c>
      <c r="E21" s="14"/>
      <c r="F21" s="38"/>
      <c r="G21" s="38"/>
    </row>
    <row r="22" spans="1:7">
      <c r="A22" s="29" t="s">
        <v>20</v>
      </c>
      <c r="B22" s="152">
        <v>4.2354995150339478</v>
      </c>
      <c r="C22" s="30">
        <f t="shared" si="0"/>
        <v>4.0085364649897599</v>
      </c>
      <c r="D22" s="14">
        <v>0.11889830260989438</v>
      </c>
      <c r="E22" s="14">
        <v>1.1889830260989439E-2</v>
      </c>
      <c r="F22" s="38">
        <v>1.7940752500606321E-2</v>
      </c>
      <c r="G22" s="38">
        <v>0</v>
      </c>
    </row>
    <row r="23" spans="1:7">
      <c r="A23" s="29" t="s">
        <v>21</v>
      </c>
      <c r="B23" s="152">
        <v>4.3859640557401756</v>
      </c>
      <c r="C23" s="30">
        <f t="shared" si="0"/>
        <v>4.2354995150339478</v>
      </c>
      <c r="D23" s="14">
        <v>0.14912530869759169</v>
      </c>
      <c r="E23" s="14">
        <v>1.4912530869759171E-2</v>
      </c>
      <c r="F23" s="38">
        <v>2.0755870643112677E-2</v>
      </c>
      <c r="G23" s="38">
        <v>0</v>
      </c>
    </row>
    <row r="24" spans="1:7">
      <c r="A24" s="29" t="s">
        <v>22</v>
      </c>
      <c r="B24" s="152">
        <v>4.5418356796309558</v>
      </c>
      <c r="C24" s="30">
        <f t="shared" si="0"/>
        <v>4.3859640557401756</v>
      </c>
      <c r="D24" s="14">
        <v>0.17832654564583136</v>
      </c>
      <c r="E24" s="14">
        <v>1.7832654564583137E-2</v>
      </c>
      <c r="F24" s="38">
        <v>2.3475456290401601E-2</v>
      </c>
      <c r="G24" s="38">
        <v>0</v>
      </c>
    </row>
    <row r="25" spans="1:7">
      <c r="A25" s="29" t="s">
        <v>23</v>
      </c>
      <c r="B25" s="152">
        <v>4.6859911169552193</v>
      </c>
      <c r="C25" s="30">
        <f t="shared" si="0"/>
        <v>4.5418356796309558</v>
      </c>
      <c r="D25" s="14">
        <v>0.20360373742743401</v>
      </c>
      <c r="E25" s="14">
        <v>2.0360373742743403E-2</v>
      </c>
      <c r="F25" s="38">
        <v>2.5829585606733867E-2</v>
      </c>
      <c r="G25" s="38">
        <v>0</v>
      </c>
    </row>
    <row r="26" spans="1:7">
      <c r="A26" s="29" t="s">
        <v>24</v>
      </c>
      <c r="B26" s="152">
        <v>4.8625985654569597</v>
      </c>
      <c r="C26" s="30">
        <f t="shared" si="0"/>
        <v>4.6859911169552193</v>
      </c>
      <c r="D26" s="14">
        <v>0.2325285006041462</v>
      </c>
      <c r="E26" s="14">
        <v>2.3252850060414623E-2</v>
      </c>
      <c r="F26" s="38">
        <v>2.8523422546794026E-2</v>
      </c>
      <c r="G26" s="38">
        <v>0</v>
      </c>
    </row>
    <row r="27" spans="1:7">
      <c r="A27" s="29" t="s">
        <v>25</v>
      </c>
      <c r="B27" s="152">
        <v>5.0454703304633979</v>
      </c>
      <c r="C27" s="30">
        <f t="shared" si="0"/>
        <v>4.8625985654569597</v>
      </c>
      <c r="D27" s="14">
        <v>0.26034530627224478</v>
      </c>
      <c r="E27" s="14">
        <v>2.6034530627224477E-2</v>
      </c>
      <c r="F27" s="38">
        <v>3.1114072579273091E-2</v>
      </c>
      <c r="G27" s="38">
        <v>0</v>
      </c>
    </row>
    <row r="28" spans="1:7">
      <c r="A28" s="29" t="s">
        <v>26</v>
      </c>
      <c r="B28" s="152">
        <v>5.1247112392807557</v>
      </c>
      <c r="C28" s="30">
        <f t="shared" si="0"/>
        <v>5.0454703304633979</v>
      </c>
      <c r="D28" s="14">
        <v>0.27178222581861078</v>
      </c>
      <c r="E28" s="14">
        <v>2.7178222581861079E-2</v>
      </c>
      <c r="F28" s="38">
        <v>3.2179222055736291E-2</v>
      </c>
      <c r="G28" s="38">
        <v>0</v>
      </c>
    </row>
    <row r="29" spans="1:7">
      <c r="A29" s="29" t="s">
        <v>27</v>
      </c>
      <c r="B29" s="152">
        <v>5.3030079579252662</v>
      </c>
      <c r="C29" s="30">
        <f t="shared" si="0"/>
        <v>5.1247112392807557</v>
      </c>
      <c r="D29" s="14">
        <v>0.29626622445208611</v>
      </c>
      <c r="E29" s="14">
        <v>2.9626622445208615E-2</v>
      </c>
      <c r="F29" s="38">
        <v>3.4459479271890109E-2</v>
      </c>
      <c r="G29" s="38">
        <v>0</v>
      </c>
    </row>
    <row r="30" spans="1:7">
      <c r="A30" s="29" t="s">
        <v>28</v>
      </c>
      <c r="B30" s="152">
        <v>5.3920289716715972</v>
      </c>
      <c r="C30" s="30">
        <f t="shared" si="0"/>
        <v>5.3030079579252662</v>
      </c>
      <c r="D30" s="14">
        <v>0.30788468838021793</v>
      </c>
      <c r="E30" s="14">
        <v>3.0788468838021797E-2</v>
      </c>
      <c r="F30" s="38">
        <v>3.5541536439485405E-2</v>
      </c>
      <c r="G30" s="38">
        <v>0</v>
      </c>
    </row>
    <row r="31" spans="1:7">
      <c r="A31" s="29" t="s">
        <v>29</v>
      </c>
      <c r="B31" s="152">
        <v>5.4755211517653519</v>
      </c>
      <c r="C31" s="30">
        <f t="shared" si="0"/>
        <v>5.3920289716715972</v>
      </c>
      <c r="D31" s="14">
        <v>0.31843824385772224</v>
      </c>
      <c r="E31" s="14">
        <v>3.1843824385772226E-2</v>
      </c>
      <c r="F31" s="38">
        <v>3.6524415968026004E-2</v>
      </c>
      <c r="G31" s="38">
        <v>0</v>
      </c>
    </row>
    <row r="32" spans="1:7">
      <c r="A32" s="29" t="s">
        <v>30</v>
      </c>
      <c r="B32" s="152">
        <v>5.6026400179549043</v>
      </c>
      <c r="C32" s="30">
        <f t="shared" si="0"/>
        <v>5.4755211517653519</v>
      </c>
      <c r="D32" s="14">
        <v>0.33390226749681229</v>
      </c>
      <c r="E32" s="14">
        <v>3.3390226749681229E-2</v>
      </c>
      <c r="F32" s="38">
        <v>3.7964619915987229E-2</v>
      </c>
      <c r="G32" s="38">
        <v>0</v>
      </c>
    </row>
    <row r="33" spans="1:7">
      <c r="A33" s="29" t="s">
        <v>31</v>
      </c>
      <c r="B33" s="152">
        <v>5.7838352823646941</v>
      </c>
      <c r="C33" s="30">
        <f t="shared" si="0"/>
        <v>5.6026400179549043</v>
      </c>
      <c r="D33" s="14">
        <v>0.35476969349901538</v>
      </c>
      <c r="E33" s="14">
        <v>3.5476969349901542E-2</v>
      </c>
      <c r="F33" s="38">
        <v>3.9908056502322528E-2</v>
      </c>
      <c r="G33" s="38">
        <v>0</v>
      </c>
    </row>
    <row r="34" spans="1:7">
      <c r="A34" s="29" t="s">
        <v>32</v>
      </c>
      <c r="B34" s="152">
        <v>5.9045745131582121</v>
      </c>
      <c r="C34" s="30">
        <f t="shared" si="0"/>
        <v>5.7838352823646941</v>
      </c>
      <c r="D34" s="14">
        <v>0.36796363502993956</v>
      </c>
      <c r="E34" s="14">
        <v>3.6796363502993958E-2</v>
      </c>
      <c r="F34" s="38">
        <v>4.6821051495041281E-2</v>
      </c>
      <c r="G34" s="38">
        <v>0</v>
      </c>
    </row>
    <row r="35" spans="1:7">
      <c r="A35" s="29" t="s">
        <v>33</v>
      </c>
      <c r="B35" s="152">
        <v>6.1486207883341537</v>
      </c>
      <c r="C35" s="30">
        <f t="shared" si="0"/>
        <v>5.9045745131582121</v>
      </c>
      <c r="D35" s="14">
        <v>0.39304993095818058</v>
      </c>
      <c r="E35" s="14">
        <v>3.9304993095818058E-2</v>
      </c>
      <c r="F35" s="38">
        <v>6.0839155687891146E-2</v>
      </c>
      <c r="G35" s="38">
        <v>2.4171402571473198E-3</v>
      </c>
    </row>
    <row r="36" spans="1:7">
      <c r="A36" s="29" t="s">
        <v>34</v>
      </c>
      <c r="B36" s="152">
        <v>6.3439883142221332</v>
      </c>
      <c r="C36" s="30">
        <f t="shared" si="0"/>
        <v>6.1486207883341537</v>
      </c>
      <c r="D36" s="14">
        <v>0.41174137984695081</v>
      </c>
      <c r="E36" s="14">
        <v>4.7044827908170495E-2</v>
      </c>
      <c r="F36" s="38">
        <v>7.1283849427756507E-2</v>
      </c>
      <c r="G36" s="38">
        <v>5.4222721919422586E-3</v>
      </c>
    </row>
    <row r="37" spans="1:7">
      <c r="A37" s="29" t="s">
        <v>35</v>
      </c>
      <c r="B37" s="152">
        <v>6.6079866492143084</v>
      </c>
      <c r="C37" s="30">
        <f t="shared" si="0"/>
        <v>6.3439883142221332</v>
      </c>
      <c r="D37" s="14">
        <v>0.4352431368130707</v>
      </c>
      <c r="E37" s="14">
        <v>6.1145882087842413E-2</v>
      </c>
      <c r="F37" s="38">
        <v>8.4416520700091438E-2</v>
      </c>
      <c r="G37" s="38">
        <v>9.2007850725091631E-3</v>
      </c>
    </row>
    <row r="38" spans="1:7">
      <c r="A38" s="29" t="s">
        <v>36</v>
      </c>
      <c r="B38" s="152">
        <v>6.9191561404152822</v>
      </c>
      <c r="C38" s="30">
        <f t="shared" si="0"/>
        <v>6.6079866492143084</v>
      </c>
      <c r="D38" s="14">
        <v>0.46064148051334558</v>
      </c>
      <c r="E38" s="14">
        <v>7.638488830800734E-2</v>
      </c>
      <c r="F38" s="38">
        <v>9.8608995720505063E-2</v>
      </c>
      <c r="G38" s="38">
        <v>1.3284223130136144E-2</v>
      </c>
    </row>
    <row r="39" spans="1:7">
      <c r="A39" s="29" t="s">
        <v>37</v>
      </c>
      <c r="B39" s="152">
        <v>7.2232644782995514</v>
      </c>
      <c r="C39" s="30">
        <f t="shared" si="0"/>
        <v>6.9191561404152822</v>
      </c>
      <c r="D39" s="14">
        <v>0.48334913899346532</v>
      </c>
      <c r="E39" s="14">
        <v>9.0009483396079212E-2</v>
      </c>
      <c r="F39" s="38">
        <v>0.11129792849322348</v>
      </c>
      <c r="G39" s="38">
        <v>1.6935064221648487E-2</v>
      </c>
    </row>
    <row r="40" spans="1:7">
      <c r="A40" s="29" t="s">
        <v>38</v>
      </c>
      <c r="B40" s="152">
        <v>7.8904765255419242</v>
      </c>
      <c r="C40" s="30">
        <f t="shared" si="0"/>
        <v>7.2232644782995514</v>
      </c>
      <c r="D40" s="14">
        <v>0.52703670051979912</v>
      </c>
      <c r="E40" s="14">
        <v>0.11622202031187943</v>
      </c>
      <c r="F40" s="38">
        <v>0.13571033242720776</v>
      </c>
      <c r="G40" s="38">
        <v>2.3958965208531368E-2</v>
      </c>
    </row>
    <row r="41" spans="1:7">
      <c r="A41" s="29" t="s">
        <v>39</v>
      </c>
      <c r="B41" s="152">
        <v>8.1356738417559491</v>
      </c>
      <c r="C41" s="30">
        <f t="shared" si="0"/>
        <v>7.8904765255419242</v>
      </c>
      <c r="D41" s="14">
        <v>0.54129112295068227</v>
      </c>
      <c r="E41" s="14">
        <v>0.12477467377040934</v>
      </c>
      <c r="F41" s="38">
        <v>0.14367563664814967</v>
      </c>
      <c r="G41" s="38">
        <v>2.6250730834300504E-2</v>
      </c>
    </row>
    <row r="42" spans="1:7">
      <c r="A42" s="29" t="s">
        <v>40</v>
      </c>
      <c r="B42" s="152">
        <v>8.5213772445230234</v>
      </c>
      <c r="C42" s="30">
        <f t="shared" si="0"/>
        <v>8.1356738417559491</v>
      </c>
      <c r="D42" s="14">
        <v>0.56205367924650895</v>
      </c>
      <c r="E42" s="14">
        <v>0.1372322075479053</v>
      </c>
      <c r="F42" s="38">
        <v>0.15527765546740296</v>
      </c>
      <c r="G42" s="38">
        <v>2.9588846640296297E-2</v>
      </c>
    </row>
    <row r="43" spans="1:7">
      <c r="A43" s="29" t="s">
        <v>41</v>
      </c>
      <c r="B43" s="152">
        <v>8.776518676765841</v>
      </c>
      <c r="C43" s="30">
        <f t="shared" si="0"/>
        <v>8.5213772445230234</v>
      </c>
      <c r="D43" s="14">
        <v>0.57478517970104837</v>
      </c>
      <c r="E43" s="14">
        <v>0.14487110782062898</v>
      </c>
      <c r="F43" s="38">
        <v>0.16239195804971979</v>
      </c>
      <c r="G43" s="38">
        <v>3.1635763325111407E-2</v>
      </c>
    </row>
    <row r="44" spans="1:7">
      <c r="A44" s="29" t="s">
        <v>42</v>
      </c>
      <c r="B44" s="152">
        <v>9.1846227412095587</v>
      </c>
      <c r="C44" s="30">
        <f t="shared" si="0"/>
        <v>8.776518676765841</v>
      </c>
      <c r="D44" s="14">
        <v>0.59367892213503037</v>
      </c>
      <c r="E44" s="14">
        <v>0.15620735328101815</v>
      </c>
      <c r="F44" s="38">
        <v>0.17294969247133551</v>
      </c>
      <c r="G44" s="38">
        <v>3.467341915875103E-2</v>
      </c>
    </row>
    <row r="45" spans="1:7">
      <c r="A45" s="29" t="s">
        <v>43</v>
      </c>
      <c r="B45" s="152">
        <v>9.8638786828315084</v>
      </c>
      <c r="C45" s="30">
        <f t="shared" si="0"/>
        <v>9.1846227412095587</v>
      </c>
      <c r="D45" s="14">
        <v>0.62165939667456394</v>
      </c>
      <c r="E45" s="14">
        <v>0.17299563800473836</v>
      </c>
      <c r="F45" s="38">
        <v>0.18858505006189183</v>
      </c>
      <c r="G45" s="38">
        <v>3.9172001269204074E-2</v>
      </c>
    </row>
    <row r="46" spans="1:7">
      <c r="A46" s="29" t="s">
        <v>44</v>
      </c>
      <c r="B46" s="152">
        <v>10.683146320289543</v>
      </c>
      <c r="C46" s="30">
        <f t="shared" si="0"/>
        <v>9.8638786828315084</v>
      </c>
      <c r="D46" s="14">
        <v>0.65067352818114021</v>
      </c>
      <c r="E46" s="14">
        <v>0.19040411690868417</v>
      </c>
      <c r="F46" s="38">
        <v>0.20479801030471365</v>
      </c>
      <c r="G46" s="38">
        <v>6.3020622196024556E-2</v>
      </c>
    </row>
    <row r="47" spans="1:7">
      <c r="A47" s="29" t="s">
        <v>45</v>
      </c>
      <c r="B47" s="152">
        <v>11.154562206570597</v>
      </c>
      <c r="C47" s="30">
        <f t="shared" si="0"/>
        <v>10.683146320289543</v>
      </c>
      <c r="D47" s="14">
        <v>0.66543681922423636</v>
      </c>
      <c r="E47" s="14">
        <v>0.19926209153454177</v>
      </c>
      <c r="F47" s="38">
        <v>0.21304766791313359</v>
      </c>
      <c r="G47" s="38">
        <v>7.7262098383438199E-2</v>
      </c>
    </row>
    <row r="48" spans="1:7">
      <c r="A48" s="29" t="s">
        <v>46</v>
      </c>
      <c r="B48" s="152">
        <v>12.29337783524209</v>
      </c>
      <c r="C48" s="30">
        <f t="shared" si="0"/>
        <v>11.154562206570597</v>
      </c>
      <c r="D48" s="14">
        <v>0.69642958493531992</v>
      </c>
      <c r="E48" s="14">
        <v>0.21785775096119192</v>
      </c>
      <c r="F48" s="38">
        <v>0.23036627964462714</v>
      </c>
      <c r="G48" s="38">
        <v>0.10715941149391135</v>
      </c>
    </row>
    <row r="49" spans="1:7">
      <c r="A49" s="29" t="s">
        <v>47</v>
      </c>
      <c r="B49" s="152">
        <v>13.026360196158686</v>
      </c>
      <c r="C49" s="30">
        <f t="shared" si="0"/>
        <v>12.29337783524209</v>
      </c>
      <c r="D49" s="14">
        <v>0.71351123753726131</v>
      </c>
      <c r="E49" s="14">
        <v>0.2281067425223568</v>
      </c>
      <c r="F49" s="38">
        <v>0.23991142678970706</v>
      </c>
      <c r="G49" s="38">
        <v>0.12363730575624679</v>
      </c>
    </row>
    <row r="50" spans="1:7">
      <c r="A50" s="29" t="s">
        <v>48</v>
      </c>
      <c r="B50" s="152">
        <v>14.925399863001676</v>
      </c>
      <c r="C50" s="30">
        <f t="shared" si="0"/>
        <v>13.026360196158686</v>
      </c>
      <c r="D50" s="14">
        <v>0.74996275836854875</v>
      </c>
      <c r="E50" s="14">
        <v>0.2499776550211292</v>
      </c>
      <c r="F50" s="38">
        <v>0.26028036521180326</v>
      </c>
      <c r="G50" s="38">
        <v>0.15880043194527874</v>
      </c>
    </row>
    <row r="51" spans="1:7">
      <c r="A51" s="29" t="s">
        <v>49</v>
      </c>
      <c r="B51" s="152">
        <v>17.548324690638463</v>
      </c>
      <c r="C51" s="30">
        <f t="shared" si="0"/>
        <v>14.925399863001676</v>
      </c>
      <c r="D51" s="14">
        <v>0.7873354933999912</v>
      </c>
      <c r="E51" s="14">
        <v>0.27240129603999474</v>
      </c>
      <c r="F51" s="38">
        <v>0.28116407379680625</v>
      </c>
      <c r="G51" s="38">
        <v>0.19485221162334099</v>
      </c>
    </row>
    <row r="52" spans="1:7">
      <c r="A52" s="29" t="s">
        <v>50</v>
      </c>
      <c r="B52" s="152">
        <v>27.244851389144543</v>
      </c>
      <c r="C52" s="30">
        <f t="shared" si="0"/>
        <v>17.548324690638463</v>
      </c>
      <c r="D52" s="14">
        <v>0.86302344767135253</v>
      </c>
      <c r="E52" s="14">
        <v>0.31781406860281153</v>
      </c>
      <c r="F52" s="38">
        <v>0.32345814671034345</v>
      </c>
      <c r="G52" s="38">
        <v>0.26786494267924743</v>
      </c>
    </row>
    <row r="53" spans="1:7">
      <c r="A53" s="29" t="s">
        <v>51</v>
      </c>
      <c r="B53" s="152">
        <v>54.158737637972216</v>
      </c>
      <c r="C53" s="30">
        <f t="shared" si="0"/>
        <v>27.244851389144543</v>
      </c>
      <c r="D53" s="14">
        <v>0.9310931905958082</v>
      </c>
      <c r="E53" s="14">
        <v>0.35865591435748501</v>
      </c>
      <c r="F53" s="38">
        <v>0.36149519894894516</v>
      </c>
      <c r="G53" s="38">
        <v>0.33352873133667832</v>
      </c>
    </row>
    <row r="54" spans="1:7">
      <c r="A54" s="29" t="s">
        <v>52</v>
      </c>
      <c r="B54" s="152">
        <v>65.823165603054406</v>
      </c>
      <c r="C54" s="30">
        <f t="shared" si="0"/>
        <v>54.158737637972216</v>
      </c>
      <c r="D54" s="14">
        <v>0.94330406661848232</v>
      </c>
      <c r="E54" s="14">
        <v>0.36598243997108942</v>
      </c>
      <c r="F54" s="38">
        <v>0.36831857904704562</v>
      </c>
      <c r="G54" s="38">
        <v>0.34530800870760692</v>
      </c>
    </row>
    <row r="55" spans="1:7">
      <c r="A55" s="29" t="s">
        <v>53</v>
      </c>
      <c r="B55" s="152">
        <v>81.369426947699395</v>
      </c>
      <c r="C55" s="30">
        <f>B54</f>
        <v>65.823165603054406</v>
      </c>
      <c r="D55" s="14">
        <v>0.95413626527823425</v>
      </c>
      <c r="E55" s="14">
        <v>0.3724817591669406</v>
      </c>
      <c r="F55" s="38">
        <v>0.37437156071817024</v>
      </c>
      <c r="G55" s="38">
        <v>0.35575733865848758</v>
      </c>
    </row>
    <row r="56" spans="1:7">
      <c r="A56" s="29" t="s">
        <v>53</v>
      </c>
      <c r="B56" s="31" t="s">
        <v>115</v>
      </c>
      <c r="C56" s="30">
        <f t="shared" si="0"/>
        <v>81.369426947699395</v>
      </c>
      <c r="D56" s="11">
        <v>49.1</v>
      </c>
      <c r="E56" s="11"/>
      <c r="F56" s="39"/>
      <c r="G56" s="39"/>
    </row>
    <row r="57" spans="1:7">
      <c r="A57" s="29"/>
      <c r="B57" s="31"/>
      <c r="C57" s="31"/>
      <c r="D57" s="11"/>
      <c r="E57" s="32">
        <v>8.5786228885538232E-2</v>
      </c>
      <c r="F57" s="40">
        <v>9.3770791582491686E-2</v>
      </c>
      <c r="G57" s="40">
        <v>4.5194606281796779E-2</v>
      </c>
    </row>
    <row r="58" spans="1:7" ht="60">
      <c r="A58" s="33" t="s">
        <v>55</v>
      </c>
      <c r="B58" s="31">
        <v>10</v>
      </c>
      <c r="C58" s="31"/>
      <c r="D58" s="11"/>
      <c r="E58" s="34">
        <v>6.2198430199856345</v>
      </c>
      <c r="F58" s="41">
        <v>5.7926983831288776</v>
      </c>
      <c r="G58" s="42">
        <v>10</v>
      </c>
    </row>
    <row r="59" spans="1:7" ht="60">
      <c r="A59" s="33" t="s">
        <v>56</v>
      </c>
      <c r="B59" s="31">
        <v>20.28</v>
      </c>
      <c r="C59" s="31"/>
      <c r="D59" s="11"/>
      <c r="E59" s="11"/>
      <c r="F59" s="39"/>
      <c r="G59" s="39"/>
    </row>
    <row r="60" spans="1:7" ht="96.75">
      <c r="A60" s="35" t="s">
        <v>57</v>
      </c>
      <c r="B60" s="29">
        <v>6</v>
      </c>
      <c r="C60" s="29"/>
      <c r="D60" s="11"/>
      <c r="E60" s="11">
        <v>3.7319058119913806</v>
      </c>
      <c r="F60" s="39">
        <v>3.4756190298773264</v>
      </c>
      <c r="G60" s="39">
        <v>6</v>
      </c>
    </row>
    <row r="62" spans="1:7" ht="60.75" thickBot="1">
      <c r="A62" s="5" t="s">
        <v>56</v>
      </c>
      <c r="B62">
        <f>B59</f>
        <v>20.28</v>
      </c>
    </row>
    <row r="63" spans="1:7">
      <c r="A63" s="16" t="s">
        <v>64</v>
      </c>
      <c r="B63" s="17">
        <f>AVERAGE(B11:B50)</f>
        <v>6.2198430199856345</v>
      </c>
      <c r="C63" s="17"/>
    </row>
    <row r="64" spans="1:7">
      <c r="A64" s="16" t="s">
        <v>65</v>
      </c>
      <c r="B64" s="18">
        <f>AVERAGE(B16:B45)</f>
        <v>5.7926983831288776</v>
      </c>
      <c r="C64" s="18"/>
    </row>
    <row r="65" spans="1:7">
      <c r="A65" s="16" t="s">
        <v>66</v>
      </c>
      <c r="B65" s="18">
        <f>AVERAGE(B22:B40)</f>
        <v>5.6566932259699367</v>
      </c>
      <c r="C65" s="18"/>
    </row>
    <row r="69" spans="1:7" ht="15" customHeight="1">
      <c r="A69" s="473" t="s">
        <v>0</v>
      </c>
      <c r="B69" s="473" t="s">
        <v>2</v>
      </c>
      <c r="C69" s="473"/>
      <c r="D69" s="473"/>
      <c r="E69" s="49">
        <f>(1-E124)^(1/3)-1</f>
        <v>0</v>
      </c>
      <c r="F69" s="49">
        <f>(1-F124)^(1/3)-1</f>
        <v>0</v>
      </c>
      <c r="G69" s="49"/>
    </row>
    <row r="70" spans="1:7" ht="72">
      <c r="A70" s="473"/>
      <c r="B70" s="11" t="s">
        <v>4</v>
      </c>
      <c r="C70" s="11"/>
      <c r="D70" s="11" t="s">
        <v>80</v>
      </c>
      <c r="E70" s="11" t="s">
        <v>5</v>
      </c>
      <c r="F70" s="39" t="s">
        <v>5</v>
      </c>
      <c r="G70" s="39"/>
    </row>
    <row r="71" spans="1:7" ht="24">
      <c r="A71" s="473"/>
      <c r="B71" s="11" t="s">
        <v>8</v>
      </c>
      <c r="C71" s="11"/>
      <c r="D71" s="11" t="s">
        <v>7</v>
      </c>
      <c r="E71" s="11" t="s">
        <v>7</v>
      </c>
      <c r="F71" s="39" t="s">
        <v>7</v>
      </c>
      <c r="G71" s="39"/>
    </row>
    <row r="72" spans="1:7">
      <c r="A72" s="50">
        <v>1</v>
      </c>
      <c r="B72" s="51">
        <v>2</v>
      </c>
      <c r="C72" s="51"/>
      <c r="D72" s="51">
        <v>3</v>
      </c>
      <c r="E72" s="51">
        <v>4</v>
      </c>
      <c r="F72" s="52">
        <v>5</v>
      </c>
      <c r="G72" s="52"/>
    </row>
    <row r="73" spans="1:7">
      <c r="A73" s="27" t="s">
        <v>10</v>
      </c>
      <c r="B73" s="153"/>
      <c r="C73" s="253">
        <v>0</v>
      </c>
      <c r="D73" s="14">
        <f>IF(B73=0,0,IF(B73&lt;=E$127,0,B73-E$127)/B73)</f>
        <v>0</v>
      </c>
      <c r="E73" s="14"/>
      <c r="F73" s="38"/>
      <c r="G73" s="38"/>
    </row>
    <row r="74" spans="1:7">
      <c r="A74" s="27" t="s">
        <v>58</v>
      </c>
      <c r="B74" s="153"/>
      <c r="C74" s="30">
        <f>B73</f>
        <v>0</v>
      </c>
      <c r="D74" s="14">
        <f t="shared" ref="D74:D122" si="1">IF(B74=0,0,IF(B74&lt;=E$127,0,B74-E$127)/B74)</f>
        <v>0</v>
      </c>
      <c r="E74" s="14"/>
      <c r="F74" s="38"/>
      <c r="G74" s="38"/>
    </row>
    <row r="75" spans="1:7">
      <c r="A75" s="27" t="s">
        <v>59</v>
      </c>
      <c r="B75" s="153"/>
      <c r="C75" s="30">
        <f t="shared" ref="C75:C123" si="2">B74</f>
        <v>0</v>
      </c>
      <c r="D75" s="14">
        <f t="shared" si="1"/>
        <v>0</v>
      </c>
      <c r="E75" s="14"/>
      <c r="F75" s="38"/>
      <c r="G75" s="38"/>
    </row>
    <row r="76" spans="1:7">
      <c r="A76" s="27" t="s">
        <v>60</v>
      </c>
      <c r="B76" s="153"/>
      <c r="C76" s="30">
        <f t="shared" si="2"/>
        <v>0</v>
      </c>
      <c r="D76" s="14">
        <f t="shared" si="1"/>
        <v>0</v>
      </c>
      <c r="E76" s="14"/>
      <c r="F76" s="38"/>
      <c r="G76" s="38"/>
    </row>
    <row r="77" spans="1:7">
      <c r="A77" s="27" t="s">
        <v>61</v>
      </c>
      <c r="B77" s="153"/>
      <c r="C77" s="30">
        <f t="shared" si="2"/>
        <v>0</v>
      </c>
      <c r="D77" s="14">
        <f t="shared" si="1"/>
        <v>0</v>
      </c>
      <c r="E77" s="14"/>
      <c r="F77" s="38"/>
      <c r="G77" s="38"/>
    </row>
    <row r="78" spans="1:7">
      <c r="A78" s="27" t="s">
        <v>62</v>
      </c>
      <c r="B78" s="153"/>
      <c r="C78" s="30">
        <f t="shared" si="2"/>
        <v>0</v>
      </c>
      <c r="D78" s="14">
        <f t="shared" si="1"/>
        <v>0</v>
      </c>
      <c r="E78" s="14"/>
      <c r="F78" s="38"/>
      <c r="G78" s="38"/>
    </row>
    <row r="79" spans="1:7">
      <c r="A79" s="27" t="s">
        <v>63</v>
      </c>
      <c r="B79" s="153"/>
      <c r="C79" s="30">
        <f t="shared" si="2"/>
        <v>0</v>
      </c>
      <c r="D79" s="14">
        <f t="shared" si="1"/>
        <v>0</v>
      </c>
      <c r="E79" s="14"/>
      <c r="F79" s="38"/>
      <c r="G79" s="38"/>
    </row>
    <row r="80" spans="1:7">
      <c r="A80" s="29" t="s">
        <v>11</v>
      </c>
      <c r="B80" s="153"/>
      <c r="C80" s="30">
        <f t="shared" si="2"/>
        <v>0</v>
      </c>
      <c r="D80" s="14">
        <f t="shared" si="1"/>
        <v>0</v>
      </c>
      <c r="E80" s="14"/>
      <c r="F80" s="38"/>
      <c r="G80" s="38"/>
    </row>
    <row r="81" spans="1:7">
      <c r="A81" s="29" t="s">
        <v>12</v>
      </c>
      <c r="B81" s="153"/>
      <c r="C81" s="30">
        <f t="shared" si="2"/>
        <v>0</v>
      </c>
      <c r="D81" s="14">
        <f t="shared" si="1"/>
        <v>0</v>
      </c>
      <c r="E81" s="14"/>
      <c r="F81" s="38"/>
      <c r="G81" s="38"/>
    </row>
    <row r="82" spans="1:7">
      <c r="A82" s="29" t="s">
        <v>13</v>
      </c>
      <c r="B82" s="153"/>
      <c r="C82" s="30">
        <f t="shared" si="2"/>
        <v>0</v>
      </c>
      <c r="D82" s="14">
        <f t="shared" si="1"/>
        <v>0</v>
      </c>
      <c r="E82" s="14"/>
      <c r="F82" s="38"/>
      <c r="G82" s="38"/>
    </row>
    <row r="83" spans="1:7">
      <c r="A83" s="29" t="s">
        <v>14</v>
      </c>
      <c r="B83" s="153"/>
      <c r="C83" s="30">
        <f t="shared" si="2"/>
        <v>0</v>
      </c>
      <c r="D83" s="14">
        <f t="shared" si="1"/>
        <v>0</v>
      </c>
      <c r="E83" s="14"/>
      <c r="F83" s="38"/>
      <c r="G83" s="38"/>
    </row>
    <row r="84" spans="1:7">
      <c r="A84" s="29" t="s">
        <v>15</v>
      </c>
      <c r="B84" s="153"/>
      <c r="C84" s="30">
        <f t="shared" si="2"/>
        <v>0</v>
      </c>
      <c r="D84" s="14">
        <f t="shared" si="1"/>
        <v>0</v>
      </c>
      <c r="E84" s="14"/>
      <c r="F84" s="38"/>
      <c r="G84" s="38"/>
    </row>
    <row r="85" spans="1:7">
      <c r="A85" s="29" t="s">
        <v>16</v>
      </c>
      <c r="B85" s="153"/>
      <c r="C85" s="30">
        <f t="shared" si="2"/>
        <v>0</v>
      </c>
      <c r="D85" s="14">
        <f t="shared" si="1"/>
        <v>0</v>
      </c>
      <c r="E85" s="14"/>
      <c r="F85" s="38"/>
      <c r="G85" s="38"/>
    </row>
    <row r="86" spans="1:7">
      <c r="A86" s="29" t="s">
        <v>17</v>
      </c>
      <c r="B86" s="153"/>
      <c r="C86" s="30">
        <f t="shared" si="2"/>
        <v>0</v>
      </c>
      <c r="D86" s="14">
        <f t="shared" si="1"/>
        <v>0</v>
      </c>
      <c r="E86" s="14"/>
      <c r="F86" s="38"/>
      <c r="G86" s="38"/>
    </row>
    <row r="87" spans="1:7">
      <c r="A87" s="29" t="s">
        <v>18</v>
      </c>
      <c r="B87" s="153"/>
      <c r="C87" s="30">
        <f t="shared" si="2"/>
        <v>0</v>
      </c>
      <c r="D87" s="14">
        <f t="shared" si="1"/>
        <v>0</v>
      </c>
      <c r="E87" s="14"/>
      <c r="F87" s="38"/>
      <c r="G87" s="38"/>
    </row>
    <row r="88" spans="1:7">
      <c r="A88" s="29" t="s">
        <v>19</v>
      </c>
      <c r="B88" s="153"/>
      <c r="C88" s="30">
        <f t="shared" si="2"/>
        <v>0</v>
      </c>
      <c r="D88" s="14">
        <f t="shared" si="1"/>
        <v>0</v>
      </c>
      <c r="E88" s="14"/>
      <c r="F88" s="38"/>
      <c r="G88" s="38"/>
    </row>
    <row r="89" spans="1:7">
      <c r="A89" s="29" t="s">
        <v>20</v>
      </c>
      <c r="B89" s="153"/>
      <c r="C89" s="30">
        <f t="shared" si="2"/>
        <v>0</v>
      </c>
      <c r="D89" s="14">
        <f t="shared" si="1"/>
        <v>0</v>
      </c>
      <c r="E89" s="14"/>
      <c r="F89" s="38"/>
      <c r="G89" s="38"/>
    </row>
    <row r="90" spans="1:7">
      <c r="A90" s="29" t="s">
        <v>21</v>
      </c>
      <c r="B90" s="153"/>
      <c r="C90" s="30">
        <f t="shared" si="2"/>
        <v>0</v>
      </c>
      <c r="D90" s="14">
        <f t="shared" si="1"/>
        <v>0</v>
      </c>
      <c r="E90" s="14"/>
      <c r="F90" s="38"/>
      <c r="G90" s="38"/>
    </row>
    <row r="91" spans="1:7">
      <c r="A91" s="29" t="s">
        <v>22</v>
      </c>
      <c r="B91" s="153"/>
      <c r="C91" s="30">
        <f t="shared" si="2"/>
        <v>0</v>
      </c>
      <c r="D91" s="14">
        <f t="shared" si="1"/>
        <v>0</v>
      </c>
      <c r="E91" s="14"/>
      <c r="F91" s="38"/>
      <c r="G91" s="38"/>
    </row>
    <row r="92" spans="1:7">
      <c r="A92" s="29" t="s">
        <v>23</v>
      </c>
      <c r="B92" s="153"/>
      <c r="C92" s="30">
        <f t="shared" si="2"/>
        <v>0</v>
      </c>
      <c r="D92" s="14">
        <f t="shared" si="1"/>
        <v>0</v>
      </c>
      <c r="E92" s="14"/>
      <c r="F92" s="38"/>
      <c r="G92" s="38"/>
    </row>
    <row r="93" spans="1:7">
      <c r="A93" s="29" t="s">
        <v>24</v>
      </c>
      <c r="B93" s="153"/>
      <c r="C93" s="30">
        <f t="shared" si="2"/>
        <v>0</v>
      </c>
      <c r="D93" s="14">
        <f t="shared" si="1"/>
        <v>0</v>
      </c>
      <c r="E93" s="14"/>
      <c r="F93" s="38"/>
      <c r="G93" s="38"/>
    </row>
    <row r="94" spans="1:7">
      <c r="A94" s="29" t="s">
        <v>25</v>
      </c>
      <c r="B94" s="153"/>
      <c r="C94" s="30">
        <f t="shared" si="2"/>
        <v>0</v>
      </c>
      <c r="D94" s="14">
        <f t="shared" si="1"/>
        <v>0</v>
      </c>
      <c r="E94" s="14"/>
      <c r="F94" s="38"/>
      <c r="G94" s="38"/>
    </row>
    <row r="95" spans="1:7">
      <c r="A95" s="29" t="s">
        <v>26</v>
      </c>
      <c r="B95" s="153"/>
      <c r="C95" s="30">
        <f t="shared" si="2"/>
        <v>0</v>
      </c>
      <c r="D95" s="14">
        <f t="shared" si="1"/>
        <v>0</v>
      </c>
      <c r="E95" s="14"/>
      <c r="F95" s="38"/>
      <c r="G95" s="38"/>
    </row>
    <row r="96" spans="1:7">
      <c r="A96" s="29" t="s">
        <v>27</v>
      </c>
      <c r="B96" s="153"/>
      <c r="C96" s="30">
        <f t="shared" si="2"/>
        <v>0</v>
      </c>
      <c r="D96" s="14">
        <f t="shared" si="1"/>
        <v>0</v>
      </c>
      <c r="E96" s="14"/>
      <c r="F96" s="38"/>
      <c r="G96" s="38"/>
    </row>
    <row r="97" spans="1:7">
      <c r="A97" s="29" t="s">
        <v>28</v>
      </c>
      <c r="B97" s="153"/>
      <c r="C97" s="30">
        <f t="shared" si="2"/>
        <v>0</v>
      </c>
      <c r="D97" s="14">
        <f t="shared" si="1"/>
        <v>0</v>
      </c>
      <c r="E97" s="14"/>
      <c r="F97" s="38"/>
      <c r="G97" s="38"/>
    </row>
    <row r="98" spans="1:7">
      <c r="A98" s="29" t="s">
        <v>29</v>
      </c>
      <c r="B98" s="153"/>
      <c r="C98" s="30">
        <f t="shared" si="2"/>
        <v>0</v>
      </c>
      <c r="D98" s="14">
        <f t="shared" si="1"/>
        <v>0</v>
      </c>
      <c r="E98" s="14"/>
      <c r="F98" s="38"/>
      <c r="G98" s="38"/>
    </row>
    <row r="99" spans="1:7">
      <c r="A99" s="29" t="s">
        <v>30</v>
      </c>
      <c r="B99" s="153"/>
      <c r="C99" s="30">
        <f t="shared" si="2"/>
        <v>0</v>
      </c>
      <c r="D99" s="14">
        <f t="shared" si="1"/>
        <v>0</v>
      </c>
      <c r="E99" s="14"/>
      <c r="F99" s="38"/>
      <c r="G99" s="38"/>
    </row>
    <row r="100" spans="1:7">
      <c r="A100" s="29" t="s">
        <v>31</v>
      </c>
      <c r="B100" s="153"/>
      <c r="C100" s="30">
        <f t="shared" si="2"/>
        <v>0</v>
      </c>
      <c r="D100" s="14">
        <f t="shared" si="1"/>
        <v>0</v>
      </c>
      <c r="E100" s="14"/>
      <c r="F100" s="38"/>
      <c r="G100" s="38"/>
    </row>
    <row r="101" spans="1:7">
      <c r="A101" s="29" t="s">
        <v>32</v>
      </c>
      <c r="B101" s="153"/>
      <c r="C101" s="30">
        <f t="shared" si="2"/>
        <v>0</v>
      </c>
      <c r="D101" s="14">
        <f t="shared" si="1"/>
        <v>0</v>
      </c>
      <c r="E101" s="14"/>
      <c r="F101" s="38"/>
      <c r="G101" s="38"/>
    </row>
    <row r="102" spans="1:7">
      <c r="A102" s="29" t="s">
        <v>33</v>
      </c>
      <c r="B102" s="153"/>
      <c r="C102" s="30">
        <f t="shared" si="2"/>
        <v>0</v>
      </c>
      <c r="D102" s="14">
        <f t="shared" si="1"/>
        <v>0</v>
      </c>
      <c r="E102" s="14"/>
      <c r="F102" s="38"/>
      <c r="G102" s="38"/>
    </row>
    <row r="103" spans="1:7">
      <c r="A103" s="29" t="s">
        <v>34</v>
      </c>
      <c r="B103" s="153"/>
      <c r="C103" s="30">
        <f t="shared" si="2"/>
        <v>0</v>
      </c>
      <c r="D103" s="14">
        <f t="shared" si="1"/>
        <v>0</v>
      </c>
      <c r="E103" s="14"/>
      <c r="F103" s="38"/>
      <c r="G103" s="38"/>
    </row>
    <row r="104" spans="1:7">
      <c r="A104" s="29" t="s">
        <v>35</v>
      </c>
      <c r="B104" s="153"/>
      <c r="C104" s="30">
        <f t="shared" si="2"/>
        <v>0</v>
      </c>
      <c r="D104" s="14">
        <f t="shared" si="1"/>
        <v>0</v>
      </c>
      <c r="E104" s="14"/>
      <c r="F104" s="38"/>
      <c r="G104" s="38"/>
    </row>
    <row r="105" spans="1:7">
      <c r="A105" s="29" t="s">
        <v>36</v>
      </c>
      <c r="B105" s="153"/>
      <c r="C105" s="30">
        <f t="shared" si="2"/>
        <v>0</v>
      </c>
      <c r="D105" s="14">
        <f t="shared" si="1"/>
        <v>0</v>
      </c>
      <c r="E105" s="14"/>
      <c r="F105" s="38"/>
      <c r="G105" s="38"/>
    </row>
    <row r="106" spans="1:7">
      <c r="A106" s="29" t="s">
        <v>37</v>
      </c>
      <c r="B106" s="153"/>
      <c r="C106" s="30">
        <f t="shared" si="2"/>
        <v>0</v>
      </c>
      <c r="D106" s="14">
        <f t="shared" si="1"/>
        <v>0</v>
      </c>
      <c r="E106" s="14"/>
      <c r="F106" s="38"/>
      <c r="G106" s="38"/>
    </row>
    <row r="107" spans="1:7">
      <c r="A107" s="29" t="s">
        <v>38</v>
      </c>
      <c r="B107" s="153"/>
      <c r="C107" s="30">
        <f t="shared" si="2"/>
        <v>0</v>
      </c>
      <c r="D107" s="14">
        <f t="shared" si="1"/>
        <v>0</v>
      </c>
      <c r="E107" s="14"/>
      <c r="F107" s="38"/>
      <c r="G107" s="38"/>
    </row>
    <row r="108" spans="1:7">
      <c r="A108" s="29" t="s">
        <v>39</v>
      </c>
      <c r="B108" s="153"/>
      <c r="C108" s="30">
        <f t="shared" si="2"/>
        <v>0</v>
      </c>
      <c r="D108" s="14">
        <f t="shared" si="1"/>
        <v>0</v>
      </c>
      <c r="E108" s="14"/>
      <c r="F108" s="38"/>
      <c r="G108" s="38"/>
    </row>
    <row r="109" spans="1:7">
      <c r="A109" s="29" t="s">
        <v>40</v>
      </c>
      <c r="B109" s="153"/>
      <c r="C109" s="30">
        <f t="shared" si="2"/>
        <v>0</v>
      </c>
      <c r="D109" s="14">
        <f t="shared" si="1"/>
        <v>0</v>
      </c>
      <c r="E109" s="14"/>
      <c r="F109" s="38"/>
      <c r="G109" s="38"/>
    </row>
    <row r="110" spans="1:7">
      <c r="A110" s="29" t="s">
        <v>41</v>
      </c>
      <c r="B110" s="153"/>
      <c r="C110" s="30">
        <f t="shared" si="2"/>
        <v>0</v>
      </c>
      <c r="D110" s="14">
        <f t="shared" si="1"/>
        <v>0</v>
      </c>
      <c r="E110" s="14"/>
      <c r="F110" s="38"/>
      <c r="G110" s="38"/>
    </row>
    <row r="111" spans="1:7">
      <c r="A111" s="29" t="s">
        <v>42</v>
      </c>
      <c r="B111" s="153"/>
      <c r="C111" s="30">
        <f t="shared" si="2"/>
        <v>0</v>
      </c>
      <c r="D111" s="14">
        <f t="shared" si="1"/>
        <v>0</v>
      </c>
      <c r="E111" s="14"/>
      <c r="F111" s="38"/>
      <c r="G111" s="38"/>
    </row>
    <row r="112" spans="1:7">
      <c r="A112" s="29" t="s">
        <v>43</v>
      </c>
      <c r="B112" s="153"/>
      <c r="C112" s="30">
        <f t="shared" si="2"/>
        <v>0</v>
      </c>
      <c r="D112" s="14">
        <f t="shared" si="1"/>
        <v>0</v>
      </c>
      <c r="E112" s="14"/>
      <c r="F112" s="38"/>
      <c r="G112" s="38"/>
    </row>
    <row r="113" spans="1:7">
      <c r="A113" s="29" t="s">
        <v>44</v>
      </c>
      <c r="B113" s="153"/>
      <c r="C113" s="30">
        <f t="shared" si="2"/>
        <v>0</v>
      </c>
      <c r="D113" s="14">
        <f t="shared" si="1"/>
        <v>0</v>
      </c>
      <c r="E113" s="14"/>
      <c r="F113" s="38"/>
      <c r="G113" s="38"/>
    </row>
    <row r="114" spans="1:7">
      <c r="A114" s="29" t="s">
        <v>45</v>
      </c>
      <c r="B114" s="153"/>
      <c r="C114" s="30">
        <f t="shared" si="2"/>
        <v>0</v>
      </c>
      <c r="D114" s="14">
        <f t="shared" si="1"/>
        <v>0</v>
      </c>
      <c r="E114" s="14"/>
      <c r="F114" s="38"/>
      <c r="G114" s="38"/>
    </row>
    <row r="115" spans="1:7">
      <c r="A115" s="29" t="s">
        <v>46</v>
      </c>
      <c r="B115" s="153"/>
      <c r="C115" s="30">
        <f t="shared" si="2"/>
        <v>0</v>
      </c>
      <c r="D115" s="14">
        <f t="shared" si="1"/>
        <v>0</v>
      </c>
      <c r="E115" s="14"/>
      <c r="F115" s="38"/>
      <c r="G115" s="38"/>
    </row>
    <row r="116" spans="1:7">
      <c r="A116" s="29" t="s">
        <v>47</v>
      </c>
      <c r="B116" s="153"/>
      <c r="C116" s="30">
        <f t="shared" si="2"/>
        <v>0</v>
      </c>
      <c r="D116" s="14">
        <f t="shared" si="1"/>
        <v>0</v>
      </c>
      <c r="E116" s="14"/>
      <c r="F116" s="38"/>
      <c r="G116" s="38"/>
    </row>
    <row r="117" spans="1:7">
      <c r="A117" s="29" t="s">
        <v>48</v>
      </c>
      <c r="B117" s="153"/>
      <c r="C117" s="30">
        <f t="shared" si="2"/>
        <v>0</v>
      </c>
      <c r="D117" s="14">
        <f t="shared" si="1"/>
        <v>0</v>
      </c>
      <c r="E117" s="14"/>
      <c r="F117" s="38"/>
      <c r="G117" s="38"/>
    </row>
    <row r="118" spans="1:7">
      <c r="A118" s="29" t="s">
        <v>49</v>
      </c>
      <c r="B118" s="153"/>
      <c r="C118" s="30">
        <f t="shared" si="2"/>
        <v>0</v>
      </c>
      <c r="D118" s="14">
        <f t="shared" si="1"/>
        <v>0</v>
      </c>
      <c r="E118" s="14"/>
      <c r="F118" s="38"/>
      <c r="G118" s="38"/>
    </row>
    <row r="119" spans="1:7">
      <c r="A119" s="29" t="s">
        <v>50</v>
      </c>
      <c r="B119" s="153"/>
      <c r="C119" s="30">
        <f t="shared" si="2"/>
        <v>0</v>
      </c>
      <c r="D119" s="14">
        <f t="shared" si="1"/>
        <v>0</v>
      </c>
      <c r="E119" s="14"/>
      <c r="F119" s="38"/>
      <c r="G119" s="38"/>
    </row>
    <row r="120" spans="1:7">
      <c r="A120" s="29" t="s">
        <v>51</v>
      </c>
      <c r="B120" s="153"/>
      <c r="C120" s="30">
        <f t="shared" si="2"/>
        <v>0</v>
      </c>
      <c r="D120" s="14">
        <f t="shared" si="1"/>
        <v>0</v>
      </c>
      <c r="E120" s="14"/>
      <c r="F120" s="38"/>
      <c r="G120" s="38"/>
    </row>
    <row r="121" spans="1:7">
      <c r="A121" s="29" t="s">
        <v>52</v>
      </c>
      <c r="B121" s="153"/>
      <c r="C121" s="30">
        <f t="shared" si="2"/>
        <v>0</v>
      </c>
      <c r="D121" s="14">
        <f t="shared" si="1"/>
        <v>0</v>
      </c>
      <c r="E121" s="14"/>
      <c r="F121" s="38"/>
      <c r="G121" s="38"/>
    </row>
    <row r="122" spans="1:7">
      <c r="A122" s="29" t="s">
        <v>53</v>
      </c>
      <c r="B122" s="153"/>
      <c r="C122" s="30">
        <f>B121</f>
        <v>0</v>
      </c>
      <c r="D122" s="14">
        <f t="shared" si="1"/>
        <v>0</v>
      </c>
      <c r="E122" s="14"/>
      <c r="F122" s="38"/>
      <c r="G122" s="38"/>
    </row>
    <row r="123" spans="1:7">
      <c r="A123" s="29" t="s">
        <v>53</v>
      </c>
      <c r="B123" s="29" t="s">
        <v>158</v>
      </c>
      <c r="C123" s="30">
        <f t="shared" si="2"/>
        <v>0</v>
      </c>
      <c r="D123" s="11" t="s">
        <v>81</v>
      </c>
      <c r="E123" s="11"/>
      <c r="F123" s="39"/>
      <c r="G123" s="39"/>
    </row>
    <row r="124" spans="1:7">
      <c r="A124" s="29"/>
      <c r="B124" s="29"/>
      <c r="C124" s="29"/>
      <c r="D124" s="11"/>
      <c r="E124" s="32"/>
      <c r="F124" s="40"/>
      <c r="G124" s="40"/>
    </row>
    <row r="125" spans="1:7" ht="60">
      <c r="A125" s="33" t="s">
        <v>55</v>
      </c>
      <c r="B125" s="29">
        <v>27.5</v>
      </c>
      <c r="C125" s="29"/>
      <c r="D125" s="11"/>
      <c r="E125" s="34" t="e">
        <f>B130</f>
        <v>#DIV/0!</v>
      </c>
      <c r="F125" s="41" t="e">
        <f>B131</f>
        <v>#DIV/0!</v>
      </c>
      <c r="G125" s="42"/>
    </row>
    <row r="126" spans="1:7" ht="60">
      <c r="A126" s="33" t="s">
        <v>56</v>
      </c>
      <c r="B126" s="29">
        <v>59.371217996301517</v>
      </c>
      <c r="C126" s="29"/>
      <c r="D126" s="11"/>
      <c r="E126" s="11"/>
      <c r="F126" s="39"/>
      <c r="G126" s="39"/>
    </row>
    <row r="127" spans="1:7" ht="96.75">
      <c r="A127" s="35" t="s">
        <v>57</v>
      </c>
      <c r="B127" s="29">
        <f>0.6*B125</f>
        <v>16.5</v>
      </c>
      <c r="C127" s="29"/>
      <c r="D127" s="11"/>
      <c r="E127" s="11" t="e">
        <f>0.6*E125</f>
        <v>#DIV/0!</v>
      </c>
      <c r="F127" s="39" t="e">
        <f>0.6*F125</f>
        <v>#DIV/0!</v>
      </c>
      <c r="G127" s="39"/>
    </row>
    <row r="129" spans="1:7" ht="60.75" thickBot="1">
      <c r="A129" s="5" t="s">
        <v>56</v>
      </c>
      <c r="B129">
        <f>B126</f>
        <v>59.371217996301517</v>
      </c>
    </row>
    <row r="130" spans="1:7">
      <c r="A130" s="16" t="s">
        <v>64</v>
      </c>
      <c r="B130" s="17" t="e">
        <f>AVERAGE(B78:B117)</f>
        <v>#DIV/0!</v>
      </c>
      <c r="C130" s="17"/>
    </row>
    <row r="131" spans="1:7">
      <c r="A131" s="16" t="s">
        <v>65</v>
      </c>
      <c r="B131" s="18" t="e">
        <f>AVERAGE(B83:B112)</f>
        <v>#DIV/0!</v>
      </c>
      <c r="C131" s="18"/>
    </row>
    <row r="132" spans="1:7">
      <c r="A132" s="16" t="s">
        <v>66</v>
      </c>
      <c r="B132" s="18" t="e">
        <f>AVERAGE(B89:B107)</f>
        <v>#DIV/0!</v>
      </c>
      <c r="C132" s="18"/>
    </row>
    <row r="133" spans="1:7" ht="15.75" thickBot="1"/>
    <row r="134" spans="1:7" ht="15.75" thickBot="1">
      <c r="A134" s="522" t="s">
        <v>0</v>
      </c>
      <c r="B134" s="467" t="s">
        <v>78</v>
      </c>
      <c r="C134" s="468"/>
      <c r="D134" s="469"/>
      <c r="E134" s="19" t="e">
        <f>(1-E189)^(1/3)-1</f>
        <v>#DIV/0!</v>
      </c>
      <c r="F134" s="19" t="e">
        <f>(1-F189)^(1/3)-1</f>
        <v>#DIV/0!</v>
      </c>
      <c r="G134" s="19"/>
    </row>
    <row r="135" spans="1:7" ht="72.75" thickBot="1">
      <c r="A135" s="523"/>
      <c r="B135" s="1" t="s">
        <v>4</v>
      </c>
      <c r="C135" s="254"/>
      <c r="D135" s="11" t="s">
        <v>80</v>
      </c>
      <c r="E135" s="11" t="s">
        <v>5</v>
      </c>
      <c r="F135" s="39" t="s">
        <v>5</v>
      </c>
      <c r="G135" s="39"/>
    </row>
    <row r="136" spans="1:7" ht="24.75" thickBot="1">
      <c r="A136" s="524"/>
      <c r="B136" s="1" t="s">
        <v>9</v>
      </c>
      <c r="C136" s="254"/>
      <c r="D136" s="11" t="s">
        <v>7</v>
      </c>
      <c r="E136" s="11" t="s">
        <v>7</v>
      </c>
      <c r="F136" s="39" t="s">
        <v>7</v>
      </c>
      <c r="G136" s="39"/>
    </row>
    <row r="137" spans="1:7">
      <c r="A137" s="50">
        <v>1</v>
      </c>
      <c r="B137" s="51">
        <v>2</v>
      </c>
      <c r="C137" s="51"/>
      <c r="D137" s="51">
        <v>3</v>
      </c>
      <c r="E137" s="51">
        <v>4</v>
      </c>
      <c r="F137" s="52">
        <v>5</v>
      </c>
      <c r="G137" s="52"/>
    </row>
    <row r="138" spans="1:7" ht="15.75" thickBot="1">
      <c r="A138" s="8" t="s">
        <v>10</v>
      </c>
      <c r="B138" s="230"/>
      <c r="C138" s="255">
        <v>0</v>
      </c>
      <c r="D138" s="14">
        <f t="shared" ref="D138:D186" si="3">IF(B138=0,0,IF(B138&lt;=E$192,0,B138-E$192)/B138)</f>
        <v>0</v>
      </c>
      <c r="E138" s="14"/>
      <c r="F138" s="38"/>
      <c r="G138" s="38"/>
    </row>
    <row r="139" spans="1:7" ht="15.75" thickBot="1">
      <c r="A139" s="8" t="s">
        <v>58</v>
      </c>
      <c r="B139" s="230"/>
      <c r="C139" s="30">
        <f>B138</f>
        <v>0</v>
      </c>
      <c r="D139" s="14">
        <f t="shared" si="3"/>
        <v>0</v>
      </c>
      <c r="E139" s="14"/>
      <c r="F139" s="38"/>
      <c r="G139" s="38"/>
    </row>
    <row r="140" spans="1:7" ht="15.75" thickBot="1">
      <c r="A140" s="8" t="s">
        <v>59</v>
      </c>
      <c r="B140" s="230"/>
      <c r="C140" s="30">
        <f t="shared" ref="C140:C188" si="4">B139</f>
        <v>0</v>
      </c>
      <c r="D140" s="14">
        <f t="shared" si="3"/>
        <v>0</v>
      </c>
      <c r="E140" s="14"/>
      <c r="F140" s="38"/>
      <c r="G140" s="38"/>
    </row>
    <row r="141" spans="1:7" ht="15.75" thickBot="1">
      <c r="A141" s="8" t="s">
        <v>60</v>
      </c>
      <c r="B141" s="230"/>
      <c r="C141" s="30">
        <f t="shared" si="4"/>
        <v>0</v>
      </c>
      <c r="D141" s="14">
        <f t="shared" si="3"/>
        <v>0</v>
      </c>
      <c r="E141" s="14"/>
      <c r="F141" s="38"/>
      <c r="G141" s="38"/>
    </row>
    <row r="142" spans="1:7" ht="15.75" thickBot="1">
      <c r="A142" s="8" t="s">
        <v>61</v>
      </c>
      <c r="B142" s="230"/>
      <c r="C142" s="30">
        <f t="shared" si="4"/>
        <v>0</v>
      </c>
      <c r="D142" s="14">
        <f t="shared" si="3"/>
        <v>0</v>
      </c>
      <c r="E142" s="14"/>
      <c r="F142" s="38"/>
      <c r="G142" s="38"/>
    </row>
    <row r="143" spans="1:7" ht="15.75" thickBot="1">
      <c r="A143" s="8" t="s">
        <v>62</v>
      </c>
      <c r="B143" s="230"/>
      <c r="C143" s="30">
        <f t="shared" si="4"/>
        <v>0</v>
      </c>
      <c r="D143" s="14">
        <f t="shared" si="3"/>
        <v>0</v>
      </c>
      <c r="E143" s="14"/>
      <c r="F143" s="38"/>
      <c r="G143" s="38"/>
    </row>
    <row r="144" spans="1:7" ht="15.75" thickBot="1">
      <c r="A144" s="8" t="s">
        <v>63</v>
      </c>
      <c r="B144" s="230"/>
      <c r="C144" s="30">
        <f t="shared" si="4"/>
        <v>0</v>
      </c>
      <c r="D144" s="14">
        <f t="shared" si="3"/>
        <v>0</v>
      </c>
      <c r="E144" s="14"/>
      <c r="F144" s="38"/>
      <c r="G144" s="38"/>
    </row>
    <row r="145" spans="1:7" ht="15.75" thickBot="1">
      <c r="A145" s="3" t="s">
        <v>11</v>
      </c>
      <c r="B145" s="230"/>
      <c r="C145" s="30">
        <f t="shared" si="4"/>
        <v>0</v>
      </c>
      <c r="D145" s="14">
        <f t="shared" si="3"/>
        <v>0</v>
      </c>
      <c r="E145" s="14"/>
      <c r="F145" s="38"/>
      <c r="G145" s="38"/>
    </row>
    <row r="146" spans="1:7" ht="15.75" thickBot="1">
      <c r="A146" s="3" t="s">
        <v>12</v>
      </c>
      <c r="B146" s="230"/>
      <c r="C146" s="30">
        <f t="shared" si="4"/>
        <v>0</v>
      </c>
      <c r="D146" s="14">
        <f t="shared" si="3"/>
        <v>0</v>
      </c>
      <c r="E146" s="14"/>
      <c r="F146" s="38"/>
      <c r="G146" s="38"/>
    </row>
    <row r="147" spans="1:7" ht="15.75" thickBot="1">
      <c r="A147" s="3" t="s">
        <v>13</v>
      </c>
      <c r="B147" s="230"/>
      <c r="C147" s="30">
        <f t="shared" si="4"/>
        <v>0</v>
      </c>
      <c r="D147" s="14">
        <f t="shared" si="3"/>
        <v>0</v>
      </c>
      <c r="E147" s="14"/>
      <c r="F147" s="38"/>
      <c r="G147" s="38"/>
    </row>
    <row r="148" spans="1:7" ht="15.75" thickBot="1">
      <c r="A148" s="3" t="s">
        <v>14</v>
      </c>
      <c r="B148" s="230"/>
      <c r="C148" s="30">
        <f t="shared" si="4"/>
        <v>0</v>
      </c>
      <c r="D148" s="14">
        <f t="shared" si="3"/>
        <v>0</v>
      </c>
      <c r="E148" s="14"/>
      <c r="F148" s="38"/>
      <c r="G148" s="38"/>
    </row>
    <row r="149" spans="1:7" ht="15.75" thickBot="1">
      <c r="A149" s="3" t="s">
        <v>15</v>
      </c>
      <c r="B149" s="230"/>
      <c r="C149" s="30">
        <f t="shared" si="4"/>
        <v>0</v>
      </c>
      <c r="D149" s="14">
        <f t="shared" si="3"/>
        <v>0</v>
      </c>
      <c r="E149" s="14"/>
      <c r="F149" s="38"/>
      <c r="G149" s="38"/>
    </row>
    <row r="150" spans="1:7" ht="15.75" thickBot="1">
      <c r="A150" s="3" t="s">
        <v>16</v>
      </c>
      <c r="B150" s="230"/>
      <c r="C150" s="30">
        <f t="shared" si="4"/>
        <v>0</v>
      </c>
      <c r="D150" s="14">
        <f t="shared" si="3"/>
        <v>0</v>
      </c>
      <c r="E150" s="14"/>
      <c r="F150" s="38"/>
      <c r="G150" s="38"/>
    </row>
    <row r="151" spans="1:7" ht="15.75" thickBot="1">
      <c r="A151" s="3" t="s">
        <v>17</v>
      </c>
      <c r="B151" s="230"/>
      <c r="C151" s="30">
        <f t="shared" si="4"/>
        <v>0</v>
      </c>
      <c r="D151" s="14">
        <f t="shared" si="3"/>
        <v>0</v>
      </c>
      <c r="E151" s="14"/>
      <c r="F151" s="38"/>
      <c r="G151" s="38"/>
    </row>
    <row r="152" spans="1:7" ht="15.75" thickBot="1">
      <c r="A152" s="3" t="s">
        <v>18</v>
      </c>
      <c r="B152" s="230"/>
      <c r="C152" s="30">
        <f t="shared" si="4"/>
        <v>0</v>
      </c>
      <c r="D152" s="14">
        <f t="shared" si="3"/>
        <v>0</v>
      </c>
      <c r="E152" s="14"/>
      <c r="F152" s="38"/>
      <c r="G152" s="38"/>
    </row>
    <row r="153" spans="1:7" ht="15.75" thickBot="1">
      <c r="A153" s="3" t="s">
        <v>19</v>
      </c>
      <c r="B153" s="230"/>
      <c r="C153" s="30">
        <f t="shared" si="4"/>
        <v>0</v>
      </c>
      <c r="D153" s="14">
        <f t="shared" si="3"/>
        <v>0</v>
      </c>
      <c r="E153" s="14"/>
      <c r="F153" s="38"/>
      <c r="G153" s="38"/>
    </row>
    <row r="154" spans="1:7" ht="15.75" thickBot="1">
      <c r="A154" s="3" t="s">
        <v>20</v>
      </c>
      <c r="B154" s="230"/>
      <c r="C154" s="30">
        <f t="shared" si="4"/>
        <v>0</v>
      </c>
      <c r="D154" s="14">
        <f t="shared" si="3"/>
        <v>0</v>
      </c>
      <c r="E154" s="14"/>
      <c r="F154" s="38"/>
      <c r="G154" s="38"/>
    </row>
    <row r="155" spans="1:7" ht="15.75" thickBot="1">
      <c r="A155" s="3" t="s">
        <v>21</v>
      </c>
      <c r="B155" s="230"/>
      <c r="C155" s="30">
        <f t="shared" si="4"/>
        <v>0</v>
      </c>
      <c r="D155" s="14">
        <f t="shared" si="3"/>
        <v>0</v>
      </c>
      <c r="E155" s="14"/>
      <c r="F155" s="38"/>
      <c r="G155" s="38"/>
    </row>
    <row r="156" spans="1:7" ht="15.75" thickBot="1">
      <c r="A156" s="3" t="s">
        <v>22</v>
      </c>
      <c r="B156" s="230"/>
      <c r="C156" s="30">
        <f t="shared" si="4"/>
        <v>0</v>
      </c>
      <c r="D156" s="14">
        <f t="shared" si="3"/>
        <v>0</v>
      </c>
      <c r="E156" s="14"/>
      <c r="F156" s="38"/>
      <c r="G156" s="38"/>
    </row>
    <row r="157" spans="1:7" ht="15.75" thickBot="1">
      <c r="A157" s="3" t="s">
        <v>23</v>
      </c>
      <c r="B157" s="230"/>
      <c r="C157" s="30">
        <f t="shared" si="4"/>
        <v>0</v>
      </c>
      <c r="D157" s="14">
        <f t="shared" si="3"/>
        <v>0</v>
      </c>
      <c r="E157" s="14"/>
      <c r="F157" s="38"/>
      <c r="G157" s="38"/>
    </row>
    <row r="158" spans="1:7" ht="15.75" thickBot="1">
      <c r="A158" s="3" t="s">
        <v>24</v>
      </c>
      <c r="B158" s="230"/>
      <c r="C158" s="30">
        <f t="shared" si="4"/>
        <v>0</v>
      </c>
      <c r="D158" s="14">
        <f t="shared" si="3"/>
        <v>0</v>
      </c>
      <c r="E158" s="14"/>
      <c r="F158" s="38"/>
      <c r="G158" s="38"/>
    </row>
    <row r="159" spans="1:7" ht="15.75" thickBot="1">
      <c r="A159" s="3" t="s">
        <v>25</v>
      </c>
      <c r="B159" s="230"/>
      <c r="C159" s="30">
        <f t="shared" si="4"/>
        <v>0</v>
      </c>
      <c r="D159" s="14">
        <f t="shared" si="3"/>
        <v>0</v>
      </c>
      <c r="E159" s="14"/>
      <c r="F159" s="38"/>
      <c r="G159" s="38"/>
    </row>
    <row r="160" spans="1:7" ht="15.75" thickBot="1">
      <c r="A160" s="3" t="s">
        <v>26</v>
      </c>
      <c r="B160" s="230"/>
      <c r="C160" s="30">
        <f t="shared" si="4"/>
        <v>0</v>
      </c>
      <c r="D160" s="14">
        <f t="shared" si="3"/>
        <v>0</v>
      </c>
      <c r="E160" s="14"/>
      <c r="F160" s="38"/>
      <c r="G160" s="38"/>
    </row>
    <row r="161" spans="1:7" ht="15.75" thickBot="1">
      <c r="A161" s="3" t="s">
        <v>27</v>
      </c>
      <c r="B161" s="230"/>
      <c r="C161" s="30">
        <f t="shared" si="4"/>
        <v>0</v>
      </c>
      <c r="D161" s="14">
        <f t="shared" si="3"/>
        <v>0</v>
      </c>
      <c r="E161" s="14"/>
      <c r="F161" s="38"/>
      <c r="G161" s="38"/>
    </row>
    <row r="162" spans="1:7" ht="15.75" thickBot="1">
      <c r="A162" s="3" t="s">
        <v>28</v>
      </c>
      <c r="B162" s="230"/>
      <c r="C162" s="30">
        <f t="shared" si="4"/>
        <v>0</v>
      </c>
      <c r="D162" s="14">
        <f t="shared" si="3"/>
        <v>0</v>
      </c>
      <c r="E162" s="14"/>
      <c r="F162" s="38"/>
      <c r="G162" s="38"/>
    </row>
    <row r="163" spans="1:7" ht="15.75" thickBot="1">
      <c r="A163" s="3" t="s">
        <v>29</v>
      </c>
      <c r="B163" s="230"/>
      <c r="C163" s="30">
        <f t="shared" si="4"/>
        <v>0</v>
      </c>
      <c r="D163" s="14">
        <f t="shared" si="3"/>
        <v>0</v>
      </c>
      <c r="E163" s="14"/>
      <c r="F163" s="38"/>
      <c r="G163" s="38"/>
    </row>
    <row r="164" spans="1:7" ht="15.75" thickBot="1">
      <c r="A164" s="3" t="s">
        <v>30</v>
      </c>
      <c r="B164" s="230"/>
      <c r="C164" s="30">
        <f t="shared" si="4"/>
        <v>0</v>
      </c>
      <c r="D164" s="14">
        <f t="shared" si="3"/>
        <v>0</v>
      </c>
      <c r="E164" s="14"/>
      <c r="F164" s="38"/>
      <c r="G164" s="38"/>
    </row>
    <row r="165" spans="1:7" ht="15.75" thickBot="1">
      <c r="A165" s="3" t="s">
        <v>31</v>
      </c>
      <c r="B165" s="230"/>
      <c r="C165" s="30">
        <f t="shared" si="4"/>
        <v>0</v>
      </c>
      <c r="D165" s="14">
        <f t="shared" si="3"/>
        <v>0</v>
      </c>
      <c r="E165" s="14"/>
      <c r="F165" s="38"/>
      <c r="G165" s="38"/>
    </row>
    <row r="166" spans="1:7" ht="15.75" thickBot="1">
      <c r="A166" s="3" t="s">
        <v>32</v>
      </c>
      <c r="B166" s="230"/>
      <c r="C166" s="30">
        <f t="shared" si="4"/>
        <v>0</v>
      </c>
      <c r="D166" s="14">
        <f t="shared" si="3"/>
        <v>0</v>
      </c>
      <c r="E166" s="14"/>
      <c r="F166" s="38"/>
      <c r="G166" s="38"/>
    </row>
    <row r="167" spans="1:7" ht="15.75" thickBot="1">
      <c r="A167" s="3" t="s">
        <v>33</v>
      </c>
      <c r="B167" s="230"/>
      <c r="C167" s="30">
        <f t="shared" si="4"/>
        <v>0</v>
      </c>
      <c r="D167" s="14">
        <f t="shared" si="3"/>
        <v>0</v>
      </c>
      <c r="E167" s="14"/>
      <c r="F167" s="38"/>
      <c r="G167" s="38"/>
    </row>
    <row r="168" spans="1:7" ht="15.75" thickBot="1">
      <c r="A168" s="3" t="s">
        <v>34</v>
      </c>
      <c r="B168" s="230"/>
      <c r="C168" s="30">
        <f t="shared" si="4"/>
        <v>0</v>
      </c>
      <c r="D168" s="14">
        <f t="shared" si="3"/>
        <v>0</v>
      </c>
      <c r="E168" s="14"/>
      <c r="F168" s="38"/>
      <c r="G168" s="38"/>
    </row>
    <row r="169" spans="1:7" ht="15.75" thickBot="1">
      <c r="A169" s="3" t="s">
        <v>35</v>
      </c>
      <c r="B169" s="230"/>
      <c r="C169" s="30">
        <f t="shared" si="4"/>
        <v>0</v>
      </c>
      <c r="D169" s="14">
        <f t="shared" si="3"/>
        <v>0</v>
      </c>
      <c r="E169" s="14"/>
      <c r="F169" s="38"/>
      <c r="G169" s="38"/>
    </row>
    <row r="170" spans="1:7" ht="15.75" thickBot="1">
      <c r="A170" s="3" t="s">
        <v>36</v>
      </c>
      <c r="B170" s="230"/>
      <c r="C170" s="30">
        <f t="shared" si="4"/>
        <v>0</v>
      </c>
      <c r="D170" s="14">
        <f t="shared" si="3"/>
        <v>0</v>
      </c>
      <c r="E170" s="14"/>
      <c r="F170" s="38"/>
      <c r="G170" s="38"/>
    </row>
    <row r="171" spans="1:7" ht="15.75" thickBot="1">
      <c r="A171" s="3" t="s">
        <v>37</v>
      </c>
      <c r="B171" s="230"/>
      <c r="C171" s="30">
        <f t="shared" si="4"/>
        <v>0</v>
      </c>
      <c r="D171" s="14">
        <f t="shared" si="3"/>
        <v>0</v>
      </c>
      <c r="E171" s="14"/>
      <c r="F171" s="38"/>
      <c r="G171" s="38"/>
    </row>
    <row r="172" spans="1:7" ht="15.75" thickBot="1">
      <c r="A172" s="3" t="s">
        <v>38</v>
      </c>
      <c r="B172" s="230"/>
      <c r="C172" s="30">
        <f t="shared" si="4"/>
        <v>0</v>
      </c>
      <c r="D172" s="14">
        <f t="shared" si="3"/>
        <v>0</v>
      </c>
      <c r="E172" s="14"/>
      <c r="F172" s="38"/>
      <c r="G172" s="38"/>
    </row>
    <row r="173" spans="1:7" ht="15.75" thickBot="1">
      <c r="A173" s="3" t="s">
        <v>39</v>
      </c>
      <c r="B173" s="230"/>
      <c r="C173" s="30">
        <f t="shared" si="4"/>
        <v>0</v>
      </c>
      <c r="D173" s="14">
        <f t="shared" si="3"/>
        <v>0</v>
      </c>
      <c r="E173" s="14"/>
      <c r="F173" s="38"/>
      <c r="G173" s="38"/>
    </row>
    <row r="174" spans="1:7" ht="15.75" thickBot="1">
      <c r="A174" s="3" t="s">
        <v>40</v>
      </c>
      <c r="B174" s="230"/>
      <c r="C174" s="30">
        <f t="shared" si="4"/>
        <v>0</v>
      </c>
      <c r="D174" s="14">
        <f t="shared" si="3"/>
        <v>0</v>
      </c>
      <c r="E174" s="14"/>
      <c r="F174" s="38"/>
      <c r="G174" s="38"/>
    </row>
    <row r="175" spans="1:7" ht="15.75" thickBot="1">
      <c r="A175" s="3" t="s">
        <v>41</v>
      </c>
      <c r="B175" s="230"/>
      <c r="C175" s="30">
        <f t="shared" si="4"/>
        <v>0</v>
      </c>
      <c r="D175" s="14">
        <f t="shared" si="3"/>
        <v>0</v>
      </c>
      <c r="E175" s="14"/>
      <c r="F175" s="38"/>
      <c r="G175" s="38"/>
    </row>
    <row r="176" spans="1:7" ht="15.75" thickBot="1">
      <c r="A176" s="3" t="s">
        <v>42</v>
      </c>
      <c r="B176" s="230"/>
      <c r="C176" s="30">
        <f t="shared" si="4"/>
        <v>0</v>
      </c>
      <c r="D176" s="14">
        <f t="shared" si="3"/>
        <v>0</v>
      </c>
      <c r="E176" s="14"/>
      <c r="F176" s="38"/>
      <c r="G176" s="38"/>
    </row>
    <row r="177" spans="1:7" ht="15.75" thickBot="1">
      <c r="A177" s="3" t="s">
        <v>43</v>
      </c>
      <c r="B177" s="230"/>
      <c r="C177" s="30">
        <f t="shared" si="4"/>
        <v>0</v>
      </c>
      <c r="D177" s="14">
        <f t="shared" si="3"/>
        <v>0</v>
      </c>
      <c r="E177" s="14"/>
      <c r="F177" s="38"/>
      <c r="G177" s="38"/>
    </row>
    <row r="178" spans="1:7" ht="15.75" thickBot="1">
      <c r="A178" s="3" t="s">
        <v>44</v>
      </c>
      <c r="B178" s="230"/>
      <c r="C178" s="30">
        <f t="shared" si="4"/>
        <v>0</v>
      </c>
      <c r="D178" s="14">
        <f t="shared" si="3"/>
        <v>0</v>
      </c>
      <c r="E178" s="14"/>
      <c r="F178" s="38"/>
      <c r="G178" s="38"/>
    </row>
    <row r="179" spans="1:7" ht="15.75" thickBot="1">
      <c r="A179" s="3" t="s">
        <v>45</v>
      </c>
      <c r="B179" s="230"/>
      <c r="C179" s="30">
        <f t="shared" si="4"/>
        <v>0</v>
      </c>
      <c r="D179" s="14">
        <f t="shared" si="3"/>
        <v>0</v>
      </c>
      <c r="E179" s="14"/>
      <c r="F179" s="38"/>
      <c r="G179" s="38"/>
    </row>
    <row r="180" spans="1:7" ht="15.75" thickBot="1">
      <c r="A180" s="3" t="s">
        <v>46</v>
      </c>
      <c r="B180" s="230"/>
      <c r="C180" s="30">
        <f t="shared" si="4"/>
        <v>0</v>
      </c>
      <c r="D180" s="14">
        <f t="shared" si="3"/>
        <v>0</v>
      </c>
      <c r="E180" s="14"/>
      <c r="F180" s="38"/>
      <c r="G180" s="38"/>
    </row>
    <row r="181" spans="1:7" ht="15.75" thickBot="1">
      <c r="A181" s="3" t="s">
        <v>47</v>
      </c>
      <c r="B181" s="230"/>
      <c r="C181" s="30">
        <f t="shared" si="4"/>
        <v>0</v>
      </c>
      <c r="D181" s="14">
        <f t="shared" si="3"/>
        <v>0</v>
      </c>
      <c r="E181" s="14"/>
      <c r="F181" s="38"/>
      <c r="G181" s="38"/>
    </row>
    <row r="182" spans="1:7" ht="15.75" thickBot="1">
      <c r="A182" s="3" t="s">
        <v>48</v>
      </c>
      <c r="B182" s="230"/>
      <c r="C182" s="30">
        <f t="shared" si="4"/>
        <v>0</v>
      </c>
      <c r="D182" s="14">
        <f t="shared" si="3"/>
        <v>0</v>
      </c>
      <c r="E182" s="14"/>
      <c r="F182" s="38"/>
      <c r="G182" s="38"/>
    </row>
    <row r="183" spans="1:7" ht="15.75" thickBot="1">
      <c r="A183" s="3" t="s">
        <v>49</v>
      </c>
      <c r="B183" s="230"/>
      <c r="C183" s="30">
        <f t="shared" si="4"/>
        <v>0</v>
      </c>
      <c r="D183" s="14">
        <f t="shared" si="3"/>
        <v>0</v>
      </c>
      <c r="E183" s="14"/>
      <c r="F183" s="38"/>
      <c r="G183" s="38"/>
    </row>
    <row r="184" spans="1:7" ht="15.75" thickBot="1">
      <c r="A184" s="3" t="s">
        <v>50</v>
      </c>
      <c r="B184" s="230"/>
      <c r="C184" s="30">
        <f t="shared" si="4"/>
        <v>0</v>
      </c>
      <c r="D184" s="14">
        <f t="shared" si="3"/>
        <v>0</v>
      </c>
      <c r="E184" s="14"/>
      <c r="F184" s="38"/>
      <c r="G184" s="38"/>
    </row>
    <row r="185" spans="1:7" ht="15.75" thickBot="1">
      <c r="A185" s="3" t="s">
        <v>51</v>
      </c>
      <c r="B185" s="230"/>
      <c r="C185" s="30">
        <f t="shared" si="4"/>
        <v>0</v>
      </c>
      <c r="D185" s="14">
        <f t="shared" si="3"/>
        <v>0</v>
      </c>
      <c r="E185" s="14"/>
      <c r="F185" s="38"/>
      <c r="G185" s="38"/>
    </row>
    <row r="186" spans="1:7" ht="15.75" thickBot="1">
      <c r="A186" s="3" t="s">
        <v>52</v>
      </c>
      <c r="B186" s="230"/>
      <c r="C186" s="30">
        <f t="shared" si="4"/>
        <v>0</v>
      </c>
      <c r="D186" s="14">
        <f t="shared" si="3"/>
        <v>0</v>
      </c>
      <c r="E186" s="14"/>
      <c r="F186" s="38"/>
      <c r="G186" s="38"/>
    </row>
    <row r="187" spans="1:7" ht="15.75" thickBot="1">
      <c r="A187" s="3" t="s">
        <v>53</v>
      </c>
      <c r="B187" s="231"/>
      <c r="C187" s="30">
        <f>B186</f>
        <v>0</v>
      </c>
      <c r="D187" s="14">
        <f>IF(B187=0,0,IF(B187&lt;=E$192,0,B187-E$192)/B187)</f>
        <v>0</v>
      </c>
      <c r="E187" s="14"/>
      <c r="F187" s="38"/>
      <c r="G187" s="38"/>
    </row>
    <row r="188" spans="1:7" ht="15.75" thickBot="1">
      <c r="A188" s="3" t="s">
        <v>53</v>
      </c>
      <c r="B188" s="229"/>
      <c r="C188" s="30">
        <f t="shared" si="4"/>
        <v>0</v>
      </c>
      <c r="D188" s="22"/>
      <c r="E188" s="1"/>
      <c r="F188" s="37"/>
      <c r="G188" s="39"/>
    </row>
    <row r="189" spans="1:7" ht="15.75" thickBot="1">
      <c r="A189" s="3"/>
      <c r="B189" s="3">
        <v>5.4</v>
      </c>
      <c r="C189" s="4"/>
      <c r="D189" s="22"/>
      <c r="E189" s="15" t="e">
        <f>AVERAGE(E138:E187)</f>
        <v>#DIV/0!</v>
      </c>
      <c r="F189" s="26" t="e">
        <f>AVERAGE(F138:F187)</f>
        <v>#DIV/0!</v>
      </c>
      <c r="G189" s="26"/>
    </row>
    <row r="190" spans="1:7" ht="60.75" thickBot="1">
      <c r="A190" s="5" t="s">
        <v>55</v>
      </c>
      <c r="B190" s="3">
        <v>2.4</v>
      </c>
      <c r="C190" s="4"/>
      <c r="D190" s="22"/>
      <c r="E190" s="12" t="e">
        <f>B195</f>
        <v>#DIV/0!</v>
      </c>
      <c r="F190" s="45" t="e">
        <f>B196</f>
        <v>#DIV/0!</v>
      </c>
      <c r="G190" s="46"/>
    </row>
    <row r="191" spans="1:7" ht="60.75" thickBot="1">
      <c r="A191" s="5" t="s">
        <v>56</v>
      </c>
      <c r="B191" s="4">
        <v>0.3</v>
      </c>
      <c r="C191" s="4"/>
      <c r="D191" s="1"/>
      <c r="E191" s="1"/>
      <c r="F191" s="37"/>
      <c r="G191" s="37"/>
    </row>
    <row r="192" spans="1:7" ht="97.5" thickBot="1">
      <c r="A192" s="6" t="s">
        <v>57</v>
      </c>
      <c r="B192" s="4">
        <f>0.6*B190</f>
        <v>1.44</v>
      </c>
      <c r="C192" s="4"/>
      <c r="D192" s="1"/>
      <c r="E192" s="1" t="e">
        <f>0.6*E190</f>
        <v>#DIV/0!</v>
      </c>
      <c r="F192" s="37" t="e">
        <f>0.6*F190</f>
        <v>#DIV/0!</v>
      </c>
      <c r="G192" s="37"/>
    </row>
    <row r="195" spans="1:7">
      <c r="A195" s="16" t="s">
        <v>64</v>
      </c>
      <c r="B195" s="17" t="e">
        <f>AVERAGE(B143:B182)</f>
        <v>#DIV/0!</v>
      </c>
      <c r="C195" s="17"/>
    </row>
    <row r="196" spans="1:7">
      <c r="A196" s="16" t="s">
        <v>65</v>
      </c>
      <c r="B196" s="18" t="e">
        <f>AVERAGE(B148:B177)</f>
        <v>#DIV/0!</v>
      </c>
      <c r="C196" s="18"/>
    </row>
    <row r="197" spans="1:7">
      <c r="A197" s="16" t="s">
        <v>66</v>
      </c>
      <c r="B197" s="18" t="e">
        <f>AVERAGE(B154:B172)</f>
        <v>#DIV/0!</v>
      </c>
      <c r="C197" s="18"/>
    </row>
    <row r="200" spans="1:7" ht="15" customHeight="1">
      <c r="A200" s="473" t="s">
        <v>0</v>
      </c>
      <c r="B200" s="473" t="s">
        <v>3</v>
      </c>
      <c r="C200" s="473"/>
      <c r="D200" s="473"/>
      <c r="E200" s="40">
        <f>(1-E255)^(1/3)-1</f>
        <v>-3.5555599807210236E-2</v>
      </c>
      <c r="F200" s="40">
        <f>(1-F255)^(1/3)-1</f>
        <v>-4.078861468011874E-2</v>
      </c>
      <c r="G200" s="40"/>
    </row>
    <row r="201" spans="1:7" ht="72">
      <c r="A201" s="473"/>
      <c r="B201" s="11" t="s">
        <v>4</v>
      </c>
      <c r="C201" s="11"/>
      <c r="D201" s="11" t="s">
        <v>80</v>
      </c>
      <c r="E201" s="11" t="s">
        <v>5</v>
      </c>
      <c r="F201" s="39" t="s">
        <v>5</v>
      </c>
      <c r="G201" s="39"/>
    </row>
    <row r="202" spans="1:7" ht="24">
      <c r="A202" s="473"/>
      <c r="B202" s="11" t="s">
        <v>9</v>
      </c>
      <c r="C202" s="11"/>
      <c r="D202" s="11" t="s">
        <v>7</v>
      </c>
      <c r="E202" s="55" t="s">
        <v>65</v>
      </c>
      <c r="F202" s="39"/>
      <c r="G202" s="56"/>
    </row>
    <row r="203" spans="1:7">
      <c r="A203" s="50">
        <v>1</v>
      </c>
      <c r="B203" s="51">
        <v>2</v>
      </c>
      <c r="C203" s="51"/>
      <c r="D203" s="51">
        <v>3</v>
      </c>
      <c r="E203" s="51">
        <v>4</v>
      </c>
      <c r="F203" s="52">
        <v>5</v>
      </c>
      <c r="G203" s="52"/>
    </row>
    <row r="204" spans="1:7">
      <c r="A204" s="27" t="s">
        <v>10</v>
      </c>
      <c r="B204" s="195">
        <v>1.0692001795403847E-2</v>
      </c>
      <c r="C204" s="163">
        <v>0</v>
      </c>
      <c r="D204" s="14">
        <v>0</v>
      </c>
      <c r="E204" s="14">
        <v>0</v>
      </c>
      <c r="F204" s="38">
        <v>0</v>
      </c>
      <c r="G204" s="38">
        <v>0</v>
      </c>
    </row>
    <row r="205" spans="1:7">
      <c r="A205" s="27" t="s">
        <v>58</v>
      </c>
      <c r="B205" s="195">
        <v>1.2009906051545323E-2</v>
      </c>
      <c r="C205" s="30">
        <f>B204</f>
        <v>1.0692001795403847E-2</v>
      </c>
      <c r="D205" s="14">
        <v>0</v>
      </c>
      <c r="E205" s="14">
        <v>0</v>
      </c>
      <c r="F205" s="38">
        <v>0</v>
      </c>
      <c r="G205" s="38">
        <v>0</v>
      </c>
    </row>
    <row r="206" spans="1:7">
      <c r="A206" s="27" t="s">
        <v>59</v>
      </c>
      <c r="B206" s="195">
        <v>1.2634306637901322E-2</v>
      </c>
      <c r="C206" s="30">
        <f t="shared" ref="C206:C254" si="5">B205</f>
        <v>1.2009906051545323E-2</v>
      </c>
      <c r="D206" s="14">
        <v>0</v>
      </c>
      <c r="E206" s="14">
        <v>0</v>
      </c>
      <c r="F206" s="38">
        <v>0</v>
      </c>
      <c r="G206" s="38">
        <v>0</v>
      </c>
    </row>
    <row r="207" spans="1:7">
      <c r="A207" s="27" t="s">
        <v>60</v>
      </c>
      <c r="B207" s="195">
        <v>1.3106787582225998E-2</v>
      </c>
      <c r="C207" s="30">
        <f t="shared" si="5"/>
        <v>1.2634306637901322E-2</v>
      </c>
      <c r="D207" s="14">
        <v>0</v>
      </c>
      <c r="E207" s="14">
        <v>0</v>
      </c>
      <c r="F207" s="38">
        <v>0</v>
      </c>
      <c r="G207" s="38">
        <v>0</v>
      </c>
    </row>
    <row r="208" spans="1:7">
      <c r="A208" s="27" t="s">
        <v>61</v>
      </c>
      <c r="B208" s="195">
        <v>1.3378076062639821E-2</v>
      </c>
      <c r="C208" s="30">
        <f t="shared" si="5"/>
        <v>1.3106787582225998E-2</v>
      </c>
      <c r="D208" s="14">
        <v>0</v>
      </c>
      <c r="E208" s="14">
        <v>0</v>
      </c>
      <c r="F208" s="38">
        <v>0</v>
      </c>
      <c r="G208" s="38">
        <v>0</v>
      </c>
    </row>
    <row r="209" spans="1:7">
      <c r="A209" s="27" t="s">
        <v>62</v>
      </c>
      <c r="B209" s="195">
        <v>1.5659500032347534E-2</v>
      </c>
      <c r="C209" s="30">
        <f t="shared" si="5"/>
        <v>1.3378076062639821E-2</v>
      </c>
      <c r="D209" s="14">
        <v>0</v>
      </c>
      <c r="E209" s="14">
        <v>0</v>
      </c>
      <c r="F209" s="38">
        <v>0</v>
      </c>
      <c r="G209" s="38">
        <v>0</v>
      </c>
    </row>
    <row r="210" spans="1:7">
      <c r="A210" s="27" t="s">
        <v>63</v>
      </c>
      <c r="B210" s="195">
        <v>1.7034632034632034E-2</v>
      </c>
      <c r="C210" s="30">
        <f t="shared" si="5"/>
        <v>1.5659500032347534E-2</v>
      </c>
      <c r="D210" s="14">
        <v>0</v>
      </c>
      <c r="E210" s="14">
        <v>0</v>
      </c>
      <c r="F210" s="38">
        <v>0</v>
      </c>
      <c r="G210" s="38">
        <v>0</v>
      </c>
    </row>
    <row r="211" spans="1:7">
      <c r="A211" s="29" t="s">
        <v>11</v>
      </c>
      <c r="B211" s="195">
        <v>2.588314804689873E-2</v>
      </c>
      <c r="C211" s="30">
        <f t="shared" si="5"/>
        <v>1.7034632034632034E-2</v>
      </c>
      <c r="D211" s="14">
        <v>0</v>
      </c>
      <c r="E211" s="14">
        <v>0</v>
      </c>
      <c r="F211" s="38">
        <v>0</v>
      </c>
      <c r="G211" s="38">
        <v>0</v>
      </c>
    </row>
    <row r="212" spans="1:7">
      <c r="A212" s="29" t="s">
        <v>12</v>
      </c>
      <c r="B212" s="195">
        <v>3.1408832234725535E-2</v>
      </c>
      <c r="C212" s="30">
        <f t="shared" si="5"/>
        <v>2.588314804689873E-2</v>
      </c>
      <c r="D212" s="14">
        <v>0</v>
      </c>
      <c r="E212" s="14">
        <v>0</v>
      </c>
      <c r="F212" s="38">
        <v>0</v>
      </c>
      <c r="G212" s="38">
        <v>0</v>
      </c>
    </row>
    <row r="213" spans="1:7">
      <c r="A213" s="29" t="s">
        <v>13</v>
      </c>
      <c r="B213" s="195">
        <v>3.5137201979307239E-2</v>
      </c>
      <c r="C213" s="30">
        <f t="shared" si="5"/>
        <v>3.1408832234725535E-2</v>
      </c>
      <c r="D213" s="14">
        <v>0</v>
      </c>
      <c r="E213" s="14">
        <v>0</v>
      </c>
      <c r="F213" s="38">
        <v>0</v>
      </c>
      <c r="G213" s="38">
        <v>0</v>
      </c>
    </row>
    <row r="214" spans="1:7">
      <c r="A214" s="29" t="s">
        <v>14</v>
      </c>
      <c r="B214" s="195">
        <v>3.6800595238095236E-2</v>
      </c>
      <c r="C214" s="30">
        <f t="shared" si="5"/>
        <v>3.5137201979307239E-2</v>
      </c>
      <c r="D214" s="14">
        <v>0</v>
      </c>
      <c r="E214" s="14">
        <v>0</v>
      </c>
      <c r="F214" s="38">
        <v>0</v>
      </c>
      <c r="G214" s="38">
        <v>0</v>
      </c>
    </row>
    <row r="215" spans="1:7">
      <c r="A215" s="29" t="s">
        <v>15</v>
      </c>
      <c r="B215" s="195">
        <v>3.7486451074980644E-2</v>
      </c>
      <c r="C215" s="30">
        <f t="shared" si="5"/>
        <v>3.6800595238095236E-2</v>
      </c>
      <c r="D215" s="14">
        <v>0</v>
      </c>
      <c r="E215" s="14">
        <v>0</v>
      </c>
      <c r="F215" s="38">
        <v>0</v>
      </c>
      <c r="G215" s="38">
        <v>0</v>
      </c>
    </row>
    <row r="216" spans="1:7">
      <c r="A216" s="29" t="s">
        <v>16</v>
      </c>
      <c r="B216" s="195">
        <v>3.9004775747508311E-2</v>
      </c>
      <c r="C216" s="30">
        <f t="shared" si="5"/>
        <v>3.7486451074980644E-2</v>
      </c>
      <c r="D216" s="14">
        <v>0</v>
      </c>
      <c r="E216" s="14">
        <v>0</v>
      </c>
      <c r="F216" s="38">
        <v>0</v>
      </c>
      <c r="G216" s="38">
        <v>0</v>
      </c>
    </row>
    <row r="217" spans="1:7">
      <c r="A217" s="29" t="s">
        <v>17</v>
      </c>
      <c r="B217" s="195">
        <v>6.2388323995296396E-2</v>
      </c>
      <c r="C217" s="30">
        <f t="shared" si="5"/>
        <v>3.9004775747508311E-2</v>
      </c>
      <c r="D217" s="14">
        <v>0</v>
      </c>
      <c r="E217" s="14">
        <v>0</v>
      </c>
      <c r="F217" s="38">
        <v>0</v>
      </c>
      <c r="G217" s="38">
        <v>0</v>
      </c>
    </row>
    <row r="218" spans="1:7">
      <c r="A218" s="29" t="s">
        <v>18</v>
      </c>
      <c r="B218" s="195">
        <v>7.5924378131649817E-2</v>
      </c>
      <c r="C218" s="30">
        <f t="shared" si="5"/>
        <v>6.2388323995296396E-2</v>
      </c>
      <c r="D218" s="14">
        <v>0</v>
      </c>
      <c r="E218" s="14">
        <v>0</v>
      </c>
      <c r="F218" s="38">
        <v>0</v>
      </c>
      <c r="G218" s="38">
        <v>0</v>
      </c>
    </row>
    <row r="219" spans="1:7">
      <c r="A219" s="29" t="s">
        <v>19</v>
      </c>
      <c r="B219" s="195">
        <v>9.3022774327122151E-2</v>
      </c>
      <c r="C219" s="30">
        <f t="shared" si="5"/>
        <v>7.5924378131649817E-2</v>
      </c>
      <c r="D219" s="14">
        <v>0</v>
      </c>
      <c r="E219" s="14">
        <v>0</v>
      </c>
      <c r="F219" s="38">
        <v>0</v>
      </c>
      <c r="G219" s="38">
        <v>0</v>
      </c>
    </row>
    <row r="220" spans="1:7">
      <c r="A220" s="29" t="s">
        <v>20</v>
      </c>
      <c r="B220" s="195">
        <v>0.11056897729548523</v>
      </c>
      <c r="C220" s="30">
        <f t="shared" si="5"/>
        <v>9.3022774327122151E-2</v>
      </c>
      <c r="D220" s="14">
        <v>0</v>
      </c>
      <c r="E220" s="14">
        <v>0</v>
      </c>
      <c r="F220" s="38">
        <v>0</v>
      </c>
      <c r="G220" s="38">
        <v>0</v>
      </c>
    </row>
    <row r="221" spans="1:7">
      <c r="A221" s="29" t="s">
        <v>21</v>
      </c>
      <c r="B221" s="195">
        <v>0.14444604820372897</v>
      </c>
      <c r="C221" s="30">
        <f t="shared" si="5"/>
        <v>0.11056897729548523</v>
      </c>
      <c r="D221" s="14">
        <v>0</v>
      </c>
      <c r="E221" s="14">
        <v>0</v>
      </c>
      <c r="F221" s="38">
        <v>0</v>
      </c>
      <c r="G221" s="38">
        <v>0</v>
      </c>
    </row>
    <row r="222" spans="1:7">
      <c r="A222" s="29" t="s">
        <v>22</v>
      </c>
      <c r="B222" s="195">
        <v>0.17462059620596207</v>
      </c>
      <c r="C222" s="30">
        <f t="shared" si="5"/>
        <v>0.14444604820372897</v>
      </c>
      <c r="D222" s="14">
        <v>0</v>
      </c>
      <c r="E222" s="14">
        <v>0</v>
      </c>
      <c r="F222" s="38">
        <v>0</v>
      </c>
      <c r="G222" s="38">
        <v>0</v>
      </c>
    </row>
    <row r="223" spans="1:7">
      <c r="A223" s="29" t="s">
        <v>23</v>
      </c>
      <c r="B223" s="195">
        <v>0.28343750000000001</v>
      </c>
      <c r="C223" s="30">
        <f t="shared" si="5"/>
        <v>0.17462059620596207</v>
      </c>
      <c r="D223" s="14">
        <v>0</v>
      </c>
      <c r="E223" s="14">
        <v>0</v>
      </c>
      <c r="F223" s="38">
        <v>0</v>
      </c>
      <c r="G223" s="38">
        <v>0</v>
      </c>
    </row>
    <row r="224" spans="1:7">
      <c r="A224" s="29" t="s">
        <v>24</v>
      </c>
      <c r="B224" s="195">
        <v>0.32666666666666666</v>
      </c>
      <c r="C224" s="30">
        <f t="shared" si="5"/>
        <v>0.28343750000000001</v>
      </c>
      <c r="D224" s="14">
        <v>0</v>
      </c>
      <c r="E224" s="14">
        <v>0</v>
      </c>
      <c r="F224" s="38">
        <v>0</v>
      </c>
      <c r="G224" s="38">
        <v>0</v>
      </c>
    </row>
    <row r="225" spans="1:7">
      <c r="A225" s="29" t="s">
        <v>25</v>
      </c>
      <c r="B225" s="195">
        <v>0.41052631578947368</v>
      </c>
      <c r="C225" s="30">
        <f t="shared" si="5"/>
        <v>0.32666666666666666</v>
      </c>
      <c r="D225" s="14">
        <v>0</v>
      </c>
      <c r="E225" s="14">
        <v>0</v>
      </c>
      <c r="F225" s="38">
        <v>0</v>
      </c>
      <c r="G225" s="38">
        <v>0</v>
      </c>
    </row>
    <row r="226" spans="1:7">
      <c r="A226" s="29" t="s">
        <v>26</v>
      </c>
      <c r="B226" s="195">
        <v>0.5</v>
      </c>
      <c r="C226" s="30">
        <f t="shared" si="5"/>
        <v>0.41052631578947368</v>
      </c>
      <c r="D226" s="14">
        <v>0</v>
      </c>
      <c r="E226" s="14">
        <v>0</v>
      </c>
      <c r="F226" s="38">
        <v>0</v>
      </c>
      <c r="G226" s="38">
        <v>0</v>
      </c>
    </row>
    <row r="227" spans="1:7">
      <c r="A227" s="29" t="s">
        <v>27</v>
      </c>
      <c r="B227" s="195">
        <v>0.53942982456140354</v>
      </c>
      <c r="C227" s="30">
        <f t="shared" si="5"/>
        <v>0.5</v>
      </c>
      <c r="D227" s="14">
        <v>0</v>
      </c>
      <c r="E227" s="14">
        <v>0</v>
      </c>
      <c r="F227" s="38">
        <v>0</v>
      </c>
      <c r="G227" s="38">
        <v>0</v>
      </c>
    </row>
    <row r="228" spans="1:7">
      <c r="A228" s="29" t="s">
        <v>28</v>
      </c>
      <c r="B228" s="195">
        <v>0.71</v>
      </c>
      <c r="C228" s="30">
        <f t="shared" si="5"/>
        <v>0.53942982456140354</v>
      </c>
      <c r="D228" s="14">
        <v>0</v>
      </c>
      <c r="E228" s="14">
        <v>0</v>
      </c>
      <c r="F228" s="38">
        <v>2.0309002089130327E-3</v>
      </c>
      <c r="G228" s="38">
        <v>0</v>
      </c>
    </row>
    <row r="229" spans="1:7">
      <c r="A229" s="29" t="s">
        <v>29</v>
      </c>
      <c r="B229" s="195">
        <v>0.82499999999999996</v>
      </c>
      <c r="C229" s="30">
        <f t="shared" si="5"/>
        <v>0.71</v>
      </c>
      <c r="D229" s="14">
        <v>0</v>
      </c>
      <c r="E229" s="14">
        <v>0</v>
      </c>
      <c r="F229" s="38">
        <v>1.568719896767061E-2</v>
      </c>
      <c r="G229" s="38">
        <v>0</v>
      </c>
    </row>
    <row r="230" spans="1:7">
      <c r="A230" s="29" t="s">
        <v>30</v>
      </c>
      <c r="B230" s="195">
        <v>0.96153846153846156</v>
      </c>
      <c r="C230" s="30">
        <f t="shared" si="5"/>
        <v>0.82499999999999996</v>
      </c>
      <c r="D230" s="14">
        <v>9.510790728115058E-2</v>
      </c>
      <c r="E230" s="14">
        <v>9.5107907281150577E-3</v>
      </c>
      <c r="F230" s="38">
        <v>2.7659616714261391E-2</v>
      </c>
      <c r="G230" s="38">
        <v>0</v>
      </c>
    </row>
    <row r="231" spans="1:7">
      <c r="A231" s="29" t="s">
        <v>31</v>
      </c>
      <c r="B231" s="195">
        <v>1.0594782608695652</v>
      </c>
      <c r="C231" s="30">
        <f t="shared" si="5"/>
        <v>0.96153846153846156</v>
      </c>
      <c r="D231" s="14">
        <v>0.1787575235596835</v>
      </c>
      <c r="E231" s="14">
        <v>1.7875752355968354E-2</v>
      </c>
      <c r="F231" s="38">
        <v>3.4346872965017643E-2</v>
      </c>
      <c r="G231" s="38">
        <v>0</v>
      </c>
    </row>
    <row r="232" spans="1:7">
      <c r="A232" s="29" t="s">
        <v>32</v>
      </c>
      <c r="B232" s="195">
        <v>1.1600000000000001</v>
      </c>
      <c r="C232" s="30">
        <f t="shared" si="5"/>
        <v>1.0594782608695652</v>
      </c>
      <c r="D232" s="14">
        <v>0.24992366319724027</v>
      </c>
      <c r="E232" s="14">
        <v>2.4992366319724027E-2</v>
      </c>
      <c r="F232" s="38">
        <v>4.0216926629284139E-2</v>
      </c>
      <c r="G232" s="38">
        <v>0</v>
      </c>
    </row>
    <row r="233" spans="1:7">
      <c r="A233" s="29" t="s">
        <v>33</v>
      </c>
      <c r="B233" s="195">
        <v>1.4232142857142858</v>
      </c>
      <c r="C233" s="30">
        <f t="shared" si="5"/>
        <v>1.1600000000000001</v>
      </c>
      <c r="D233" s="14">
        <v>0.38864543489702291</v>
      </c>
      <c r="E233" s="14">
        <v>3.8864543489702294E-2</v>
      </c>
      <c r="F233" s="38">
        <v>0.10675648122758213</v>
      </c>
      <c r="G233" s="38">
        <v>0</v>
      </c>
    </row>
    <row r="234" spans="1:7">
      <c r="A234" s="29" t="s">
        <v>34</v>
      </c>
      <c r="B234" s="195">
        <v>1.675</v>
      </c>
      <c r="C234" s="30">
        <f t="shared" si="5"/>
        <v>1.4232142857142858</v>
      </c>
      <c r="D234" s="14">
        <v>0.48054414884107383</v>
      </c>
      <c r="E234" s="14">
        <v>8.8326489304644276E-2</v>
      </c>
      <c r="F234" s="38">
        <v>0.15083679694923555</v>
      </c>
      <c r="G234" s="38">
        <v>0</v>
      </c>
    </row>
    <row r="235" spans="1:7">
      <c r="A235" s="29" t="s">
        <v>35</v>
      </c>
      <c r="B235" s="195">
        <v>2</v>
      </c>
      <c r="C235" s="30">
        <f t="shared" si="5"/>
        <v>1.675</v>
      </c>
      <c r="D235" s="14">
        <v>0.56495572465439925</v>
      </c>
      <c r="E235" s="14">
        <v>0.13897343479263957</v>
      </c>
      <c r="F235" s="38">
        <v>0.19132581744498478</v>
      </c>
      <c r="G235" s="38">
        <v>0</v>
      </c>
    </row>
    <row r="236" spans="1:7">
      <c r="A236" s="29" t="s">
        <v>36</v>
      </c>
      <c r="B236" s="195">
        <v>2.0333333333333332</v>
      </c>
      <c r="C236" s="30">
        <f t="shared" si="5"/>
        <v>2</v>
      </c>
      <c r="D236" s="14">
        <v>0.57208759802072051</v>
      </c>
      <c r="E236" s="14">
        <v>0.14325255881243237</v>
      </c>
      <c r="F236" s="38">
        <v>0.19474670568359159</v>
      </c>
      <c r="G236" s="38">
        <v>0</v>
      </c>
    </row>
    <row r="237" spans="1:7">
      <c r="A237" s="29" t="s">
        <v>37</v>
      </c>
      <c r="B237" s="195">
        <v>2.1639880952380954</v>
      </c>
      <c r="C237" s="30">
        <f t="shared" si="5"/>
        <v>2.0333333333333332</v>
      </c>
      <c r="D237" s="14">
        <v>0.59792359643481818</v>
      </c>
      <c r="E237" s="14">
        <v>0.15875415786089095</v>
      </c>
      <c r="F237" s="38">
        <v>0.20713925089125265</v>
      </c>
      <c r="G237" s="38">
        <v>0</v>
      </c>
    </row>
    <row r="238" spans="1:7">
      <c r="A238" s="29" t="s">
        <v>38</v>
      </c>
      <c r="B238" s="195">
        <v>2.3499999999999996</v>
      </c>
      <c r="C238" s="30">
        <f t="shared" si="5"/>
        <v>2.1639880952380954</v>
      </c>
      <c r="D238" s="14">
        <v>0.62974955289736101</v>
      </c>
      <c r="E238" s="14">
        <v>0.17784973173841664</v>
      </c>
      <c r="F238" s="38">
        <v>0.22240495101700833</v>
      </c>
      <c r="G238" s="38">
        <v>0</v>
      </c>
    </row>
    <row r="239" spans="1:7">
      <c r="A239" s="29" t="s">
        <v>39</v>
      </c>
      <c r="B239" s="195">
        <v>2.5</v>
      </c>
      <c r="C239" s="30">
        <f t="shared" si="5"/>
        <v>2.3499999999999996</v>
      </c>
      <c r="D239" s="14">
        <v>0.6519645797235194</v>
      </c>
      <c r="E239" s="14">
        <v>0.19117874783411168</v>
      </c>
      <c r="F239" s="38">
        <v>0.2330606539559878</v>
      </c>
      <c r="G239" s="38">
        <v>0</v>
      </c>
    </row>
    <row r="240" spans="1:7">
      <c r="A240" s="29" t="s">
        <v>40</v>
      </c>
      <c r="B240" s="195">
        <v>2.8759999999999999</v>
      </c>
      <c r="C240" s="30">
        <f t="shared" si="5"/>
        <v>2.5</v>
      </c>
      <c r="D240" s="14">
        <v>0.69746573341752383</v>
      </c>
      <c r="E240" s="14">
        <v>0.21847944005051434</v>
      </c>
      <c r="F240" s="38">
        <v>0.25488582576146374</v>
      </c>
      <c r="G240" s="38">
        <v>0</v>
      </c>
    </row>
    <row r="241" spans="1:7">
      <c r="A241" s="29" t="s">
        <v>41</v>
      </c>
      <c r="B241" s="195">
        <v>3.2300714285714287</v>
      </c>
      <c r="C241" s="30">
        <f t="shared" si="5"/>
        <v>2.8759999999999999</v>
      </c>
      <c r="D241" s="14">
        <v>0.73062869663039698</v>
      </c>
      <c r="E241" s="14">
        <v>0.23837721797823822</v>
      </c>
      <c r="F241" s="38">
        <v>0.27079283714335317</v>
      </c>
      <c r="G241" s="38">
        <v>1.0837885053404399E-2</v>
      </c>
    </row>
    <row r="242" spans="1:7">
      <c r="A242" s="29" t="s">
        <v>42</v>
      </c>
      <c r="B242" s="195">
        <v>3.3133333333333335</v>
      </c>
      <c r="C242" s="30">
        <f t="shared" si="5"/>
        <v>3.2300714285714287</v>
      </c>
      <c r="D242" s="14">
        <v>0.73739782172297741</v>
      </c>
      <c r="E242" s="14">
        <v>0.24243869303378648</v>
      </c>
      <c r="F242" s="38">
        <v>0.27403972884003108</v>
      </c>
      <c r="G242" s="38">
        <v>1.3078470824949706E-2</v>
      </c>
    </row>
    <row r="243" spans="1:7">
      <c r="A243" s="29" t="s">
        <v>43</v>
      </c>
      <c r="B243" s="195">
        <v>3.6637500000000003</v>
      </c>
      <c r="C243" s="30">
        <f t="shared" si="5"/>
        <v>3.3133333333333335</v>
      </c>
      <c r="D243" s="14">
        <v>0.76251421339032377</v>
      </c>
      <c r="E243" s="14">
        <v>0.25750852803419422</v>
      </c>
      <c r="F243" s="38">
        <v>0.28608710607709853</v>
      </c>
      <c r="G243" s="38">
        <v>2.1392016376663266E-2</v>
      </c>
    </row>
    <row r="244" spans="1:7">
      <c r="A244" s="29" t="s">
        <v>44</v>
      </c>
      <c r="B244" s="195">
        <v>3.7571428571428571</v>
      </c>
      <c r="C244" s="30">
        <f t="shared" si="5"/>
        <v>3.6637500000000003</v>
      </c>
      <c r="D244" s="14">
        <v>0.76841749601374865</v>
      </c>
      <c r="E244" s="14">
        <v>0.26105049760824922</v>
      </c>
      <c r="F244" s="38">
        <v>0.28891868609238736</v>
      </c>
      <c r="G244" s="38">
        <v>2.3346007604562742E-2</v>
      </c>
    </row>
    <row r="245" spans="1:7">
      <c r="A245" s="29" t="s">
        <v>45</v>
      </c>
      <c r="B245" s="195">
        <v>3.9285714285714288</v>
      </c>
      <c r="C245" s="30">
        <f t="shared" si="5"/>
        <v>3.7571428571428571</v>
      </c>
      <c r="D245" s="14">
        <v>0.77852291436951238</v>
      </c>
      <c r="E245" s="14">
        <v>0.26711374862170739</v>
      </c>
      <c r="F245" s="38">
        <v>0.29376587069926502</v>
      </c>
      <c r="G245" s="38">
        <v>2.6690909090909098E-2</v>
      </c>
    </row>
    <row r="246" spans="1:7">
      <c r="A246" s="29" t="s">
        <v>46</v>
      </c>
      <c r="B246" s="195">
        <v>4.0999999999999996</v>
      </c>
      <c r="C246" s="30">
        <f t="shared" si="5"/>
        <v>3.9285714285714288</v>
      </c>
      <c r="D246" s="14">
        <v>0.78778328031921918</v>
      </c>
      <c r="E246" s="14">
        <v>0.27266996819153144</v>
      </c>
      <c r="F246" s="38">
        <v>0.29820771582682182</v>
      </c>
      <c r="G246" s="38">
        <v>2.9756097560975608E-2</v>
      </c>
    </row>
    <row r="247" spans="1:7">
      <c r="A247" s="29" t="s">
        <v>47</v>
      </c>
      <c r="B247" s="195">
        <v>4.8624999999999998</v>
      </c>
      <c r="C247" s="30">
        <f t="shared" si="5"/>
        <v>4.0999999999999996</v>
      </c>
      <c r="D247" s="14">
        <v>0.82106148057764494</v>
      </c>
      <c r="E247" s="14">
        <v>0.29263688834658697</v>
      </c>
      <c r="F247" s="38">
        <v>0.31417000203392692</v>
      </c>
      <c r="G247" s="38">
        <v>4.4627249357326482E-2</v>
      </c>
    </row>
    <row r="248" spans="1:7">
      <c r="A248" s="29" t="s">
        <v>48</v>
      </c>
      <c r="B248" s="195">
        <v>6.4535353535353535</v>
      </c>
      <c r="C248" s="30">
        <f t="shared" si="5"/>
        <v>4.8624999999999998</v>
      </c>
      <c r="D248" s="14">
        <v>0.86517644933725324</v>
      </c>
      <c r="E248" s="14">
        <v>0.31910586960235188</v>
      </c>
      <c r="F248" s="38">
        <v>0.33533027367992951</v>
      </c>
      <c r="G248" s="38">
        <v>0.13223978713413681</v>
      </c>
    </row>
    <row r="249" spans="1:7">
      <c r="A249" s="29" t="s">
        <v>49</v>
      </c>
      <c r="B249" s="195">
        <v>8.3069565217391315</v>
      </c>
      <c r="C249" s="30">
        <f t="shared" si="5"/>
        <v>6.4535353535353535</v>
      </c>
      <c r="D249" s="14">
        <v>0.89525784221764038</v>
      </c>
      <c r="E249" s="14">
        <v>0.33715470533058423</v>
      </c>
      <c r="F249" s="38">
        <v>0.34975917304757298</v>
      </c>
      <c r="G249" s="38">
        <v>0.19198157646812525</v>
      </c>
    </row>
    <row r="250" spans="1:7">
      <c r="A250" s="29" t="s">
        <v>50</v>
      </c>
      <c r="B250" s="195">
        <v>10.5</v>
      </c>
      <c r="C250" s="30">
        <f t="shared" si="5"/>
        <v>8.3069565217391315</v>
      </c>
      <c r="D250" s="14">
        <v>0.91713442374369503</v>
      </c>
      <c r="E250" s="14">
        <v>0.35028065424621707</v>
      </c>
      <c r="F250" s="38">
        <v>0.36025253665618756</v>
      </c>
      <c r="G250" s="38">
        <v>0.23542857142857146</v>
      </c>
    </row>
    <row r="251" spans="1:7">
      <c r="A251" s="29" t="s">
        <v>51</v>
      </c>
      <c r="B251" s="195">
        <v>12.8</v>
      </c>
      <c r="C251" s="30">
        <f t="shared" si="5"/>
        <v>10.5</v>
      </c>
      <c r="D251" s="14">
        <v>0.93202433197724988</v>
      </c>
      <c r="E251" s="14">
        <v>0.35921459918634996</v>
      </c>
      <c r="F251" s="38">
        <v>0.36739465897577883</v>
      </c>
      <c r="G251" s="38">
        <v>0.26500000000000001</v>
      </c>
    </row>
    <row r="252" spans="1:7">
      <c r="A252" s="29" t="s">
        <v>52</v>
      </c>
      <c r="B252" s="195">
        <v>14.971666666666666</v>
      </c>
      <c r="C252" s="30">
        <f t="shared" si="5"/>
        <v>12.8</v>
      </c>
      <c r="D252" s="14">
        <v>0.94188432256320598</v>
      </c>
      <c r="E252" s="14">
        <v>0.3651305935379236</v>
      </c>
      <c r="F252" s="38">
        <v>0.37212412122163885</v>
      </c>
      <c r="G252" s="38">
        <v>0.28458198819993324</v>
      </c>
    </row>
    <row r="253" spans="1:7">
      <c r="A253" s="29" t="s">
        <v>53</v>
      </c>
      <c r="B253" s="224">
        <v>21.065277777777776</v>
      </c>
      <c r="C253" s="30">
        <f>B252</f>
        <v>14.971666666666666</v>
      </c>
      <c r="D253" s="14">
        <v>0.95869560516267793</v>
      </c>
      <c r="E253" s="14">
        <v>0.37521736309760673</v>
      </c>
      <c r="F253" s="38">
        <v>0.3801878537034864</v>
      </c>
      <c r="G253" s="38">
        <v>0.31796927540054065</v>
      </c>
    </row>
    <row r="254" spans="1:7">
      <c r="A254" s="29" t="s">
        <v>53</v>
      </c>
      <c r="B254" s="29" t="s">
        <v>160</v>
      </c>
      <c r="C254" s="30">
        <f t="shared" si="5"/>
        <v>21.065277777777776</v>
      </c>
      <c r="D254" s="58"/>
      <c r="E254" s="11"/>
      <c r="F254" s="39"/>
      <c r="G254" s="39"/>
    </row>
    <row r="255" spans="1:7">
      <c r="A255" s="29"/>
      <c r="B255" s="29">
        <v>5.4</v>
      </c>
      <c r="C255" s="29"/>
      <c r="D255" s="58"/>
      <c r="E255" s="32">
        <v>0.10291914680204974</v>
      </c>
      <c r="F255" s="40">
        <v>0.11744257124827463</v>
      </c>
      <c r="G255" s="40">
        <v>3.1938596690001972E-2</v>
      </c>
    </row>
    <row r="256" spans="1:7" ht="60">
      <c r="A256" s="33" t="s">
        <v>55</v>
      </c>
      <c r="B256" s="29">
        <v>4.8</v>
      </c>
      <c r="C256" s="29"/>
      <c r="D256" s="58"/>
      <c r="E256" s="34">
        <v>1.4501475844853358</v>
      </c>
      <c r="F256" s="41">
        <v>1.159301014194529</v>
      </c>
      <c r="G256" s="42">
        <v>4.8</v>
      </c>
    </row>
    <row r="257" spans="1:7" ht="60">
      <c r="A257" s="33" t="s">
        <v>56</v>
      </c>
      <c r="B257" s="29">
        <v>0.94599999999999995</v>
      </c>
      <c r="C257" s="29"/>
      <c r="D257" s="11"/>
      <c r="E257" s="11"/>
      <c r="F257" s="39"/>
      <c r="G257" s="39"/>
    </row>
    <row r="258" spans="1:7" ht="96.75">
      <c r="A258" s="35" t="s">
        <v>57</v>
      </c>
      <c r="B258" s="29">
        <v>2.88</v>
      </c>
      <c r="C258" s="29"/>
      <c r="D258" s="11"/>
      <c r="E258" s="11">
        <v>0.87008855069120139</v>
      </c>
      <c r="F258" s="39">
        <v>0.69558060851671744</v>
      </c>
      <c r="G258" s="39">
        <v>2.88</v>
      </c>
    </row>
    <row r="261" spans="1:7">
      <c r="A261" s="16" t="s">
        <v>64</v>
      </c>
      <c r="B261" s="17">
        <f>AVERAGE(B209:B248)</f>
        <v>1.4501475844853358</v>
      </c>
      <c r="C261" s="17"/>
    </row>
    <row r="262" spans="1:7">
      <c r="A262" s="16" t="s">
        <v>65</v>
      </c>
      <c r="B262" s="18">
        <f>AVERAGE(B214:B243)</f>
        <v>1.159301014194529</v>
      </c>
      <c r="C262" s="18"/>
    </row>
    <row r="263" spans="1:7">
      <c r="A263" s="16" t="s">
        <v>66</v>
      </c>
      <c r="B263" s="18">
        <f>AVERAGE(B220:B238)</f>
        <v>0.99217096660086634</v>
      </c>
      <c r="C263" s="18"/>
    </row>
    <row r="264" spans="1:7" ht="15.75" thickBot="1"/>
    <row r="265" spans="1:7" ht="15" customHeight="1" thickBot="1">
      <c r="A265" s="522"/>
      <c r="B265" s="525"/>
      <c r="C265" s="526"/>
      <c r="D265" s="527"/>
      <c r="E265" s="19"/>
      <c r="F265" s="19"/>
      <c r="G265" s="19"/>
    </row>
    <row r="266" spans="1:7">
      <c r="A266" s="523"/>
      <c r="B266" s="11"/>
      <c r="D266" s="11"/>
      <c r="E266" s="11"/>
      <c r="F266" s="39"/>
      <c r="G266" s="39"/>
    </row>
    <row r="267" spans="1:7" ht="15.75" thickBot="1">
      <c r="A267" s="524"/>
      <c r="B267" s="3"/>
      <c r="C267" s="65"/>
      <c r="D267" s="20"/>
      <c r="E267" s="20"/>
      <c r="F267" s="20"/>
      <c r="G267" s="20"/>
    </row>
    <row r="268" spans="1:7" ht="15.75" thickBot="1">
      <c r="A268" s="50"/>
      <c r="B268" s="51"/>
      <c r="D268" s="51"/>
      <c r="E268" s="51"/>
      <c r="F268" s="52"/>
      <c r="G268" s="52"/>
    </row>
    <row r="269" spans="1:7" ht="15.75" thickBot="1">
      <c r="A269" s="8"/>
      <c r="B269" s="24"/>
      <c r="D269" s="14"/>
      <c r="E269" s="14"/>
      <c r="F269" s="38"/>
      <c r="G269" s="38"/>
    </row>
    <row r="270" spans="1:7" ht="15.75" thickBot="1">
      <c r="A270" s="8"/>
      <c r="B270" s="25"/>
      <c r="C270">
        <v>0</v>
      </c>
      <c r="D270" s="14"/>
      <c r="E270" s="14"/>
      <c r="F270" s="38"/>
      <c r="G270" s="38"/>
    </row>
    <row r="271" spans="1:7" ht="15.75" thickBot="1">
      <c r="A271" s="8"/>
      <c r="B271" s="25"/>
      <c r="C271" s="30">
        <f>B270</f>
        <v>0</v>
      </c>
      <c r="D271" s="14"/>
      <c r="E271" s="14"/>
      <c r="F271" s="38"/>
      <c r="G271" s="38"/>
    </row>
    <row r="272" spans="1:7" ht="15.75" thickBot="1">
      <c r="A272" s="8"/>
      <c r="B272" s="25"/>
      <c r="C272" s="30">
        <f t="shared" ref="C272:C320" si="6">B271</f>
        <v>0</v>
      </c>
      <c r="D272" s="14"/>
      <c r="E272" s="14"/>
      <c r="F272" s="38"/>
      <c r="G272" s="38"/>
    </row>
    <row r="273" spans="1:7" ht="15.75" thickBot="1">
      <c r="A273" s="8"/>
      <c r="B273" s="25"/>
      <c r="C273" s="30">
        <f t="shared" si="6"/>
        <v>0</v>
      </c>
      <c r="D273" s="14"/>
      <c r="E273" s="14"/>
      <c r="F273" s="38"/>
      <c r="G273" s="38"/>
    </row>
    <row r="274" spans="1:7" ht="15.75" thickBot="1">
      <c r="A274" s="8"/>
      <c r="B274" s="25"/>
      <c r="C274" s="30">
        <f t="shared" si="6"/>
        <v>0</v>
      </c>
      <c r="D274" s="14"/>
      <c r="E274" s="14"/>
      <c r="F274" s="38"/>
      <c r="G274" s="38"/>
    </row>
    <row r="275" spans="1:7" ht="15.75" thickBot="1">
      <c r="A275" s="8"/>
      <c r="B275" s="25"/>
      <c r="C275" s="30">
        <f t="shared" si="6"/>
        <v>0</v>
      </c>
      <c r="D275" s="14"/>
      <c r="E275" s="14"/>
      <c r="F275" s="38"/>
      <c r="G275" s="38"/>
    </row>
    <row r="276" spans="1:7" ht="15.75" thickBot="1">
      <c r="A276" s="3"/>
      <c r="B276" s="25"/>
      <c r="C276" s="30">
        <f t="shared" si="6"/>
        <v>0</v>
      </c>
      <c r="D276" s="14"/>
      <c r="E276" s="14"/>
      <c r="F276" s="38"/>
      <c r="G276" s="38"/>
    </row>
    <row r="277" spans="1:7" ht="15.75" thickBot="1">
      <c r="A277" s="3"/>
      <c r="B277" s="25"/>
      <c r="C277" s="30">
        <f t="shared" si="6"/>
        <v>0</v>
      </c>
      <c r="D277" s="14"/>
      <c r="E277" s="14"/>
      <c r="F277" s="38"/>
      <c r="G277" s="38"/>
    </row>
    <row r="278" spans="1:7" ht="15.75" thickBot="1">
      <c r="A278" s="3"/>
      <c r="B278" s="25"/>
      <c r="C278" s="30">
        <f t="shared" si="6"/>
        <v>0</v>
      </c>
      <c r="D278" s="14"/>
      <c r="E278" s="14"/>
      <c r="F278" s="38"/>
      <c r="G278" s="38"/>
    </row>
    <row r="279" spans="1:7" ht="15.75" thickBot="1">
      <c r="A279" s="3"/>
      <c r="B279" s="25"/>
      <c r="C279" s="30">
        <f t="shared" si="6"/>
        <v>0</v>
      </c>
      <c r="D279" s="14"/>
      <c r="E279" s="14"/>
      <c r="F279" s="38"/>
      <c r="G279" s="38"/>
    </row>
    <row r="280" spans="1:7" ht="15.75" thickBot="1">
      <c r="A280" s="3"/>
      <c r="B280" s="25"/>
      <c r="C280" s="30">
        <f t="shared" si="6"/>
        <v>0</v>
      </c>
      <c r="D280" s="14"/>
      <c r="E280" s="14"/>
      <c r="F280" s="38"/>
      <c r="G280" s="38"/>
    </row>
    <row r="281" spans="1:7" ht="15.75" thickBot="1">
      <c r="A281" s="3"/>
      <c r="B281" s="25"/>
      <c r="C281" s="30">
        <f t="shared" si="6"/>
        <v>0</v>
      </c>
      <c r="D281" s="14"/>
      <c r="E281" s="14"/>
      <c r="F281" s="38"/>
      <c r="G281" s="38"/>
    </row>
    <row r="282" spans="1:7" ht="15.75" thickBot="1">
      <c r="A282" s="3"/>
      <c r="B282" s="25"/>
      <c r="C282" s="30">
        <f t="shared" si="6"/>
        <v>0</v>
      </c>
      <c r="D282" s="14"/>
      <c r="E282" s="14"/>
      <c r="F282" s="38"/>
      <c r="G282" s="38"/>
    </row>
    <row r="283" spans="1:7" ht="15.75" thickBot="1">
      <c r="A283" s="3"/>
      <c r="B283" s="25"/>
      <c r="C283" s="30">
        <f t="shared" si="6"/>
        <v>0</v>
      </c>
      <c r="D283" s="14"/>
      <c r="E283" s="14"/>
      <c r="F283" s="38"/>
      <c r="G283" s="38"/>
    </row>
    <row r="284" spans="1:7" ht="15.75" thickBot="1">
      <c r="A284" s="3"/>
      <c r="B284" s="25"/>
      <c r="C284" s="30">
        <f t="shared" si="6"/>
        <v>0</v>
      </c>
      <c r="D284" s="14"/>
      <c r="E284" s="14"/>
      <c r="F284" s="38"/>
      <c r="G284" s="38"/>
    </row>
    <row r="285" spans="1:7" ht="15.75" thickBot="1">
      <c r="A285" s="3"/>
      <c r="B285" s="25"/>
      <c r="C285" s="30">
        <f t="shared" si="6"/>
        <v>0</v>
      </c>
      <c r="D285" s="14"/>
      <c r="E285" s="14"/>
      <c r="F285" s="38"/>
      <c r="G285" s="38"/>
    </row>
    <row r="286" spans="1:7" ht="15.75" thickBot="1">
      <c r="A286" s="3"/>
      <c r="B286" s="25"/>
      <c r="C286" s="30">
        <f t="shared" si="6"/>
        <v>0</v>
      </c>
      <c r="D286" s="14"/>
      <c r="E286" s="14"/>
      <c r="F286" s="38"/>
      <c r="G286" s="38"/>
    </row>
    <row r="287" spans="1:7" ht="15.75" thickBot="1">
      <c r="A287" s="3"/>
      <c r="B287" s="25"/>
      <c r="C287" s="30">
        <f t="shared" si="6"/>
        <v>0</v>
      </c>
      <c r="D287" s="14"/>
      <c r="E287" s="14"/>
      <c r="F287" s="38"/>
      <c r="G287" s="38"/>
    </row>
    <row r="288" spans="1:7" ht="15.75" thickBot="1">
      <c r="A288" s="3"/>
      <c r="B288" s="25"/>
      <c r="C288" s="30">
        <f t="shared" si="6"/>
        <v>0</v>
      </c>
      <c r="D288" s="14"/>
      <c r="E288" s="14"/>
      <c r="F288" s="38"/>
      <c r="G288" s="38"/>
    </row>
    <row r="289" spans="1:7" ht="15.75" thickBot="1">
      <c r="A289" s="3"/>
      <c r="B289" s="25"/>
      <c r="C289" s="30">
        <f t="shared" si="6"/>
        <v>0</v>
      </c>
      <c r="D289" s="14"/>
      <c r="E289" s="14"/>
      <c r="F289" s="38"/>
      <c r="G289" s="38"/>
    </row>
    <row r="290" spans="1:7" ht="15.75" thickBot="1">
      <c r="A290" s="3"/>
      <c r="B290" s="25"/>
      <c r="C290" s="30">
        <f t="shared" si="6"/>
        <v>0</v>
      </c>
      <c r="D290" s="14"/>
      <c r="E290" s="14"/>
      <c r="F290" s="38"/>
      <c r="G290" s="38"/>
    </row>
    <row r="291" spans="1:7" ht="15.75" thickBot="1">
      <c r="A291" s="3"/>
      <c r="B291" s="25"/>
      <c r="C291" s="30">
        <f t="shared" si="6"/>
        <v>0</v>
      </c>
      <c r="D291" s="14"/>
      <c r="E291" s="14"/>
      <c r="F291" s="38"/>
      <c r="G291" s="38"/>
    </row>
    <row r="292" spans="1:7" ht="15.75" thickBot="1">
      <c r="A292" s="3"/>
      <c r="B292" s="25"/>
      <c r="C292" s="30">
        <f t="shared" si="6"/>
        <v>0</v>
      </c>
      <c r="D292" s="14"/>
      <c r="E292" s="14"/>
      <c r="F292" s="38"/>
      <c r="G292" s="38"/>
    </row>
    <row r="293" spans="1:7" ht="15.75" thickBot="1">
      <c r="A293" s="3"/>
      <c r="B293" s="25"/>
      <c r="C293" s="30">
        <f t="shared" si="6"/>
        <v>0</v>
      </c>
      <c r="D293" s="14"/>
      <c r="E293" s="14"/>
      <c r="F293" s="38"/>
      <c r="G293" s="38"/>
    </row>
    <row r="294" spans="1:7" ht="15.75" thickBot="1">
      <c r="A294" s="3"/>
      <c r="B294" s="25"/>
      <c r="C294" s="30">
        <f t="shared" si="6"/>
        <v>0</v>
      </c>
      <c r="D294" s="14"/>
      <c r="E294" s="14"/>
      <c r="F294" s="38"/>
      <c r="G294" s="38"/>
    </row>
    <row r="295" spans="1:7" ht="15.75" thickBot="1">
      <c r="A295" s="3"/>
      <c r="B295" s="25"/>
      <c r="C295" s="30">
        <f t="shared" si="6"/>
        <v>0</v>
      </c>
      <c r="D295" s="14"/>
      <c r="E295" s="14"/>
      <c r="F295" s="38"/>
      <c r="G295" s="38"/>
    </row>
    <row r="296" spans="1:7" ht="15.75" thickBot="1">
      <c r="A296" s="3"/>
      <c r="B296" s="25"/>
      <c r="C296" s="30">
        <f t="shared" si="6"/>
        <v>0</v>
      </c>
      <c r="D296" s="14"/>
      <c r="E296" s="14"/>
      <c r="F296" s="38"/>
      <c r="G296" s="38"/>
    </row>
    <row r="297" spans="1:7" ht="15.75" thickBot="1">
      <c r="A297" s="3"/>
      <c r="B297" s="25"/>
      <c r="C297" s="30">
        <f t="shared" si="6"/>
        <v>0</v>
      </c>
      <c r="D297" s="14"/>
      <c r="E297" s="14"/>
      <c r="F297" s="38"/>
      <c r="G297" s="38"/>
    </row>
    <row r="298" spans="1:7" ht="15.75" thickBot="1">
      <c r="A298" s="3"/>
      <c r="B298" s="25"/>
      <c r="C298" s="30">
        <f t="shared" si="6"/>
        <v>0</v>
      </c>
      <c r="D298" s="14"/>
      <c r="E298" s="14"/>
      <c r="F298" s="38"/>
      <c r="G298" s="38"/>
    </row>
    <row r="299" spans="1:7" ht="15.75" thickBot="1">
      <c r="A299" s="3"/>
      <c r="B299" s="25"/>
      <c r="C299" s="30">
        <f t="shared" si="6"/>
        <v>0</v>
      </c>
      <c r="D299" s="14"/>
      <c r="E299" s="14"/>
      <c r="F299" s="38"/>
      <c r="G299" s="38"/>
    </row>
    <row r="300" spans="1:7" ht="15.75" thickBot="1">
      <c r="A300" s="3"/>
      <c r="B300" s="25"/>
      <c r="C300" s="30">
        <f t="shared" si="6"/>
        <v>0</v>
      </c>
      <c r="D300" s="14"/>
      <c r="E300" s="14"/>
      <c r="F300" s="38"/>
      <c r="G300" s="38"/>
    </row>
    <row r="301" spans="1:7" ht="15.75" thickBot="1">
      <c r="A301" s="3"/>
      <c r="B301" s="25"/>
      <c r="C301" s="30">
        <f t="shared" si="6"/>
        <v>0</v>
      </c>
      <c r="D301" s="14"/>
      <c r="E301" s="14"/>
      <c r="F301" s="38"/>
      <c r="G301" s="38"/>
    </row>
    <row r="302" spans="1:7" ht="15.75" thickBot="1">
      <c r="A302" s="3"/>
      <c r="B302" s="25"/>
      <c r="C302" s="30">
        <f t="shared" si="6"/>
        <v>0</v>
      </c>
      <c r="D302" s="14"/>
      <c r="E302" s="14"/>
      <c r="F302" s="38"/>
      <c r="G302" s="38"/>
    </row>
    <row r="303" spans="1:7" ht="15.75" thickBot="1">
      <c r="A303" s="3"/>
      <c r="B303" s="25"/>
      <c r="C303" s="30">
        <f t="shared" si="6"/>
        <v>0</v>
      </c>
      <c r="D303" s="14"/>
      <c r="E303" s="14"/>
      <c r="F303" s="38"/>
      <c r="G303" s="38"/>
    </row>
    <row r="304" spans="1:7" ht="15.75" thickBot="1">
      <c r="A304" s="3"/>
      <c r="B304" s="25"/>
      <c r="C304" s="30">
        <f t="shared" si="6"/>
        <v>0</v>
      </c>
      <c r="D304" s="14"/>
      <c r="E304" s="14"/>
      <c r="F304" s="38"/>
      <c r="G304" s="38"/>
    </row>
    <row r="305" spans="1:7" ht="15.75" thickBot="1">
      <c r="A305" s="3"/>
      <c r="B305" s="25"/>
      <c r="C305" s="30">
        <f t="shared" si="6"/>
        <v>0</v>
      </c>
      <c r="D305" s="14"/>
      <c r="E305" s="14"/>
      <c r="F305" s="38"/>
      <c r="G305" s="38"/>
    </row>
    <row r="306" spans="1:7" ht="15.75" thickBot="1">
      <c r="A306" s="3"/>
      <c r="B306" s="25"/>
      <c r="C306" s="30">
        <f t="shared" si="6"/>
        <v>0</v>
      </c>
      <c r="D306" s="14"/>
      <c r="E306" s="14"/>
      <c r="F306" s="38"/>
      <c r="G306" s="38"/>
    </row>
    <row r="307" spans="1:7" ht="15.75" thickBot="1">
      <c r="A307" s="3"/>
      <c r="B307" s="25"/>
      <c r="C307" s="30">
        <f t="shared" si="6"/>
        <v>0</v>
      </c>
      <c r="D307" s="14"/>
      <c r="E307" s="14"/>
      <c r="F307" s="38"/>
      <c r="G307" s="38"/>
    </row>
    <row r="308" spans="1:7" ht="15.75" thickBot="1">
      <c r="A308" s="3"/>
      <c r="B308" s="25"/>
      <c r="C308" s="30">
        <f t="shared" si="6"/>
        <v>0</v>
      </c>
      <c r="D308" s="14"/>
      <c r="E308" s="14"/>
      <c r="F308" s="38"/>
      <c r="G308" s="38"/>
    </row>
    <row r="309" spans="1:7" ht="15.75" thickBot="1">
      <c r="A309" s="3"/>
      <c r="B309" s="25"/>
      <c r="C309" s="30">
        <f t="shared" si="6"/>
        <v>0</v>
      </c>
      <c r="D309" s="14"/>
      <c r="E309" s="14"/>
      <c r="F309" s="38"/>
      <c r="G309" s="38"/>
    </row>
    <row r="310" spans="1:7" ht="15.75" thickBot="1">
      <c r="A310" s="3"/>
      <c r="B310" s="25"/>
      <c r="C310" s="30">
        <f t="shared" si="6"/>
        <v>0</v>
      </c>
      <c r="D310" s="14"/>
      <c r="E310" s="14"/>
      <c r="F310" s="38"/>
      <c r="G310" s="38"/>
    </row>
    <row r="311" spans="1:7" ht="15.75" thickBot="1">
      <c r="A311" s="3"/>
      <c r="B311" s="25"/>
      <c r="C311" s="30">
        <f t="shared" si="6"/>
        <v>0</v>
      </c>
      <c r="D311" s="14"/>
      <c r="E311" s="14"/>
      <c r="F311" s="38"/>
      <c r="G311" s="38"/>
    </row>
    <row r="312" spans="1:7" ht="15.75" thickBot="1">
      <c r="A312" s="3"/>
      <c r="B312" s="25"/>
      <c r="C312" s="30">
        <f t="shared" si="6"/>
        <v>0</v>
      </c>
      <c r="D312" s="14"/>
      <c r="E312" s="14"/>
      <c r="F312" s="38"/>
      <c r="G312" s="38"/>
    </row>
    <row r="313" spans="1:7" ht="15.75" thickBot="1">
      <c r="A313" s="3"/>
      <c r="B313" s="25"/>
      <c r="C313" s="30">
        <f t="shared" si="6"/>
        <v>0</v>
      </c>
      <c r="D313" s="14"/>
      <c r="E313" s="14"/>
      <c r="F313" s="38"/>
      <c r="G313" s="38"/>
    </row>
    <row r="314" spans="1:7" ht="15.75" thickBot="1">
      <c r="A314" s="3"/>
      <c r="B314" s="25"/>
      <c r="C314" s="30">
        <f t="shared" si="6"/>
        <v>0</v>
      </c>
      <c r="D314" s="14"/>
      <c r="E314" s="14"/>
      <c r="F314" s="38"/>
      <c r="G314" s="38"/>
    </row>
    <row r="315" spans="1:7" ht="15.75" thickBot="1">
      <c r="A315" s="3"/>
      <c r="B315" s="25"/>
      <c r="C315" s="30">
        <f t="shared" si="6"/>
        <v>0</v>
      </c>
      <c r="D315" s="14"/>
      <c r="E315" s="14"/>
      <c r="F315" s="38"/>
      <c r="G315" s="38"/>
    </row>
    <row r="316" spans="1:7" ht="15.75" thickBot="1">
      <c r="A316" s="3"/>
      <c r="B316" s="25"/>
      <c r="C316" s="30">
        <f t="shared" si="6"/>
        <v>0</v>
      </c>
      <c r="D316" s="14"/>
      <c r="E316" s="14"/>
      <c r="F316" s="38"/>
      <c r="G316" s="38"/>
    </row>
    <row r="317" spans="1:7" ht="15.75" thickBot="1">
      <c r="A317" s="3"/>
      <c r="B317" s="25"/>
      <c r="C317" s="30">
        <f t="shared" si="6"/>
        <v>0</v>
      </c>
      <c r="D317" s="14"/>
      <c r="E317" s="14"/>
      <c r="F317" s="38"/>
      <c r="G317" s="38"/>
    </row>
    <row r="318" spans="1:7" ht="15.75" thickBot="1">
      <c r="A318" s="3"/>
      <c r="B318" s="25"/>
      <c r="C318" s="30">
        <f t="shared" si="6"/>
        <v>0</v>
      </c>
      <c r="D318" s="14"/>
      <c r="E318" s="14"/>
      <c r="F318" s="38"/>
      <c r="G318" s="38"/>
    </row>
    <row r="319" spans="1:7" ht="15.75" thickBot="1">
      <c r="A319" s="3"/>
      <c r="B319" s="3"/>
      <c r="C319" s="30">
        <f>B318</f>
        <v>0</v>
      </c>
      <c r="D319" s="22"/>
      <c r="E319" s="1"/>
      <c r="F319" s="37"/>
      <c r="G319" s="39"/>
    </row>
    <row r="320" spans="1:7" ht="15.75" thickBot="1">
      <c r="A320" s="3"/>
      <c r="B320" s="3"/>
      <c r="C320" s="30">
        <f t="shared" si="6"/>
        <v>0</v>
      </c>
      <c r="D320" s="4"/>
      <c r="E320" s="15"/>
      <c r="F320" s="26"/>
      <c r="G320" s="26"/>
    </row>
    <row r="321" spans="1:7" ht="15.75" thickBot="1">
      <c r="A321" s="5"/>
      <c r="B321" s="3"/>
      <c r="D321" s="4"/>
      <c r="E321" s="12"/>
      <c r="F321" s="45"/>
      <c r="G321" s="46"/>
    </row>
    <row r="322" spans="1:7" ht="15.75" thickBot="1">
      <c r="A322" s="5"/>
      <c r="B322" s="4"/>
      <c r="D322" s="1"/>
      <c r="E322" s="1"/>
      <c r="F322" s="37"/>
      <c r="G322" s="37"/>
    </row>
    <row r="323" spans="1:7" ht="15.75" thickBot="1">
      <c r="A323" s="6"/>
      <c r="B323" s="4"/>
      <c r="D323" s="1"/>
      <c r="E323" s="1"/>
      <c r="F323" s="37"/>
      <c r="G323" s="37"/>
    </row>
    <row r="326" spans="1:7">
      <c r="A326" s="16"/>
      <c r="B326" s="17"/>
    </row>
    <row r="327" spans="1:7">
      <c r="A327" s="16"/>
      <c r="B327" s="18"/>
    </row>
    <row r="328" spans="1:7">
      <c r="A328" s="16"/>
      <c r="B328" s="18"/>
    </row>
    <row r="331" spans="1:7" ht="15.75" thickBot="1"/>
    <row r="332" spans="1:7" ht="15" customHeight="1" thickBot="1">
      <c r="A332" s="522"/>
      <c r="B332" s="525"/>
      <c r="C332" s="526"/>
      <c r="D332" s="527"/>
      <c r="E332" s="19"/>
      <c r="F332" s="19"/>
      <c r="G332" s="19"/>
    </row>
    <row r="333" spans="1:7" ht="15.75" thickBot="1">
      <c r="A333" s="523"/>
      <c r="B333" s="7"/>
      <c r="D333" s="11"/>
      <c r="E333" s="11"/>
      <c r="F333" s="39"/>
      <c r="G333" s="39"/>
    </row>
    <row r="334" spans="1:7" ht="15.75" thickBot="1">
      <c r="A334" s="524"/>
      <c r="B334" s="3"/>
      <c r="D334" s="20"/>
      <c r="E334" s="20"/>
      <c r="F334" s="20"/>
      <c r="G334" s="20"/>
    </row>
    <row r="335" spans="1:7" ht="15.75" thickBot="1">
      <c r="A335" s="50"/>
      <c r="B335" s="51"/>
      <c r="D335" s="51"/>
      <c r="E335" s="51"/>
      <c r="F335" s="52"/>
      <c r="G335" s="52"/>
    </row>
    <row r="336" spans="1:7" ht="15.75" thickBot="1">
      <c r="A336" s="8"/>
      <c r="B336" s="232"/>
      <c r="C336" s="117"/>
      <c r="D336" s="14"/>
      <c r="E336" s="14"/>
      <c r="F336" s="38"/>
      <c r="G336" s="38"/>
    </row>
    <row r="337" spans="1:7" ht="15.75" thickBot="1">
      <c r="A337" s="8"/>
      <c r="B337" s="233"/>
      <c r="C337">
        <v>0</v>
      </c>
      <c r="D337" s="14"/>
      <c r="E337" s="14"/>
      <c r="F337" s="38"/>
      <c r="G337" s="38"/>
    </row>
    <row r="338" spans="1:7" ht="15.75" thickBot="1">
      <c r="A338" s="8"/>
      <c r="B338" s="233"/>
      <c r="C338" s="30">
        <f>B337</f>
        <v>0</v>
      </c>
      <c r="D338" s="14"/>
      <c r="E338" s="14"/>
      <c r="F338" s="38"/>
      <c r="G338" s="38"/>
    </row>
    <row r="339" spans="1:7" ht="15.75" thickBot="1">
      <c r="A339" s="8"/>
      <c r="B339" s="233"/>
      <c r="C339" s="30">
        <f t="shared" ref="C339:C387" si="7">B338</f>
        <v>0</v>
      </c>
      <c r="D339" s="14"/>
      <c r="E339" s="14"/>
      <c r="F339" s="38"/>
      <c r="G339" s="38"/>
    </row>
    <row r="340" spans="1:7" ht="15.75" thickBot="1">
      <c r="A340" s="8"/>
      <c r="B340" s="233"/>
      <c r="C340" s="30">
        <f t="shared" si="7"/>
        <v>0</v>
      </c>
      <c r="D340" s="14"/>
      <c r="E340" s="14"/>
      <c r="F340" s="38"/>
      <c r="G340" s="38"/>
    </row>
    <row r="341" spans="1:7" ht="15.75" thickBot="1">
      <c r="A341" s="8"/>
      <c r="B341" s="233"/>
      <c r="C341" s="30">
        <f t="shared" si="7"/>
        <v>0</v>
      </c>
      <c r="D341" s="14"/>
      <c r="E341" s="14"/>
      <c r="F341" s="38"/>
      <c r="G341" s="38"/>
    </row>
    <row r="342" spans="1:7" ht="15.75" thickBot="1">
      <c r="A342" s="8"/>
      <c r="B342" s="233"/>
      <c r="C342" s="30">
        <f t="shared" si="7"/>
        <v>0</v>
      </c>
      <c r="D342" s="14"/>
      <c r="E342" s="14"/>
      <c r="F342" s="38"/>
      <c r="G342" s="38"/>
    </row>
    <row r="343" spans="1:7" ht="15.75" thickBot="1">
      <c r="A343" s="3"/>
      <c r="B343" s="233"/>
      <c r="C343" s="30">
        <f t="shared" si="7"/>
        <v>0</v>
      </c>
      <c r="D343" s="14"/>
      <c r="E343" s="14"/>
      <c r="F343" s="38"/>
      <c r="G343" s="38"/>
    </row>
    <row r="344" spans="1:7" ht="15.75" thickBot="1">
      <c r="A344" s="3"/>
      <c r="B344" s="233"/>
      <c r="C344" s="30">
        <f t="shared" si="7"/>
        <v>0</v>
      </c>
      <c r="D344" s="14"/>
      <c r="E344" s="14"/>
      <c r="F344" s="38"/>
      <c r="G344" s="38"/>
    </row>
    <row r="345" spans="1:7" ht="15.75" thickBot="1">
      <c r="A345" s="3"/>
      <c r="B345" s="233"/>
      <c r="C345" s="30">
        <f t="shared" si="7"/>
        <v>0</v>
      </c>
      <c r="D345" s="14"/>
      <c r="E345" s="14"/>
      <c r="F345" s="38"/>
      <c r="G345" s="38"/>
    </row>
    <row r="346" spans="1:7" ht="15.75" thickBot="1">
      <c r="A346" s="3"/>
      <c r="B346" s="233"/>
      <c r="C346" s="30">
        <f t="shared" si="7"/>
        <v>0</v>
      </c>
      <c r="D346" s="14"/>
      <c r="E346" s="14"/>
      <c r="F346" s="38"/>
      <c r="G346" s="38"/>
    </row>
    <row r="347" spans="1:7" ht="15.75" thickBot="1">
      <c r="A347" s="3"/>
      <c r="B347" s="233"/>
      <c r="C347" s="30">
        <f t="shared" si="7"/>
        <v>0</v>
      </c>
      <c r="D347" s="14"/>
      <c r="E347" s="14"/>
      <c r="F347" s="38"/>
      <c r="G347" s="38"/>
    </row>
    <row r="348" spans="1:7" ht="15.75" thickBot="1">
      <c r="A348" s="3"/>
      <c r="B348" s="233"/>
      <c r="C348" s="30">
        <f t="shared" si="7"/>
        <v>0</v>
      </c>
      <c r="D348" s="14"/>
      <c r="E348" s="14"/>
      <c r="F348" s="38"/>
      <c r="G348" s="38"/>
    </row>
    <row r="349" spans="1:7" ht="15.75" thickBot="1">
      <c r="A349" s="3"/>
      <c r="B349" s="233"/>
      <c r="C349" s="30">
        <f t="shared" si="7"/>
        <v>0</v>
      </c>
      <c r="D349" s="14"/>
      <c r="E349" s="14"/>
      <c r="F349" s="38"/>
      <c r="G349" s="38"/>
    </row>
    <row r="350" spans="1:7" ht="15.75" thickBot="1">
      <c r="A350" s="3"/>
      <c r="B350" s="233"/>
      <c r="C350" s="30">
        <f t="shared" si="7"/>
        <v>0</v>
      </c>
      <c r="D350" s="14"/>
      <c r="E350" s="14"/>
      <c r="F350" s="38"/>
      <c r="G350" s="38"/>
    </row>
    <row r="351" spans="1:7" ht="15.75" thickBot="1">
      <c r="A351" s="3"/>
      <c r="B351" s="233"/>
      <c r="C351" s="30">
        <f t="shared" si="7"/>
        <v>0</v>
      </c>
      <c r="D351" s="14"/>
      <c r="E351" s="14"/>
      <c r="F351" s="38"/>
      <c r="G351" s="38"/>
    </row>
    <row r="352" spans="1:7" ht="15.75" thickBot="1">
      <c r="A352" s="3"/>
      <c r="B352" s="233"/>
      <c r="C352" s="30">
        <f t="shared" si="7"/>
        <v>0</v>
      </c>
      <c r="D352" s="14"/>
      <c r="E352" s="14"/>
      <c r="F352" s="38"/>
      <c r="G352" s="38"/>
    </row>
    <row r="353" spans="1:7" ht="15.75" thickBot="1">
      <c r="A353" s="3"/>
      <c r="B353" s="233"/>
      <c r="C353" s="30">
        <f t="shared" si="7"/>
        <v>0</v>
      </c>
      <c r="D353" s="14"/>
      <c r="E353" s="14"/>
      <c r="F353" s="38"/>
      <c r="G353" s="38"/>
    </row>
    <row r="354" spans="1:7" ht="15.75" thickBot="1">
      <c r="A354" s="3"/>
      <c r="B354" s="233"/>
      <c r="C354" s="30">
        <f t="shared" si="7"/>
        <v>0</v>
      </c>
      <c r="D354" s="14"/>
      <c r="E354" s="14"/>
      <c r="F354" s="38"/>
      <c r="G354" s="38"/>
    </row>
    <row r="355" spans="1:7" ht="15.75" thickBot="1">
      <c r="A355" s="3"/>
      <c r="B355" s="233"/>
      <c r="C355" s="30">
        <f t="shared" si="7"/>
        <v>0</v>
      </c>
      <c r="D355" s="14"/>
      <c r="E355" s="14"/>
      <c r="F355" s="38"/>
      <c r="G355" s="38"/>
    </row>
    <row r="356" spans="1:7" ht="15.75" thickBot="1">
      <c r="A356" s="3"/>
      <c r="B356" s="233"/>
      <c r="C356" s="30">
        <f t="shared" si="7"/>
        <v>0</v>
      </c>
      <c r="D356" s="14"/>
      <c r="E356" s="14"/>
      <c r="F356" s="38"/>
      <c r="G356" s="38"/>
    </row>
    <row r="357" spans="1:7" ht="15.75" thickBot="1">
      <c r="A357" s="3"/>
      <c r="B357" s="233"/>
      <c r="C357" s="30">
        <f t="shared" si="7"/>
        <v>0</v>
      </c>
      <c r="D357" s="14"/>
      <c r="E357" s="14"/>
      <c r="F357" s="38"/>
      <c r="G357" s="38"/>
    </row>
    <row r="358" spans="1:7" ht="15.75" thickBot="1">
      <c r="A358" s="3"/>
      <c r="B358" s="233"/>
      <c r="C358" s="30">
        <f t="shared" si="7"/>
        <v>0</v>
      </c>
      <c r="D358" s="14"/>
      <c r="E358" s="14"/>
      <c r="F358" s="38"/>
      <c r="G358" s="38"/>
    </row>
    <row r="359" spans="1:7" ht="15.75" thickBot="1">
      <c r="A359" s="3"/>
      <c r="B359" s="233"/>
      <c r="C359" s="30">
        <f t="shared" si="7"/>
        <v>0</v>
      </c>
      <c r="D359" s="14"/>
      <c r="E359" s="14"/>
      <c r="F359" s="38"/>
      <c r="G359" s="38"/>
    </row>
    <row r="360" spans="1:7" ht="15.75" thickBot="1">
      <c r="A360" s="3"/>
      <c r="B360" s="233"/>
      <c r="C360" s="30">
        <f t="shared" si="7"/>
        <v>0</v>
      </c>
      <c r="D360" s="14"/>
      <c r="E360" s="14"/>
      <c r="F360" s="38"/>
      <c r="G360" s="38"/>
    </row>
    <row r="361" spans="1:7" ht="15.75" thickBot="1">
      <c r="A361" s="3"/>
      <c r="B361" s="233"/>
      <c r="C361" s="30">
        <f t="shared" si="7"/>
        <v>0</v>
      </c>
      <c r="D361" s="14"/>
      <c r="E361" s="14"/>
      <c r="F361" s="38"/>
      <c r="G361" s="38"/>
    </row>
    <row r="362" spans="1:7" ht="15.75" thickBot="1">
      <c r="A362" s="3"/>
      <c r="B362" s="233"/>
      <c r="C362" s="30">
        <f t="shared" si="7"/>
        <v>0</v>
      </c>
      <c r="D362" s="14"/>
      <c r="E362" s="14"/>
      <c r="F362" s="38"/>
      <c r="G362" s="38"/>
    </row>
    <row r="363" spans="1:7" ht="15.75" thickBot="1">
      <c r="A363" s="3"/>
      <c r="B363" s="233"/>
      <c r="C363" s="30">
        <f t="shared" si="7"/>
        <v>0</v>
      </c>
      <c r="D363" s="14"/>
      <c r="E363" s="14"/>
      <c r="F363" s="38"/>
      <c r="G363" s="38"/>
    </row>
    <row r="364" spans="1:7" ht="15.75" thickBot="1">
      <c r="A364" s="3"/>
      <c r="B364" s="233"/>
      <c r="C364" s="30">
        <f t="shared" si="7"/>
        <v>0</v>
      </c>
      <c r="D364" s="14"/>
      <c r="E364" s="14"/>
      <c r="F364" s="38"/>
      <c r="G364" s="38"/>
    </row>
    <row r="365" spans="1:7" ht="15.75" thickBot="1">
      <c r="A365" s="3"/>
      <c r="B365" s="233"/>
      <c r="C365" s="30">
        <f t="shared" si="7"/>
        <v>0</v>
      </c>
      <c r="D365" s="14"/>
      <c r="E365" s="14"/>
      <c r="F365" s="38"/>
      <c r="G365" s="38"/>
    </row>
    <row r="366" spans="1:7" ht="15.75" thickBot="1">
      <c r="A366" s="3"/>
      <c r="B366" s="233"/>
      <c r="C366" s="30">
        <f t="shared" si="7"/>
        <v>0</v>
      </c>
      <c r="D366" s="14"/>
      <c r="E366" s="14"/>
      <c r="F366" s="38"/>
      <c r="G366" s="38"/>
    </row>
    <row r="367" spans="1:7" ht="15.75" thickBot="1">
      <c r="A367" s="3"/>
      <c r="B367" s="233"/>
      <c r="C367" s="30">
        <f t="shared" si="7"/>
        <v>0</v>
      </c>
      <c r="D367" s="14"/>
      <c r="E367" s="14"/>
      <c r="F367" s="38"/>
      <c r="G367" s="38"/>
    </row>
    <row r="368" spans="1:7" ht="15.75" thickBot="1">
      <c r="A368" s="3"/>
      <c r="B368" s="233"/>
      <c r="C368" s="30">
        <f t="shared" si="7"/>
        <v>0</v>
      </c>
      <c r="D368" s="14"/>
      <c r="E368" s="14"/>
      <c r="F368" s="38"/>
      <c r="G368" s="38"/>
    </row>
    <row r="369" spans="1:7" ht="15.75" thickBot="1">
      <c r="A369" s="3"/>
      <c r="B369" s="233"/>
      <c r="C369" s="30">
        <f t="shared" si="7"/>
        <v>0</v>
      </c>
      <c r="D369" s="14"/>
      <c r="E369" s="14"/>
      <c r="F369" s="38"/>
      <c r="G369" s="38"/>
    </row>
    <row r="370" spans="1:7" ht="15.75" thickBot="1">
      <c r="A370" s="3"/>
      <c r="B370" s="233"/>
      <c r="C370" s="30">
        <f t="shared" si="7"/>
        <v>0</v>
      </c>
      <c r="D370" s="14"/>
      <c r="E370" s="14"/>
      <c r="F370" s="38"/>
      <c r="G370" s="38"/>
    </row>
    <row r="371" spans="1:7" ht="15.75" thickBot="1">
      <c r="A371" s="3"/>
      <c r="B371" s="233"/>
      <c r="C371" s="30">
        <f t="shared" si="7"/>
        <v>0</v>
      </c>
      <c r="D371" s="14"/>
      <c r="E371" s="14"/>
      <c r="F371" s="38"/>
      <c r="G371" s="38"/>
    </row>
    <row r="372" spans="1:7" ht="15.75" thickBot="1">
      <c r="A372" s="3"/>
      <c r="B372" s="233"/>
      <c r="C372" s="30">
        <f t="shared" si="7"/>
        <v>0</v>
      </c>
      <c r="D372" s="14"/>
      <c r="E372" s="14"/>
      <c r="F372" s="38"/>
      <c r="G372" s="38"/>
    </row>
    <row r="373" spans="1:7" ht="15.75" thickBot="1">
      <c r="A373" s="3"/>
      <c r="B373" s="233"/>
      <c r="C373" s="30">
        <f t="shared" si="7"/>
        <v>0</v>
      </c>
      <c r="D373" s="14"/>
      <c r="E373" s="14"/>
      <c r="F373" s="38"/>
      <c r="G373" s="38"/>
    </row>
    <row r="374" spans="1:7" ht="15.75" thickBot="1">
      <c r="A374" s="3"/>
      <c r="B374" s="233"/>
      <c r="C374" s="30">
        <f t="shared" si="7"/>
        <v>0</v>
      </c>
      <c r="D374" s="14"/>
      <c r="E374" s="14"/>
      <c r="F374" s="38"/>
      <c r="G374" s="38"/>
    </row>
    <row r="375" spans="1:7" ht="15.75" thickBot="1">
      <c r="A375" s="3"/>
      <c r="B375" s="233"/>
      <c r="C375" s="30">
        <f t="shared" si="7"/>
        <v>0</v>
      </c>
      <c r="D375" s="14"/>
      <c r="E375" s="14"/>
      <c r="F375" s="38"/>
      <c r="G375" s="38"/>
    </row>
    <row r="376" spans="1:7" ht="15.75" thickBot="1">
      <c r="A376" s="3"/>
      <c r="B376" s="233"/>
      <c r="C376" s="30">
        <f t="shared" si="7"/>
        <v>0</v>
      </c>
      <c r="D376" s="14"/>
      <c r="E376" s="14"/>
      <c r="F376" s="38"/>
      <c r="G376" s="38"/>
    </row>
    <row r="377" spans="1:7" ht="15.75" thickBot="1">
      <c r="A377" s="3"/>
      <c r="B377" s="233"/>
      <c r="C377" s="30">
        <f t="shared" si="7"/>
        <v>0</v>
      </c>
      <c r="D377" s="14"/>
      <c r="E377" s="14"/>
      <c r="F377" s="38"/>
      <c r="G377" s="38"/>
    </row>
    <row r="378" spans="1:7" ht="15.75" thickBot="1">
      <c r="A378" s="3"/>
      <c r="B378" s="233"/>
      <c r="C378" s="30">
        <f t="shared" si="7"/>
        <v>0</v>
      </c>
      <c r="D378" s="14"/>
      <c r="E378" s="14"/>
      <c r="F378" s="38"/>
      <c r="G378" s="38"/>
    </row>
    <row r="379" spans="1:7" ht="15.75" thickBot="1">
      <c r="A379" s="3"/>
      <c r="B379" s="233"/>
      <c r="C379" s="30">
        <f t="shared" si="7"/>
        <v>0</v>
      </c>
      <c r="D379" s="14"/>
      <c r="E379" s="14"/>
      <c r="F379" s="38"/>
      <c r="G379" s="38"/>
    </row>
    <row r="380" spans="1:7" ht="15.75" thickBot="1">
      <c r="A380" s="3"/>
      <c r="B380" s="233"/>
      <c r="C380" s="30">
        <f t="shared" si="7"/>
        <v>0</v>
      </c>
      <c r="D380" s="14"/>
      <c r="E380" s="14"/>
      <c r="F380" s="38"/>
      <c r="G380" s="38"/>
    </row>
    <row r="381" spans="1:7" ht="15.75" thickBot="1">
      <c r="A381" s="3"/>
      <c r="B381" s="233"/>
      <c r="C381" s="30">
        <f t="shared" si="7"/>
        <v>0</v>
      </c>
      <c r="D381" s="14"/>
      <c r="E381" s="14"/>
      <c r="F381" s="38"/>
      <c r="G381" s="38"/>
    </row>
    <row r="382" spans="1:7" ht="15.75" thickBot="1">
      <c r="A382" s="3"/>
      <c r="B382" s="233"/>
      <c r="C382" s="30">
        <f t="shared" si="7"/>
        <v>0</v>
      </c>
      <c r="D382" s="14"/>
      <c r="E382" s="14"/>
      <c r="F382" s="38"/>
      <c r="G382" s="38"/>
    </row>
    <row r="383" spans="1:7" ht="15.75" thickBot="1">
      <c r="A383" s="3"/>
      <c r="B383" s="233"/>
      <c r="C383" s="30">
        <f t="shared" si="7"/>
        <v>0</v>
      </c>
      <c r="D383" s="14"/>
      <c r="E383" s="14"/>
      <c r="F383" s="38"/>
      <c r="G383" s="38"/>
    </row>
    <row r="384" spans="1:7" ht="15.75" thickBot="1">
      <c r="A384" s="3"/>
      <c r="B384" s="233"/>
      <c r="C384" s="30">
        <f t="shared" si="7"/>
        <v>0</v>
      </c>
      <c r="D384" s="14"/>
      <c r="E384" s="14"/>
      <c r="F384" s="38"/>
      <c r="G384" s="38"/>
    </row>
    <row r="385" spans="1:7" ht="15.75" thickBot="1">
      <c r="A385" s="3"/>
      <c r="B385" s="228"/>
      <c r="C385" s="30">
        <f t="shared" si="7"/>
        <v>0</v>
      </c>
      <c r="D385" s="14"/>
      <c r="E385" s="14"/>
      <c r="F385" s="38"/>
      <c r="G385" s="38"/>
    </row>
    <row r="386" spans="1:7" ht="15.75" thickBot="1">
      <c r="A386" s="3"/>
      <c r="B386" s="3"/>
      <c r="C386" s="30">
        <f>B385</f>
        <v>0</v>
      </c>
      <c r="D386" s="22"/>
      <c r="E386" s="1"/>
      <c r="F386" s="37"/>
      <c r="G386" s="39"/>
    </row>
    <row r="387" spans="1:7" ht="15.75" thickBot="1">
      <c r="A387" s="3"/>
      <c r="B387" s="3"/>
      <c r="C387" s="30">
        <f t="shared" si="7"/>
        <v>0</v>
      </c>
      <c r="D387" s="4"/>
      <c r="E387" s="15"/>
      <c r="F387" s="26"/>
      <c r="G387" s="26"/>
    </row>
    <row r="388" spans="1:7" ht="15.75" thickBot="1">
      <c r="A388" s="5"/>
      <c r="B388" s="3"/>
      <c r="D388" s="4"/>
      <c r="E388" s="12"/>
      <c r="F388" s="45"/>
      <c r="G388" s="46"/>
    </row>
    <row r="389" spans="1:7" ht="15.75" thickBot="1">
      <c r="A389" s="5"/>
      <c r="B389" s="4"/>
      <c r="D389" s="1"/>
      <c r="E389" s="1"/>
      <c r="F389" s="37"/>
      <c r="G389" s="37"/>
    </row>
    <row r="390" spans="1:7" ht="15.75" thickBot="1">
      <c r="A390" s="6"/>
      <c r="B390" s="4"/>
      <c r="D390" s="1"/>
      <c r="E390" s="1"/>
      <c r="F390" s="37"/>
      <c r="G390" s="37"/>
    </row>
    <row r="393" spans="1:7">
      <c r="A393" s="16" t="s">
        <v>64</v>
      </c>
      <c r="B393" s="17" t="e">
        <f>AVERAGE(B341:B380)</f>
        <v>#DIV/0!</v>
      </c>
    </row>
    <row r="394" spans="1:7">
      <c r="A394" s="16" t="s">
        <v>65</v>
      </c>
      <c r="B394" s="18" t="e">
        <f>AVERAGE(B346:B375)</f>
        <v>#DIV/0!</v>
      </c>
    </row>
    <row r="395" spans="1:7">
      <c r="A395" s="16" t="s">
        <v>66</v>
      </c>
      <c r="B395" s="18" t="e">
        <f>AVERAGE(B352:B370)</f>
        <v>#DIV/0!</v>
      </c>
    </row>
    <row r="402" spans="3:3">
      <c r="C402">
        <v>0</v>
      </c>
    </row>
    <row r="403" spans="3:3">
      <c r="C403" s="30">
        <f>B402</f>
        <v>0</v>
      </c>
    </row>
    <row r="404" spans="3:3">
      <c r="C404" s="30">
        <f t="shared" ref="C404:C452" si="8">B403</f>
        <v>0</v>
      </c>
    </row>
    <row r="405" spans="3:3">
      <c r="C405" s="30">
        <f t="shared" si="8"/>
        <v>0</v>
      </c>
    </row>
    <row r="406" spans="3:3">
      <c r="C406" s="30">
        <f t="shared" si="8"/>
        <v>0</v>
      </c>
    </row>
    <row r="407" spans="3:3">
      <c r="C407" s="30">
        <f t="shared" si="8"/>
        <v>0</v>
      </c>
    </row>
    <row r="408" spans="3:3">
      <c r="C408" s="30">
        <f t="shared" si="8"/>
        <v>0</v>
      </c>
    </row>
    <row r="409" spans="3:3">
      <c r="C409" s="30">
        <f t="shared" si="8"/>
        <v>0</v>
      </c>
    </row>
    <row r="410" spans="3:3">
      <c r="C410" s="30">
        <f t="shared" si="8"/>
        <v>0</v>
      </c>
    </row>
    <row r="411" spans="3:3">
      <c r="C411" s="30">
        <f t="shared" si="8"/>
        <v>0</v>
      </c>
    </row>
    <row r="412" spans="3:3">
      <c r="C412" s="30">
        <f t="shared" si="8"/>
        <v>0</v>
      </c>
    </row>
    <row r="413" spans="3:3">
      <c r="C413" s="30">
        <f t="shared" si="8"/>
        <v>0</v>
      </c>
    </row>
    <row r="414" spans="3:3">
      <c r="C414" s="30">
        <f t="shared" si="8"/>
        <v>0</v>
      </c>
    </row>
    <row r="415" spans="3:3">
      <c r="C415" s="30">
        <f t="shared" si="8"/>
        <v>0</v>
      </c>
    </row>
    <row r="416" spans="3:3">
      <c r="C416" s="30">
        <f t="shared" si="8"/>
        <v>0</v>
      </c>
    </row>
    <row r="417" spans="3:3">
      <c r="C417" s="30">
        <f t="shared" si="8"/>
        <v>0</v>
      </c>
    </row>
    <row r="418" spans="3:3">
      <c r="C418" s="30">
        <f t="shared" si="8"/>
        <v>0</v>
      </c>
    </row>
    <row r="419" spans="3:3">
      <c r="C419" s="30">
        <f t="shared" si="8"/>
        <v>0</v>
      </c>
    </row>
    <row r="420" spans="3:3">
      <c r="C420" s="30">
        <f t="shared" si="8"/>
        <v>0</v>
      </c>
    </row>
    <row r="421" spans="3:3">
      <c r="C421" s="30">
        <f t="shared" si="8"/>
        <v>0</v>
      </c>
    </row>
    <row r="422" spans="3:3">
      <c r="C422" s="30">
        <f t="shared" si="8"/>
        <v>0</v>
      </c>
    </row>
    <row r="423" spans="3:3">
      <c r="C423" s="30">
        <f t="shared" si="8"/>
        <v>0</v>
      </c>
    </row>
    <row r="424" spans="3:3">
      <c r="C424" s="30">
        <f t="shared" si="8"/>
        <v>0</v>
      </c>
    </row>
    <row r="425" spans="3:3">
      <c r="C425" s="30">
        <f t="shared" si="8"/>
        <v>0</v>
      </c>
    </row>
    <row r="426" spans="3:3">
      <c r="C426" s="30">
        <f t="shared" si="8"/>
        <v>0</v>
      </c>
    </row>
    <row r="427" spans="3:3">
      <c r="C427" s="30">
        <f t="shared" si="8"/>
        <v>0</v>
      </c>
    </row>
    <row r="428" spans="3:3">
      <c r="C428" s="30">
        <f t="shared" si="8"/>
        <v>0</v>
      </c>
    </row>
    <row r="429" spans="3:3">
      <c r="C429" s="30">
        <f t="shared" si="8"/>
        <v>0</v>
      </c>
    </row>
    <row r="430" spans="3:3">
      <c r="C430" s="30">
        <f t="shared" si="8"/>
        <v>0</v>
      </c>
    </row>
    <row r="431" spans="3:3">
      <c r="C431" s="30">
        <f t="shared" si="8"/>
        <v>0</v>
      </c>
    </row>
    <row r="432" spans="3:3">
      <c r="C432" s="30">
        <f t="shared" si="8"/>
        <v>0</v>
      </c>
    </row>
    <row r="433" spans="3:3">
      <c r="C433" s="30">
        <f t="shared" si="8"/>
        <v>0</v>
      </c>
    </row>
    <row r="434" spans="3:3">
      <c r="C434" s="30">
        <f t="shared" si="8"/>
        <v>0</v>
      </c>
    </row>
    <row r="435" spans="3:3">
      <c r="C435" s="30">
        <f t="shared" si="8"/>
        <v>0</v>
      </c>
    </row>
    <row r="436" spans="3:3">
      <c r="C436" s="30">
        <f t="shared" si="8"/>
        <v>0</v>
      </c>
    </row>
    <row r="437" spans="3:3">
      <c r="C437" s="30">
        <f t="shared" si="8"/>
        <v>0</v>
      </c>
    </row>
    <row r="438" spans="3:3">
      <c r="C438" s="30">
        <f t="shared" si="8"/>
        <v>0</v>
      </c>
    </row>
    <row r="439" spans="3:3">
      <c r="C439" s="30">
        <f t="shared" si="8"/>
        <v>0</v>
      </c>
    </row>
    <row r="440" spans="3:3">
      <c r="C440" s="30">
        <f t="shared" si="8"/>
        <v>0</v>
      </c>
    </row>
    <row r="441" spans="3:3">
      <c r="C441" s="30">
        <f t="shared" si="8"/>
        <v>0</v>
      </c>
    </row>
    <row r="442" spans="3:3">
      <c r="C442" s="30">
        <f t="shared" si="8"/>
        <v>0</v>
      </c>
    </row>
    <row r="443" spans="3:3">
      <c r="C443" s="30">
        <f t="shared" si="8"/>
        <v>0</v>
      </c>
    </row>
    <row r="444" spans="3:3">
      <c r="C444" s="30">
        <f t="shared" si="8"/>
        <v>0</v>
      </c>
    </row>
    <row r="445" spans="3:3">
      <c r="C445" s="30">
        <f t="shared" si="8"/>
        <v>0</v>
      </c>
    </row>
    <row r="446" spans="3:3">
      <c r="C446" s="30">
        <f t="shared" si="8"/>
        <v>0</v>
      </c>
    </row>
    <row r="447" spans="3:3">
      <c r="C447" s="30">
        <f t="shared" si="8"/>
        <v>0</v>
      </c>
    </row>
    <row r="448" spans="3:3">
      <c r="C448" s="30">
        <f t="shared" si="8"/>
        <v>0</v>
      </c>
    </row>
    <row r="449" spans="3:3">
      <c r="C449" s="30">
        <f t="shared" si="8"/>
        <v>0</v>
      </c>
    </row>
    <row r="450" spans="3:3">
      <c r="C450" s="30">
        <f t="shared" si="8"/>
        <v>0</v>
      </c>
    </row>
    <row r="451" spans="3:3">
      <c r="C451" s="30">
        <f>B450</f>
        <v>0</v>
      </c>
    </row>
    <row r="452" spans="3:3">
      <c r="C452" s="30">
        <f t="shared" si="8"/>
        <v>0</v>
      </c>
    </row>
  </sheetData>
  <mergeCells count="12">
    <mergeCell ref="A200:A202"/>
    <mergeCell ref="B200:D200"/>
    <mergeCell ref="A265:A267"/>
    <mergeCell ref="B265:D265"/>
    <mergeCell ref="A332:A334"/>
    <mergeCell ref="B332:D332"/>
    <mergeCell ref="A2:A4"/>
    <mergeCell ref="B2:D2"/>
    <mergeCell ref="A69:A71"/>
    <mergeCell ref="B69:D69"/>
    <mergeCell ref="A134:A136"/>
    <mergeCell ref="B134:D134"/>
  </mergeCells>
  <pageMargins left="0.7" right="0.7" top="0.75" bottom="0.75" header="0.3" footer="0.3"/>
  <pageSetup paperSize="9" orientation="portrait" horizontalDpi="4294967295" verticalDpi="4294967295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Лист7">
    <tabColor rgb="FF92D050"/>
  </sheetPr>
  <dimension ref="A1:G464"/>
  <sheetViews>
    <sheetView topLeftCell="A214" zoomScale="80" zoomScaleNormal="80" workbookViewId="0">
      <selection activeCell="E80" sqref="E80:H81"/>
    </sheetView>
  </sheetViews>
  <sheetFormatPr defaultColWidth="8.7109375" defaultRowHeight="15"/>
  <cols>
    <col min="3" max="3" width="9.140625"/>
    <col min="5" max="5" width="9.42578125" bestFit="1" customWidth="1"/>
    <col min="6" max="6" width="8.7109375" style="36" customWidth="1"/>
    <col min="7" max="7" width="9.42578125" style="36" bestFit="1" customWidth="1"/>
  </cols>
  <sheetData>
    <row r="1" spans="1:7">
      <c r="D1" s="13">
        <v>0.1</v>
      </c>
      <c r="E1" s="13">
        <v>0.4</v>
      </c>
    </row>
    <row r="2" spans="1:7" ht="23.25" customHeight="1">
      <c r="A2" s="473" t="s">
        <v>0</v>
      </c>
      <c r="B2" s="529" t="s">
        <v>1</v>
      </c>
      <c r="C2" s="529"/>
      <c r="D2" s="529"/>
      <c r="E2" s="40">
        <f>(1-E57)^(1/3)-1</f>
        <v>-2.8875977838766831E-2</v>
      </c>
      <c r="F2" s="40">
        <f>(1-F57)^(1/3)-1</f>
        <v>-3.1224837862889654E-2</v>
      </c>
      <c r="G2" s="40"/>
    </row>
    <row r="3" spans="1:7" ht="72.75" thickBot="1">
      <c r="A3" s="473"/>
      <c r="B3" s="11" t="s">
        <v>4</v>
      </c>
      <c r="C3" s="1"/>
      <c r="D3" s="11" t="s">
        <v>80</v>
      </c>
      <c r="E3" s="11" t="s">
        <v>5</v>
      </c>
      <c r="F3" s="39" t="s">
        <v>5</v>
      </c>
      <c r="G3" s="39"/>
    </row>
    <row r="4" spans="1:7" ht="16.5" customHeight="1" thickBot="1">
      <c r="A4" s="473"/>
      <c r="B4" s="11" t="s">
        <v>6</v>
      </c>
      <c r="C4" s="1"/>
      <c r="D4" s="11" t="s">
        <v>7</v>
      </c>
      <c r="E4" s="11" t="s">
        <v>7</v>
      </c>
      <c r="F4" s="39" t="s">
        <v>7</v>
      </c>
      <c r="G4" s="39"/>
    </row>
    <row r="5" spans="1:7">
      <c r="A5" s="171">
        <v>1</v>
      </c>
      <c r="B5" s="172">
        <v>2</v>
      </c>
      <c r="C5" s="51"/>
      <c r="D5" s="172">
        <v>3</v>
      </c>
      <c r="E5" s="172">
        <v>4</v>
      </c>
      <c r="F5" s="173">
        <v>5</v>
      </c>
      <c r="G5" s="173"/>
    </row>
    <row r="6" spans="1:7">
      <c r="A6" s="27" t="s">
        <v>10</v>
      </c>
      <c r="B6" s="28">
        <v>0.1</v>
      </c>
      <c r="C6" s="30">
        <v>0</v>
      </c>
      <c r="D6" s="14">
        <v>0</v>
      </c>
      <c r="E6" s="14">
        <v>0</v>
      </c>
      <c r="F6" s="38">
        <v>0</v>
      </c>
      <c r="G6" s="38">
        <v>0</v>
      </c>
    </row>
    <row r="7" spans="1:7">
      <c r="A7" s="27" t="s">
        <v>58</v>
      </c>
      <c r="B7" s="30">
        <v>0.7</v>
      </c>
      <c r="C7" s="30">
        <f>B6</f>
        <v>0.1</v>
      </c>
      <c r="D7" s="14">
        <v>0</v>
      </c>
      <c r="E7" s="14">
        <v>0</v>
      </c>
      <c r="F7" s="38">
        <v>0</v>
      </c>
      <c r="G7" s="38">
        <v>0</v>
      </c>
    </row>
    <row r="8" spans="1:7">
      <c r="A8" s="27" t="s">
        <v>59</v>
      </c>
      <c r="B8" s="28">
        <v>3.2</v>
      </c>
      <c r="C8" s="30">
        <f t="shared" ref="C8:C56" si="0">B7</f>
        <v>0.7</v>
      </c>
      <c r="D8" s="14">
        <v>0</v>
      </c>
      <c r="E8" s="14">
        <v>0</v>
      </c>
      <c r="F8" s="38">
        <v>0</v>
      </c>
      <c r="G8" s="38">
        <v>0</v>
      </c>
    </row>
    <row r="9" spans="1:7">
      <c r="A9" s="27" t="s">
        <v>60</v>
      </c>
      <c r="B9" s="28">
        <v>5.3</v>
      </c>
      <c r="C9" s="30">
        <f t="shared" si="0"/>
        <v>3.2</v>
      </c>
      <c r="D9" s="14">
        <v>0</v>
      </c>
      <c r="E9" s="14">
        <v>0</v>
      </c>
      <c r="F9" s="38">
        <v>0</v>
      </c>
      <c r="G9" s="38">
        <v>0</v>
      </c>
    </row>
    <row r="10" spans="1:7">
      <c r="A10" s="27" t="s">
        <v>61</v>
      </c>
      <c r="B10" s="28">
        <v>8.8000000000000007</v>
      </c>
      <c r="C10" s="30">
        <f t="shared" si="0"/>
        <v>5.3</v>
      </c>
      <c r="D10" s="14">
        <v>0</v>
      </c>
      <c r="E10" s="14">
        <v>0</v>
      </c>
      <c r="F10" s="38">
        <v>0</v>
      </c>
      <c r="G10" s="38">
        <v>0</v>
      </c>
    </row>
    <row r="11" spans="1:7">
      <c r="A11" s="27" t="s">
        <v>62</v>
      </c>
      <c r="B11" s="30">
        <v>11.4</v>
      </c>
      <c r="C11" s="30">
        <f t="shared" si="0"/>
        <v>8.8000000000000007</v>
      </c>
      <c r="D11" s="14">
        <v>0</v>
      </c>
      <c r="E11" s="14">
        <v>0</v>
      </c>
      <c r="F11" s="38">
        <v>0</v>
      </c>
      <c r="G11" s="38">
        <v>0</v>
      </c>
    </row>
    <row r="12" spans="1:7">
      <c r="A12" s="27" t="s">
        <v>63</v>
      </c>
      <c r="B12" s="28">
        <v>12.8</v>
      </c>
      <c r="C12" s="30">
        <f t="shared" si="0"/>
        <v>11.4</v>
      </c>
      <c r="D12" s="14">
        <v>0</v>
      </c>
      <c r="E12" s="14">
        <v>0</v>
      </c>
      <c r="F12" s="38">
        <v>0</v>
      </c>
      <c r="G12" s="38">
        <v>6.2500000000000056E-3</v>
      </c>
    </row>
    <row r="13" spans="1:7">
      <c r="A13" s="29" t="s">
        <v>11</v>
      </c>
      <c r="B13" s="28">
        <v>14.8</v>
      </c>
      <c r="C13" s="30">
        <f t="shared" si="0"/>
        <v>12.8</v>
      </c>
      <c r="D13" s="14">
        <v>0</v>
      </c>
      <c r="E13" s="14">
        <v>0</v>
      </c>
      <c r="F13" s="38">
        <v>0</v>
      </c>
      <c r="G13" s="38">
        <v>1.8918918918918923E-2</v>
      </c>
    </row>
    <row r="14" spans="1:7">
      <c r="A14" s="29" t="s">
        <v>12</v>
      </c>
      <c r="B14" s="30">
        <v>18.2</v>
      </c>
      <c r="C14" s="30">
        <f t="shared" si="0"/>
        <v>14.8</v>
      </c>
      <c r="D14" s="14">
        <v>0</v>
      </c>
      <c r="E14" s="14">
        <v>0</v>
      </c>
      <c r="F14" s="38">
        <v>0</v>
      </c>
      <c r="G14" s="38">
        <v>3.406593406593407E-2</v>
      </c>
    </row>
    <row r="15" spans="1:7">
      <c r="A15" s="29" t="s">
        <v>13</v>
      </c>
      <c r="B15" s="28">
        <v>19.3</v>
      </c>
      <c r="C15" s="30">
        <f t="shared" si="0"/>
        <v>18.2</v>
      </c>
      <c r="D15" s="14">
        <v>0</v>
      </c>
      <c r="E15" s="14">
        <v>0</v>
      </c>
      <c r="F15" s="38">
        <v>0</v>
      </c>
      <c r="G15" s="38">
        <v>3.7823834196891198E-2</v>
      </c>
    </row>
    <row r="16" spans="1:7">
      <c r="A16" s="29" t="s">
        <v>14</v>
      </c>
      <c r="B16" s="28">
        <v>20.5</v>
      </c>
      <c r="C16" s="30">
        <f t="shared" si="0"/>
        <v>19.3</v>
      </c>
      <c r="D16" s="14">
        <v>0</v>
      </c>
      <c r="E16" s="14">
        <v>0</v>
      </c>
      <c r="F16" s="38">
        <v>0</v>
      </c>
      <c r="G16" s="38">
        <v>4.878048780487805E-2</v>
      </c>
    </row>
    <row r="17" spans="1:7">
      <c r="A17" s="29" t="s">
        <v>15</v>
      </c>
      <c r="B17" s="28">
        <v>21.6</v>
      </c>
      <c r="C17" s="30">
        <f t="shared" si="0"/>
        <v>20.5</v>
      </c>
      <c r="D17" s="14">
        <v>0</v>
      </c>
      <c r="E17" s="14">
        <v>0</v>
      </c>
      <c r="F17" s="38">
        <v>0</v>
      </c>
      <c r="G17" s="38">
        <v>6.6666666666666693E-2</v>
      </c>
    </row>
    <row r="18" spans="1:7">
      <c r="A18" s="29" t="s">
        <v>16</v>
      </c>
      <c r="B18" s="28">
        <v>23.2</v>
      </c>
      <c r="C18" s="30">
        <f t="shared" si="0"/>
        <v>21.6</v>
      </c>
      <c r="D18" s="14">
        <v>0</v>
      </c>
      <c r="E18" s="14">
        <v>0</v>
      </c>
      <c r="F18" s="38">
        <v>0</v>
      </c>
      <c r="G18" s="38">
        <v>8.9655172413793116E-2</v>
      </c>
    </row>
    <row r="19" spans="1:7">
      <c r="A19" s="29" t="s">
        <v>17</v>
      </c>
      <c r="B19" s="28">
        <v>23.9</v>
      </c>
      <c r="C19" s="30">
        <f t="shared" si="0"/>
        <v>23.2</v>
      </c>
      <c r="D19" s="14">
        <v>0</v>
      </c>
      <c r="E19" s="14">
        <v>0</v>
      </c>
      <c r="F19" s="38">
        <v>0</v>
      </c>
      <c r="G19" s="38">
        <v>9.8744769874476973E-2</v>
      </c>
    </row>
    <row r="20" spans="1:7">
      <c r="A20" s="29" t="s">
        <v>18</v>
      </c>
      <c r="B20" s="30">
        <v>24.7</v>
      </c>
      <c r="C20" s="30">
        <f t="shared" si="0"/>
        <v>23.9</v>
      </c>
      <c r="D20" s="14">
        <v>0</v>
      </c>
      <c r="E20" s="14">
        <v>0</v>
      </c>
      <c r="F20" s="38">
        <v>0</v>
      </c>
      <c r="G20" s="38">
        <v>0.10850202429149797</v>
      </c>
    </row>
    <row r="21" spans="1:7">
      <c r="A21" s="29" t="s">
        <v>19</v>
      </c>
      <c r="B21" s="28">
        <v>25.6</v>
      </c>
      <c r="C21" s="30">
        <f t="shared" si="0"/>
        <v>24.7</v>
      </c>
      <c r="D21" s="14">
        <v>0</v>
      </c>
      <c r="E21" s="14">
        <v>0</v>
      </c>
      <c r="F21" s="38">
        <v>3.101562499999988E-3</v>
      </c>
      <c r="G21" s="38">
        <v>0.11875000000000004</v>
      </c>
    </row>
    <row r="22" spans="1:7">
      <c r="A22" s="29" t="s">
        <v>20</v>
      </c>
      <c r="B22" s="28">
        <v>26.2</v>
      </c>
      <c r="C22" s="30">
        <f t="shared" si="0"/>
        <v>25.6</v>
      </c>
      <c r="D22" s="14">
        <v>0</v>
      </c>
      <c r="E22" s="14">
        <v>0</v>
      </c>
      <c r="F22" s="38">
        <v>5.3206106870228821E-3</v>
      </c>
      <c r="G22" s="38">
        <v>0.1251908396946565</v>
      </c>
    </row>
    <row r="23" spans="1:7">
      <c r="A23" s="29" t="s">
        <v>21</v>
      </c>
      <c r="B23" s="30">
        <v>27.3</v>
      </c>
      <c r="C23" s="30">
        <f t="shared" si="0"/>
        <v>26.2</v>
      </c>
      <c r="D23" s="14">
        <v>3.9230769230769416E-2</v>
      </c>
      <c r="E23" s="14"/>
      <c r="F23" s="38"/>
      <c r="G23" s="38"/>
    </row>
    <row r="24" spans="1:7">
      <c r="A24" s="29" t="s">
        <v>22</v>
      </c>
      <c r="B24" s="28">
        <v>28.3</v>
      </c>
      <c r="C24" s="30">
        <f t="shared" si="0"/>
        <v>27.3</v>
      </c>
      <c r="D24" s="14">
        <v>7.3180212014134452E-2</v>
      </c>
      <c r="E24" s="14"/>
      <c r="F24" s="38"/>
      <c r="G24" s="38"/>
    </row>
    <row r="25" spans="1:7">
      <c r="A25" s="29" t="s">
        <v>23</v>
      </c>
      <c r="B25" s="28">
        <v>29.3</v>
      </c>
      <c r="C25" s="30">
        <f t="shared" si="0"/>
        <v>28.3</v>
      </c>
      <c r="D25" s="14">
        <v>0.10481228668941997</v>
      </c>
      <c r="E25" s="14">
        <v>1.0481228668941998E-2</v>
      </c>
      <c r="F25" s="38">
        <v>1.5337883959044356E-2</v>
      </c>
      <c r="G25" s="38">
        <v>0.15426621160409557</v>
      </c>
    </row>
    <row r="26" spans="1:7">
      <c r="A26" s="29" t="s">
        <v>24</v>
      </c>
      <c r="B26" s="28">
        <v>30.9</v>
      </c>
      <c r="C26" s="30">
        <f t="shared" si="0"/>
        <v>29.3</v>
      </c>
      <c r="D26" s="14">
        <v>0.15116504854368942</v>
      </c>
      <c r="E26" s="14">
        <v>1.5116504854368943E-2</v>
      </c>
      <c r="F26" s="38">
        <v>1.9721682847896424E-2</v>
      </c>
      <c r="G26" s="38">
        <v>0.16699029126213591</v>
      </c>
    </row>
    <row r="27" spans="1:7">
      <c r="A27" s="29" t="s">
        <v>25</v>
      </c>
      <c r="B27" s="28">
        <v>31.8</v>
      </c>
      <c r="C27" s="30">
        <f t="shared" si="0"/>
        <v>30.9</v>
      </c>
      <c r="D27" s="14">
        <v>0.17518867924528317</v>
      </c>
      <c r="E27" s="14">
        <v>1.7518867924528315E-2</v>
      </c>
      <c r="F27" s="38">
        <v>2.1993710691823889E-2</v>
      </c>
      <c r="G27" s="38">
        <v>0.17358490566037738</v>
      </c>
    </row>
    <row r="28" spans="1:7">
      <c r="A28" s="29" t="s">
        <v>26</v>
      </c>
      <c r="B28" s="28">
        <v>32.700000000000003</v>
      </c>
      <c r="C28" s="30">
        <f t="shared" si="0"/>
        <v>31.8</v>
      </c>
      <c r="D28" s="14">
        <v>0.19788990825688094</v>
      </c>
      <c r="E28" s="14">
        <v>1.9788990825688097E-2</v>
      </c>
      <c r="F28" s="38">
        <v>2.4140672782874611E-2</v>
      </c>
      <c r="G28" s="38">
        <v>0.17981651376146793</v>
      </c>
    </row>
    <row r="29" spans="1:7">
      <c r="A29" s="29" t="s">
        <v>27</v>
      </c>
      <c r="B29" s="28">
        <v>34.6</v>
      </c>
      <c r="C29" s="30">
        <f t="shared" si="0"/>
        <v>32.700000000000003</v>
      </c>
      <c r="D29" s="14">
        <v>0.24193641618497125</v>
      </c>
      <c r="E29" s="14">
        <v>2.4193641618497127E-2</v>
      </c>
      <c r="F29" s="38">
        <v>2.8306358381502882E-2</v>
      </c>
      <c r="G29" s="38">
        <v>0.19190751445086707</v>
      </c>
    </row>
    <row r="30" spans="1:7">
      <c r="A30" s="29" t="s">
        <v>28</v>
      </c>
      <c r="B30" s="30">
        <v>36.799999999999997</v>
      </c>
      <c r="C30" s="30">
        <f t="shared" si="0"/>
        <v>34.6</v>
      </c>
      <c r="D30" s="14">
        <v>0.28725543478260873</v>
      </c>
      <c r="E30" s="14">
        <v>2.8725543478260875E-2</v>
      </c>
      <c r="F30" s="38">
        <v>3.2592391304347809E-2</v>
      </c>
      <c r="G30" s="38">
        <v>0.20434782608695651</v>
      </c>
    </row>
    <row r="31" spans="1:7">
      <c r="A31" s="29" t="s">
        <v>29</v>
      </c>
      <c r="B31" s="28">
        <v>38.5</v>
      </c>
      <c r="C31" s="30">
        <f t="shared" si="0"/>
        <v>36.799999999999997</v>
      </c>
      <c r="D31" s="14">
        <v>0.31872727272727286</v>
      </c>
      <c r="E31" s="14">
        <v>3.1872727272727289E-2</v>
      </c>
      <c r="F31" s="38">
        <v>3.556883116883116E-2</v>
      </c>
      <c r="G31" s="38">
        <v>0.212987012987013</v>
      </c>
    </row>
    <row r="32" spans="1:7">
      <c r="A32" s="29" t="s">
        <v>30</v>
      </c>
      <c r="B32" s="28">
        <v>41.1</v>
      </c>
      <c r="C32" s="30">
        <f t="shared" si="0"/>
        <v>38.5</v>
      </c>
      <c r="D32" s="14">
        <v>0.3618248175182483</v>
      </c>
      <c r="E32" s="14">
        <v>3.6182481751824834E-2</v>
      </c>
      <c r="F32" s="38">
        <v>3.9644768856447681E-2</v>
      </c>
      <c r="G32" s="38">
        <v>0.22481751824817522</v>
      </c>
    </row>
    <row r="33" spans="1:7">
      <c r="A33" s="29" t="s">
        <v>31</v>
      </c>
      <c r="B33" s="28">
        <v>43.4</v>
      </c>
      <c r="C33" s="30">
        <f t="shared" si="0"/>
        <v>41.1</v>
      </c>
      <c r="D33" s="14">
        <v>0.39564516129032268</v>
      </c>
      <c r="E33" s="14">
        <v>3.9564516129032265E-2</v>
      </c>
      <c r="F33" s="38">
        <v>5.7059907834101309E-2</v>
      </c>
      <c r="G33" s="38">
        <v>0.23410138248847928</v>
      </c>
    </row>
    <row r="34" spans="1:7">
      <c r="A34" s="29" t="s">
        <v>32</v>
      </c>
      <c r="B34" s="28">
        <v>45.3</v>
      </c>
      <c r="C34" s="30">
        <f t="shared" si="0"/>
        <v>43.4</v>
      </c>
      <c r="D34" s="14">
        <v>0.42099337748344379</v>
      </c>
      <c r="E34" s="14">
        <v>5.2596026490066242E-2</v>
      </c>
      <c r="F34" s="38">
        <v>7.1443708609271447E-2</v>
      </c>
      <c r="G34" s="38">
        <v>0.24105960264900664</v>
      </c>
    </row>
    <row r="35" spans="1:7">
      <c r="A35" s="29" t="s">
        <v>33</v>
      </c>
      <c r="B35" s="28">
        <v>47.4</v>
      </c>
      <c r="C35" s="30">
        <f t="shared" si="0"/>
        <v>45.3</v>
      </c>
      <c r="D35" s="14">
        <v>0.44664556962025326</v>
      </c>
      <c r="E35" s="14">
        <v>6.7987341772151932E-2</v>
      </c>
      <c r="F35" s="38">
        <v>8.5999999999999938E-2</v>
      </c>
      <c r="G35" s="38">
        <v>0.24810126582278486</v>
      </c>
    </row>
    <row r="36" spans="1:7">
      <c r="A36" s="29" t="s">
        <v>34</v>
      </c>
      <c r="B36" s="28">
        <v>49.5</v>
      </c>
      <c r="C36" s="30">
        <f t="shared" si="0"/>
        <v>47.4</v>
      </c>
      <c r="D36" s="14">
        <v>0.47012121212121222</v>
      </c>
      <c r="E36" s="14">
        <v>8.2072727272727297E-2</v>
      </c>
      <c r="F36" s="38">
        <v>9.9321212121212074E-2</v>
      </c>
      <c r="G36" s="38">
        <v>0.25454545454545457</v>
      </c>
    </row>
    <row r="37" spans="1:7">
      <c r="A37" s="29" t="s">
        <v>35</v>
      </c>
      <c r="B37" s="28">
        <v>51.1</v>
      </c>
      <c r="C37" s="30">
        <f t="shared" si="0"/>
        <v>49.5</v>
      </c>
      <c r="D37" s="14">
        <v>0.48671232876712339</v>
      </c>
      <c r="E37" s="14">
        <v>9.2027397260274008E-2</v>
      </c>
      <c r="F37" s="38">
        <v>0.10873581213307237</v>
      </c>
      <c r="G37" s="38">
        <v>0.25909980430528379</v>
      </c>
    </row>
    <row r="38" spans="1:7">
      <c r="A38" s="29" t="s">
        <v>36</v>
      </c>
      <c r="B38" s="28">
        <v>52.6</v>
      </c>
      <c r="C38" s="30">
        <f t="shared" si="0"/>
        <v>51.1</v>
      </c>
      <c r="D38" s="14">
        <v>0.5013498098859317</v>
      </c>
      <c r="E38" s="14">
        <v>0.10080988593155897</v>
      </c>
      <c r="F38" s="38">
        <v>0.11704182509505699</v>
      </c>
      <c r="G38" s="38">
        <v>0.26311787072243348</v>
      </c>
    </row>
    <row r="39" spans="1:7">
      <c r="A39" s="29" t="s">
        <v>37</v>
      </c>
      <c r="B39" s="28">
        <v>54.6</v>
      </c>
      <c r="C39" s="30">
        <f t="shared" si="0"/>
        <v>52.6</v>
      </c>
      <c r="D39" s="14">
        <v>0.5196153846153847</v>
      </c>
      <c r="E39" s="14">
        <v>0.11176923076923082</v>
      </c>
      <c r="F39" s="38">
        <v>0.12740659340659338</v>
      </c>
      <c r="G39" s="38">
        <v>0.26813186813186818</v>
      </c>
    </row>
    <row r="40" spans="1:7">
      <c r="A40" s="29" t="s">
        <v>38</v>
      </c>
      <c r="B40" s="28">
        <v>56.1</v>
      </c>
      <c r="C40" s="30">
        <f t="shared" si="0"/>
        <v>54.6</v>
      </c>
      <c r="D40" s="14">
        <v>0.53245989304812846</v>
      </c>
      <c r="E40" s="14">
        <v>0.11947593582887704</v>
      </c>
      <c r="F40" s="38">
        <v>0.13469518716577536</v>
      </c>
      <c r="G40" s="38">
        <v>0.2716577540106952</v>
      </c>
    </row>
    <row r="41" spans="1:7">
      <c r="A41" s="29" t="s">
        <v>39</v>
      </c>
      <c r="B41" s="28">
        <v>59.5</v>
      </c>
      <c r="C41" s="30">
        <f t="shared" si="0"/>
        <v>56.1</v>
      </c>
      <c r="D41" s="14">
        <v>0.55917647058823527</v>
      </c>
      <c r="E41" s="14">
        <v>0.1355058823529412</v>
      </c>
      <c r="F41" s="38">
        <v>0.14985546218487392</v>
      </c>
      <c r="G41" s="38">
        <v>0.27899159663865547</v>
      </c>
    </row>
    <row r="42" spans="1:7">
      <c r="A42" s="29" t="s">
        <v>40</v>
      </c>
      <c r="B42" s="28">
        <v>64.5</v>
      </c>
      <c r="C42" s="30">
        <f t="shared" si="0"/>
        <v>59.5</v>
      </c>
      <c r="D42" s="14">
        <v>0.59334883720930232</v>
      </c>
      <c r="E42" s="14">
        <v>0.15600930232558141</v>
      </c>
      <c r="F42" s="38">
        <v>0.16924651162790694</v>
      </c>
      <c r="G42" s="38">
        <v>0.28837209302325584</v>
      </c>
    </row>
    <row r="43" spans="1:7">
      <c r="A43" s="29" t="s">
        <v>41</v>
      </c>
      <c r="B43" s="28">
        <v>69.400000000000006</v>
      </c>
      <c r="C43" s="30">
        <f t="shared" si="0"/>
        <v>64.5</v>
      </c>
      <c r="D43" s="14">
        <v>0.62206051873198853</v>
      </c>
      <c r="E43" s="14">
        <v>0.17323631123919314</v>
      </c>
      <c r="F43" s="38">
        <v>0.18553890489913544</v>
      </c>
      <c r="G43" s="38">
        <v>0.29625360230547554</v>
      </c>
    </row>
    <row r="44" spans="1:7">
      <c r="A44" s="29" t="s">
        <v>42</v>
      </c>
      <c r="B44" s="28">
        <v>72.7</v>
      </c>
      <c r="C44" s="30">
        <f t="shared" si="0"/>
        <v>69.400000000000006</v>
      </c>
      <c r="D44" s="14">
        <v>0.63921595598349379</v>
      </c>
      <c r="E44" s="14">
        <v>0.18352957359009631</v>
      </c>
      <c r="F44" s="38">
        <v>0.19527372764786793</v>
      </c>
      <c r="G44" s="38">
        <v>0.30096286107290238</v>
      </c>
    </row>
    <row r="45" spans="1:7">
      <c r="A45" s="29" t="s">
        <v>43</v>
      </c>
      <c r="B45" s="30">
        <v>77.2</v>
      </c>
      <c r="C45" s="30">
        <f t="shared" si="0"/>
        <v>72.7</v>
      </c>
      <c r="D45" s="14">
        <v>0.66024611398963728</v>
      </c>
      <c r="E45" s="14">
        <v>0.19614766839378242</v>
      </c>
      <c r="F45" s="38">
        <v>0.20720725388601036</v>
      </c>
      <c r="G45" s="38">
        <v>0.30673575129533681</v>
      </c>
    </row>
    <row r="46" spans="1:7">
      <c r="A46" s="29" t="s">
        <v>44</v>
      </c>
      <c r="B46" s="30">
        <v>79.8</v>
      </c>
      <c r="C46" s="30">
        <f t="shared" si="0"/>
        <v>77.2</v>
      </c>
      <c r="D46" s="14">
        <v>0.6713157894736842</v>
      </c>
      <c r="E46" s="14">
        <v>0.20278947368421055</v>
      </c>
      <c r="F46" s="38">
        <v>0.21348872180451126</v>
      </c>
      <c r="G46" s="38">
        <v>0.30977443609022559</v>
      </c>
    </row>
    <row r="47" spans="1:7">
      <c r="A47" s="29" t="s">
        <v>45</v>
      </c>
      <c r="B47" s="28">
        <v>82.6</v>
      </c>
      <c r="C47" s="30">
        <f t="shared" si="0"/>
        <v>79.8</v>
      </c>
      <c r="D47" s="14">
        <v>0.68245762711864411</v>
      </c>
      <c r="E47" s="14">
        <v>0.20947457627118649</v>
      </c>
      <c r="F47" s="38">
        <v>0.21981113801452784</v>
      </c>
      <c r="G47" s="38">
        <v>0.31283292978208233</v>
      </c>
    </row>
    <row r="48" spans="1:7">
      <c r="A48" s="29" t="s">
        <v>46</v>
      </c>
      <c r="B48" s="28">
        <v>86.2</v>
      </c>
      <c r="C48" s="30">
        <f t="shared" si="0"/>
        <v>82.6</v>
      </c>
      <c r="D48" s="14">
        <v>0.69571925754060326</v>
      </c>
      <c r="E48" s="14">
        <v>0.21743155452436197</v>
      </c>
      <c r="F48" s="38">
        <v>0.22733642691415312</v>
      </c>
      <c r="G48" s="38">
        <v>0.31647331786542926</v>
      </c>
    </row>
    <row r="49" spans="1:7">
      <c r="A49" s="29" t="s">
        <v>47</v>
      </c>
      <c r="B49" s="28">
        <v>90.1</v>
      </c>
      <c r="C49" s="30">
        <f t="shared" si="0"/>
        <v>86.2</v>
      </c>
      <c r="D49" s="14">
        <v>0.70889012208657043</v>
      </c>
      <c r="E49" s="14">
        <v>0.22533407325194227</v>
      </c>
      <c r="F49" s="38">
        <v>0.23481021087680354</v>
      </c>
      <c r="G49" s="38">
        <v>0.32008879023307441</v>
      </c>
    </row>
    <row r="50" spans="1:7">
      <c r="A50" s="29" t="s">
        <v>48</v>
      </c>
      <c r="B50" s="28">
        <v>93.1</v>
      </c>
      <c r="C50" s="30">
        <f t="shared" si="0"/>
        <v>90.1</v>
      </c>
      <c r="D50" s="14">
        <v>0.71827067669172928</v>
      </c>
      <c r="E50" s="14">
        <v>0.23096240601503762</v>
      </c>
      <c r="F50" s="38">
        <v>0.24013319011815251</v>
      </c>
      <c r="G50" s="38">
        <v>0.32266380236305048</v>
      </c>
    </row>
    <row r="51" spans="1:7">
      <c r="A51" s="29" t="s">
        <v>49</v>
      </c>
      <c r="B51" s="28">
        <v>101.5</v>
      </c>
      <c r="C51" s="30">
        <f t="shared" si="0"/>
        <v>93.1</v>
      </c>
      <c r="D51" s="14">
        <v>0.74158620689655175</v>
      </c>
      <c r="E51" s="14">
        <v>0.24495172413793107</v>
      </c>
      <c r="F51" s="38">
        <v>0.25336354679802958</v>
      </c>
      <c r="G51" s="38">
        <v>0.32906403940886697</v>
      </c>
    </row>
    <row r="52" spans="1:7">
      <c r="A52" s="29" t="s">
        <v>50</v>
      </c>
      <c r="B52" s="30">
        <v>111.7</v>
      </c>
      <c r="C52" s="30">
        <f t="shared" si="0"/>
        <v>101.5</v>
      </c>
      <c r="D52" s="14">
        <v>0.76518352730528205</v>
      </c>
      <c r="E52" s="14">
        <v>0.25911011638316928</v>
      </c>
      <c r="F52" s="38">
        <v>0.26675380483437777</v>
      </c>
      <c r="G52" s="38">
        <v>0.33554162936436882</v>
      </c>
    </row>
    <row r="53" spans="1:7">
      <c r="A53" s="29" t="s">
        <v>51</v>
      </c>
      <c r="B53" s="28">
        <v>127.7</v>
      </c>
      <c r="C53" s="30">
        <f t="shared" si="0"/>
        <v>111.7</v>
      </c>
      <c r="D53" s="14">
        <v>0.79460454189506657</v>
      </c>
      <c r="E53" s="14">
        <v>0.27676272513704003</v>
      </c>
      <c r="F53" s="38">
        <v>0.28344870790916205</v>
      </c>
      <c r="G53" s="38">
        <v>0.34361785434612374</v>
      </c>
    </row>
    <row r="54" spans="1:7">
      <c r="A54" s="29" t="s">
        <v>52</v>
      </c>
      <c r="B54" s="28">
        <v>158.80000000000001</v>
      </c>
      <c r="C54" s="30">
        <f t="shared" si="0"/>
        <v>127.7</v>
      </c>
      <c r="D54" s="14">
        <v>0.83482997481108323</v>
      </c>
      <c r="E54" s="14">
        <v>0.30089798488664993</v>
      </c>
      <c r="F54" s="38">
        <v>0.30627455919395469</v>
      </c>
      <c r="G54" s="38">
        <v>0.35465994962216629</v>
      </c>
    </row>
    <row r="55" spans="1:7">
      <c r="A55" s="29" t="s">
        <v>53</v>
      </c>
      <c r="B55" s="28">
        <v>238.3</v>
      </c>
      <c r="C55" s="30">
        <f>B54</f>
        <v>158.80000000000001</v>
      </c>
      <c r="D55" s="14">
        <v>0.88993285774234165</v>
      </c>
      <c r="E55" s="14">
        <v>0.33395971464540491</v>
      </c>
      <c r="F55" s="38">
        <v>0.33754259336970205</v>
      </c>
      <c r="G55" s="38">
        <v>0.36978598405371382</v>
      </c>
    </row>
    <row r="56" spans="1:7">
      <c r="A56" s="29" t="s">
        <v>53</v>
      </c>
      <c r="B56" s="31" t="s">
        <v>143</v>
      </c>
      <c r="C56" s="30">
        <f t="shared" si="0"/>
        <v>238.3</v>
      </c>
      <c r="D56" s="11">
        <v>49.1</v>
      </c>
      <c r="E56" s="11"/>
      <c r="F56" s="39"/>
      <c r="G56" s="39"/>
    </row>
    <row r="57" spans="1:7">
      <c r="A57" s="29"/>
      <c r="B57" s="31"/>
      <c r="C57" s="31"/>
      <c r="D57" s="11"/>
      <c r="E57" s="32">
        <v>8.4150544656235504E-2</v>
      </c>
      <c r="F57" s="40">
        <v>9.0779986010244493E-2</v>
      </c>
      <c r="G57" s="40">
        <v>0.18739093714525057</v>
      </c>
    </row>
    <row r="58" spans="1:7" ht="60">
      <c r="A58" s="33" t="s">
        <v>55</v>
      </c>
      <c r="B58" s="31">
        <v>20</v>
      </c>
      <c r="C58" s="31"/>
      <c r="D58" s="11"/>
      <c r="F58" s="41">
        <v>41.343333333333341</v>
      </c>
      <c r="G58" s="42">
        <v>20</v>
      </c>
    </row>
    <row r="59" spans="1:7" ht="60">
      <c r="A59" s="33" t="s">
        <v>56</v>
      </c>
      <c r="B59" s="31">
        <v>49.4</v>
      </c>
      <c r="C59" s="31"/>
      <c r="D59" s="11"/>
      <c r="E59" s="221">
        <v>43.714999999999996</v>
      </c>
      <c r="F59" s="39"/>
      <c r="G59" s="39"/>
    </row>
    <row r="60" spans="1:7" ht="96.75">
      <c r="A60" s="35" t="s">
        <v>57</v>
      </c>
      <c r="B60" s="29">
        <v>12</v>
      </c>
      <c r="C60" s="29"/>
      <c r="D60" s="11"/>
      <c r="E60" s="221">
        <v>26.228999999999996</v>
      </c>
      <c r="F60" s="39">
        <v>24.806000000000004</v>
      </c>
      <c r="G60" s="39">
        <v>12</v>
      </c>
    </row>
    <row r="62" spans="1:7" ht="60.75" thickBot="1">
      <c r="A62" s="5" t="s">
        <v>56</v>
      </c>
      <c r="B62">
        <f>B59</f>
        <v>49.4</v>
      </c>
    </row>
    <row r="63" spans="1:7">
      <c r="A63" s="16" t="s">
        <v>64</v>
      </c>
      <c r="B63" s="17">
        <f>AVERAGE(B11:B50)</f>
        <v>43.714999999999996</v>
      </c>
      <c r="C63" s="17"/>
    </row>
    <row r="64" spans="1:7">
      <c r="A64" s="16" t="s">
        <v>65</v>
      </c>
      <c r="B64" s="18">
        <f>AVERAGE(B16:B45)</f>
        <v>41.343333333333341</v>
      </c>
      <c r="C64" s="18"/>
    </row>
    <row r="65" spans="1:7">
      <c r="A65" s="16" t="s">
        <v>66</v>
      </c>
      <c r="B65" s="18">
        <f>AVERAGE(B22:B40)</f>
        <v>39.868421052631582</v>
      </c>
      <c r="C65" s="18"/>
    </row>
    <row r="69" spans="1:7" ht="15" customHeight="1">
      <c r="A69" s="473" t="s">
        <v>0</v>
      </c>
      <c r="B69" s="529" t="s">
        <v>2</v>
      </c>
      <c r="C69" s="529"/>
      <c r="D69" s="529"/>
      <c r="E69" s="49">
        <f>(1-E124)^(1/3)-1</f>
        <v>-2.4493999052771387E-2</v>
      </c>
      <c r="F69" s="49">
        <f>(1-F124)^(1/3)-1</f>
        <v>-2.5727939472096395E-2</v>
      </c>
      <c r="G69" s="49"/>
    </row>
    <row r="70" spans="1:7" ht="72">
      <c r="A70" s="473"/>
      <c r="B70" s="11" t="s">
        <v>4</v>
      </c>
      <c r="C70" s="11"/>
      <c r="D70" s="11" t="s">
        <v>80</v>
      </c>
      <c r="E70" s="11" t="s">
        <v>5</v>
      </c>
      <c r="F70" s="39" t="s">
        <v>5</v>
      </c>
      <c r="G70" s="39"/>
    </row>
    <row r="71" spans="1:7" ht="24">
      <c r="A71" s="473"/>
      <c r="B71" s="11" t="s">
        <v>8</v>
      </c>
      <c r="C71" s="11"/>
      <c r="D71" s="11" t="s">
        <v>7</v>
      </c>
      <c r="E71" s="11" t="s">
        <v>7</v>
      </c>
      <c r="F71" s="39" t="s">
        <v>7</v>
      </c>
      <c r="G71" s="39"/>
    </row>
    <row r="72" spans="1:7">
      <c r="A72" s="50">
        <v>1</v>
      </c>
      <c r="B72" s="51">
        <v>2</v>
      </c>
      <c r="C72" s="51"/>
      <c r="D72" s="51">
        <v>3</v>
      </c>
      <c r="E72" s="51">
        <v>4</v>
      </c>
      <c r="F72" s="52">
        <v>5</v>
      </c>
      <c r="G72" s="52"/>
    </row>
    <row r="73" spans="1:7">
      <c r="A73" s="27" t="s">
        <v>10</v>
      </c>
      <c r="B73" s="153">
        <v>5.0999999999999996</v>
      </c>
      <c r="C73" s="253">
        <v>0</v>
      </c>
      <c r="D73" s="14">
        <v>0</v>
      </c>
      <c r="E73" s="14">
        <v>0</v>
      </c>
      <c r="F73" s="38">
        <v>0</v>
      </c>
      <c r="G73" s="38">
        <v>0</v>
      </c>
    </row>
    <row r="74" spans="1:7">
      <c r="A74" s="27" t="s">
        <v>58</v>
      </c>
      <c r="B74" s="53">
        <v>15.6</v>
      </c>
      <c r="C74" s="30">
        <f>B73</f>
        <v>5.0999999999999996</v>
      </c>
      <c r="D74" s="14">
        <v>0</v>
      </c>
      <c r="E74" s="14">
        <v>0</v>
      </c>
      <c r="F74" s="38">
        <v>0</v>
      </c>
      <c r="G74" s="38">
        <v>0</v>
      </c>
    </row>
    <row r="75" spans="1:7">
      <c r="A75" s="27" t="s">
        <v>59</v>
      </c>
      <c r="B75" s="53">
        <v>17.7</v>
      </c>
      <c r="C75" s="30">
        <f t="shared" ref="C75:C123" si="1">B74</f>
        <v>15.6</v>
      </c>
      <c r="D75" s="14">
        <v>0</v>
      </c>
      <c r="E75" s="14">
        <v>0</v>
      </c>
      <c r="F75" s="38">
        <v>0</v>
      </c>
      <c r="G75" s="38">
        <v>6.6779661016949073E-3</v>
      </c>
    </row>
    <row r="76" spans="1:7">
      <c r="A76" s="27" t="s">
        <v>60</v>
      </c>
      <c r="B76" s="53">
        <v>22.1</v>
      </c>
      <c r="C76" s="30">
        <f t="shared" si="1"/>
        <v>17.7</v>
      </c>
      <c r="D76" s="14">
        <v>0</v>
      </c>
      <c r="E76" s="14">
        <v>0</v>
      </c>
      <c r="F76" s="38">
        <v>0</v>
      </c>
      <c r="G76" s="38">
        <v>2.5257918552036202E-2</v>
      </c>
    </row>
    <row r="77" spans="1:7">
      <c r="A77" s="27" t="s">
        <v>61</v>
      </c>
      <c r="B77" s="53">
        <v>23.4</v>
      </c>
      <c r="C77" s="30">
        <f t="shared" si="1"/>
        <v>22.1</v>
      </c>
      <c r="D77" s="14">
        <v>0</v>
      </c>
      <c r="E77" s="14">
        <v>0</v>
      </c>
      <c r="F77" s="38">
        <v>0</v>
      </c>
      <c r="G77" s="38">
        <v>2.9410256410256404E-2</v>
      </c>
    </row>
    <row r="78" spans="1:7">
      <c r="A78" s="27" t="s">
        <v>62</v>
      </c>
      <c r="B78" s="53">
        <v>24.4</v>
      </c>
      <c r="C78" s="30">
        <f t="shared" si="1"/>
        <v>23.4</v>
      </c>
      <c r="D78" s="14">
        <v>0</v>
      </c>
      <c r="E78" s="14">
        <v>0</v>
      </c>
      <c r="F78" s="38">
        <v>0</v>
      </c>
      <c r="G78" s="38">
        <v>3.2303278688524582E-2</v>
      </c>
    </row>
    <row r="79" spans="1:7">
      <c r="A79" s="27" t="s">
        <v>63</v>
      </c>
      <c r="B79" s="53">
        <v>25.6</v>
      </c>
      <c r="C79" s="30">
        <f t="shared" si="1"/>
        <v>24.4</v>
      </c>
      <c r="D79" s="14">
        <v>0</v>
      </c>
      <c r="E79" s="14">
        <v>0</v>
      </c>
      <c r="F79" s="38">
        <v>1.1718750000000028E-3</v>
      </c>
      <c r="G79" s="38">
        <v>3.5476562500000003E-2</v>
      </c>
    </row>
    <row r="80" spans="1:7">
      <c r="A80" s="29" t="s">
        <v>11</v>
      </c>
      <c r="B80" s="53">
        <v>26.5</v>
      </c>
      <c r="C80" s="30">
        <f t="shared" si="1"/>
        <v>25.6</v>
      </c>
      <c r="D80" s="14">
        <v>2.3132075471698096E-2</v>
      </c>
      <c r="E80" s="14"/>
      <c r="F80" s="38"/>
      <c r="G80" s="38"/>
    </row>
    <row r="81" spans="1:7">
      <c r="A81" s="29" t="s">
        <v>12</v>
      </c>
      <c r="B81" s="53">
        <v>27.8</v>
      </c>
      <c r="C81" s="30">
        <f t="shared" si="1"/>
        <v>26.5</v>
      </c>
      <c r="D81" s="14">
        <v>6.8812949640287779E-2</v>
      </c>
      <c r="E81" s="14"/>
      <c r="F81" s="38"/>
      <c r="G81" s="38"/>
    </row>
    <row r="82" spans="1:7">
      <c r="A82" s="29" t="s">
        <v>13</v>
      </c>
      <c r="B82" s="53">
        <v>28.8</v>
      </c>
      <c r="C82" s="30">
        <f t="shared" si="1"/>
        <v>27.8</v>
      </c>
      <c r="D82" s="14">
        <v>0.10114583333333334</v>
      </c>
      <c r="E82" s="14">
        <v>1.0114583333333335E-2</v>
      </c>
      <c r="F82" s="38">
        <v>1.2152777777777778E-2</v>
      </c>
      <c r="G82" s="38">
        <v>5.5874999999999994E-2</v>
      </c>
    </row>
    <row r="83" spans="1:7">
      <c r="A83" s="29" t="s">
        <v>14</v>
      </c>
      <c r="B83" s="153">
        <v>29.8</v>
      </c>
      <c r="C83" s="30">
        <f t="shared" si="1"/>
        <v>28.8</v>
      </c>
      <c r="D83" s="14">
        <v>0.13130872483221476</v>
      </c>
      <c r="E83" s="14">
        <v>1.3130872483221477E-2</v>
      </c>
      <c r="F83" s="38">
        <v>1.5100671140939598E-2</v>
      </c>
      <c r="G83" s="38">
        <v>6.742281879194631E-2</v>
      </c>
    </row>
    <row r="84" spans="1:7">
      <c r="A84" s="29" t="s">
        <v>15</v>
      </c>
      <c r="B84" s="153">
        <v>30.9</v>
      </c>
      <c r="C84" s="30">
        <f t="shared" si="1"/>
        <v>29.8</v>
      </c>
      <c r="D84" s="14">
        <v>0.1622330097087378</v>
      </c>
      <c r="E84" s="14">
        <v>1.6223300970873784E-2</v>
      </c>
      <c r="F84" s="38">
        <v>1.8122977346278313E-2</v>
      </c>
      <c r="G84" s="38">
        <v>7.9262135922330085E-2</v>
      </c>
    </row>
    <row r="85" spans="1:7">
      <c r="A85" s="29" t="s">
        <v>16</v>
      </c>
      <c r="B85" s="53">
        <v>31.8</v>
      </c>
      <c r="C85" s="30">
        <f t="shared" si="1"/>
        <v>30.9</v>
      </c>
      <c r="D85" s="14">
        <v>0.18594339622641509</v>
      </c>
      <c r="E85" s="14">
        <v>1.8594339622641509E-2</v>
      </c>
      <c r="F85" s="38">
        <v>2.0440251572327043E-2</v>
      </c>
      <c r="G85" s="38">
        <v>8.8339622641509435E-2</v>
      </c>
    </row>
    <row r="86" spans="1:7">
      <c r="A86" s="29" t="s">
        <v>17</v>
      </c>
      <c r="B86" s="153">
        <v>32.700000000000003</v>
      </c>
      <c r="C86" s="30">
        <f t="shared" si="1"/>
        <v>31.8</v>
      </c>
      <c r="D86" s="14">
        <v>0.20834862385321107</v>
      </c>
      <c r="E86" s="14">
        <v>2.0834862385321107E-2</v>
      </c>
      <c r="F86" s="38">
        <v>2.2629969418960248E-2</v>
      </c>
      <c r="G86" s="38">
        <v>9.6917431192660566E-2</v>
      </c>
    </row>
    <row r="87" spans="1:7">
      <c r="A87" s="29" t="s">
        <v>18</v>
      </c>
      <c r="B87" s="53">
        <v>33.4</v>
      </c>
      <c r="C87" s="30">
        <f t="shared" si="1"/>
        <v>32.700000000000003</v>
      </c>
      <c r="D87" s="14">
        <v>0.22494011976047901</v>
      </c>
      <c r="E87" s="14">
        <v>2.24940119760479E-2</v>
      </c>
      <c r="F87" s="38">
        <v>2.4251497005988019E-2</v>
      </c>
      <c r="G87" s="38">
        <v>0.10326946107784429</v>
      </c>
    </row>
    <row r="88" spans="1:7">
      <c r="A88" s="29" t="s">
        <v>19</v>
      </c>
      <c r="B88" s="53">
        <v>34.200000000000003</v>
      </c>
      <c r="C88" s="30">
        <f t="shared" si="1"/>
        <v>33.4</v>
      </c>
      <c r="D88" s="14">
        <v>0.24307017543859655</v>
      </c>
      <c r="E88" s="14">
        <v>2.4307017543859655E-2</v>
      </c>
      <c r="F88" s="38">
        <v>2.60233918128655E-2</v>
      </c>
      <c r="G88" s="38">
        <v>0.11021052631578951</v>
      </c>
    </row>
    <row r="89" spans="1:7">
      <c r="A89" s="29" t="s">
        <v>20</v>
      </c>
      <c r="B89" s="53">
        <v>35.1</v>
      </c>
      <c r="C89" s="30">
        <f t="shared" si="1"/>
        <v>34.200000000000003</v>
      </c>
      <c r="D89" s="14">
        <v>0.26247863247863251</v>
      </c>
      <c r="E89" s="14">
        <v>2.6247863247863251E-2</v>
      </c>
      <c r="F89" s="38">
        <v>2.792022792022792E-2</v>
      </c>
      <c r="G89" s="38">
        <v>0.11764102564102566</v>
      </c>
    </row>
    <row r="90" spans="1:7">
      <c r="A90" s="29" t="s">
        <v>21</v>
      </c>
      <c r="B90" s="153">
        <v>36</v>
      </c>
      <c r="C90" s="30">
        <f t="shared" si="1"/>
        <v>35.1</v>
      </c>
      <c r="D90" s="14">
        <v>0.28091666666666665</v>
      </c>
      <c r="E90" s="14">
        <v>2.8091666666666668E-2</v>
      </c>
      <c r="F90" s="38">
        <v>2.9722222222222223E-2</v>
      </c>
      <c r="G90" s="38">
        <v>0.12470000000000001</v>
      </c>
    </row>
    <row r="91" spans="1:7">
      <c r="A91" s="29" t="s">
        <v>22</v>
      </c>
      <c r="B91" s="53">
        <v>36.6</v>
      </c>
      <c r="C91" s="30">
        <f t="shared" si="1"/>
        <v>36</v>
      </c>
      <c r="D91" s="14">
        <v>0.29270491803278692</v>
      </c>
      <c r="E91" s="14">
        <v>2.9270491803278693E-2</v>
      </c>
      <c r="F91" s="38">
        <v>3.0874316939890713E-2</v>
      </c>
      <c r="G91" s="38">
        <v>0.12921311475409836</v>
      </c>
    </row>
    <row r="92" spans="1:7">
      <c r="A92" s="29" t="s">
        <v>23</v>
      </c>
      <c r="B92" s="53">
        <v>37.1</v>
      </c>
      <c r="C92" s="30">
        <f t="shared" si="1"/>
        <v>36.6</v>
      </c>
      <c r="D92" s="14">
        <v>0.30223719676549865</v>
      </c>
      <c r="E92" s="14">
        <v>3.0223719676549868E-2</v>
      </c>
      <c r="F92" s="38">
        <v>3.1805929919137471E-2</v>
      </c>
      <c r="G92" s="38">
        <v>0.13286253369272238</v>
      </c>
    </row>
    <row r="93" spans="1:7">
      <c r="A93" s="29" t="s">
        <v>24</v>
      </c>
      <c r="B93" s="53">
        <v>38.1</v>
      </c>
      <c r="C93" s="30">
        <f t="shared" si="1"/>
        <v>37.1</v>
      </c>
      <c r="D93" s="14">
        <v>0.32055118110236219</v>
      </c>
      <c r="E93" s="14">
        <v>3.2055118110236223E-2</v>
      </c>
      <c r="F93" s="38">
        <v>3.359580052493439E-2</v>
      </c>
      <c r="G93" s="38">
        <v>0.13987401574803152</v>
      </c>
    </row>
    <row r="94" spans="1:7">
      <c r="A94" s="29" t="s">
        <v>25</v>
      </c>
      <c r="B94" s="153">
        <v>38.9</v>
      </c>
      <c r="C94" s="30">
        <f t="shared" si="1"/>
        <v>38.1</v>
      </c>
      <c r="D94" s="14">
        <v>0.33452442159383028</v>
      </c>
      <c r="E94" s="14">
        <v>3.3452442159383033E-2</v>
      </c>
      <c r="F94" s="38">
        <v>3.4961439588688942E-2</v>
      </c>
      <c r="G94" s="38">
        <v>0.14522365038560411</v>
      </c>
    </row>
    <row r="95" spans="1:7">
      <c r="A95" s="29" t="s">
        <v>26</v>
      </c>
      <c r="B95" s="53">
        <v>39.299999999999997</v>
      </c>
      <c r="C95" s="30">
        <f t="shared" si="1"/>
        <v>38.9</v>
      </c>
      <c r="D95" s="14">
        <v>0.34129770992366404</v>
      </c>
      <c r="E95" s="14">
        <v>3.4129770992366408E-2</v>
      </c>
      <c r="F95" s="38">
        <v>3.5623409669211188E-2</v>
      </c>
      <c r="G95" s="38">
        <v>0.14781679389312974</v>
      </c>
    </row>
    <row r="96" spans="1:7">
      <c r="A96" s="29" t="s">
        <v>27</v>
      </c>
      <c r="B96" s="153">
        <v>40.4</v>
      </c>
      <c r="C96" s="30">
        <f t="shared" si="1"/>
        <v>39.299999999999997</v>
      </c>
      <c r="D96" s="14">
        <v>0.35923267326732672</v>
      </c>
      <c r="E96" s="14">
        <v>3.592326732673267E-2</v>
      </c>
      <c r="F96" s="38">
        <v>3.7376237623762375E-2</v>
      </c>
      <c r="G96" s="38">
        <v>0.15468316831683168</v>
      </c>
    </row>
    <row r="97" spans="1:7">
      <c r="A97" s="29" t="s">
        <v>28</v>
      </c>
      <c r="B97" s="153">
        <v>41.2</v>
      </c>
      <c r="C97" s="30">
        <f t="shared" si="1"/>
        <v>40.4</v>
      </c>
      <c r="D97" s="14">
        <v>0.37167475728155341</v>
      </c>
      <c r="E97" s="14">
        <v>3.7167475728155347E-2</v>
      </c>
      <c r="F97" s="38">
        <v>3.8592233009708744E-2</v>
      </c>
      <c r="G97" s="38">
        <v>0.15944660194174759</v>
      </c>
    </row>
    <row r="98" spans="1:7">
      <c r="A98" s="29" t="s">
        <v>29</v>
      </c>
      <c r="B98" s="153">
        <v>42.1</v>
      </c>
      <c r="C98" s="30">
        <f t="shared" si="1"/>
        <v>41.2</v>
      </c>
      <c r="D98" s="14">
        <v>0.38510688836104512</v>
      </c>
      <c r="E98" s="14">
        <v>3.8510688836104513E-2</v>
      </c>
      <c r="F98" s="38">
        <v>3.9904988123515443E-2</v>
      </c>
      <c r="G98" s="38">
        <v>0.16458907363420427</v>
      </c>
    </row>
    <row r="99" spans="1:7">
      <c r="A99" s="29" t="s">
        <v>30</v>
      </c>
      <c r="B99" s="153">
        <v>42.6</v>
      </c>
      <c r="C99" s="30">
        <f t="shared" si="1"/>
        <v>42.1</v>
      </c>
      <c r="D99" s="14">
        <v>0.39232394366197182</v>
      </c>
      <c r="E99" s="14">
        <v>3.9232394366197187E-2</v>
      </c>
      <c r="F99" s="38">
        <v>4.3661971830985892E-2</v>
      </c>
      <c r="G99" s="38">
        <v>0.16735211267605635</v>
      </c>
    </row>
    <row r="100" spans="1:7">
      <c r="A100" s="29" t="s">
        <v>31</v>
      </c>
      <c r="B100" s="153">
        <v>43</v>
      </c>
      <c r="C100" s="30">
        <f t="shared" si="1"/>
        <v>42.6</v>
      </c>
      <c r="D100" s="14">
        <v>0.3979767441860465</v>
      </c>
      <c r="E100" s="14">
        <v>3.9797674418604649E-2</v>
      </c>
      <c r="F100" s="38">
        <v>4.6976744186046478E-2</v>
      </c>
      <c r="G100" s="38">
        <v>0.16951627906976743</v>
      </c>
    </row>
    <row r="101" spans="1:7">
      <c r="A101" s="29" t="s">
        <v>32</v>
      </c>
      <c r="B101" s="53">
        <v>44.2</v>
      </c>
      <c r="C101" s="30">
        <f t="shared" si="1"/>
        <v>43</v>
      </c>
      <c r="D101" s="14">
        <v>0.41432126696832583</v>
      </c>
      <c r="E101" s="14">
        <v>4.8592760180995474E-2</v>
      </c>
      <c r="F101" s="38">
        <v>5.6561085972850672E-2</v>
      </c>
      <c r="G101" s="38">
        <v>0.17577375565610862</v>
      </c>
    </row>
    <row r="102" spans="1:7">
      <c r="A102" s="29" t="s">
        <v>33</v>
      </c>
      <c r="B102" s="153">
        <v>45.2</v>
      </c>
      <c r="C102" s="30">
        <f t="shared" si="1"/>
        <v>44.2</v>
      </c>
      <c r="D102" s="14">
        <v>0.42727876106194695</v>
      </c>
      <c r="E102" s="14">
        <v>5.6367256637168149E-2</v>
      </c>
      <c r="F102" s="38">
        <v>6.4159292035398219E-2</v>
      </c>
      <c r="G102" s="38">
        <v>0.18073451327433632</v>
      </c>
    </row>
    <row r="103" spans="1:7">
      <c r="A103" s="29" t="s">
        <v>34</v>
      </c>
      <c r="B103" s="53">
        <v>45.6</v>
      </c>
      <c r="C103" s="30">
        <f t="shared" si="1"/>
        <v>45.2</v>
      </c>
      <c r="D103" s="14">
        <v>0.43230263157894738</v>
      </c>
      <c r="E103" s="14">
        <v>5.9381578947368417E-2</v>
      </c>
      <c r="F103" s="38">
        <v>6.7105263157894723E-2</v>
      </c>
      <c r="G103" s="38">
        <v>0.1826578947368421</v>
      </c>
    </row>
    <row r="104" spans="1:7">
      <c r="A104" s="29" t="s">
        <v>35</v>
      </c>
      <c r="B104" s="153">
        <v>46.5</v>
      </c>
      <c r="C104" s="30">
        <f t="shared" si="1"/>
        <v>45.6</v>
      </c>
      <c r="D104" s="14">
        <v>0.44329032258064516</v>
      </c>
      <c r="E104" s="14">
        <v>6.5974193548387086E-2</v>
      </c>
      <c r="F104" s="38">
        <v>7.3548387096774179E-2</v>
      </c>
      <c r="G104" s="38">
        <v>0.18686451612903224</v>
      </c>
    </row>
    <row r="105" spans="1:7">
      <c r="A105" s="29" t="s">
        <v>36</v>
      </c>
      <c r="B105" s="153">
        <v>47.4</v>
      </c>
      <c r="C105" s="30">
        <f t="shared" si="1"/>
        <v>46.5</v>
      </c>
      <c r="D105" s="14">
        <v>0.45386075949367088</v>
      </c>
      <c r="E105" s="14">
        <v>7.23164556962025E-2</v>
      </c>
      <c r="F105" s="38">
        <v>7.9746835443037942E-2</v>
      </c>
      <c r="G105" s="38">
        <v>0.19091139240506327</v>
      </c>
    </row>
    <row r="106" spans="1:7">
      <c r="A106" s="29" t="s">
        <v>37</v>
      </c>
      <c r="B106" s="53">
        <v>49.1</v>
      </c>
      <c r="C106" s="30">
        <f t="shared" si="1"/>
        <v>47.4</v>
      </c>
      <c r="D106" s="14">
        <v>0.47276985743380856</v>
      </c>
      <c r="E106" s="14">
        <v>8.3661914460285119E-2</v>
      </c>
      <c r="F106" s="38">
        <v>9.0835030549898152E-2</v>
      </c>
      <c r="G106" s="38">
        <v>0.19815071283095723</v>
      </c>
    </row>
    <row r="107" spans="1:7">
      <c r="A107" s="29" t="s">
        <v>38</v>
      </c>
      <c r="B107" s="53">
        <v>50.4</v>
      </c>
      <c r="C107" s="30">
        <f t="shared" si="1"/>
        <v>49.1</v>
      </c>
      <c r="D107" s="14">
        <v>0.48636904761904759</v>
      </c>
      <c r="E107" s="14">
        <v>9.1821428571428554E-2</v>
      </c>
      <c r="F107" s="38">
        <v>9.8809523809523792E-2</v>
      </c>
      <c r="G107" s="38">
        <v>0.20335714285714288</v>
      </c>
    </row>
    <row r="108" spans="1:7">
      <c r="A108" s="29" t="s">
        <v>39</v>
      </c>
      <c r="B108" s="53">
        <v>52.4</v>
      </c>
      <c r="C108" s="30">
        <f t="shared" si="1"/>
        <v>50.4</v>
      </c>
      <c r="D108" s="14">
        <v>0.50597328244274808</v>
      </c>
      <c r="E108" s="14">
        <v>0.10358396946564884</v>
      </c>
      <c r="F108" s="38">
        <v>0.11030534351145035</v>
      </c>
      <c r="G108" s="38">
        <v>0.21086259541984734</v>
      </c>
    </row>
    <row r="109" spans="1:7">
      <c r="A109" s="29" t="s">
        <v>40</v>
      </c>
      <c r="B109" s="53">
        <v>53.2</v>
      </c>
      <c r="C109" s="30">
        <f t="shared" si="1"/>
        <v>52.4</v>
      </c>
      <c r="D109" s="14">
        <v>0.5134022556390978</v>
      </c>
      <c r="E109" s="14">
        <v>0.10804135338345866</v>
      </c>
      <c r="F109" s="38">
        <v>0.11466165413533835</v>
      </c>
      <c r="G109" s="38">
        <v>0.21370676691729323</v>
      </c>
    </row>
    <row r="110" spans="1:7">
      <c r="A110" s="29" t="s">
        <v>41</v>
      </c>
      <c r="B110" s="153">
        <v>54</v>
      </c>
      <c r="C110" s="30">
        <f t="shared" si="1"/>
        <v>53.2</v>
      </c>
      <c r="D110" s="14">
        <v>0.52061111111111114</v>
      </c>
      <c r="E110" s="14">
        <v>0.11236666666666666</v>
      </c>
      <c r="F110" s="38">
        <v>0.11888888888888888</v>
      </c>
      <c r="G110" s="38">
        <v>0.2164666666666667</v>
      </c>
    </row>
    <row r="111" spans="1:7">
      <c r="A111" s="29" t="s">
        <v>42</v>
      </c>
      <c r="B111" s="53">
        <v>55.8</v>
      </c>
      <c r="C111" s="30">
        <f t="shared" si="1"/>
        <v>54</v>
      </c>
      <c r="D111" s="14">
        <v>0.53607526881720424</v>
      </c>
      <c r="E111" s="14">
        <v>0.12164516129032255</v>
      </c>
      <c r="F111" s="38">
        <v>0.1279569892473118</v>
      </c>
      <c r="G111" s="38">
        <v>0.22238709677419358</v>
      </c>
    </row>
    <row r="112" spans="1:7">
      <c r="A112" s="29" t="s">
        <v>43</v>
      </c>
      <c r="B112" s="153">
        <v>58</v>
      </c>
      <c r="C112" s="30">
        <f t="shared" si="1"/>
        <v>55.8</v>
      </c>
      <c r="D112" s="14">
        <v>0.55367241379310339</v>
      </c>
      <c r="E112" s="14">
        <v>0.13220344827586206</v>
      </c>
      <c r="F112" s="38">
        <v>0.1382758620689655</v>
      </c>
      <c r="G112" s="38">
        <v>0.2291241379310345</v>
      </c>
    </row>
    <row r="113" spans="1:7">
      <c r="A113" s="29" t="s">
        <v>44</v>
      </c>
      <c r="B113" s="53">
        <v>60.6</v>
      </c>
      <c r="C113" s="30">
        <f t="shared" si="1"/>
        <v>58</v>
      </c>
      <c r="D113" s="14">
        <v>0.57282178217821778</v>
      </c>
      <c r="E113" s="14">
        <v>0.14369306930693068</v>
      </c>
      <c r="F113" s="38">
        <v>0.14950495049504947</v>
      </c>
      <c r="G113" s="38">
        <v>0.23645544554455447</v>
      </c>
    </row>
    <row r="114" spans="1:7">
      <c r="A114" s="29" t="s">
        <v>45</v>
      </c>
      <c r="B114" s="53">
        <v>62.5</v>
      </c>
      <c r="C114" s="30">
        <f t="shared" si="1"/>
        <v>60.6</v>
      </c>
      <c r="D114" s="14">
        <v>0.585808</v>
      </c>
      <c r="E114" s="14">
        <v>0.1514848</v>
      </c>
      <c r="F114" s="38">
        <v>0.15711999999999998</v>
      </c>
      <c r="G114" s="38">
        <v>0.24142720000000001</v>
      </c>
    </row>
    <row r="115" spans="1:7">
      <c r="A115" s="29" t="s">
        <v>46</v>
      </c>
      <c r="B115" s="153">
        <v>65.099999999999994</v>
      </c>
      <c r="C115" s="30">
        <f t="shared" si="1"/>
        <v>62.5</v>
      </c>
      <c r="D115" s="14">
        <v>0.60235023041474656</v>
      </c>
      <c r="E115" s="14">
        <v>0.16141013824884787</v>
      </c>
      <c r="F115" s="38">
        <v>0.16682027649769582</v>
      </c>
      <c r="G115" s="38">
        <v>0.24776036866359444</v>
      </c>
    </row>
    <row r="116" spans="1:7">
      <c r="A116" s="29" t="s">
        <v>47</v>
      </c>
      <c r="B116" s="53">
        <v>67.5</v>
      </c>
      <c r="C116" s="30">
        <f t="shared" si="1"/>
        <v>65.099999999999994</v>
      </c>
      <c r="D116" s="14">
        <v>0.61648888888888886</v>
      </c>
      <c r="E116" s="14">
        <v>0.16989333333333334</v>
      </c>
      <c r="F116" s="38">
        <v>0.17511111111111111</v>
      </c>
      <c r="G116" s="38">
        <v>0.25317333333333331</v>
      </c>
    </row>
    <row r="117" spans="1:7">
      <c r="A117" s="29" t="s">
        <v>48</v>
      </c>
      <c r="B117" s="153">
        <v>72</v>
      </c>
      <c r="C117" s="30">
        <f t="shared" si="1"/>
        <v>67.5</v>
      </c>
      <c r="D117" s="14">
        <v>0.64045833333333335</v>
      </c>
      <c r="E117" s="14">
        <v>0.18427500000000002</v>
      </c>
      <c r="F117" s="38">
        <v>0.18916666666666665</v>
      </c>
      <c r="G117" s="38">
        <v>0.26234999999999997</v>
      </c>
    </row>
    <row r="118" spans="1:7">
      <c r="A118" s="29" t="s">
        <v>49</v>
      </c>
      <c r="B118" s="153">
        <v>76.900000000000006</v>
      </c>
      <c r="C118" s="30">
        <f t="shared" si="1"/>
        <v>72</v>
      </c>
      <c r="D118" s="14">
        <v>0.66336801040312099</v>
      </c>
      <c r="E118" s="14">
        <v>0.19802080624187257</v>
      </c>
      <c r="F118" s="38">
        <v>0.20260078023407024</v>
      </c>
      <c r="G118" s="38">
        <v>0.27112093628088429</v>
      </c>
    </row>
    <row r="119" spans="1:7">
      <c r="A119" s="29" t="s">
        <v>50</v>
      </c>
      <c r="B119" s="53">
        <v>80.5</v>
      </c>
      <c r="C119" s="30">
        <f t="shared" si="1"/>
        <v>76.900000000000006</v>
      </c>
      <c r="D119" s="14">
        <v>0.67842236024844715</v>
      </c>
      <c r="E119" s="14">
        <v>0.20705341614906833</v>
      </c>
      <c r="F119" s="38">
        <v>0.21142857142857141</v>
      </c>
      <c r="G119" s="38">
        <v>0.27688447204968947</v>
      </c>
    </row>
    <row r="120" spans="1:7">
      <c r="A120" s="29" t="s">
        <v>51</v>
      </c>
      <c r="B120" s="53">
        <v>87.3</v>
      </c>
      <c r="C120" s="30">
        <f t="shared" si="1"/>
        <v>80.5</v>
      </c>
      <c r="D120" s="14">
        <v>0.70347079037800686</v>
      </c>
      <c r="E120" s="14">
        <v>0.22208247422680411</v>
      </c>
      <c r="F120" s="38">
        <v>0.22611683848797251</v>
      </c>
      <c r="G120" s="38">
        <v>0.28647422680412371</v>
      </c>
    </row>
    <row r="121" spans="1:7">
      <c r="A121" s="29" t="s">
        <v>52</v>
      </c>
      <c r="B121" s="153">
        <v>115</v>
      </c>
      <c r="C121" s="30">
        <f t="shared" si="1"/>
        <v>87.3</v>
      </c>
      <c r="D121" s="14">
        <v>0.77489565217391299</v>
      </c>
      <c r="E121" s="14">
        <v>0.26493739130434779</v>
      </c>
      <c r="F121" s="38">
        <v>0.26800000000000002</v>
      </c>
      <c r="G121" s="38">
        <v>0.3138191304347826</v>
      </c>
    </row>
    <row r="122" spans="1:7">
      <c r="A122" s="29" t="s">
        <v>53</v>
      </c>
      <c r="B122" s="53">
        <v>137.5</v>
      </c>
      <c r="C122" s="30">
        <f>B121</f>
        <v>115</v>
      </c>
      <c r="D122" s="14">
        <v>0.81173090909090906</v>
      </c>
      <c r="E122" s="14">
        <v>0.28703854545454544</v>
      </c>
      <c r="F122" s="38">
        <v>0.28960000000000002</v>
      </c>
      <c r="G122" s="38">
        <v>0.32792145454545452</v>
      </c>
    </row>
    <row r="123" spans="1:7">
      <c r="A123" s="29" t="s">
        <v>53</v>
      </c>
      <c r="B123" s="29" t="s">
        <v>144</v>
      </c>
      <c r="C123" s="30">
        <f t="shared" si="1"/>
        <v>137.5</v>
      </c>
      <c r="D123" s="11" t="s">
        <v>81</v>
      </c>
      <c r="E123" s="11"/>
      <c r="F123" s="39"/>
      <c r="G123" s="39"/>
    </row>
    <row r="124" spans="1:7">
      <c r="A124" s="29"/>
      <c r="B124" s="29"/>
      <c r="C124" s="29"/>
      <c r="D124" s="11"/>
      <c r="E124" s="32">
        <v>7.1696824510963597E-2</v>
      </c>
      <c r="F124" s="40">
        <v>7.5215067822282503E-2</v>
      </c>
      <c r="G124" s="40">
        <v>0.15385778869217495</v>
      </c>
    </row>
    <row r="125" spans="1:7" ht="60">
      <c r="A125" s="33" t="s">
        <v>55</v>
      </c>
      <c r="B125" s="154">
        <v>27.53</v>
      </c>
      <c r="C125" s="29"/>
      <c r="D125" s="11"/>
      <c r="F125" s="41">
        <v>42.166666666666671</v>
      </c>
      <c r="G125" s="42">
        <v>27.53</v>
      </c>
    </row>
    <row r="126" spans="1:7" ht="60">
      <c r="A126" s="33" t="s">
        <v>56</v>
      </c>
      <c r="B126" s="154">
        <v>47.9</v>
      </c>
      <c r="C126" s="29"/>
      <c r="D126" s="11"/>
      <c r="E126" s="222">
        <v>43.145000000000003</v>
      </c>
      <c r="F126" s="39"/>
      <c r="G126" s="39"/>
    </row>
    <row r="127" spans="1:7" ht="96.75">
      <c r="A127" s="35" t="s">
        <v>57</v>
      </c>
      <c r="B127" s="29">
        <v>16.5</v>
      </c>
      <c r="C127" s="29"/>
      <c r="D127" s="11"/>
      <c r="E127" s="222">
        <v>25.887</v>
      </c>
      <c r="F127" s="39">
        <v>25.3</v>
      </c>
      <c r="G127" s="39">
        <v>16.518000000000001</v>
      </c>
    </row>
    <row r="129" spans="1:7" ht="60.75" thickBot="1">
      <c r="A129" s="5" t="s">
        <v>56</v>
      </c>
      <c r="B129">
        <f>B126</f>
        <v>47.9</v>
      </c>
    </row>
    <row r="130" spans="1:7">
      <c r="A130" s="16" t="s">
        <v>64</v>
      </c>
      <c r="B130" s="17">
        <f>AVERAGE(B78:B117)</f>
        <v>43.145000000000003</v>
      </c>
      <c r="C130" s="17"/>
    </row>
    <row r="131" spans="1:7">
      <c r="A131" s="16" t="s">
        <v>65</v>
      </c>
      <c r="B131" s="18">
        <f>AVERAGE(B83:B112)</f>
        <v>42.166666666666671</v>
      </c>
      <c r="C131" s="18"/>
    </row>
    <row r="132" spans="1:7">
      <c r="A132" s="16" t="s">
        <v>66</v>
      </c>
      <c r="B132" s="18">
        <f>AVERAGE(B89:B107)</f>
        <v>42.0421052631579</v>
      </c>
      <c r="C132" s="18"/>
    </row>
    <row r="134" spans="1:7">
      <c r="A134" s="473" t="s">
        <v>0</v>
      </c>
      <c r="B134" s="473" t="s">
        <v>78</v>
      </c>
      <c r="C134" s="473"/>
      <c r="D134" s="473"/>
      <c r="E134" s="40">
        <f>(1-E189)^(1/3)-1</f>
        <v>0</v>
      </c>
      <c r="F134" s="40">
        <f>(1-F189)^(1/3)-1</f>
        <v>0</v>
      </c>
      <c r="G134" s="40"/>
    </row>
    <row r="135" spans="1:7" ht="72">
      <c r="A135" s="473"/>
      <c r="B135" s="11" t="s">
        <v>4</v>
      </c>
      <c r="C135" s="254"/>
      <c r="D135" s="11" t="s">
        <v>80</v>
      </c>
      <c r="E135" s="11" t="s">
        <v>5</v>
      </c>
      <c r="F135" s="39" t="s">
        <v>5</v>
      </c>
      <c r="G135" s="39"/>
    </row>
    <row r="136" spans="1:7" ht="24">
      <c r="A136" s="473"/>
      <c r="B136" s="11" t="s">
        <v>9</v>
      </c>
      <c r="C136" s="254"/>
      <c r="D136" s="11" t="s">
        <v>7</v>
      </c>
      <c r="E136" s="11" t="s">
        <v>7</v>
      </c>
      <c r="F136" s="39" t="s">
        <v>7</v>
      </c>
      <c r="G136" s="39"/>
    </row>
    <row r="137" spans="1:7">
      <c r="A137" s="50">
        <v>1</v>
      </c>
      <c r="B137" s="51">
        <v>2</v>
      </c>
      <c r="C137" s="51"/>
      <c r="D137" s="51">
        <v>3</v>
      </c>
      <c r="E137" s="51">
        <v>4</v>
      </c>
      <c r="F137" s="52">
        <v>5</v>
      </c>
      <c r="G137" s="52"/>
    </row>
    <row r="138" spans="1:7">
      <c r="A138" s="27" t="s">
        <v>10</v>
      </c>
      <c r="B138" s="223"/>
      <c r="C138" s="255">
        <v>0</v>
      </c>
      <c r="D138" s="14">
        <f t="shared" ref="D138:D186" si="2">IF(B138=0,0,IF(B138&lt;=E$192,0,B138-E$192)/B138)</f>
        <v>0</v>
      </c>
      <c r="E138" s="14"/>
      <c r="F138" s="38"/>
      <c r="G138" s="38"/>
    </row>
    <row r="139" spans="1:7">
      <c r="A139" s="27" t="s">
        <v>58</v>
      </c>
      <c r="B139" s="223"/>
      <c r="C139" s="30">
        <f>B138</f>
        <v>0</v>
      </c>
      <c r="D139" s="14">
        <f t="shared" si="2"/>
        <v>0</v>
      </c>
      <c r="E139" s="14"/>
      <c r="F139" s="38"/>
      <c r="G139" s="38"/>
    </row>
    <row r="140" spans="1:7">
      <c r="A140" s="27" t="s">
        <v>59</v>
      </c>
      <c r="B140" s="223"/>
      <c r="C140" s="30">
        <f t="shared" ref="C140:C188" si="3">B139</f>
        <v>0</v>
      </c>
      <c r="D140" s="14">
        <f t="shared" si="2"/>
        <v>0</v>
      </c>
      <c r="E140" s="14"/>
      <c r="F140" s="38"/>
      <c r="G140" s="38"/>
    </row>
    <row r="141" spans="1:7">
      <c r="A141" s="27" t="s">
        <v>60</v>
      </c>
      <c r="B141" s="223"/>
      <c r="C141" s="30">
        <f t="shared" si="3"/>
        <v>0</v>
      </c>
      <c r="D141" s="14">
        <f t="shared" si="2"/>
        <v>0</v>
      </c>
      <c r="E141" s="14"/>
      <c r="F141" s="38"/>
      <c r="G141" s="38"/>
    </row>
    <row r="142" spans="1:7">
      <c r="A142" s="27" t="s">
        <v>61</v>
      </c>
      <c r="B142" s="223"/>
      <c r="C142" s="30">
        <f t="shared" si="3"/>
        <v>0</v>
      </c>
      <c r="D142" s="14">
        <f t="shared" si="2"/>
        <v>0</v>
      </c>
      <c r="E142" s="14"/>
      <c r="F142" s="38"/>
      <c r="G142" s="38"/>
    </row>
    <row r="143" spans="1:7">
      <c r="A143" s="27" t="s">
        <v>62</v>
      </c>
      <c r="B143" s="223"/>
      <c r="C143" s="30">
        <f t="shared" si="3"/>
        <v>0</v>
      </c>
      <c r="D143" s="14">
        <f t="shared" si="2"/>
        <v>0</v>
      </c>
      <c r="E143" s="14"/>
      <c r="F143" s="38"/>
      <c r="G143" s="38"/>
    </row>
    <row r="144" spans="1:7">
      <c r="A144" s="27" t="s">
        <v>63</v>
      </c>
      <c r="B144" s="223"/>
      <c r="C144" s="30">
        <f t="shared" si="3"/>
        <v>0</v>
      </c>
      <c r="D144" s="14">
        <f t="shared" si="2"/>
        <v>0</v>
      </c>
      <c r="E144" s="14"/>
      <c r="F144" s="38"/>
      <c r="G144" s="38"/>
    </row>
    <row r="145" spans="1:7">
      <c r="A145" s="29" t="s">
        <v>11</v>
      </c>
      <c r="B145" s="223"/>
      <c r="C145" s="30">
        <f t="shared" si="3"/>
        <v>0</v>
      </c>
      <c r="D145" s="14">
        <f t="shared" si="2"/>
        <v>0</v>
      </c>
      <c r="E145" s="14"/>
      <c r="F145" s="38"/>
      <c r="G145" s="38"/>
    </row>
    <row r="146" spans="1:7">
      <c r="A146" s="29" t="s">
        <v>12</v>
      </c>
      <c r="B146" s="223"/>
      <c r="C146" s="30">
        <f t="shared" si="3"/>
        <v>0</v>
      </c>
      <c r="D146" s="14">
        <f t="shared" si="2"/>
        <v>0</v>
      </c>
      <c r="E146" s="14"/>
      <c r="F146" s="38"/>
      <c r="G146" s="38"/>
    </row>
    <row r="147" spans="1:7">
      <c r="A147" s="29" t="s">
        <v>13</v>
      </c>
      <c r="B147" s="223"/>
      <c r="C147" s="30">
        <f t="shared" si="3"/>
        <v>0</v>
      </c>
      <c r="D147" s="14">
        <f t="shared" si="2"/>
        <v>0</v>
      </c>
      <c r="E147" s="14"/>
      <c r="F147" s="38"/>
      <c r="G147" s="38"/>
    </row>
    <row r="148" spans="1:7">
      <c r="A148" s="29" t="s">
        <v>14</v>
      </c>
      <c r="B148" s="223"/>
      <c r="C148" s="30">
        <f t="shared" si="3"/>
        <v>0</v>
      </c>
      <c r="D148" s="14">
        <f t="shared" si="2"/>
        <v>0</v>
      </c>
      <c r="E148" s="14"/>
      <c r="F148" s="38"/>
      <c r="G148" s="38"/>
    </row>
    <row r="149" spans="1:7">
      <c r="A149" s="29" t="s">
        <v>15</v>
      </c>
      <c r="B149" s="223"/>
      <c r="C149" s="30">
        <f t="shared" si="3"/>
        <v>0</v>
      </c>
      <c r="D149" s="14">
        <f t="shared" si="2"/>
        <v>0</v>
      </c>
      <c r="E149" s="14"/>
      <c r="F149" s="38"/>
      <c r="G149" s="38"/>
    </row>
    <row r="150" spans="1:7">
      <c r="A150" s="29" t="s">
        <v>16</v>
      </c>
      <c r="B150" s="223"/>
      <c r="C150" s="30">
        <f t="shared" si="3"/>
        <v>0</v>
      </c>
      <c r="D150" s="14">
        <f t="shared" si="2"/>
        <v>0</v>
      </c>
      <c r="E150" s="14"/>
      <c r="F150" s="38"/>
      <c r="G150" s="38"/>
    </row>
    <row r="151" spans="1:7">
      <c r="A151" s="29" t="s">
        <v>17</v>
      </c>
      <c r="B151" s="223"/>
      <c r="C151" s="30">
        <f t="shared" si="3"/>
        <v>0</v>
      </c>
      <c r="D151" s="14">
        <f t="shared" si="2"/>
        <v>0</v>
      </c>
      <c r="E151" s="14"/>
      <c r="F151" s="38"/>
      <c r="G151" s="38"/>
    </row>
    <row r="152" spans="1:7">
      <c r="A152" s="29" t="s">
        <v>18</v>
      </c>
      <c r="B152" s="223"/>
      <c r="C152" s="30">
        <f t="shared" si="3"/>
        <v>0</v>
      </c>
      <c r="D152" s="14">
        <f t="shared" si="2"/>
        <v>0</v>
      </c>
      <c r="E152" s="14"/>
      <c r="F152" s="38"/>
      <c r="G152" s="38"/>
    </row>
    <row r="153" spans="1:7">
      <c r="A153" s="29" t="s">
        <v>19</v>
      </c>
      <c r="B153" s="223"/>
      <c r="C153" s="30">
        <f t="shared" si="3"/>
        <v>0</v>
      </c>
      <c r="D153" s="14">
        <f t="shared" si="2"/>
        <v>0</v>
      </c>
      <c r="E153" s="14"/>
      <c r="F153" s="38"/>
      <c r="G153" s="38"/>
    </row>
    <row r="154" spans="1:7">
      <c r="A154" s="29" t="s">
        <v>20</v>
      </c>
      <c r="B154" s="223"/>
      <c r="C154" s="30">
        <f t="shared" si="3"/>
        <v>0</v>
      </c>
      <c r="D154" s="14">
        <f t="shared" si="2"/>
        <v>0</v>
      </c>
      <c r="E154" s="14"/>
      <c r="F154" s="38"/>
      <c r="G154" s="38"/>
    </row>
    <row r="155" spans="1:7">
      <c r="A155" s="29" t="s">
        <v>21</v>
      </c>
      <c r="B155" s="223"/>
      <c r="C155" s="30">
        <f t="shared" si="3"/>
        <v>0</v>
      </c>
      <c r="D155" s="14">
        <f t="shared" si="2"/>
        <v>0</v>
      </c>
      <c r="E155" s="14"/>
      <c r="F155" s="38"/>
      <c r="G155" s="38"/>
    </row>
    <row r="156" spans="1:7">
      <c r="A156" s="29" t="s">
        <v>22</v>
      </c>
      <c r="B156" s="223"/>
      <c r="C156" s="30">
        <f t="shared" si="3"/>
        <v>0</v>
      </c>
      <c r="D156" s="14">
        <f t="shared" si="2"/>
        <v>0</v>
      </c>
      <c r="E156" s="14"/>
      <c r="F156" s="38"/>
      <c r="G156" s="38"/>
    </row>
    <row r="157" spans="1:7">
      <c r="A157" s="29" t="s">
        <v>23</v>
      </c>
      <c r="B157" s="223"/>
      <c r="C157" s="30">
        <f t="shared" si="3"/>
        <v>0</v>
      </c>
      <c r="D157" s="14">
        <f t="shared" si="2"/>
        <v>0</v>
      </c>
      <c r="E157" s="14"/>
      <c r="F157" s="38"/>
      <c r="G157" s="38"/>
    </row>
    <row r="158" spans="1:7">
      <c r="A158" s="29" t="s">
        <v>24</v>
      </c>
      <c r="B158" s="223"/>
      <c r="C158" s="30">
        <f t="shared" si="3"/>
        <v>0</v>
      </c>
      <c r="D158" s="14">
        <f t="shared" si="2"/>
        <v>0</v>
      </c>
      <c r="E158" s="14"/>
      <c r="F158" s="38"/>
      <c r="G158" s="38"/>
    </row>
    <row r="159" spans="1:7">
      <c r="A159" s="29" t="s">
        <v>25</v>
      </c>
      <c r="B159" s="223"/>
      <c r="C159" s="30">
        <f t="shared" si="3"/>
        <v>0</v>
      </c>
      <c r="D159" s="14">
        <f t="shared" si="2"/>
        <v>0</v>
      </c>
      <c r="E159" s="14"/>
      <c r="F159" s="38"/>
      <c r="G159" s="38"/>
    </row>
    <row r="160" spans="1:7">
      <c r="A160" s="29" t="s">
        <v>26</v>
      </c>
      <c r="B160" s="223"/>
      <c r="C160" s="30">
        <f t="shared" si="3"/>
        <v>0</v>
      </c>
      <c r="D160" s="14">
        <f t="shared" si="2"/>
        <v>0</v>
      </c>
      <c r="E160" s="14"/>
      <c r="F160" s="38"/>
      <c r="G160" s="38"/>
    </row>
    <row r="161" spans="1:7">
      <c r="A161" s="29" t="s">
        <v>27</v>
      </c>
      <c r="B161" s="223"/>
      <c r="C161" s="30">
        <f t="shared" si="3"/>
        <v>0</v>
      </c>
      <c r="D161" s="14">
        <f t="shared" si="2"/>
        <v>0</v>
      </c>
      <c r="E161" s="14"/>
      <c r="F161" s="38"/>
      <c r="G161" s="38"/>
    </row>
    <row r="162" spans="1:7">
      <c r="A162" s="29" t="s">
        <v>28</v>
      </c>
      <c r="B162" s="223"/>
      <c r="C162" s="30">
        <f t="shared" si="3"/>
        <v>0</v>
      </c>
      <c r="D162" s="14">
        <f t="shared" si="2"/>
        <v>0</v>
      </c>
      <c r="E162" s="14"/>
      <c r="F162" s="38"/>
      <c r="G162" s="38"/>
    </row>
    <row r="163" spans="1:7">
      <c r="A163" s="29" t="s">
        <v>29</v>
      </c>
      <c r="B163" s="223"/>
      <c r="C163" s="30">
        <f t="shared" si="3"/>
        <v>0</v>
      </c>
      <c r="D163" s="14">
        <f t="shared" si="2"/>
        <v>0</v>
      </c>
      <c r="E163" s="14"/>
      <c r="F163" s="38"/>
      <c r="G163" s="38"/>
    </row>
    <row r="164" spans="1:7">
      <c r="A164" s="29" t="s">
        <v>30</v>
      </c>
      <c r="B164" s="223"/>
      <c r="C164" s="30">
        <f t="shared" si="3"/>
        <v>0</v>
      </c>
      <c r="D164" s="14">
        <f t="shared" si="2"/>
        <v>0</v>
      </c>
      <c r="E164" s="14"/>
      <c r="F164" s="38"/>
      <c r="G164" s="38"/>
    </row>
    <row r="165" spans="1:7">
      <c r="A165" s="29" t="s">
        <v>31</v>
      </c>
      <c r="B165" s="223"/>
      <c r="C165" s="30">
        <f t="shared" si="3"/>
        <v>0</v>
      </c>
      <c r="D165" s="14">
        <f t="shared" si="2"/>
        <v>0</v>
      </c>
      <c r="E165" s="14"/>
      <c r="F165" s="38"/>
      <c r="G165" s="38"/>
    </row>
    <row r="166" spans="1:7">
      <c r="A166" s="29" t="s">
        <v>32</v>
      </c>
      <c r="B166" s="223"/>
      <c r="C166" s="30">
        <f t="shared" si="3"/>
        <v>0</v>
      </c>
      <c r="D166" s="14">
        <f t="shared" si="2"/>
        <v>0</v>
      </c>
      <c r="E166" s="14"/>
      <c r="F166" s="38"/>
      <c r="G166" s="38"/>
    </row>
    <row r="167" spans="1:7">
      <c r="A167" s="29" t="s">
        <v>33</v>
      </c>
      <c r="B167" s="223"/>
      <c r="C167" s="30">
        <f t="shared" si="3"/>
        <v>0</v>
      </c>
      <c r="D167" s="14">
        <f t="shared" si="2"/>
        <v>0</v>
      </c>
      <c r="E167" s="14"/>
      <c r="F167" s="38"/>
      <c r="G167" s="38"/>
    </row>
    <row r="168" spans="1:7">
      <c r="A168" s="29" t="s">
        <v>34</v>
      </c>
      <c r="B168" s="223"/>
      <c r="C168" s="30">
        <f t="shared" si="3"/>
        <v>0</v>
      </c>
      <c r="D168" s="14">
        <f t="shared" si="2"/>
        <v>0</v>
      </c>
      <c r="E168" s="14"/>
      <c r="F168" s="38"/>
      <c r="G168" s="38"/>
    </row>
    <row r="169" spans="1:7">
      <c r="A169" s="29" t="s">
        <v>35</v>
      </c>
      <c r="B169" s="223"/>
      <c r="C169" s="30">
        <f t="shared" si="3"/>
        <v>0</v>
      </c>
      <c r="D169" s="14">
        <f t="shared" si="2"/>
        <v>0</v>
      </c>
      <c r="E169" s="14"/>
      <c r="F169" s="38"/>
      <c r="G169" s="38"/>
    </row>
    <row r="170" spans="1:7">
      <c r="A170" s="29" t="s">
        <v>36</v>
      </c>
      <c r="B170" s="223"/>
      <c r="C170" s="30">
        <f t="shared" si="3"/>
        <v>0</v>
      </c>
      <c r="D170" s="14">
        <f t="shared" si="2"/>
        <v>0</v>
      </c>
      <c r="E170" s="14"/>
      <c r="F170" s="38"/>
      <c r="G170" s="38"/>
    </row>
    <row r="171" spans="1:7">
      <c r="A171" s="29" t="s">
        <v>37</v>
      </c>
      <c r="B171" s="223"/>
      <c r="C171" s="30">
        <f t="shared" si="3"/>
        <v>0</v>
      </c>
      <c r="D171" s="14">
        <f t="shared" si="2"/>
        <v>0</v>
      </c>
      <c r="E171" s="14"/>
      <c r="F171" s="38"/>
      <c r="G171" s="38"/>
    </row>
    <row r="172" spans="1:7">
      <c r="A172" s="29" t="s">
        <v>38</v>
      </c>
      <c r="B172" s="223"/>
      <c r="C172" s="30">
        <f t="shared" si="3"/>
        <v>0</v>
      </c>
      <c r="D172" s="14">
        <f t="shared" si="2"/>
        <v>0</v>
      </c>
      <c r="E172" s="14"/>
      <c r="F172" s="38"/>
      <c r="G172" s="38"/>
    </row>
    <row r="173" spans="1:7">
      <c r="A173" s="29" t="s">
        <v>39</v>
      </c>
      <c r="B173" s="223"/>
      <c r="C173" s="30">
        <f t="shared" si="3"/>
        <v>0</v>
      </c>
      <c r="D173" s="14">
        <f t="shared" si="2"/>
        <v>0</v>
      </c>
      <c r="E173" s="14"/>
      <c r="F173" s="38"/>
      <c r="G173" s="38"/>
    </row>
    <row r="174" spans="1:7">
      <c r="A174" s="29" t="s">
        <v>40</v>
      </c>
      <c r="B174" s="223"/>
      <c r="C174" s="30">
        <f t="shared" si="3"/>
        <v>0</v>
      </c>
      <c r="D174" s="14">
        <f t="shared" si="2"/>
        <v>0</v>
      </c>
      <c r="E174" s="14"/>
      <c r="F174" s="38"/>
      <c r="G174" s="38"/>
    </row>
    <row r="175" spans="1:7">
      <c r="A175" s="29" t="s">
        <v>41</v>
      </c>
      <c r="B175" s="223"/>
      <c r="C175" s="30">
        <f t="shared" si="3"/>
        <v>0</v>
      </c>
      <c r="D175" s="14">
        <f t="shared" si="2"/>
        <v>0</v>
      </c>
      <c r="E175" s="14"/>
      <c r="F175" s="38"/>
      <c r="G175" s="38"/>
    </row>
    <row r="176" spans="1:7">
      <c r="A176" s="29" t="s">
        <v>42</v>
      </c>
      <c r="B176" s="223"/>
      <c r="C176" s="30">
        <f t="shared" si="3"/>
        <v>0</v>
      </c>
      <c r="D176" s="14">
        <f t="shared" si="2"/>
        <v>0</v>
      </c>
      <c r="E176" s="14"/>
      <c r="F176" s="38"/>
      <c r="G176" s="38"/>
    </row>
    <row r="177" spans="1:7">
      <c r="A177" s="29" t="s">
        <v>43</v>
      </c>
      <c r="B177" s="223"/>
      <c r="C177" s="30">
        <f t="shared" si="3"/>
        <v>0</v>
      </c>
      <c r="D177" s="14">
        <f t="shared" si="2"/>
        <v>0</v>
      </c>
      <c r="E177" s="14"/>
      <c r="F177" s="38"/>
      <c r="G177" s="38"/>
    </row>
    <row r="178" spans="1:7">
      <c r="A178" s="29" t="s">
        <v>44</v>
      </c>
      <c r="B178" s="223"/>
      <c r="C178" s="30">
        <f t="shared" si="3"/>
        <v>0</v>
      </c>
      <c r="D178" s="14">
        <f t="shared" si="2"/>
        <v>0</v>
      </c>
      <c r="E178" s="14"/>
      <c r="F178" s="38"/>
      <c r="G178" s="38"/>
    </row>
    <row r="179" spans="1:7">
      <c r="A179" s="29" t="s">
        <v>45</v>
      </c>
      <c r="B179" s="223"/>
      <c r="C179" s="30">
        <f t="shared" si="3"/>
        <v>0</v>
      </c>
      <c r="D179" s="14">
        <f t="shared" si="2"/>
        <v>0</v>
      </c>
      <c r="E179" s="14"/>
      <c r="F179" s="38"/>
      <c r="G179" s="38"/>
    </row>
    <row r="180" spans="1:7">
      <c r="A180" s="29" t="s">
        <v>46</v>
      </c>
      <c r="B180" s="223"/>
      <c r="C180" s="30">
        <f t="shared" si="3"/>
        <v>0</v>
      </c>
      <c r="D180" s="14">
        <f t="shared" si="2"/>
        <v>0</v>
      </c>
      <c r="E180" s="14"/>
      <c r="F180" s="38"/>
      <c r="G180" s="38"/>
    </row>
    <row r="181" spans="1:7">
      <c r="A181" s="29" t="s">
        <v>47</v>
      </c>
      <c r="B181" s="223"/>
      <c r="C181" s="30">
        <f t="shared" si="3"/>
        <v>0</v>
      </c>
      <c r="D181" s="14">
        <f t="shared" si="2"/>
        <v>0</v>
      </c>
      <c r="E181" s="14"/>
      <c r="F181" s="38"/>
      <c r="G181" s="38"/>
    </row>
    <row r="182" spans="1:7">
      <c r="A182" s="29" t="s">
        <v>48</v>
      </c>
      <c r="B182" s="223"/>
      <c r="C182" s="30">
        <f t="shared" si="3"/>
        <v>0</v>
      </c>
      <c r="D182" s="14">
        <f t="shared" si="2"/>
        <v>0</v>
      </c>
      <c r="E182" s="14"/>
      <c r="F182" s="38"/>
      <c r="G182" s="38"/>
    </row>
    <row r="183" spans="1:7">
      <c r="A183" s="29" t="s">
        <v>49</v>
      </c>
      <c r="B183" s="223"/>
      <c r="C183" s="30">
        <f t="shared" si="3"/>
        <v>0</v>
      </c>
      <c r="D183" s="14">
        <f t="shared" si="2"/>
        <v>0</v>
      </c>
      <c r="E183" s="14"/>
      <c r="F183" s="38"/>
      <c r="G183" s="38"/>
    </row>
    <row r="184" spans="1:7">
      <c r="A184" s="29" t="s">
        <v>50</v>
      </c>
      <c r="B184" s="223"/>
      <c r="C184" s="30">
        <f t="shared" si="3"/>
        <v>0</v>
      </c>
      <c r="D184" s="14">
        <f t="shared" si="2"/>
        <v>0</v>
      </c>
      <c r="E184" s="14"/>
      <c r="F184" s="38"/>
      <c r="G184" s="38"/>
    </row>
    <row r="185" spans="1:7">
      <c r="A185" s="29" t="s">
        <v>51</v>
      </c>
      <c r="B185" s="223"/>
      <c r="C185" s="30">
        <f t="shared" si="3"/>
        <v>0</v>
      </c>
      <c r="D185" s="14">
        <f t="shared" si="2"/>
        <v>0</v>
      </c>
      <c r="E185" s="14"/>
      <c r="F185" s="38"/>
      <c r="G185" s="38"/>
    </row>
    <row r="186" spans="1:7">
      <c r="A186" s="29" t="s">
        <v>52</v>
      </c>
      <c r="B186" s="223"/>
      <c r="C186" s="30">
        <f t="shared" si="3"/>
        <v>0</v>
      </c>
      <c r="D186" s="14">
        <f t="shared" si="2"/>
        <v>0</v>
      </c>
      <c r="E186" s="14"/>
      <c r="F186" s="38"/>
      <c r="G186" s="38"/>
    </row>
    <row r="187" spans="1:7">
      <c r="A187" s="29" t="s">
        <v>53</v>
      </c>
      <c r="B187" s="53"/>
      <c r="C187" s="30">
        <f>B186</f>
        <v>0</v>
      </c>
      <c r="D187" s="14">
        <f>IF(B187=0,0,IF(B187&lt;=E$192,0,B187-E$192)/B187)</f>
        <v>0</v>
      </c>
      <c r="E187" s="14"/>
      <c r="F187" s="38"/>
      <c r="G187" s="38"/>
    </row>
    <row r="188" spans="1:7">
      <c r="A188" s="29" t="s">
        <v>53</v>
      </c>
      <c r="B188" s="29" t="s">
        <v>145</v>
      </c>
      <c r="C188" s="30">
        <f t="shared" si="3"/>
        <v>0</v>
      </c>
      <c r="D188" s="58"/>
      <c r="E188" s="11"/>
      <c r="F188" s="39"/>
      <c r="G188" s="39"/>
    </row>
    <row r="189" spans="1:7" ht="15.75" thickBot="1">
      <c r="A189" s="29"/>
      <c r="B189" s="29"/>
      <c r="C189" s="4"/>
      <c r="D189" s="58"/>
      <c r="E189" s="32"/>
      <c r="F189" s="40"/>
      <c r="G189" s="40"/>
    </row>
    <row r="190" spans="1:7" ht="60.75" thickBot="1">
      <c r="A190" s="33" t="s">
        <v>55</v>
      </c>
      <c r="B190" s="29">
        <v>0.9</v>
      </c>
      <c r="C190" s="4"/>
      <c r="D190" s="58"/>
      <c r="E190" s="34"/>
      <c r="F190" s="41"/>
      <c r="G190" s="42"/>
    </row>
    <row r="191" spans="1:7" ht="60.75" thickBot="1">
      <c r="A191" s="33" t="s">
        <v>56</v>
      </c>
      <c r="B191" s="29">
        <v>0.44</v>
      </c>
      <c r="C191" s="4"/>
      <c r="D191" s="11"/>
      <c r="E191" s="11"/>
      <c r="F191" s="39"/>
      <c r="G191" s="39"/>
    </row>
    <row r="192" spans="1:7" ht="97.5" thickBot="1">
      <c r="A192" s="35" t="s">
        <v>57</v>
      </c>
      <c r="B192" s="29">
        <v>0.5</v>
      </c>
      <c r="C192" s="4"/>
      <c r="D192" s="11"/>
      <c r="E192" s="11">
        <f>0.6*E190</f>
        <v>0</v>
      </c>
      <c r="F192" s="39">
        <f>0.6*F190</f>
        <v>0</v>
      </c>
      <c r="G192" s="39"/>
    </row>
    <row r="195" spans="1:7">
      <c r="A195" s="16" t="s">
        <v>64</v>
      </c>
      <c r="B195" s="17" t="e">
        <f>AVERAGE(B143:B182)</f>
        <v>#DIV/0!</v>
      </c>
      <c r="C195" s="17"/>
    </row>
    <row r="196" spans="1:7">
      <c r="A196" s="16" t="s">
        <v>65</v>
      </c>
      <c r="B196" s="18" t="e">
        <f>AVERAGE(B148:B177)</f>
        <v>#DIV/0!</v>
      </c>
      <c r="C196" s="18"/>
    </row>
    <row r="197" spans="1:7">
      <c r="A197" s="16" t="s">
        <v>66</v>
      </c>
      <c r="B197" s="18" t="e">
        <f>AVERAGE(B154:B172)</f>
        <v>#DIV/0!</v>
      </c>
      <c r="C197" s="18"/>
    </row>
    <row r="200" spans="1:7" ht="15" customHeight="1">
      <c r="A200" s="473" t="s">
        <v>0</v>
      </c>
      <c r="B200" s="529" t="s">
        <v>3</v>
      </c>
      <c r="C200" s="529"/>
      <c r="D200" s="529"/>
      <c r="E200" s="40">
        <f>(1-E255)^(1/3)-1</f>
        <v>-3.3562701019605234E-2</v>
      </c>
      <c r="F200" s="40">
        <f>(1-F255)^(1/3)-1</f>
        <v>-4.1232548570995453E-2</v>
      </c>
      <c r="G200" s="40"/>
    </row>
    <row r="201" spans="1:7" ht="72">
      <c r="A201" s="473"/>
      <c r="B201" s="11" t="s">
        <v>4</v>
      </c>
      <c r="C201" s="11"/>
      <c r="D201" s="11" t="s">
        <v>80</v>
      </c>
      <c r="E201" s="11" t="s">
        <v>5</v>
      </c>
      <c r="F201" s="39" t="s">
        <v>5</v>
      </c>
      <c r="G201" s="39"/>
    </row>
    <row r="202" spans="1:7" ht="24">
      <c r="A202" s="473"/>
      <c r="B202" s="11" t="s">
        <v>9</v>
      </c>
      <c r="C202" s="11"/>
      <c r="D202" s="11" t="s">
        <v>7</v>
      </c>
      <c r="E202" s="55" t="s">
        <v>65</v>
      </c>
      <c r="F202" s="39"/>
      <c r="G202" s="56"/>
    </row>
    <row r="203" spans="1:7">
      <c r="A203" s="50">
        <v>1</v>
      </c>
      <c r="B203" s="51">
        <v>2</v>
      </c>
      <c r="C203" s="51"/>
      <c r="D203" s="51">
        <v>3</v>
      </c>
      <c r="E203" s="51">
        <v>4</v>
      </c>
      <c r="F203" s="52">
        <v>5</v>
      </c>
      <c r="G203" s="52"/>
    </row>
    <row r="204" spans="1:7">
      <c r="A204" s="27" t="s">
        <v>10</v>
      </c>
      <c r="B204" s="57">
        <v>2E-3</v>
      </c>
      <c r="C204" s="163">
        <v>0</v>
      </c>
      <c r="D204" s="14">
        <v>0</v>
      </c>
      <c r="E204" s="14">
        <v>0</v>
      </c>
      <c r="F204" s="38">
        <v>0</v>
      </c>
      <c r="G204" s="38">
        <v>0</v>
      </c>
    </row>
    <row r="205" spans="1:7">
      <c r="A205" s="27" t="s">
        <v>58</v>
      </c>
      <c r="B205" s="57">
        <v>4.0000000000000001E-3</v>
      </c>
      <c r="C205" s="30">
        <f>B204</f>
        <v>2E-3</v>
      </c>
      <c r="D205" s="14">
        <v>0</v>
      </c>
      <c r="E205" s="14">
        <v>0</v>
      </c>
      <c r="F205" s="38">
        <v>0</v>
      </c>
      <c r="G205" s="38">
        <v>0</v>
      </c>
    </row>
    <row r="206" spans="1:7">
      <c r="A206" s="27" t="s">
        <v>59</v>
      </c>
      <c r="B206" s="57">
        <v>4.0000000000000001E-3</v>
      </c>
      <c r="C206" s="30">
        <f t="shared" ref="C206:C254" si="4">B205</f>
        <v>4.0000000000000001E-3</v>
      </c>
      <c r="D206" s="14">
        <v>0</v>
      </c>
      <c r="E206" s="14">
        <v>0</v>
      </c>
      <c r="F206" s="38">
        <v>0</v>
      </c>
      <c r="G206" s="38">
        <v>0</v>
      </c>
    </row>
    <row r="207" spans="1:7">
      <c r="A207" s="27" t="s">
        <v>60</v>
      </c>
      <c r="B207" s="57">
        <v>5.0000000000000001E-3</v>
      </c>
      <c r="C207" s="30">
        <f t="shared" si="4"/>
        <v>4.0000000000000001E-3</v>
      </c>
      <c r="D207" s="14">
        <v>0</v>
      </c>
      <c r="E207" s="14">
        <v>0</v>
      </c>
      <c r="F207" s="38">
        <v>0</v>
      </c>
      <c r="G207" s="38">
        <v>0</v>
      </c>
    </row>
    <row r="208" spans="1:7">
      <c r="A208" s="27" t="s">
        <v>61</v>
      </c>
      <c r="B208" s="57">
        <v>6.0000000000000001E-3</v>
      </c>
      <c r="C208" s="30">
        <f t="shared" si="4"/>
        <v>5.0000000000000001E-3</v>
      </c>
      <c r="D208" s="14">
        <v>0</v>
      </c>
      <c r="E208" s="14">
        <v>0</v>
      </c>
      <c r="F208" s="38">
        <v>0</v>
      </c>
      <c r="G208" s="38">
        <v>0</v>
      </c>
    </row>
    <row r="209" spans="1:7">
      <c r="A209" s="27" t="s">
        <v>62</v>
      </c>
      <c r="B209" s="57">
        <v>7.0000000000000001E-3</v>
      </c>
      <c r="C209" s="30">
        <f t="shared" si="4"/>
        <v>6.0000000000000001E-3</v>
      </c>
      <c r="D209" s="14">
        <v>0</v>
      </c>
      <c r="E209" s="14">
        <v>0</v>
      </c>
      <c r="F209" s="38">
        <v>0</v>
      </c>
      <c r="G209" s="38">
        <v>0</v>
      </c>
    </row>
    <row r="210" spans="1:7">
      <c r="A210" s="27" t="s">
        <v>63</v>
      </c>
      <c r="B210" s="57">
        <v>7.0000000000000001E-3</v>
      </c>
      <c r="C210" s="30">
        <f t="shared" si="4"/>
        <v>7.0000000000000001E-3</v>
      </c>
      <c r="D210" s="14">
        <v>0</v>
      </c>
      <c r="E210" s="14">
        <v>0</v>
      </c>
      <c r="F210" s="38">
        <v>0</v>
      </c>
      <c r="G210" s="38">
        <v>0</v>
      </c>
    </row>
    <row r="211" spans="1:7">
      <c r="A211" s="29" t="s">
        <v>11</v>
      </c>
      <c r="B211" s="57">
        <v>8.9999999999999993E-3</v>
      </c>
      <c r="C211" s="30">
        <f t="shared" si="4"/>
        <v>7.0000000000000001E-3</v>
      </c>
      <c r="D211" s="14">
        <v>0</v>
      </c>
      <c r="E211" s="14">
        <v>0</v>
      </c>
      <c r="F211" s="38">
        <v>0</v>
      </c>
      <c r="G211" s="38">
        <v>0</v>
      </c>
    </row>
    <row r="212" spans="1:7">
      <c r="A212" s="29" t="s">
        <v>12</v>
      </c>
      <c r="B212" s="169">
        <v>0.01</v>
      </c>
      <c r="C212" s="30">
        <f t="shared" si="4"/>
        <v>8.9999999999999993E-3</v>
      </c>
      <c r="D212" s="14">
        <v>0</v>
      </c>
      <c r="E212" s="14">
        <v>0</v>
      </c>
      <c r="F212" s="38">
        <v>0</v>
      </c>
      <c r="G212" s="38">
        <v>0</v>
      </c>
    </row>
    <row r="213" spans="1:7">
      <c r="A213" s="29" t="s">
        <v>13</v>
      </c>
      <c r="B213" s="57">
        <v>1.0999999999999999E-2</v>
      </c>
      <c r="C213" s="30">
        <f t="shared" si="4"/>
        <v>0.01</v>
      </c>
      <c r="D213" s="14">
        <v>0</v>
      </c>
      <c r="E213" s="14">
        <v>0</v>
      </c>
      <c r="F213" s="38">
        <v>0</v>
      </c>
      <c r="G213" s="38">
        <v>0</v>
      </c>
    </row>
    <row r="214" spans="1:7">
      <c r="A214" s="29" t="s">
        <v>14</v>
      </c>
      <c r="B214" s="169">
        <v>1.2E-2</v>
      </c>
      <c r="C214" s="30">
        <f t="shared" si="4"/>
        <v>1.0999999999999999E-2</v>
      </c>
      <c r="D214" s="14">
        <v>0</v>
      </c>
      <c r="E214" s="14">
        <v>0</v>
      </c>
      <c r="F214" s="38">
        <v>0</v>
      </c>
      <c r="G214" s="38">
        <v>0</v>
      </c>
    </row>
    <row r="215" spans="1:7">
      <c r="A215" s="29" t="s">
        <v>15</v>
      </c>
      <c r="B215" s="57">
        <v>1.2999999999999999E-2</v>
      </c>
      <c r="C215" s="30">
        <f t="shared" si="4"/>
        <v>1.2E-2</v>
      </c>
      <c r="D215" s="14">
        <v>0</v>
      </c>
      <c r="E215" s="14">
        <v>0</v>
      </c>
      <c r="F215" s="38">
        <v>0</v>
      </c>
      <c r="G215" s="38">
        <v>0</v>
      </c>
    </row>
    <row r="216" spans="1:7">
      <c r="A216" s="29" t="s">
        <v>16</v>
      </c>
      <c r="B216" s="57">
        <v>1.4E-2</v>
      </c>
      <c r="C216" s="30">
        <f t="shared" si="4"/>
        <v>1.2999999999999999E-2</v>
      </c>
      <c r="D216" s="14">
        <v>0</v>
      </c>
      <c r="E216" s="14">
        <v>0</v>
      </c>
      <c r="F216" s="38">
        <v>0</v>
      </c>
      <c r="G216" s="38">
        <v>0</v>
      </c>
    </row>
    <row r="217" spans="1:7">
      <c r="A217" s="29" t="s">
        <v>17</v>
      </c>
      <c r="B217" s="57">
        <v>1.4999999999999999E-2</v>
      </c>
      <c r="C217" s="30">
        <f t="shared" si="4"/>
        <v>1.4E-2</v>
      </c>
      <c r="D217" s="14">
        <v>0</v>
      </c>
      <c r="E217" s="14">
        <v>0</v>
      </c>
      <c r="F217" s="38">
        <v>0</v>
      </c>
      <c r="G217" s="38">
        <v>0</v>
      </c>
    </row>
    <row r="218" spans="1:7">
      <c r="A218" s="29" t="s">
        <v>18</v>
      </c>
      <c r="B218" s="57">
        <v>1.7000000000000001E-2</v>
      </c>
      <c r="C218" s="30">
        <f t="shared" si="4"/>
        <v>1.4999999999999999E-2</v>
      </c>
      <c r="D218" s="14">
        <v>0</v>
      </c>
      <c r="E218" s="14">
        <v>0</v>
      </c>
      <c r="F218" s="38">
        <v>0</v>
      </c>
      <c r="G218" s="38">
        <v>0</v>
      </c>
    </row>
    <row r="219" spans="1:7">
      <c r="A219" s="29" t="s">
        <v>19</v>
      </c>
      <c r="B219" s="57">
        <v>1.7999999999999999E-2</v>
      </c>
      <c r="C219" s="30">
        <f t="shared" si="4"/>
        <v>1.7000000000000001E-2</v>
      </c>
      <c r="D219" s="14">
        <v>0</v>
      </c>
      <c r="E219" s="14">
        <v>0</v>
      </c>
      <c r="F219" s="38">
        <v>0</v>
      </c>
      <c r="G219" s="38">
        <v>0</v>
      </c>
    </row>
    <row r="220" spans="1:7">
      <c r="A220" s="29" t="s">
        <v>20</v>
      </c>
      <c r="B220" s="169">
        <v>0.02</v>
      </c>
      <c r="C220" s="30">
        <f t="shared" si="4"/>
        <v>1.7999999999999999E-2</v>
      </c>
      <c r="D220" s="14">
        <v>0</v>
      </c>
      <c r="E220" s="14">
        <v>0</v>
      </c>
      <c r="F220" s="38">
        <v>0</v>
      </c>
      <c r="G220" s="38">
        <v>0</v>
      </c>
    </row>
    <row r="221" spans="1:7">
      <c r="A221" s="29" t="s">
        <v>21</v>
      </c>
      <c r="B221" s="57">
        <v>2.1000000000000001E-2</v>
      </c>
      <c r="C221" s="30">
        <f t="shared" si="4"/>
        <v>0.02</v>
      </c>
      <c r="D221" s="14">
        <v>0</v>
      </c>
      <c r="E221" s="14">
        <v>0</v>
      </c>
      <c r="F221" s="38">
        <v>0</v>
      </c>
      <c r="G221" s="38">
        <v>0</v>
      </c>
    </row>
    <row r="222" spans="1:7">
      <c r="A222" s="29" t="s">
        <v>22</v>
      </c>
      <c r="B222" s="57">
        <v>2.3E-2</v>
      </c>
      <c r="C222" s="30">
        <f t="shared" si="4"/>
        <v>2.1000000000000001E-2</v>
      </c>
      <c r="D222" s="14">
        <v>0</v>
      </c>
      <c r="E222" s="14">
        <v>0</v>
      </c>
      <c r="F222" s="38">
        <v>0</v>
      </c>
      <c r="G222" s="38">
        <v>0</v>
      </c>
    </row>
    <row r="223" spans="1:7">
      <c r="A223" s="29" t="s">
        <v>23</v>
      </c>
      <c r="B223" s="57">
        <v>2.5999999999999999E-2</v>
      </c>
      <c r="C223" s="30">
        <f t="shared" si="4"/>
        <v>2.3E-2</v>
      </c>
      <c r="D223" s="14">
        <v>0</v>
      </c>
      <c r="E223" s="14">
        <v>0</v>
      </c>
      <c r="F223" s="38">
        <v>0</v>
      </c>
      <c r="G223" s="38">
        <v>0</v>
      </c>
    </row>
    <row r="224" spans="1:7">
      <c r="A224" s="29" t="s">
        <v>24</v>
      </c>
      <c r="B224" s="57">
        <v>2.8000000000000001E-2</v>
      </c>
      <c r="C224" s="30">
        <f t="shared" si="4"/>
        <v>2.5999999999999999E-2</v>
      </c>
      <c r="D224" s="14">
        <v>0</v>
      </c>
      <c r="E224" s="14">
        <v>0</v>
      </c>
      <c r="F224" s="38">
        <v>0</v>
      </c>
      <c r="G224" s="38">
        <v>0</v>
      </c>
    </row>
    <row r="225" spans="1:7">
      <c r="A225" s="29" t="s">
        <v>25</v>
      </c>
      <c r="B225" s="57">
        <v>3.1E-2</v>
      </c>
      <c r="C225" s="30">
        <f t="shared" si="4"/>
        <v>2.8000000000000001E-2</v>
      </c>
      <c r="D225" s="14">
        <v>0</v>
      </c>
      <c r="E225" s="14">
        <v>0</v>
      </c>
      <c r="F225" s="38">
        <v>0</v>
      </c>
      <c r="G225" s="38">
        <v>0</v>
      </c>
    </row>
    <row r="226" spans="1:7">
      <c r="A226" s="29" t="s">
        <v>26</v>
      </c>
      <c r="B226" s="57">
        <v>3.4000000000000002E-2</v>
      </c>
      <c r="C226" s="30">
        <f t="shared" si="4"/>
        <v>3.1E-2</v>
      </c>
      <c r="D226" s="14">
        <v>0</v>
      </c>
      <c r="E226" s="14">
        <v>0</v>
      </c>
      <c r="F226" s="38">
        <v>0</v>
      </c>
      <c r="G226" s="38">
        <v>0</v>
      </c>
    </row>
    <row r="227" spans="1:7">
      <c r="A227" s="29" t="s">
        <v>27</v>
      </c>
      <c r="B227" s="169">
        <v>3.9E-2</v>
      </c>
      <c r="C227" s="30">
        <f t="shared" si="4"/>
        <v>3.4000000000000002E-2</v>
      </c>
      <c r="D227" s="14">
        <v>0</v>
      </c>
      <c r="E227" s="14">
        <v>0</v>
      </c>
      <c r="F227" s="38">
        <v>0</v>
      </c>
      <c r="G227" s="38">
        <v>0</v>
      </c>
    </row>
    <row r="228" spans="1:7">
      <c r="A228" s="29" t="s">
        <v>28</v>
      </c>
      <c r="B228" s="57">
        <v>4.4999999999999998E-2</v>
      </c>
      <c r="C228" s="30">
        <f t="shared" si="4"/>
        <v>3.9E-2</v>
      </c>
      <c r="D228" s="14">
        <v>0</v>
      </c>
      <c r="E228" s="14">
        <v>0</v>
      </c>
      <c r="F228" s="38">
        <v>0</v>
      </c>
      <c r="G228" s="38">
        <v>0</v>
      </c>
    </row>
    <row r="229" spans="1:7">
      <c r="A229" s="29" t="s">
        <v>29</v>
      </c>
      <c r="B229" s="57">
        <v>5.3999999999999999E-2</v>
      </c>
      <c r="C229" s="30">
        <f t="shared" si="4"/>
        <v>4.4999999999999998E-2</v>
      </c>
      <c r="D229" s="14">
        <v>0</v>
      </c>
      <c r="E229" s="14">
        <v>0</v>
      </c>
      <c r="F229" s="38">
        <v>0</v>
      </c>
      <c r="G229" s="38">
        <v>0</v>
      </c>
    </row>
    <row r="230" spans="1:7">
      <c r="A230" s="29" t="s">
        <v>30</v>
      </c>
      <c r="B230" s="169">
        <v>0.06</v>
      </c>
      <c r="C230" s="30">
        <f t="shared" si="4"/>
        <v>5.3999999999999999E-2</v>
      </c>
      <c r="D230" s="14">
        <v>0</v>
      </c>
      <c r="E230" s="14">
        <v>0</v>
      </c>
      <c r="F230" s="38">
        <v>0</v>
      </c>
      <c r="G230" s="38">
        <v>0</v>
      </c>
    </row>
    <row r="231" spans="1:7">
      <c r="A231" s="29" t="s">
        <v>31</v>
      </c>
      <c r="B231" s="57">
        <v>7.2999999999999995E-2</v>
      </c>
      <c r="C231" s="30">
        <f t="shared" si="4"/>
        <v>0.06</v>
      </c>
      <c r="D231" s="14">
        <v>0</v>
      </c>
      <c r="E231" s="14">
        <v>0</v>
      </c>
      <c r="F231" s="38">
        <v>0</v>
      </c>
      <c r="G231" s="38">
        <v>0</v>
      </c>
    </row>
    <row r="232" spans="1:7">
      <c r="A232" s="29" t="s">
        <v>32</v>
      </c>
      <c r="B232" s="195">
        <v>0.1</v>
      </c>
      <c r="C232" s="30">
        <f t="shared" si="4"/>
        <v>7.2999999999999995E-2</v>
      </c>
      <c r="D232" s="14">
        <v>0</v>
      </c>
      <c r="E232" s="14">
        <v>0</v>
      </c>
      <c r="F232" s="38">
        <v>0</v>
      </c>
      <c r="G232" s="38">
        <v>0</v>
      </c>
    </row>
    <row r="233" spans="1:7">
      <c r="A233" s="29" t="s">
        <v>33</v>
      </c>
      <c r="B233" s="57">
        <v>0.17</v>
      </c>
      <c r="C233" s="30">
        <f t="shared" si="4"/>
        <v>0.1</v>
      </c>
      <c r="D233" s="14">
        <v>0</v>
      </c>
      <c r="E233" s="14">
        <v>0</v>
      </c>
      <c r="F233" s="38">
        <v>0</v>
      </c>
      <c r="G233" s="38">
        <v>0</v>
      </c>
    </row>
    <row r="234" spans="1:7">
      <c r="A234" s="29" t="s">
        <v>34</v>
      </c>
      <c r="B234" s="57">
        <v>0.31</v>
      </c>
      <c r="C234" s="30">
        <f t="shared" si="4"/>
        <v>0.17</v>
      </c>
      <c r="D234" s="14">
        <v>0</v>
      </c>
      <c r="E234" s="14">
        <v>0</v>
      </c>
      <c r="F234" s="38">
        <v>8.4322580645161283E-3</v>
      </c>
      <c r="G234" s="38">
        <v>0</v>
      </c>
    </row>
    <row r="235" spans="1:7">
      <c r="A235" s="29" t="s">
        <v>35</v>
      </c>
      <c r="B235" s="57">
        <v>0.49</v>
      </c>
      <c r="C235" s="30">
        <f t="shared" si="4"/>
        <v>0.31</v>
      </c>
      <c r="D235" s="14">
        <v>0</v>
      </c>
      <c r="E235" s="14">
        <v>0</v>
      </c>
      <c r="F235" s="38">
        <v>5.2416326530612227E-2</v>
      </c>
      <c r="G235" s="38">
        <v>0</v>
      </c>
    </row>
    <row r="236" spans="1:7">
      <c r="A236" s="29" t="s">
        <v>36</v>
      </c>
      <c r="B236" s="195">
        <v>0.8</v>
      </c>
      <c r="C236" s="30">
        <f t="shared" si="4"/>
        <v>0.49</v>
      </c>
      <c r="D236" s="14">
        <v>0.37286874999999997</v>
      </c>
      <c r="E236" s="14">
        <v>3.7286874999999997E-2</v>
      </c>
      <c r="F236" s="38">
        <v>0.18710499999999999</v>
      </c>
      <c r="G236" s="38">
        <v>0</v>
      </c>
    </row>
    <row r="237" spans="1:7">
      <c r="A237" s="29" t="s">
        <v>37</v>
      </c>
      <c r="B237" s="57">
        <v>0.95</v>
      </c>
      <c r="C237" s="30">
        <f t="shared" si="4"/>
        <v>0.8</v>
      </c>
      <c r="D237" s="14">
        <v>0.47188947368421041</v>
      </c>
      <c r="E237" s="14">
        <v>8.3133684210526249E-2</v>
      </c>
      <c r="F237" s="38">
        <v>0.22072</v>
      </c>
      <c r="G237" s="38">
        <v>0</v>
      </c>
    </row>
    <row r="238" spans="1:7">
      <c r="A238" s="29" t="s">
        <v>38</v>
      </c>
      <c r="B238" s="195">
        <v>1.1000000000000001</v>
      </c>
      <c r="C238" s="30">
        <f t="shared" si="4"/>
        <v>0.95</v>
      </c>
      <c r="D238" s="14">
        <v>0.54390454545454547</v>
      </c>
      <c r="E238" s="14">
        <v>0.12634272727272727</v>
      </c>
      <c r="F238" s="38">
        <v>0.24516727272727273</v>
      </c>
      <c r="G238" s="38">
        <v>0</v>
      </c>
    </row>
    <row r="239" spans="1:7">
      <c r="A239" s="29" t="s">
        <v>39</v>
      </c>
      <c r="B239" s="57">
        <v>1.45</v>
      </c>
      <c r="C239" s="30">
        <f t="shared" si="4"/>
        <v>1.1000000000000001</v>
      </c>
      <c r="D239" s="14">
        <v>0.65399655172413784</v>
      </c>
      <c r="E239" s="14">
        <v>0.19239793103448272</v>
      </c>
      <c r="F239" s="38">
        <v>0.28254068965517243</v>
      </c>
      <c r="G239" s="38">
        <v>1.7241379310344827E-2</v>
      </c>
    </row>
    <row r="240" spans="1:7">
      <c r="A240" s="29" t="s">
        <v>40</v>
      </c>
      <c r="B240" s="57">
        <v>1.69</v>
      </c>
      <c r="C240" s="30">
        <f t="shared" si="4"/>
        <v>1.45</v>
      </c>
      <c r="D240" s="14">
        <v>0.70313313609467454</v>
      </c>
      <c r="E240" s="14">
        <v>0.22187988165680472</v>
      </c>
      <c r="F240" s="38">
        <v>0.29922130177514794</v>
      </c>
      <c r="G240" s="38">
        <v>2.899408284023669E-2</v>
      </c>
    </row>
    <row r="241" spans="1:7">
      <c r="A241" s="29" t="s">
        <v>41</v>
      </c>
      <c r="B241" s="57">
        <v>1.91</v>
      </c>
      <c r="C241" s="30">
        <f t="shared" si="4"/>
        <v>1.69</v>
      </c>
      <c r="D241" s="14">
        <v>0.73732722513089</v>
      </c>
      <c r="E241" s="14">
        <v>0.24239633507853403</v>
      </c>
      <c r="F241" s="38">
        <v>0.31082931937172775</v>
      </c>
      <c r="G241" s="38">
        <v>3.7172774869109942E-2</v>
      </c>
    </row>
    <row r="242" spans="1:7">
      <c r="A242" s="29" t="s">
        <v>42</v>
      </c>
      <c r="B242" s="57">
        <v>2.25</v>
      </c>
      <c r="C242" s="30">
        <f t="shared" si="4"/>
        <v>1.91</v>
      </c>
      <c r="D242" s="14">
        <v>0.77701999999999993</v>
      </c>
      <c r="E242" s="14">
        <v>0.266212</v>
      </c>
      <c r="F242" s="38">
        <v>0.32430400000000004</v>
      </c>
      <c r="G242" s="38">
        <v>8.0000000000000016E-2</v>
      </c>
    </row>
    <row r="243" spans="1:7">
      <c r="A243" s="29" t="s">
        <v>43</v>
      </c>
      <c r="B243" s="57">
        <v>2.4300000000000002</v>
      </c>
      <c r="C243" s="30">
        <f t="shared" si="4"/>
        <v>2.25</v>
      </c>
      <c r="D243" s="14">
        <v>0.79353703703703704</v>
      </c>
      <c r="E243" s="14">
        <v>0.27612222222222221</v>
      </c>
      <c r="F243" s="38">
        <v>0.32991111111111115</v>
      </c>
      <c r="G243" s="38">
        <v>0.10370370370370374</v>
      </c>
    </row>
    <row r="244" spans="1:7">
      <c r="A244" s="29" t="s">
        <v>44</v>
      </c>
      <c r="B244" s="57">
        <v>2.69</v>
      </c>
      <c r="C244" s="30">
        <f t="shared" si="4"/>
        <v>2.4300000000000002</v>
      </c>
      <c r="D244" s="14">
        <v>0.81349256505576217</v>
      </c>
      <c r="E244" s="14">
        <v>0.28809553903345725</v>
      </c>
      <c r="F244" s="38">
        <v>0.33668550185873608</v>
      </c>
      <c r="G244" s="38">
        <v>0.13234200743494423</v>
      </c>
    </row>
    <row r="245" spans="1:7">
      <c r="A245" s="29" t="s">
        <v>45</v>
      </c>
      <c r="B245" s="195">
        <v>3.1</v>
      </c>
      <c r="C245" s="30">
        <f t="shared" si="4"/>
        <v>2.69</v>
      </c>
      <c r="D245" s="14">
        <v>0.83815967741935493</v>
      </c>
      <c r="E245" s="14">
        <v>0.3028958064516129</v>
      </c>
      <c r="F245" s="38">
        <v>0.3450593548387097</v>
      </c>
      <c r="G245" s="38">
        <v>0.16774193548387098</v>
      </c>
    </row>
    <row r="246" spans="1:7">
      <c r="A246" s="29" t="s">
        <v>46</v>
      </c>
      <c r="B246" s="195">
        <v>3.6</v>
      </c>
      <c r="C246" s="30">
        <f t="shared" si="4"/>
        <v>3.1</v>
      </c>
      <c r="D246" s="14">
        <v>0.86063750000000006</v>
      </c>
      <c r="E246" s="14">
        <v>0.31638249999999996</v>
      </c>
      <c r="F246" s="38">
        <v>0.35269</v>
      </c>
      <c r="G246" s="38">
        <v>0.20000000000000004</v>
      </c>
    </row>
    <row r="247" spans="1:7">
      <c r="A247" s="29" t="s">
        <v>47</v>
      </c>
      <c r="B247" s="57">
        <v>4.42</v>
      </c>
      <c r="C247" s="30">
        <f t="shared" si="4"/>
        <v>3.6</v>
      </c>
      <c r="D247" s="14">
        <v>0.88649208144796376</v>
      </c>
      <c r="E247" s="14">
        <v>0.3318952488687783</v>
      </c>
      <c r="F247" s="38">
        <v>0.36146696832579184</v>
      </c>
      <c r="G247" s="38">
        <v>0.23710407239819006</v>
      </c>
    </row>
    <row r="248" spans="1:7">
      <c r="A248" s="29" t="s">
        <v>48</v>
      </c>
      <c r="B248" s="195">
        <v>5.4</v>
      </c>
      <c r="C248" s="30">
        <f t="shared" si="4"/>
        <v>4.42</v>
      </c>
      <c r="D248" s="14">
        <v>0.90709166666666663</v>
      </c>
      <c r="E248" s="14">
        <v>0.34425500000000003</v>
      </c>
      <c r="F248" s="38">
        <v>0.36846000000000001</v>
      </c>
      <c r="G248" s="38">
        <v>0.26666666666666672</v>
      </c>
    </row>
    <row r="249" spans="1:7">
      <c r="A249" s="29" t="s">
        <v>49</v>
      </c>
      <c r="B249" s="57">
        <v>5.98</v>
      </c>
      <c r="C249" s="30">
        <f t="shared" si="4"/>
        <v>5.4</v>
      </c>
      <c r="D249" s="14">
        <v>0.91610284280936449</v>
      </c>
      <c r="E249" s="14">
        <v>0.34966170568561877</v>
      </c>
      <c r="F249" s="38">
        <v>0.37151906354515057</v>
      </c>
      <c r="G249" s="38">
        <v>0.27959866220735791</v>
      </c>
    </row>
    <row r="250" spans="1:7">
      <c r="A250" s="29" t="s">
        <v>50</v>
      </c>
      <c r="B250" s="195">
        <v>7.81</v>
      </c>
      <c r="C250" s="30">
        <f t="shared" si="4"/>
        <v>5.98</v>
      </c>
      <c r="D250" s="14">
        <v>0.93576120358514725</v>
      </c>
      <c r="E250" s="14">
        <v>0.36145672215108837</v>
      </c>
      <c r="F250" s="38">
        <v>0.37819257362355962</v>
      </c>
      <c r="G250" s="38">
        <v>0.30781049935979515</v>
      </c>
    </row>
    <row r="251" spans="1:7">
      <c r="A251" s="29" t="s">
        <v>51</v>
      </c>
      <c r="B251" s="57">
        <v>9.58</v>
      </c>
      <c r="C251" s="30">
        <f t="shared" si="4"/>
        <v>7.81</v>
      </c>
      <c r="D251" s="14">
        <v>0.94762995824634666</v>
      </c>
      <c r="E251" s="14">
        <v>0.36857797494780792</v>
      </c>
      <c r="F251" s="38">
        <v>0.38222171189979126</v>
      </c>
      <c r="G251" s="38">
        <v>0.32484342379958248</v>
      </c>
    </row>
    <row r="252" spans="1:7">
      <c r="A252" s="29" t="s">
        <v>52</v>
      </c>
      <c r="B252" s="57">
        <v>11.9</v>
      </c>
      <c r="C252" s="30">
        <f t="shared" si="4"/>
        <v>9.58</v>
      </c>
      <c r="D252" s="14">
        <v>0.95783991596638662</v>
      </c>
      <c r="E252" s="14">
        <v>0.37470394957983194</v>
      </c>
      <c r="F252" s="38">
        <v>0.38568773109243698</v>
      </c>
      <c r="G252" s="38">
        <v>0.33949579831932775</v>
      </c>
    </row>
    <row r="253" spans="1:7">
      <c r="A253" s="29" t="s">
        <v>53</v>
      </c>
      <c r="B253" s="224">
        <v>18.39</v>
      </c>
      <c r="C253" s="30">
        <f>B252</f>
        <v>11.9</v>
      </c>
      <c r="D253" s="14">
        <v>0.97271859706362152</v>
      </c>
      <c r="E253" s="14">
        <v>0.3836311582381729</v>
      </c>
      <c r="F253" s="38">
        <v>0.39073866231647642</v>
      </c>
      <c r="G253" s="38">
        <v>0.36084828711256123</v>
      </c>
    </row>
    <row r="254" spans="1:7">
      <c r="A254" s="29" t="s">
        <v>53</v>
      </c>
      <c r="B254" s="29" t="s">
        <v>146</v>
      </c>
      <c r="C254" s="30">
        <f t="shared" si="4"/>
        <v>18.39</v>
      </c>
      <c r="D254" s="58"/>
      <c r="E254" s="11"/>
      <c r="F254" s="39"/>
      <c r="G254" s="39"/>
    </row>
    <row r="255" spans="1:7">
      <c r="A255" s="29"/>
      <c r="B255" s="29"/>
      <c r="C255" s="29"/>
      <c r="D255" s="58"/>
      <c r="E255" s="32">
        <v>9.7346545228633299E-2</v>
      </c>
      <c r="F255" s="40">
        <v>0.11866737693472425</v>
      </c>
      <c r="G255" s="40">
        <v>5.7671265870113834E-2</v>
      </c>
    </row>
    <row r="256" spans="1:7" ht="60">
      <c r="A256" s="33" t="s">
        <v>55</v>
      </c>
      <c r="B256" s="29">
        <v>2</v>
      </c>
      <c r="C256" s="29"/>
      <c r="D256" s="58"/>
      <c r="F256" s="41">
        <v>0.47310000000000002</v>
      </c>
      <c r="G256" s="42">
        <v>2</v>
      </c>
    </row>
    <row r="257" spans="1:7" ht="60">
      <c r="A257" s="33" t="s">
        <v>56</v>
      </c>
      <c r="B257" s="29">
        <v>1.7</v>
      </c>
      <c r="C257" s="29"/>
      <c r="D257" s="11"/>
      <c r="E257" s="222">
        <v>0.83617500000000011</v>
      </c>
      <c r="F257" s="39"/>
      <c r="G257" s="39"/>
    </row>
    <row r="258" spans="1:7" ht="96.75">
      <c r="A258" s="35" t="s">
        <v>57</v>
      </c>
      <c r="B258" s="29">
        <v>1.2</v>
      </c>
      <c r="C258" s="29"/>
      <c r="D258" s="11"/>
      <c r="E258" s="222">
        <v>0.50170500000000007</v>
      </c>
      <c r="F258" s="39">
        <v>0.28386</v>
      </c>
      <c r="G258" s="39">
        <v>1.2</v>
      </c>
    </row>
    <row r="261" spans="1:7">
      <c r="A261" s="16" t="s">
        <v>64</v>
      </c>
      <c r="B261" s="17">
        <f>AVERAGE(B209:B248)</f>
        <v>0.83617500000000011</v>
      </c>
      <c r="C261" s="17"/>
    </row>
    <row r="262" spans="1:7">
      <c r="A262" s="16" t="s">
        <v>65</v>
      </c>
      <c r="B262" s="18">
        <f>AVERAGE(B214:B243)</f>
        <v>0.47310000000000002</v>
      </c>
      <c r="C262" s="18"/>
    </row>
    <row r="263" spans="1:7">
      <c r="A263" s="16" t="s">
        <v>66</v>
      </c>
      <c r="B263" s="18">
        <f>AVERAGE(B220:B238)</f>
        <v>0.2302105263157895</v>
      </c>
      <c r="C263" s="18"/>
    </row>
    <row r="266" spans="1:7" ht="15" customHeight="1">
      <c r="A266" s="473" t="s">
        <v>0</v>
      </c>
      <c r="B266" s="530" t="s">
        <v>67</v>
      </c>
      <c r="C266" s="530"/>
      <c r="D266" s="530"/>
      <c r="E266" s="40">
        <f>(1-E321)^(1/3)-1</f>
        <v>0</v>
      </c>
      <c r="F266" s="40">
        <f>(1-F321)^(1/3)-1</f>
        <v>0</v>
      </c>
      <c r="G266" s="40"/>
    </row>
    <row r="267" spans="1:7" ht="72.75" thickBot="1">
      <c r="A267" s="473"/>
      <c r="B267" s="11" t="s">
        <v>4</v>
      </c>
      <c r="C267" s="65"/>
      <c r="D267" s="11" t="s">
        <v>80</v>
      </c>
      <c r="E267" s="11" t="s">
        <v>5</v>
      </c>
      <c r="F267" s="39" t="s">
        <v>5</v>
      </c>
      <c r="G267" s="39"/>
    </row>
    <row r="268" spans="1:7" ht="24.75">
      <c r="A268" s="473"/>
      <c r="B268" s="29" t="s">
        <v>68</v>
      </c>
      <c r="D268" s="184" t="s">
        <v>7</v>
      </c>
      <c r="E268" s="184" t="s">
        <v>7</v>
      </c>
      <c r="F268" s="184" t="s">
        <v>7</v>
      </c>
      <c r="G268" s="184"/>
    </row>
    <row r="269" spans="1:7">
      <c r="A269" s="50">
        <v>1</v>
      </c>
      <c r="B269" s="51">
        <v>2</v>
      </c>
      <c r="D269" s="51">
        <v>3</v>
      </c>
      <c r="E269" s="51">
        <v>4</v>
      </c>
      <c r="F269" s="52">
        <v>5</v>
      </c>
      <c r="G269" s="52"/>
    </row>
    <row r="270" spans="1:7">
      <c r="A270" s="27" t="s">
        <v>10</v>
      </c>
      <c r="B270" s="57"/>
      <c r="C270">
        <v>0</v>
      </c>
      <c r="D270" s="14">
        <f t="shared" ref="D270:D318" si="5">IF(B270=0,0,IF(B270&lt;=E$324,0,B270-E$324)/B270)</f>
        <v>0</v>
      </c>
      <c r="E270" s="14"/>
      <c r="F270" s="38"/>
      <c r="G270" s="38"/>
    </row>
    <row r="271" spans="1:7">
      <c r="A271" s="27" t="s">
        <v>58</v>
      </c>
      <c r="B271" s="57"/>
      <c r="C271" s="30">
        <f>B270</f>
        <v>0</v>
      </c>
      <c r="D271" s="14">
        <f t="shared" si="5"/>
        <v>0</v>
      </c>
      <c r="E271" s="14"/>
      <c r="F271" s="38"/>
      <c r="G271" s="38"/>
    </row>
    <row r="272" spans="1:7">
      <c r="A272" s="27" t="s">
        <v>59</v>
      </c>
      <c r="B272" s="57"/>
      <c r="C272" s="30">
        <f t="shared" ref="C272:C320" si="6">B271</f>
        <v>0</v>
      </c>
      <c r="D272" s="14">
        <f t="shared" si="5"/>
        <v>0</v>
      </c>
      <c r="E272" s="14"/>
      <c r="F272" s="38"/>
      <c r="G272" s="38"/>
    </row>
    <row r="273" spans="1:7">
      <c r="A273" s="27" t="s">
        <v>60</v>
      </c>
      <c r="B273" s="57"/>
      <c r="C273" s="30">
        <f t="shared" si="6"/>
        <v>0</v>
      </c>
      <c r="D273" s="14">
        <f t="shared" si="5"/>
        <v>0</v>
      </c>
      <c r="E273" s="14"/>
      <c r="F273" s="38"/>
      <c r="G273" s="38"/>
    </row>
    <row r="274" spans="1:7">
      <c r="A274" s="27" t="s">
        <v>61</v>
      </c>
      <c r="B274" s="57"/>
      <c r="C274" s="30">
        <f t="shared" si="6"/>
        <v>0</v>
      </c>
      <c r="D274" s="14">
        <f t="shared" si="5"/>
        <v>0</v>
      </c>
      <c r="E274" s="14"/>
      <c r="F274" s="38"/>
      <c r="G274" s="38"/>
    </row>
    <row r="275" spans="1:7">
      <c r="A275" s="27" t="s">
        <v>62</v>
      </c>
      <c r="B275" s="57"/>
      <c r="C275" s="30">
        <f t="shared" si="6"/>
        <v>0</v>
      </c>
      <c r="D275" s="14">
        <f t="shared" si="5"/>
        <v>0</v>
      </c>
      <c r="E275" s="14"/>
      <c r="F275" s="38"/>
      <c r="G275" s="38"/>
    </row>
    <row r="276" spans="1:7">
      <c r="A276" s="27" t="s">
        <v>63</v>
      </c>
      <c r="B276" s="57"/>
      <c r="C276" s="30">
        <f t="shared" si="6"/>
        <v>0</v>
      </c>
      <c r="D276" s="14">
        <f t="shared" si="5"/>
        <v>0</v>
      </c>
      <c r="E276" s="14"/>
      <c r="F276" s="38"/>
      <c r="G276" s="38"/>
    </row>
    <row r="277" spans="1:7">
      <c r="A277" s="29" t="s">
        <v>11</v>
      </c>
      <c r="B277" s="57"/>
      <c r="C277" s="30">
        <f t="shared" si="6"/>
        <v>0</v>
      </c>
      <c r="D277" s="14">
        <f t="shared" si="5"/>
        <v>0</v>
      </c>
      <c r="E277" s="14"/>
      <c r="F277" s="38"/>
      <c r="G277" s="38"/>
    </row>
    <row r="278" spans="1:7">
      <c r="A278" s="29" t="s">
        <v>12</v>
      </c>
      <c r="B278" s="57"/>
      <c r="C278" s="30">
        <f t="shared" si="6"/>
        <v>0</v>
      </c>
      <c r="D278" s="14">
        <f t="shared" si="5"/>
        <v>0</v>
      </c>
      <c r="E278" s="14"/>
      <c r="F278" s="38"/>
      <c r="G278" s="38"/>
    </row>
    <row r="279" spans="1:7">
      <c r="A279" s="29" t="s">
        <v>13</v>
      </c>
      <c r="B279" s="57"/>
      <c r="C279" s="30">
        <f t="shared" si="6"/>
        <v>0</v>
      </c>
      <c r="D279" s="14">
        <f t="shared" si="5"/>
        <v>0</v>
      </c>
      <c r="E279" s="14"/>
      <c r="F279" s="38"/>
      <c r="G279" s="38"/>
    </row>
    <row r="280" spans="1:7">
      <c r="A280" s="29" t="s">
        <v>14</v>
      </c>
      <c r="B280" s="57"/>
      <c r="C280" s="30">
        <f t="shared" si="6"/>
        <v>0</v>
      </c>
      <c r="D280" s="14">
        <f t="shared" si="5"/>
        <v>0</v>
      </c>
      <c r="E280" s="14"/>
      <c r="F280" s="38"/>
      <c r="G280" s="38"/>
    </row>
    <row r="281" spans="1:7">
      <c r="A281" s="29" t="s">
        <v>15</v>
      </c>
      <c r="B281" s="57"/>
      <c r="C281" s="30">
        <f t="shared" si="6"/>
        <v>0</v>
      </c>
      <c r="D281" s="14">
        <f t="shared" si="5"/>
        <v>0</v>
      </c>
      <c r="E281" s="14"/>
      <c r="F281" s="38"/>
      <c r="G281" s="38"/>
    </row>
    <row r="282" spans="1:7">
      <c r="A282" s="29" t="s">
        <v>16</v>
      </c>
      <c r="B282" s="57"/>
      <c r="C282" s="30">
        <f t="shared" si="6"/>
        <v>0</v>
      </c>
      <c r="D282" s="14">
        <f t="shared" si="5"/>
        <v>0</v>
      </c>
      <c r="E282" s="14"/>
      <c r="F282" s="38"/>
      <c r="G282" s="38"/>
    </row>
    <row r="283" spans="1:7">
      <c r="A283" s="29" t="s">
        <v>17</v>
      </c>
      <c r="B283" s="57"/>
      <c r="C283" s="30">
        <f t="shared" si="6"/>
        <v>0</v>
      </c>
      <c r="D283" s="14">
        <f t="shared" si="5"/>
        <v>0</v>
      </c>
      <c r="E283" s="14"/>
      <c r="F283" s="38"/>
      <c r="G283" s="38"/>
    </row>
    <row r="284" spans="1:7">
      <c r="A284" s="29" t="s">
        <v>18</v>
      </c>
      <c r="B284" s="57"/>
      <c r="C284" s="30">
        <f t="shared" si="6"/>
        <v>0</v>
      </c>
      <c r="D284" s="14">
        <f t="shared" si="5"/>
        <v>0</v>
      </c>
      <c r="E284" s="14"/>
      <c r="F284" s="38"/>
      <c r="G284" s="38"/>
    </row>
    <row r="285" spans="1:7">
      <c r="A285" s="29" t="s">
        <v>19</v>
      </c>
      <c r="B285" s="57"/>
      <c r="C285" s="30">
        <f t="shared" si="6"/>
        <v>0</v>
      </c>
      <c r="D285" s="14">
        <f t="shared" si="5"/>
        <v>0</v>
      </c>
      <c r="E285" s="14"/>
      <c r="F285" s="38"/>
      <c r="G285" s="38"/>
    </row>
    <row r="286" spans="1:7">
      <c r="A286" s="29" t="s">
        <v>20</v>
      </c>
      <c r="B286" s="57"/>
      <c r="C286" s="30">
        <f t="shared" si="6"/>
        <v>0</v>
      </c>
      <c r="D286" s="14">
        <f t="shared" si="5"/>
        <v>0</v>
      </c>
      <c r="E286" s="14"/>
      <c r="F286" s="38"/>
      <c r="G286" s="38"/>
    </row>
    <row r="287" spans="1:7">
      <c r="A287" s="29" t="s">
        <v>21</v>
      </c>
      <c r="B287" s="57"/>
      <c r="C287" s="30">
        <f t="shared" si="6"/>
        <v>0</v>
      </c>
      <c r="D287" s="14">
        <f t="shared" si="5"/>
        <v>0</v>
      </c>
      <c r="E287" s="14"/>
      <c r="F287" s="38"/>
      <c r="G287" s="38"/>
    </row>
    <row r="288" spans="1:7">
      <c r="A288" s="29" t="s">
        <v>22</v>
      </c>
      <c r="B288" s="57"/>
      <c r="C288" s="30">
        <f t="shared" si="6"/>
        <v>0</v>
      </c>
      <c r="D288" s="14">
        <f t="shared" si="5"/>
        <v>0</v>
      </c>
      <c r="E288" s="14"/>
      <c r="F288" s="38"/>
      <c r="G288" s="38"/>
    </row>
    <row r="289" spans="1:7">
      <c r="A289" s="29" t="s">
        <v>23</v>
      </c>
      <c r="B289" s="57"/>
      <c r="C289" s="30">
        <f t="shared" si="6"/>
        <v>0</v>
      </c>
      <c r="D289" s="14">
        <f t="shared" si="5"/>
        <v>0</v>
      </c>
      <c r="E289" s="14"/>
      <c r="F289" s="38"/>
      <c r="G289" s="38"/>
    </row>
    <row r="290" spans="1:7">
      <c r="A290" s="29" t="s">
        <v>24</v>
      </c>
      <c r="B290" s="57"/>
      <c r="C290" s="30">
        <f t="shared" si="6"/>
        <v>0</v>
      </c>
      <c r="D290" s="14">
        <f t="shared" si="5"/>
        <v>0</v>
      </c>
      <c r="E290" s="14"/>
      <c r="F290" s="38"/>
      <c r="G290" s="38"/>
    </row>
    <row r="291" spans="1:7">
      <c r="A291" s="29" t="s">
        <v>25</v>
      </c>
      <c r="B291" s="57"/>
      <c r="C291" s="30">
        <f t="shared" si="6"/>
        <v>0</v>
      </c>
      <c r="D291" s="14">
        <f t="shared" si="5"/>
        <v>0</v>
      </c>
      <c r="E291" s="14"/>
      <c r="F291" s="38"/>
      <c r="G291" s="38"/>
    </row>
    <row r="292" spans="1:7">
      <c r="A292" s="29" t="s">
        <v>26</v>
      </c>
      <c r="B292" s="57"/>
      <c r="C292" s="30">
        <f t="shared" si="6"/>
        <v>0</v>
      </c>
      <c r="D292" s="14">
        <f t="shared" si="5"/>
        <v>0</v>
      </c>
      <c r="E292" s="14"/>
      <c r="F292" s="38"/>
      <c r="G292" s="38"/>
    </row>
    <row r="293" spans="1:7">
      <c r="A293" s="29" t="s">
        <v>27</v>
      </c>
      <c r="B293" s="57"/>
      <c r="C293" s="30">
        <f t="shared" si="6"/>
        <v>0</v>
      </c>
      <c r="D293" s="14">
        <f t="shared" si="5"/>
        <v>0</v>
      </c>
      <c r="E293" s="14"/>
      <c r="F293" s="38"/>
      <c r="G293" s="38"/>
    </row>
    <row r="294" spans="1:7">
      <c r="A294" s="29" t="s">
        <v>28</v>
      </c>
      <c r="B294" s="57"/>
      <c r="C294" s="30">
        <f t="shared" si="6"/>
        <v>0</v>
      </c>
      <c r="D294" s="14">
        <f t="shared" si="5"/>
        <v>0</v>
      </c>
      <c r="E294" s="14"/>
      <c r="F294" s="38"/>
      <c r="G294" s="38"/>
    </row>
    <row r="295" spans="1:7">
      <c r="A295" s="29" t="s">
        <v>29</v>
      </c>
      <c r="B295" s="57"/>
      <c r="C295" s="30">
        <f t="shared" si="6"/>
        <v>0</v>
      </c>
      <c r="D295" s="14">
        <f t="shared" si="5"/>
        <v>0</v>
      </c>
      <c r="E295" s="14"/>
      <c r="F295" s="38"/>
      <c r="G295" s="38"/>
    </row>
    <row r="296" spans="1:7">
      <c r="A296" s="29" t="s">
        <v>30</v>
      </c>
      <c r="B296" s="57"/>
      <c r="C296" s="30">
        <f t="shared" si="6"/>
        <v>0</v>
      </c>
      <c r="D296" s="14">
        <f t="shared" si="5"/>
        <v>0</v>
      </c>
      <c r="E296" s="14"/>
      <c r="F296" s="38"/>
      <c r="G296" s="38"/>
    </row>
    <row r="297" spans="1:7">
      <c r="A297" s="29" t="s">
        <v>31</v>
      </c>
      <c r="B297" s="57"/>
      <c r="C297" s="30">
        <f t="shared" si="6"/>
        <v>0</v>
      </c>
      <c r="D297" s="14">
        <f t="shared" si="5"/>
        <v>0</v>
      </c>
      <c r="E297" s="14"/>
      <c r="F297" s="38"/>
      <c r="G297" s="38"/>
    </row>
    <row r="298" spans="1:7">
      <c r="A298" s="29" t="s">
        <v>32</v>
      </c>
      <c r="B298" s="57"/>
      <c r="C298" s="30">
        <f t="shared" si="6"/>
        <v>0</v>
      </c>
      <c r="D298" s="14">
        <f t="shared" si="5"/>
        <v>0</v>
      </c>
      <c r="E298" s="14"/>
      <c r="F298" s="38"/>
      <c r="G298" s="38"/>
    </row>
    <row r="299" spans="1:7">
      <c r="A299" s="29" t="s">
        <v>33</v>
      </c>
      <c r="B299" s="57"/>
      <c r="C299" s="30">
        <f t="shared" si="6"/>
        <v>0</v>
      </c>
      <c r="D299" s="14">
        <f t="shared" si="5"/>
        <v>0</v>
      </c>
      <c r="E299" s="14"/>
      <c r="F299" s="38"/>
      <c r="G299" s="38"/>
    </row>
    <row r="300" spans="1:7">
      <c r="A300" s="29" t="s">
        <v>34</v>
      </c>
      <c r="B300" s="57"/>
      <c r="C300" s="30">
        <f t="shared" si="6"/>
        <v>0</v>
      </c>
      <c r="D300" s="14">
        <f t="shared" si="5"/>
        <v>0</v>
      </c>
      <c r="E300" s="14"/>
      <c r="F300" s="38"/>
      <c r="G300" s="38"/>
    </row>
    <row r="301" spans="1:7">
      <c r="A301" s="29" t="s">
        <v>35</v>
      </c>
      <c r="B301" s="57"/>
      <c r="C301" s="30">
        <f t="shared" si="6"/>
        <v>0</v>
      </c>
      <c r="D301" s="14">
        <f t="shared" si="5"/>
        <v>0</v>
      </c>
      <c r="E301" s="14"/>
      <c r="F301" s="38"/>
      <c r="G301" s="38"/>
    </row>
    <row r="302" spans="1:7">
      <c r="A302" s="29" t="s">
        <v>36</v>
      </c>
      <c r="B302" s="57"/>
      <c r="C302" s="30">
        <f t="shared" si="6"/>
        <v>0</v>
      </c>
      <c r="D302" s="14">
        <f t="shared" si="5"/>
        <v>0</v>
      </c>
      <c r="E302" s="14"/>
      <c r="F302" s="38"/>
      <c r="G302" s="38"/>
    </row>
    <row r="303" spans="1:7">
      <c r="A303" s="29" t="s">
        <v>37</v>
      </c>
      <c r="B303" s="57"/>
      <c r="C303" s="30">
        <f t="shared" si="6"/>
        <v>0</v>
      </c>
      <c r="D303" s="14">
        <f t="shared" si="5"/>
        <v>0</v>
      </c>
      <c r="E303" s="14"/>
      <c r="F303" s="38"/>
      <c r="G303" s="38"/>
    </row>
    <row r="304" spans="1:7">
      <c r="A304" s="29" t="s">
        <v>38</v>
      </c>
      <c r="B304" s="57"/>
      <c r="C304" s="30">
        <f t="shared" si="6"/>
        <v>0</v>
      </c>
      <c r="D304" s="14">
        <f t="shared" si="5"/>
        <v>0</v>
      </c>
      <c r="E304" s="14"/>
      <c r="F304" s="38"/>
      <c r="G304" s="38"/>
    </row>
    <row r="305" spans="1:7">
      <c r="A305" s="29" t="s">
        <v>39</v>
      </c>
      <c r="B305" s="57"/>
      <c r="C305" s="30">
        <f t="shared" si="6"/>
        <v>0</v>
      </c>
      <c r="D305" s="14">
        <f t="shared" si="5"/>
        <v>0</v>
      </c>
      <c r="E305" s="14"/>
      <c r="F305" s="38"/>
      <c r="G305" s="38"/>
    </row>
    <row r="306" spans="1:7">
      <c r="A306" s="29" t="s">
        <v>40</v>
      </c>
      <c r="B306" s="57"/>
      <c r="C306" s="30">
        <f t="shared" si="6"/>
        <v>0</v>
      </c>
      <c r="D306" s="14">
        <f t="shared" si="5"/>
        <v>0</v>
      </c>
      <c r="E306" s="14"/>
      <c r="F306" s="38"/>
      <c r="G306" s="38"/>
    </row>
    <row r="307" spans="1:7">
      <c r="A307" s="29" t="s">
        <v>41</v>
      </c>
      <c r="B307" s="57"/>
      <c r="C307" s="30">
        <f t="shared" si="6"/>
        <v>0</v>
      </c>
      <c r="D307" s="14">
        <f t="shared" si="5"/>
        <v>0</v>
      </c>
      <c r="E307" s="14"/>
      <c r="F307" s="38"/>
      <c r="G307" s="38"/>
    </row>
    <row r="308" spans="1:7">
      <c r="A308" s="29" t="s">
        <v>42</v>
      </c>
      <c r="B308" s="57"/>
      <c r="C308" s="30">
        <f t="shared" si="6"/>
        <v>0</v>
      </c>
      <c r="D308" s="14">
        <f t="shared" si="5"/>
        <v>0</v>
      </c>
      <c r="E308" s="14"/>
      <c r="F308" s="38"/>
      <c r="G308" s="38"/>
    </row>
    <row r="309" spans="1:7">
      <c r="A309" s="29" t="s">
        <v>43</v>
      </c>
      <c r="B309" s="57"/>
      <c r="C309" s="30">
        <f t="shared" si="6"/>
        <v>0</v>
      </c>
      <c r="D309" s="14">
        <f t="shared" si="5"/>
        <v>0</v>
      </c>
      <c r="E309" s="14"/>
      <c r="F309" s="38"/>
      <c r="G309" s="38"/>
    </row>
    <row r="310" spans="1:7">
      <c r="A310" s="29" t="s">
        <v>44</v>
      </c>
      <c r="B310" s="57"/>
      <c r="C310" s="30">
        <f t="shared" si="6"/>
        <v>0</v>
      </c>
      <c r="D310" s="14">
        <f t="shared" si="5"/>
        <v>0</v>
      </c>
      <c r="E310" s="14"/>
      <c r="F310" s="38"/>
      <c r="G310" s="38"/>
    </row>
    <row r="311" spans="1:7">
      <c r="A311" s="29" t="s">
        <v>45</v>
      </c>
      <c r="B311" s="57"/>
      <c r="C311" s="30">
        <f t="shared" si="6"/>
        <v>0</v>
      </c>
      <c r="D311" s="14">
        <f t="shared" si="5"/>
        <v>0</v>
      </c>
      <c r="E311" s="14"/>
      <c r="F311" s="38"/>
      <c r="G311" s="38"/>
    </row>
    <row r="312" spans="1:7">
      <c r="A312" s="29" t="s">
        <v>46</v>
      </c>
      <c r="B312" s="57"/>
      <c r="C312" s="30">
        <f t="shared" si="6"/>
        <v>0</v>
      </c>
      <c r="D312" s="14">
        <f t="shared" si="5"/>
        <v>0</v>
      </c>
      <c r="E312" s="14"/>
      <c r="F312" s="38"/>
      <c r="G312" s="38"/>
    </row>
    <row r="313" spans="1:7">
      <c r="A313" s="29" t="s">
        <v>47</v>
      </c>
      <c r="B313" s="57"/>
      <c r="C313" s="30">
        <f t="shared" si="6"/>
        <v>0</v>
      </c>
      <c r="D313" s="14">
        <f t="shared" si="5"/>
        <v>0</v>
      </c>
      <c r="E313" s="14"/>
      <c r="F313" s="38"/>
      <c r="G313" s="38"/>
    </row>
    <row r="314" spans="1:7">
      <c r="A314" s="29" t="s">
        <v>48</v>
      </c>
      <c r="B314" s="57"/>
      <c r="C314" s="30">
        <f t="shared" si="6"/>
        <v>0</v>
      </c>
      <c r="D314" s="14">
        <f t="shared" si="5"/>
        <v>0</v>
      </c>
      <c r="E314" s="14"/>
      <c r="F314" s="38"/>
      <c r="G314" s="38"/>
    </row>
    <row r="315" spans="1:7">
      <c r="A315" s="29" t="s">
        <v>49</v>
      </c>
      <c r="B315" s="57"/>
      <c r="C315" s="30">
        <f t="shared" si="6"/>
        <v>0</v>
      </c>
      <c r="D315" s="14">
        <f t="shared" si="5"/>
        <v>0</v>
      </c>
      <c r="E315" s="14"/>
      <c r="F315" s="38"/>
      <c r="G315" s="38"/>
    </row>
    <row r="316" spans="1:7">
      <c r="A316" s="29" t="s">
        <v>50</v>
      </c>
      <c r="B316" s="57"/>
      <c r="C316" s="30">
        <f t="shared" si="6"/>
        <v>0</v>
      </c>
      <c r="D316" s="14">
        <f t="shared" si="5"/>
        <v>0</v>
      </c>
      <c r="E316" s="14"/>
      <c r="F316" s="38"/>
      <c r="G316" s="38"/>
    </row>
    <row r="317" spans="1:7">
      <c r="A317" s="29" t="s">
        <v>51</v>
      </c>
      <c r="B317" s="57"/>
      <c r="C317" s="30">
        <f t="shared" si="6"/>
        <v>0</v>
      </c>
      <c r="D317" s="14">
        <f t="shared" si="5"/>
        <v>0</v>
      </c>
      <c r="E317" s="14"/>
      <c r="F317" s="38"/>
      <c r="G317" s="38"/>
    </row>
    <row r="318" spans="1:7">
      <c r="A318" s="29" t="s">
        <v>52</v>
      </c>
      <c r="B318" s="57"/>
      <c r="C318" s="30">
        <f t="shared" si="6"/>
        <v>0</v>
      </c>
      <c r="D318" s="14">
        <f t="shared" si="5"/>
        <v>0</v>
      </c>
      <c r="E318" s="14"/>
      <c r="F318" s="38"/>
      <c r="G318" s="38"/>
    </row>
    <row r="319" spans="1:7">
      <c r="A319" s="29" t="s">
        <v>53</v>
      </c>
      <c r="B319" s="57"/>
      <c r="C319" s="30">
        <f>B318</f>
        <v>0</v>
      </c>
      <c r="D319" s="14">
        <f>IF(B319=0,0,IF(B319&lt;=E$324,0,B319-E$324)/B319)</f>
        <v>0</v>
      </c>
      <c r="E319" s="14"/>
      <c r="F319" s="38"/>
      <c r="G319" s="38"/>
    </row>
    <row r="320" spans="1:7">
      <c r="A320" s="29" t="s">
        <v>53</v>
      </c>
      <c r="B320" s="29"/>
      <c r="C320" s="30">
        <f t="shared" si="6"/>
        <v>0</v>
      </c>
      <c r="D320" s="58"/>
      <c r="E320" s="11"/>
      <c r="F320" s="39"/>
      <c r="G320" s="39"/>
    </row>
    <row r="321" spans="1:7">
      <c r="A321" s="29"/>
      <c r="B321" s="29"/>
      <c r="D321" s="29"/>
      <c r="E321" s="32"/>
      <c r="F321" s="40"/>
      <c r="G321" s="40"/>
    </row>
    <row r="322" spans="1:7" ht="60">
      <c r="A322" s="33" t="s">
        <v>55</v>
      </c>
      <c r="B322" s="29"/>
      <c r="D322" s="29"/>
      <c r="E322" s="34"/>
      <c r="F322" s="41"/>
      <c r="G322" s="42"/>
    </row>
    <row r="323" spans="1:7" ht="60">
      <c r="A323" s="33" t="s">
        <v>56</v>
      </c>
      <c r="B323" s="29"/>
      <c r="D323" s="11"/>
      <c r="E323" s="11"/>
      <c r="F323" s="39"/>
      <c r="G323" s="39"/>
    </row>
    <row r="324" spans="1:7" ht="96.75">
      <c r="A324" s="35" t="s">
        <v>57</v>
      </c>
      <c r="B324" s="29"/>
      <c r="D324" s="11"/>
      <c r="E324" s="11"/>
      <c r="F324" s="39"/>
      <c r="G324" s="39"/>
    </row>
    <row r="327" spans="1:7">
      <c r="A327" s="16" t="s">
        <v>64</v>
      </c>
      <c r="B327" s="17" t="e">
        <f>AVERAGE(B275:B314)</f>
        <v>#DIV/0!</v>
      </c>
    </row>
    <row r="328" spans="1:7">
      <c r="A328" s="16" t="s">
        <v>65</v>
      </c>
      <c r="B328" s="18" t="e">
        <f>AVERAGE(B280:B309)</f>
        <v>#DIV/0!</v>
      </c>
    </row>
    <row r="329" spans="1:7">
      <c r="A329" s="16" t="s">
        <v>66</v>
      </c>
      <c r="B329" s="18" t="e">
        <f>AVERAGE(B286:B304)</f>
        <v>#DIV/0!</v>
      </c>
    </row>
    <row r="333" spans="1:7" ht="15" customHeight="1">
      <c r="A333" s="473" t="s">
        <v>0</v>
      </c>
      <c r="B333" s="531" t="s">
        <v>70</v>
      </c>
      <c r="C333" s="531"/>
      <c r="D333" s="531"/>
      <c r="E333" s="40">
        <f>(1-E388)^(1/3)-1</f>
        <v>0</v>
      </c>
      <c r="F333" s="40">
        <f>(1-F388)^(1/3)-1</f>
        <v>0</v>
      </c>
      <c r="G333" s="40"/>
    </row>
    <row r="334" spans="1:7" ht="72">
      <c r="A334" s="473"/>
      <c r="B334" s="11" t="s">
        <v>4</v>
      </c>
      <c r="D334" s="11" t="s">
        <v>80</v>
      </c>
      <c r="E334" s="11" t="s">
        <v>5</v>
      </c>
      <c r="F334" s="39" t="s">
        <v>5</v>
      </c>
      <c r="G334" s="39"/>
    </row>
    <row r="335" spans="1:7" ht="24.75">
      <c r="A335" s="473"/>
      <c r="B335" s="29" t="s">
        <v>72</v>
      </c>
      <c r="D335" s="184" t="s">
        <v>7</v>
      </c>
      <c r="E335" s="184" t="s">
        <v>7</v>
      </c>
      <c r="F335" s="184" t="s">
        <v>7</v>
      </c>
      <c r="G335" s="184"/>
    </row>
    <row r="336" spans="1:7" ht="15.75" thickBot="1">
      <c r="A336" s="50">
        <v>1</v>
      </c>
      <c r="B336" s="51">
        <v>2</v>
      </c>
      <c r="C336" s="117"/>
      <c r="D336" s="51">
        <v>3</v>
      </c>
      <c r="E336" s="51">
        <v>4</v>
      </c>
      <c r="F336" s="52">
        <v>5</v>
      </c>
      <c r="G336" s="52"/>
    </row>
    <row r="337" spans="1:7">
      <c r="A337" s="27" t="s">
        <v>10</v>
      </c>
      <c r="B337" s="57"/>
      <c r="C337">
        <v>0</v>
      </c>
      <c r="D337" s="14">
        <f t="shared" ref="D337:D385" si="7">IF(B337=0,0,IF(B337&lt;=E$391,0,B337-E$391)/B337)</f>
        <v>0</v>
      </c>
      <c r="E337" s="14"/>
      <c r="F337" s="38"/>
      <c r="G337" s="38"/>
    </row>
    <row r="338" spans="1:7">
      <c r="A338" s="27" t="s">
        <v>58</v>
      </c>
      <c r="B338" s="57"/>
      <c r="C338" s="30">
        <f>B337</f>
        <v>0</v>
      </c>
      <c r="D338" s="14">
        <f t="shared" si="7"/>
        <v>0</v>
      </c>
      <c r="E338" s="14"/>
      <c r="F338" s="38"/>
      <c r="G338" s="38"/>
    </row>
    <row r="339" spans="1:7">
      <c r="A339" s="27" t="s">
        <v>59</v>
      </c>
      <c r="B339" s="57"/>
      <c r="C339" s="30">
        <f t="shared" ref="C339:C387" si="8">B338</f>
        <v>0</v>
      </c>
      <c r="D339" s="14">
        <f t="shared" si="7"/>
        <v>0</v>
      </c>
      <c r="E339" s="14"/>
      <c r="F339" s="38"/>
      <c r="G339" s="38"/>
    </row>
    <row r="340" spans="1:7">
      <c r="A340" s="27" t="s">
        <v>60</v>
      </c>
      <c r="B340" s="57"/>
      <c r="C340" s="30">
        <f t="shared" si="8"/>
        <v>0</v>
      </c>
      <c r="D340" s="14">
        <f t="shared" si="7"/>
        <v>0</v>
      </c>
      <c r="E340" s="14"/>
      <c r="F340" s="38"/>
      <c r="G340" s="38"/>
    </row>
    <row r="341" spans="1:7">
      <c r="A341" s="27" t="s">
        <v>61</v>
      </c>
      <c r="B341" s="57"/>
      <c r="C341" s="30">
        <f t="shared" si="8"/>
        <v>0</v>
      </c>
      <c r="D341" s="14">
        <f t="shared" si="7"/>
        <v>0</v>
      </c>
      <c r="E341" s="14"/>
      <c r="F341" s="38"/>
      <c r="G341" s="38"/>
    </row>
    <row r="342" spans="1:7">
      <c r="A342" s="27" t="s">
        <v>62</v>
      </c>
      <c r="B342" s="57"/>
      <c r="C342" s="30">
        <f t="shared" si="8"/>
        <v>0</v>
      </c>
      <c r="D342" s="14">
        <f t="shared" si="7"/>
        <v>0</v>
      </c>
      <c r="E342" s="14"/>
      <c r="F342" s="38"/>
      <c r="G342" s="38"/>
    </row>
    <row r="343" spans="1:7">
      <c r="A343" s="27" t="s">
        <v>63</v>
      </c>
      <c r="B343" s="57"/>
      <c r="C343" s="30">
        <f t="shared" si="8"/>
        <v>0</v>
      </c>
      <c r="D343" s="14">
        <f t="shared" si="7"/>
        <v>0</v>
      </c>
      <c r="E343" s="14"/>
      <c r="F343" s="38"/>
      <c r="G343" s="38"/>
    </row>
    <row r="344" spans="1:7">
      <c r="A344" s="29" t="s">
        <v>11</v>
      </c>
      <c r="B344" s="57"/>
      <c r="C344" s="30">
        <f t="shared" si="8"/>
        <v>0</v>
      </c>
      <c r="D344" s="14">
        <f t="shared" si="7"/>
        <v>0</v>
      </c>
      <c r="E344" s="14"/>
      <c r="F344" s="38"/>
      <c r="G344" s="38"/>
    </row>
    <row r="345" spans="1:7">
      <c r="A345" s="29" t="s">
        <v>12</v>
      </c>
      <c r="B345" s="57"/>
      <c r="C345" s="30">
        <f t="shared" si="8"/>
        <v>0</v>
      </c>
      <c r="D345" s="14">
        <f t="shared" si="7"/>
        <v>0</v>
      </c>
      <c r="E345" s="14"/>
      <c r="F345" s="38"/>
      <c r="G345" s="38"/>
    </row>
    <row r="346" spans="1:7">
      <c r="A346" s="29" t="s">
        <v>13</v>
      </c>
      <c r="B346" s="57"/>
      <c r="C346" s="30">
        <f t="shared" si="8"/>
        <v>0</v>
      </c>
      <c r="D346" s="14">
        <f t="shared" si="7"/>
        <v>0</v>
      </c>
      <c r="E346" s="14"/>
      <c r="F346" s="38"/>
      <c r="G346" s="38"/>
    </row>
    <row r="347" spans="1:7">
      <c r="A347" s="29" t="s">
        <v>14</v>
      </c>
      <c r="B347" s="57"/>
      <c r="C347" s="30">
        <f t="shared" si="8"/>
        <v>0</v>
      </c>
      <c r="D347" s="14">
        <f t="shared" si="7"/>
        <v>0</v>
      </c>
      <c r="E347" s="14"/>
      <c r="F347" s="38"/>
      <c r="G347" s="38"/>
    </row>
    <row r="348" spans="1:7">
      <c r="A348" s="29" t="s">
        <v>15</v>
      </c>
      <c r="B348" s="57"/>
      <c r="C348" s="30">
        <f t="shared" si="8"/>
        <v>0</v>
      </c>
      <c r="D348" s="14">
        <f t="shared" si="7"/>
        <v>0</v>
      </c>
      <c r="E348" s="14"/>
      <c r="F348" s="38"/>
      <c r="G348" s="38"/>
    </row>
    <row r="349" spans="1:7">
      <c r="A349" s="29" t="s">
        <v>16</v>
      </c>
      <c r="B349" s="57"/>
      <c r="C349" s="30">
        <f t="shared" si="8"/>
        <v>0</v>
      </c>
      <c r="D349" s="14">
        <f t="shared" si="7"/>
        <v>0</v>
      </c>
      <c r="E349" s="14"/>
      <c r="F349" s="38"/>
      <c r="G349" s="38"/>
    </row>
    <row r="350" spans="1:7">
      <c r="A350" s="29" t="s">
        <v>17</v>
      </c>
      <c r="B350" s="57"/>
      <c r="C350" s="30">
        <f t="shared" si="8"/>
        <v>0</v>
      </c>
      <c r="D350" s="14">
        <f t="shared" si="7"/>
        <v>0</v>
      </c>
      <c r="E350" s="14"/>
      <c r="F350" s="38"/>
      <c r="G350" s="38"/>
    </row>
    <row r="351" spans="1:7">
      <c r="A351" s="29" t="s">
        <v>18</v>
      </c>
      <c r="B351" s="57"/>
      <c r="C351" s="30">
        <f t="shared" si="8"/>
        <v>0</v>
      </c>
      <c r="D351" s="14">
        <f t="shared" si="7"/>
        <v>0</v>
      </c>
      <c r="E351" s="14"/>
      <c r="F351" s="38"/>
      <c r="G351" s="38"/>
    </row>
    <row r="352" spans="1:7">
      <c r="A352" s="29" t="s">
        <v>19</v>
      </c>
      <c r="B352" s="57"/>
      <c r="C352" s="30">
        <f t="shared" si="8"/>
        <v>0</v>
      </c>
      <c r="D352" s="14">
        <f t="shared" si="7"/>
        <v>0</v>
      </c>
      <c r="E352" s="14"/>
      <c r="F352" s="38"/>
      <c r="G352" s="38"/>
    </row>
    <row r="353" spans="1:7">
      <c r="A353" s="29" t="s">
        <v>20</v>
      </c>
      <c r="B353" s="57"/>
      <c r="C353" s="30">
        <f t="shared" si="8"/>
        <v>0</v>
      </c>
      <c r="D353" s="14">
        <f t="shared" si="7"/>
        <v>0</v>
      </c>
      <c r="E353" s="14"/>
      <c r="F353" s="38"/>
      <c r="G353" s="38"/>
    </row>
    <row r="354" spans="1:7">
      <c r="A354" s="29" t="s">
        <v>21</v>
      </c>
      <c r="B354" s="57"/>
      <c r="C354" s="30">
        <f t="shared" si="8"/>
        <v>0</v>
      </c>
      <c r="D354" s="14">
        <f t="shared" si="7"/>
        <v>0</v>
      </c>
      <c r="E354" s="14"/>
      <c r="F354" s="38"/>
      <c r="G354" s="38"/>
    </row>
    <row r="355" spans="1:7">
      <c r="A355" s="29" t="s">
        <v>22</v>
      </c>
      <c r="B355" s="57"/>
      <c r="C355" s="30">
        <f t="shared" si="8"/>
        <v>0</v>
      </c>
      <c r="D355" s="14">
        <f t="shared" si="7"/>
        <v>0</v>
      </c>
      <c r="E355" s="14"/>
      <c r="F355" s="38"/>
      <c r="G355" s="38"/>
    </row>
    <row r="356" spans="1:7">
      <c r="A356" s="29" t="s">
        <v>23</v>
      </c>
      <c r="B356" s="57"/>
      <c r="C356" s="30">
        <f t="shared" si="8"/>
        <v>0</v>
      </c>
      <c r="D356" s="14">
        <f t="shared" si="7"/>
        <v>0</v>
      </c>
      <c r="E356" s="14"/>
      <c r="F356" s="38"/>
      <c r="G356" s="38"/>
    </row>
    <row r="357" spans="1:7">
      <c r="A357" s="29" t="s">
        <v>24</v>
      </c>
      <c r="B357" s="57"/>
      <c r="C357" s="30">
        <f t="shared" si="8"/>
        <v>0</v>
      </c>
      <c r="D357" s="14">
        <f t="shared" si="7"/>
        <v>0</v>
      </c>
      <c r="E357" s="14"/>
      <c r="F357" s="38"/>
      <c r="G357" s="38"/>
    </row>
    <row r="358" spans="1:7">
      <c r="A358" s="29" t="s">
        <v>25</v>
      </c>
      <c r="B358" s="57"/>
      <c r="C358" s="30">
        <f t="shared" si="8"/>
        <v>0</v>
      </c>
      <c r="D358" s="14">
        <f t="shared" si="7"/>
        <v>0</v>
      </c>
      <c r="E358" s="14"/>
      <c r="F358" s="38"/>
      <c r="G358" s="38"/>
    </row>
    <row r="359" spans="1:7">
      <c r="A359" s="29" t="s">
        <v>26</v>
      </c>
      <c r="B359" s="57"/>
      <c r="C359" s="30">
        <f t="shared" si="8"/>
        <v>0</v>
      </c>
      <c r="D359" s="14">
        <f t="shared" si="7"/>
        <v>0</v>
      </c>
      <c r="E359" s="14"/>
      <c r="F359" s="38"/>
      <c r="G359" s="38"/>
    </row>
    <row r="360" spans="1:7">
      <c r="A360" s="29" t="s">
        <v>27</v>
      </c>
      <c r="B360" s="57"/>
      <c r="C360" s="30">
        <f t="shared" si="8"/>
        <v>0</v>
      </c>
      <c r="D360" s="14">
        <f t="shared" si="7"/>
        <v>0</v>
      </c>
      <c r="E360" s="14"/>
      <c r="F360" s="38"/>
      <c r="G360" s="38"/>
    </row>
    <row r="361" spans="1:7">
      <c r="A361" s="29" t="s">
        <v>28</v>
      </c>
      <c r="B361" s="57"/>
      <c r="C361" s="30">
        <f t="shared" si="8"/>
        <v>0</v>
      </c>
      <c r="D361" s="14">
        <f t="shared" si="7"/>
        <v>0</v>
      </c>
      <c r="E361" s="14"/>
      <c r="F361" s="38"/>
      <c r="G361" s="38"/>
    </row>
    <row r="362" spans="1:7">
      <c r="A362" s="29" t="s">
        <v>29</v>
      </c>
      <c r="B362" s="57"/>
      <c r="C362" s="30">
        <f t="shared" si="8"/>
        <v>0</v>
      </c>
      <c r="D362" s="14">
        <f t="shared" si="7"/>
        <v>0</v>
      </c>
      <c r="E362" s="14"/>
      <c r="F362" s="38"/>
      <c r="G362" s="38"/>
    </row>
    <row r="363" spans="1:7">
      <c r="A363" s="29" t="s">
        <v>30</v>
      </c>
      <c r="B363" s="57"/>
      <c r="C363" s="30">
        <f t="shared" si="8"/>
        <v>0</v>
      </c>
      <c r="D363" s="14">
        <f t="shared" si="7"/>
        <v>0</v>
      </c>
      <c r="E363" s="14"/>
      <c r="F363" s="38"/>
      <c r="G363" s="38"/>
    </row>
    <row r="364" spans="1:7">
      <c r="A364" s="29" t="s">
        <v>31</v>
      </c>
      <c r="B364" s="57"/>
      <c r="C364" s="30">
        <f t="shared" si="8"/>
        <v>0</v>
      </c>
      <c r="D364" s="14">
        <f t="shared" si="7"/>
        <v>0</v>
      </c>
      <c r="E364" s="14"/>
      <c r="F364" s="38"/>
      <c r="G364" s="38"/>
    </row>
    <row r="365" spans="1:7">
      <c r="A365" s="29" t="s">
        <v>32</v>
      </c>
      <c r="B365" s="57"/>
      <c r="C365" s="30">
        <f t="shared" si="8"/>
        <v>0</v>
      </c>
      <c r="D365" s="14">
        <f t="shared" si="7"/>
        <v>0</v>
      </c>
      <c r="E365" s="14"/>
      <c r="F365" s="38"/>
      <c r="G365" s="38"/>
    </row>
    <row r="366" spans="1:7">
      <c r="A366" s="29" t="s">
        <v>33</v>
      </c>
      <c r="B366" s="57"/>
      <c r="C366" s="30">
        <f t="shared" si="8"/>
        <v>0</v>
      </c>
      <c r="D366" s="14">
        <f t="shared" si="7"/>
        <v>0</v>
      </c>
      <c r="E366" s="14"/>
      <c r="F366" s="38"/>
      <c r="G366" s="38"/>
    </row>
    <row r="367" spans="1:7">
      <c r="A367" s="29" t="s">
        <v>34</v>
      </c>
      <c r="B367" s="57"/>
      <c r="C367" s="30">
        <f t="shared" si="8"/>
        <v>0</v>
      </c>
      <c r="D367" s="14">
        <f t="shared" si="7"/>
        <v>0</v>
      </c>
      <c r="E367" s="14"/>
      <c r="F367" s="38"/>
      <c r="G367" s="38"/>
    </row>
    <row r="368" spans="1:7">
      <c r="A368" s="29" t="s">
        <v>35</v>
      </c>
      <c r="B368" s="57"/>
      <c r="C368" s="30">
        <f t="shared" si="8"/>
        <v>0</v>
      </c>
      <c r="D368" s="14">
        <f t="shared" si="7"/>
        <v>0</v>
      </c>
      <c r="E368" s="14"/>
      <c r="F368" s="38"/>
      <c r="G368" s="38"/>
    </row>
    <row r="369" spans="1:7">
      <c r="A369" s="29" t="s">
        <v>36</v>
      </c>
      <c r="B369" s="57"/>
      <c r="C369" s="30">
        <f t="shared" si="8"/>
        <v>0</v>
      </c>
      <c r="D369" s="14">
        <f t="shared" si="7"/>
        <v>0</v>
      </c>
      <c r="E369" s="14"/>
      <c r="F369" s="38"/>
      <c r="G369" s="38"/>
    </row>
    <row r="370" spans="1:7">
      <c r="A370" s="29" t="s">
        <v>37</v>
      </c>
      <c r="B370" s="57"/>
      <c r="C370" s="30">
        <f t="shared" si="8"/>
        <v>0</v>
      </c>
      <c r="D370" s="14">
        <f t="shared" si="7"/>
        <v>0</v>
      </c>
      <c r="E370" s="14"/>
      <c r="F370" s="38"/>
      <c r="G370" s="38"/>
    </row>
    <row r="371" spans="1:7">
      <c r="A371" s="29" t="s">
        <v>38</v>
      </c>
      <c r="B371" s="57"/>
      <c r="C371" s="30">
        <f t="shared" si="8"/>
        <v>0</v>
      </c>
      <c r="D371" s="14">
        <f t="shared" si="7"/>
        <v>0</v>
      </c>
      <c r="E371" s="14"/>
      <c r="F371" s="38"/>
      <c r="G371" s="38"/>
    </row>
    <row r="372" spans="1:7">
      <c r="A372" s="29" t="s">
        <v>39</v>
      </c>
      <c r="B372" s="57"/>
      <c r="C372" s="30">
        <f t="shared" si="8"/>
        <v>0</v>
      </c>
      <c r="D372" s="14">
        <f t="shared" si="7"/>
        <v>0</v>
      </c>
      <c r="E372" s="14"/>
      <c r="F372" s="38"/>
      <c r="G372" s="38"/>
    </row>
    <row r="373" spans="1:7">
      <c r="A373" s="29" t="s">
        <v>40</v>
      </c>
      <c r="B373" s="57"/>
      <c r="C373" s="30">
        <f t="shared" si="8"/>
        <v>0</v>
      </c>
      <c r="D373" s="14">
        <f t="shared" si="7"/>
        <v>0</v>
      </c>
      <c r="E373" s="14"/>
      <c r="F373" s="38"/>
      <c r="G373" s="38"/>
    </row>
    <row r="374" spans="1:7">
      <c r="A374" s="29" t="s">
        <v>41</v>
      </c>
      <c r="B374" s="57"/>
      <c r="C374" s="30">
        <f t="shared" si="8"/>
        <v>0</v>
      </c>
      <c r="D374" s="14">
        <f t="shared" si="7"/>
        <v>0</v>
      </c>
      <c r="E374" s="14"/>
      <c r="F374" s="38"/>
      <c r="G374" s="38"/>
    </row>
    <row r="375" spans="1:7">
      <c r="A375" s="29" t="s">
        <v>42</v>
      </c>
      <c r="B375" s="57"/>
      <c r="C375" s="30">
        <f t="shared" si="8"/>
        <v>0</v>
      </c>
      <c r="D375" s="14">
        <f t="shared" si="7"/>
        <v>0</v>
      </c>
      <c r="E375" s="14"/>
      <c r="F375" s="38"/>
      <c r="G375" s="38"/>
    </row>
    <row r="376" spans="1:7">
      <c r="A376" s="29" t="s">
        <v>43</v>
      </c>
      <c r="B376" s="57"/>
      <c r="C376" s="30">
        <f t="shared" si="8"/>
        <v>0</v>
      </c>
      <c r="D376" s="14">
        <f t="shared" si="7"/>
        <v>0</v>
      </c>
      <c r="E376" s="14"/>
      <c r="F376" s="38"/>
      <c r="G376" s="38"/>
    </row>
    <row r="377" spans="1:7">
      <c r="A377" s="29" t="s">
        <v>44</v>
      </c>
      <c r="B377" s="57"/>
      <c r="C377" s="30">
        <f t="shared" si="8"/>
        <v>0</v>
      </c>
      <c r="D377" s="14">
        <f t="shared" si="7"/>
        <v>0</v>
      </c>
      <c r="E377" s="14"/>
      <c r="F377" s="38"/>
      <c r="G377" s="38"/>
    </row>
    <row r="378" spans="1:7">
      <c r="A378" s="29" t="s">
        <v>45</v>
      </c>
      <c r="B378" s="57"/>
      <c r="C378" s="30">
        <f t="shared" si="8"/>
        <v>0</v>
      </c>
      <c r="D378" s="14">
        <f t="shared" si="7"/>
        <v>0</v>
      </c>
      <c r="E378" s="14"/>
      <c r="F378" s="38"/>
      <c r="G378" s="38"/>
    </row>
    <row r="379" spans="1:7">
      <c r="A379" s="29" t="s">
        <v>46</v>
      </c>
      <c r="B379" s="57"/>
      <c r="C379" s="30">
        <f t="shared" si="8"/>
        <v>0</v>
      </c>
      <c r="D379" s="14">
        <f t="shared" si="7"/>
        <v>0</v>
      </c>
      <c r="E379" s="14"/>
      <c r="F379" s="38"/>
      <c r="G379" s="38"/>
    </row>
    <row r="380" spans="1:7">
      <c r="A380" s="29" t="s">
        <v>47</v>
      </c>
      <c r="B380" s="57"/>
      <c r="C380" s="30">
        <f t="shared" si="8"/>
        <v>0</v>
      </c>
      <c r="D380" s="14">
        <f t="shared" si="7"/>
        <v>0</v>
      </c>
      <c r="E380" s="14"/>
      <c r="F380" s="38"/>
      <c r="G380" s="38"/>
    </row>
    <row r="381" spans="1:7">
      <c r="A381" s="29" t="s">
        <v>48</v>
      </c>
      <c r="B381" s="57"/>
      <c r="C381" s="30">
        <f t="shared" si="8"/>
        <v>0</v>
      </c>
      <c r="D381" s="14">
        <f t="shared" si="7"/>
        <v>0</v>
      </c>
      <c r="E381" s="14"/>
      <c r="F381" s="38"/>
      <c r="G381" s="38"/>
    </row>
    <row r="382" spans="1:7">
      <c r="A382" s="29" t="s">
        <v>49</v>
      </c>
      <c r="B382" s="57"/>
      <c r="C382" s="30">
        <f t="shared" si="8"/>
        <v>0</v>
      </c>
      <c r="D382" s="14">
        <f t="shared" si="7"/>
        <v>0</v>
      </c>
      <c r="E382" s="14"/>
      <c r="F382" s="38"/>
      <c r="G382" s="38"/>
    </row>
    <row r="383" spans="1:7">
      <c r="A383" s="29" t="s">
        <v>50</v>
      </c>
      <c r="B383" s="57"/>
      <c r="C383" s="30">
        <f t="shared" si="8"/>
        <v>0</v>
      </c>
      <c r="D383" s="14">
        <f t="shared" si="7"/>
        <v>0</v>
      </c>
      <c r="E383" s="14"/>
      <c r="F383" s="38"/>
      <c r="G383" s="38"/>
    </row>
    <row r="384" spans="1:7">
      <c r="A384" s="29" t="s">
        <v>51</v>
      </c>
      <c r="B384" s="57"/>
      <c r="C384" s="30">
        <f t="shared" si="8"/>
        <v>0</v>
      </c>
      <c r="D384" s="14">
        <f t="shared" si="7"/>
        <v>0</v>
      </c>
      <c r="E384" s="14"/>
      <c r="F384" s="38"/>
      <c r="G384" s="38"/>
    </row>
    <row r="385" spans="1:7">
      <c r="A385" s="29" t="s">
        <v>52</v>
      </c>
      <c r="B385" s="57"/>
      <c r="C385" s="30">
        <f t="shared" si="8"/>
        <v>0</v>
      </c>
      <c r="D385" s="14">
        <f t="shared" si="7"/>
        <v>0</v>
      </c>
      <c r="E385" s="14"/>
      <c r="F385" s="38"/>
      <c r="G385" s="38"/>
    </row>
    <row r="386" spans="1:7">
      <c r="A386" s="29" t="s">
        <v>53</v>
      </c>
      <c r="B386" s="29"/>
      <c r="C386" s="30">
        <f>B385</f>
        <v>0</v>
      </c>
      <c r="D386" s="14">
        <f>IF(B386=0,0,IF(B386&lt;=E$391,0,B386-E$391)/B386)</f>
        <v>0</v>
      </c>
      <c r="E386" s="14"/>
      <c r="F386" s="38"/>
      <c r="G386" s="38"/>
    </row>
    <row r="387" spans="1:7">
      <c r="A387" s="29" t="s">
        <v>53</v>
      </c>
      <c r="B387" s="29"/>
      <c r="C387" s="30">
        <f t="shared" si="8"/>
        <v>0</v>
      </c>
      <c r="D387" s="58" t="s">
        <v>69</v>
      </c>
      <c r="E387" s="11"/>
      <c r="F387" s="39"/>
      <c r="G387" s="39"/>
    </row>
    <row r="388" spans="1:7">
      <c r="A388" s="29"/>
      <c r="B388" s="29"/>
      <c r="D388" s="29" t="s">
        <v>69</v>
      </c>
      <c r="E388" s="32"/>
      <c r="F388" s="40"/>
      <c r="G388" s="40"/>
    </row>
    <row r="389" spans="1:7" ht="60">
      <c r="A389" s="33" t="s">
        <v>55</v>
      </c>
      <c r="B389" s="29"/>
      <c r="D389" s="29" t="s">
        <v>69</v>
      </c>
      <c r="E389" s="34"/>
      <c r="F389" s="41"/>
      <c r="G389" s="42"/>
    </row>
    <row r="390" spans="1:7" ht="60">
      <c r="A390" s="33" t="s">
        <v>56</v>
      </c>
      <c r="B390" s="29"/>
      <c r="D390" s="11"/>
      <c r="E390" s="11"/>
      <c r="F390" s="39"/>
      <c r="G390" s="39"/>
    </row>
    <row r="391" spans="1:7" ht="96.75">
      <c r="A391" s="35" t="s">
        <v>57</v>
      </c>
      <c r="B391" s="29"/>
      <c r="D391" s="11"/>
      <c r="E391" s="11">
        <f>0.6*E389</f>
        <v>0</v>
      </c>
      <c r="F391" s="39">
        <f>0.6*F389</f>
        <v>0</v>
      </c>
      <c r="G391" s="39"/>
    </row>
    <row r="394" spans="1:7">
      <c r="A394" s="16" t="s">
        <v>64</v>
      </c>
      <c r="B394" s="17" t="e">
        <f>AVERAGE(B342:B381)</f>
        <v>#DIV/0!</v>
      </c>
    </row>
    <row r="395" spans="1:7">
      <c r="A395" s="16" t="s">
        <v>65</v>
      </c>
      <c r="B395" s="18" t="e">
        <f>AVERAGE(B347:B376)</f>
        <v>#DIV/0!</v>
      </c>
    </row>
    <row r="396" spans="1:7">
      <c r="A396" s="16" t="s">
        <v>66</v>
      </c>
      <c r="B396" s="18" t="e">
        <f>AVERAGE(B353:B371)</f>
        <v>#DIV/0!</v>
      </c>
    </row>
    <row r="401" spans="1:7">
      <c r="A401" s="473" t="s">
        <v>0</v>
      </c>
      <c r="B401" s="528" t="s">
        <v>71</v>
      </c>
      <c r="C401" s="528"/>
      <c r="D401" s="528"/>
      <c r="E401" s="40">
        <f>(1-E456)^(1/3)-1</f>
        <v>0</v>
      </c>
      <c r="F401" s="40">
        <f>(1-F456)^(1/3)-1</f>
        <v>0</v>
      </c>
      <c r="G401" s="40"/>
    </row>
    <row r="402" spans="1:7" ht="72">
      <c r="A402" s="473"/>
      <c r="B402" s="11" t="s">
        <v>4</v>
      </c>
      <c r="C402">
        <v>0</v>
      </c>
      <c r="D402" s="11" t="s">
        <v>5</v>
      </c>
      <c r="E402" s="11" t="s">
        <v>5</v>
      </c>
      <c r="F402" s="39" t="s">
        <v>5</v>
      </c>
      <c r="G402" s="39"/>
    </row>
    <row r="403" spans="1:7" ht="72.75">
      <c r="A403" s="473"/>
      <c r="B403" s="29" t="s">
        <v>73</v>
      </c>
      <c r="C403" s="30" t="str">
        <f>B402</f>
        <v>Фактическое удельное годовое потребление</v>
      </c>
      <c r="D403" s="184" t="s">
        <v>7</v>
      </c>
      <c r="E403" s="55" t="s">
        <v>65</v>
      </c>
      <c r="F403" s="39"/>
      <c r="G403" s="56"/>
    </row>
    <row r="404" spans="1:7" ht="24.75">
      <c r="A404" s="50">
        <v>1</v>
      </c>
      <c r="B404" s="50"/>
      <c r="C404" s="30" t="str">
        <f t="shared" ref="C404:C452" si="9">B403</f>
        <v>кгут / кв. м</v>
      </c>
      <c r="D404" s="29" t="s">
        <v>73</v>
      </c>
      <c r="E404" s="51">
        <v>5</v>
      </c>
      <c r="F404" s="52">
        <v>6</v>
      </c>
      <c r="G404" s="52"/>
    </row>
    <row r="405" spans="1:7">
      <c r="A405" s="27" t="s">
        <v>10</v>
      </c>
      <c r="B405" s="29"/>
      <c r="C405" s="30">
        <f t="shared" si="9"/>
        <v>0</v>
      </c>
      <c r="D405" s="50"/>
      <c r="E405" s="14"/>
      <c r="F405" s="38"/>
      <c r="G405" s="38"/>
    </row>
    <row r="406" spans="1:7">
      <c r="A406" s="27" t="s">
        <v>58</v>
      </c>
      <c r="B406" s="29"/>
      <c r="C406" s="30">
        <f t="shared" si="9"/>
        <v>0</v>
      </c>
      <c r="D406" s="29"/>
      <c r="E406" s="14"/>
      <c r="F406" s="38"/>
      <c r="G406" s="38"/>
    </row>
    <row r="407" spans="1:7">
      <c r="A407" s="27" t="s">
        <v>59</v>
      </c>
      <c r="B407" s="29"/>
      <c r="C407" s="30">
        <f t="shared" si="9"/>
        <v>0</v>
      </c>
      <c r="D407" s="29"/>
      <c r="E407" s="14"/>
      <c r="F407" s="38"/>
      <c r="G407" s="38"/>
    </row>
    <row r="408" spans="1:7">
      <c r="A408" s="27" t="s">
        <v>60</v>
      </c>
      <c r="B408" s="29"/>
      <c r="C408" s="30">
        <f t="shared" si="9"/>
        <v>0</v>
      </c>
      <c r="D408" s="29"/>
      <c r="E408" s="14"/>
      <c r="F408" s="38"/>
      <c r="G408" s="38"/>
    </row>
    <row r="409" spans="1:7">
      <c r="A409" s="27" t="s">
        <v>61</v>
      </c>
      <c r="B409" s="29"/>
      <c r="C409" s="30">
        <f t="shared" si="9"/>
        <v>0</v>
      </c>
      <c r="D409" s="29"/>
      <c r="E409" s="14"/>
      <c r="F409" s="38"/>
      <c r="G409" s="38"/>
    </row>
    <row r="410" spans="1:7">
      <c r="A410" s="27" t="s">
        <v>62</v>
      </c>
      <c r="B410" s="29"/>
      <c r="C410" s="30">
        <f t="shared" si="9"/>
        <v>0</v>
      </c>
      <c r="D410" s="29"/>
      <c r="E410" s="14"/>
      <c r="F410" s="38"/>
      <c r="G410" s="38"/>
    </row>
    <row r="411" spans="1:7">
      <c r="A411" s="27" t="s">
        <v>63</v>
      </c>
      <c r="B411" s="29"/>
      <c r="C411" s="30">
        <f t="shared" si="9"/>
        <v>0</v>
      </c>
      <c r="D411" s="29"/>
      <c r="E411" s="14"/>
      <c r="F411" s="38"/>
      <c r="G411" s="38"/>
    </row>
    <row r="412" spans="1:7">
      <c r="A412" s="29" t="s">
        <v>11</v>
      </c>
      <c r="B412" s="29"/>
      <c r="C412" s="30">
        <f t="shared" si="9"/>
        <v>0</v>
      </c>
      <c r="D412" s="29"/>
      <c r="E412" s="14"/>
      <c r="F412" s="38"/>
      <c r="G412" s="38"/>
    </row>
    <row r="413" spans="1:7">
      <c r="A413" s="29" t="s">
        <v>12</v>
      </c>
      <c r="B413" s="29"/>
      <c r="C413" s="30">
        <f t="shared" si="9"/>
        <v>0</v>
      </c>
      <c r="D413" s="29"/>
      <c r="E413" s="14"/>
      <c r="F413" s="38"/>
      <c r="G413" s="38"/>
    </row>
    <row r="414" spans="1:7">
      <c r="A414" s="29" t="s">
        <v>13</v>
      </c>
      <c r="B414" s="29"/>
      <c r="C414" s="30">
        <f t="shared" si="9"/>
        <v>0</v>
      </c>
      <c r="D414" s="29"/>
      <c r="E414" s="14"/>
      <c r="F414" s="38"/>
      <c r="G414" s="38"/>
    </row>
    <row r="415" spans="1:7">
      <c r="A415" s="29" t="s">
        <v>14</v>
      </c>
      <c r="B415" s="29"/>
      <c r="C415" s="30">
        <f t="shared" si="9"/>
        <v>0</v>
      </c>
      <c r="D415" s="29"/>
      <c r="E415" s="14"/>
      <c r="F415" s="38"/>
      <c r="G415" s="38"/>
    </row>
    <row r="416" spans="1:7">
      <c r="A416" s="29" t="s">
        <v>15</v>
      </c>
      <c r="B416" s="29"/>
      <c r="C416" s="30">
        <f t="shared" si="9"/>
        <v>0</v>
      </c>
      <c r="D416" s="29"/>
      <c r="E416" s="14"/>
      <c r="F416" s="38"/>
      <c r="G416" s="38"/>
    </row>
    <row r="417" spans="1:7">
      <c r="A417" s="29" t="s">
        <v>16</v>
      </c>
      <c r="B417" s="29"/>
      <c r="C417" s="30">
        <f t="shared" si="9"/>
        <v>0</v>
      </c>
      <c r="D417" s="29"/>
      <c r="E417" s="14"/>
      <c r="F417" s="38"/>
      <c r="G417" s="38"/>
    </row>
    <row r="418" spans="1:7">
      <c r="A418" s="29" t="s">
        <v>17</v>
      </c>
      <c r="B418" s="29"/>
      <c r="C418" s="30">
        <f t="shared" si="9"/>
        <v>0</v>
      </c>
      <c r="D418" s="29"/>
      <c r="E418" s="14"/>
      <c r="F418" s="38"/>
      <c r="G418" s="38"/>
    </row>
    <row r="419" spans="1:7">
      <c r="A419" s="29" t="s">
        <v>18</v>
      </c>
      <c r="B419" s="29"/>
      <c r="C419" s="30">
        <f t="shared" si="9"/>
        <v>0</v>
      </c>
      <c r="D419" s="29"/>
      <c r="E419" s="14"/>
      <c r="F419" s="38"/>
      <c r="G419" s="38"/>
    </row>
    <row r="420" spans="1:7">
      <c r="A420" s="29" t="s">
        <v>19</v>
      </c>
      <c r="B420" s="29"/>
      <c r="C420" s="30">
        <f t="shared" si="9"/>
        <v>0</v>
      </c>
      <c r="D420" s="29"/>
      <c r="E420" s="14"/>
      <c r="F420" s="38"/>
      <c r="G420" s="38"/>
    </row>
    <row r="421" spans="1:7">
      <c r="A421" s="29" t="s">
        <v>20</v>
      </c>
      <c r="B421" s="29"/>
      <c r="C421" s="30">
        <f t="shared" si="9"/>
        <v>0</v>
      </c>
      <c r="D421" s="29"/>
      <c r="E421" s="14"/>
      <c r="F421" s="38"/>
      <c r="G421" s="38"/>
    </row>
    <row r="422" spans="1:7">
      <c r="A422" s="29" t="s">
        <v>21</v>
      </c>
      <c r="B422" s="29"/>
      <c r="C422" s="30">
        <f t="shared" si="9"/>
        <v>0</v>
      </c>
      <c r="D422" s="29"/>
      <c r="E422" s="14"/>
      <c r="F422" s="38"/>
      <c r="G422" s="38"/>
    </row>
    <row r="423" spans="1:7">
      <c r="A423" s="29" t="s">
        <v>22</v>
      </c>
      <c r="B423" s="29"/>
      <c r="C423" s="30">
        <f t="shared" si="9"/>
        <v>0</v>
      </c>
      <c r="D423" s="29"/>
      <c r="E423" s="14"/>
      <c r="F423" s="38"/>
      <c r="G423" s="38"/>
    </row>
    <row r="424" spans="1:7">
      <c r="A424" s="29" t="s">
        <v>23</v>
      </c>
      <c r="B424" s="29"/>
      <c r="C424" s="30">
        <f t="shared" si="9"/>
        <v>0</v>
      </c>
      <c r="D424" s="29"/>
      <c r="E424" s="14"/>
      <c r="F424" s="38"/>
      <c r="G424" s="38"/>
    </row>
    <row r="425" spans="1:7">
      <c r="A425" s="29" t="s">
        <v>24</v>
      </c>
      <c r="B425" s="29"/>
      <c r="C425" s="30">
        <f t="shared" si="9"/>
        <v>0</v>
      </c>
      <c r="D425" s="29"/>
      <c r="E425" s="14"/>
      <c r="F425" s="38"/>
      <c r="G425" s="38"/>
    </row>
    <row r="426" spans="1:7">
      <c r="A426" s="29" t="s">
        <v>25</v>
      </c>
      <c r="B426" s="29"/>
      <c r="C426" s="30">
        <f t="shared" si="9"/>
        <v>0</v>
      </c>
      <c r="D426" s="29"/>
      <c r="E426" s="14"/>
      <c r="F426" s="38"/>
      <c r="G426" s="38"/>
    </row>
    <row r="427" spans="1:7">
      <c r="A427" s="29" t="s">
        <v>26</v>
      </c>
      <c r="B427" s="29"/>
      <c r="C427" s="30">
        <f t="shared" si="9"/>
        <v>0</v>
      </c>
      <c r="D427" s="29"/>
      <c r="E427" s="14"/>
      <c r="F427" s="38"/>
      <c r="G427" s="38"/>
    </row>
    <row r="428" spans="1:7">
      <c r="A428" s="29" t="s">
        <v>27</v>
      </c>
      <c r="B428" s="29"/>
      <c r="C428" s="30">
        <f t="shared" si="9"/>
        <v>0</v>
      </c>
      <c r="D428" s="29"/>
      <c r="E428" s="14"/>
      <c r="F428" s="38"/>
      <c r="G428" s="38"/>
    </row>
    <row r="429" spans="1:7">
      <c r="A429" s="29" t="s">
        <v>28</v>
      </c>
      <c r="B429" s="29"/>
      <c r="C429" s="30">
        <f t="shared" si="9"/>
        <v>0</v>
      </c>
      <c r="D429" s="29"/>
      <c r="E429" s="14"/>
      <c r="F429" s="38"/>
      <c r="G429" s="38"/>
    </row>
    <row r="430" spans="1:7">
      <c r="A430" s="29" t="s">
        <v>29</v>
      </c>
      <c r="B430" s="29"/>
      <c r="C430" s="30">
        <f t="shared" si="9"/>
        <v>0</v>
      </c>
      <c r="D430" s="29"/>
      <c r="E430" s="14"/>
      <c r="F430" s="38"/>
      <c r="G430" s="38"/>
    </row>
    <row r="431" spans="1:7">
      <c r="A431" s="29" t="s">
        <v>30</v>
      </c>
      <c r="B431" s="29"/>
      <c r="C431" s="30">
        <f t="shared" si="9"/>
        <v>0</v>
      </c>
      <c r="D431" s="29"/>
      <c r="E431" s="14"/>
      <c r="F431" s="38"/>
      <c r="G431" s="38"/>
    </row>
    <row r="432" spans="1:7">
      <c r="A432" s="29" t="s">
        <v>31</v>
      </c>
      <c r="B432" s="29"/>
      <c r="C432" s="30">
        <f t="shared" si="9"/>
        <v>0</v>
      </c>
      <c r="D432" s="29"/>
      <c r="E432" s="14"/>
      <c r="F432" s="38"/>
      <c r="G432" s="38"/>
    </row>
    <row r="433" spans="1:7">
      <c r="A433" s="29" t="s">
        <v>32</v>
      </c>
      <c r="B433" s="29"/>
      <c r="C433" s="30">
        <f t="shared" si="9"/>
        <v>0</v>
      </c>
      <c r="D433" s="29"/>
      <c r="E433" s="14"/>
      <c r="F433" s="38"/>
      <c r="G433" s="38"/>
    </row>
    <row r="434" spans="1:7">
      <c r="A434" s="29" t="s">
        <v>33</v>
      </c>
      <c r="B434" s="29"/>
      <c r="C434" s="30">
        <f t="shared" si="9"/>
        <v>0</v>
      </c>
      <c r="D434" s="29"/>
      <c r="E434" s="14"/>
      <c r="F434" s="38"/>
      <c r="G434" s="38"/>
    </row>
    <row r="435" spans="1:7">
      <c r="A435" s="29" t="s">
        <v>34</v>
      </c>
      <c r="B435" s="29"/>
      <c r="C435" s="30">
        <f t="shared" si="9"/>
        <v>0</v>
      </c>
      <c r="D435" s="29"/>
      <c r="E435" s="14"/>
      <c r="F435" s="38"/>
      <c r="G435" s="38"/>
    </row>
    <row r="436" spans="1:7">
      <c r="A436" s="29" t="s">
        <v>35</v>
      </c>
      <c r="B436" s="29"/>
      <c r="C436" s="30">
        <f t="shared" si="9"/>
        <v>0</v>
      </c>
      <c r="D436" s="29"/>
      <c r="E436" s="14"/>
      <c r="F436" s="38"/>
      <c r="G436" s="38"/>
    </row>
    <row r="437" spans="1:7">
      <c r="A437" s="29" t="s">
        <v>36</v>
      </c>
      <c r="B437" s="29"/>
      <c r="C437" s="30">
        <f t="shared" si="9"/>
        <v>0</v>
      </c>
      <c r="D437" s="29"/>
      <c r="E437" s="14"/>
      <c r="F437" s="38"/>
      <c r="G437" s="38"/>
    </row>
    <row r="438" spans="1:7">
      <c r="A438" s="29" t="s">
        <v>37</v>
      </c>
      <c r="B438" s="29"/>
      <c r="C438" s="30">
        <f t="shared" si="9"/>
        <v>0</v>
      </c>
      <c r="D438" s="29"/>
      <c r="E438" s="14"/>
      <c r="F438" s="38"/>
      <c r="G438" s="38"/>
    </row>
    <row r="439" spans="1:7">
      <c r="A439" s="29" t="s">
        <v>38</v>
      </c>
      <c r="B439" s="29"/>
      <c r="C439" s="30">
        <f t="shared" si="9"/>
        <v>0</v>
      </c>
      <c r="D439" s="29"/>
      <c r="E439" s="14"/>
      <c r="F439" s="38"/>
      <c r="G439" s="38"/>
    </row>
    <row r="440" spans="1:7">
      <c r="A440" s="29" t="s">
        <v>39</v>
      </c>
      <c r="B440" s="29"/>
      <c r="C440" s="30">
        <f t="shared" si="9"/>
        <v>0</v>
      </c>
      <c r="D440" s="29"/>
      <c r="E440" s="14"/>
      <c r="F440" s="38"/>
      <c r="G440" s="38"/>
    </row>
    <row r="441" spans="1:7">
      <c r="A441" s="29" t="s">
        <v>40</v>
      </c>
      <c r="B441" s="29"/>
      <c r="C441" s="30">
        <f t="shared" si="9"/>
        <v>0</v>
      </c>
      <c r="D441" s="29"/>
      <c r="E441" s="14"/>
      <c r="F441" s="38"/>
      <c r="G441" s="38"/>
    </row>
    <row r="442" spans="1:7">
      <c r="A442" s="29" t="s">
        <v>41</v>
      </c>
      <c r="B442" s="29"/>
      <c r="C442" s="30">
        <f t="shared" si="9"/>
        <v>0</v>
      </c>
      <c r="D442" s="29"/>
      <c r="E442" s="14"/>
      <c r="F442" s="38"/>
      <c r="G442" s="38"/>
    </row>
    <row r="443" spans="1:7">
      <c r="A443" s="29" t="s">
        <v>42</v>
      </c>
      <c r="B443" s="29"/>
      <c r="C443" s="30">
        <f t="shared" si="9"/>
        <v>0</v>
      </c>
      <c r="D443" s="29"/>
      <c r="E443" s="14"/>
      <c r="F443" s="38"/>
      <c r="G443" s="38"/>
    </row>
    <row r="444" spans="1:7">
      <c r="A444" s="29" t="s">
        <v>43</v>
      </c>
      <c r="B444" s="29"/>
      <c r="C444" s="30">
        <f t="shared" si="9"/>
        <v>0</v>
      </c>
      <c r="D444" s="29"/>
      <c r="E444" s="14"/>
      <c r="F444" s="38"/>
      <c r="G444" s="38"/>
    </row>
    <row r="445" spans="1:7">
      <c r="A445" s="29" t="s">
        <v>44</v>
      </c>
      <c r="B445" s="29"/>
      <c r="C445" s="30">
        <f t="shared" si="9"/>
        <v>0</v>
      </c>
      <c r="D445" s="29"/>
      <c r="E445" s="14"/>
      <c r="F445" s="38"/>
      <c r="G445" s="38"/>
    </row>
    <row r="446" spans="1:7">
      <c r="A446" s="29" t="s">
        <v>45</v>
      </c>
      <c r="B446" s="29"/>
      <c r="C446" s="30">
        <f t="shared" si="9"/>
        <v>0</v>
      </c>
      <c r="D446" s="29"/>
      <c r="E446" s="14"/>
      <c r="F446" s="38"/>
      <c r="G446" s="38"/>
    </row>
    <row r="447" spans="1:7">
      <c r="A447" s="29" t="s">
        <v>46</v>
      </c>
      <c r="B447" s="29"/>
      <c r="C447" s="30">
        <f t="shared" si="9"/>
        <v>0</v>
      </c>
      <c r="D447" s="29"/>
      <c r="E447" s="14"/>
      <c r="F447" s="38"/>
      <c r="G447" s="38"/>
    </row>
    <row r="448" spans="1:7">
      <c r="A448" s="29" t="s">
        <v>47</v>
      </c>
      <c r="B448" s="29"/>
      <c r="C448" s="30">
        <f t="shared" si="9"/>
        <v>0</v>
      </c>
      <c r="D448" s="29"/>
      <c r="E448" s="14"/>
      <c r="F448" s="38"/>
      <c r="G448" s="38"/>
    </row>
    <row r="449" spans="1:7">
      <c r="A449" s="29" t="s">
        <v>48</v>
      </c>
      <c r="B449" s="29"/>
      <c r="C449" s="30">
        <f t="shared" si="9"/>
        <v>0</v>
      </c>
      <c r="D449" s="29"/>
      <c r="E449" s="14"/>
      <c r="F449" s="38"/>
      <c r="G449" s="38"/>
    </row>
    <row r="450" spans="1:7">
      <c r="A450" s="29" t="s">
        <v>49</v>
      </c>
      <c r="B450" s="29"/>
      <c r="C450" s="30">
        <f t="shared" si="9"/>
        <v>0</v>
      </c>
      <c r="D450" s="29"/>
      <c r="E450" s="14"/>
      <c r="F450" s="38"/>
      <c r="G450" s="38"/>
    </row>
    <row r="451" spans="1:7">
      <c r="A451" s="29" t="s">
        <v>50</v>
      </c>
      <c r="B451" s="29"/>
      <c r="C451" s="30">
        <f>B450</f>
        <v>0</v>
      </c>
      <c r="D451" s="29"/>
      <c r="E451" s="14"/>
      <c r="F451" s="38"/>
      <c r="G451" s="38"/>
    </row>
    <row r="452" spans="1:7">
      <c r="A452" s="29" t="s">
        <v>51</v>
      </c>
      <c r="B452" s="29"/>
      <c r="C452" s="30">
        <f t="shared" si="9"/>
        <v>0</v>
      </c>
      <c r="D452" s="29"/>
      <c r="E452" s="14"/>
      <c r="F452" s="38"/>
      <c r="G452" s="38"/>
    </row>
    <row r="453" spans="1:7">
      <c r="A453" s="29" t="s">
        <v>52</v>
      </c>
      <c r="B453" s="29"/>
      <c r="D453" s="29"/>
      <c r="E453" s="14"/>
      <c r="F453" s="38"/>
      <c r="G453" s="38"/>
    </row>
    <row r="454" spans="1:7">
      <c r="A454" s="29" t="s">
        <v>53</v>
      </c>
      <c r="B454" s="29"/>
      <c r="D454" s="29"/>
      <c r="E454" s="14"/>
      <c r="F454" s="38"/>
      <c r="G454" s="38"/>
    </row>
    <row r="455" spans="1:7">
      <c r="A455" s="29" t="s">
        <v>53</v>
      </c>
      <c r="B455" s="29"/>
      <c r="D455" s="58"/>
      <c r="E455" s="11"/>
      <c r="F455" s="39"/>
      <c r="G455" s="39"/>
    </row>
    <row r="456" spans="1:7">
      <c r="A456" s="29"/>
      <c r="B456" s="29"/>
      <c r="D456" s="29"/>
      <c r="E456" s="32"/>
      <c r="F456" s="40"/>
      <c r="G456" s="40"/>
    </row>
    <row r="457" spans="1:7" ht="60">
      <c r="A457" s="33" t="s">
        <v>55</v>
      </c>
      <c r="B457" s="29"/>
      <c r="D457" s="29"/>
      <c r="E457" s="34"/>
      <c r="F457" s="41"/>
      <c r="G457" s="42"/>
    </row>
    <row r="458" spans="1:7" ht="60">
      <c r="A458" s="33" t="s">
        <v>56</v>
      </c>
      <c r="B458" s="29"/>
      <c r="D458" s="11"/>
      <c r="E458" s="11"/>
      <c r="F458" s="39"/>
      <c r="G458" s="39"/>
    </row>
    <row r="459" spans="1:7" ht="96.75">
      <c r="A459" s="35" t="s">
        <v>57</v>
      </c>
      <c r="B459" s="29"/>
      <c r="D459" s="11"/>
      <c r="E459" s="11">
        <f>0.6*E457</f>
        <v>0</v>
      </c>
      <c r="F459" s="39">
        <f>0.6*F457</f>
        <v>0</v>
      </c>
      <c r="G459" s="39"/>
    </row>
    <row r="462" spans="1:7">
      <c r="A462" s="16" t="s">
        <v>64</v>
      </c>
      <c r="B462" s="17" t="e">
        <f>AVERAGE(B410:B449)</f>
        <v>#DIV/0!</v>
      </c>
    </row>
    <row r="463" spans="1:7">
      <c r="A463" s="16" t="s">
        <v>65</v>
      </c>
      <c r="B463" s="18" t="e">
        <f>AVERAGE(B415:B444)</f>
        <v>#DIV/0!</v>
      </c>
    </row>
    <row r="464" spans="1:7">
      <c r="A464" s="16" t="s">
        <v>66</v>
      </c>
      <c r="B464" s="18" t="e">
        <f>AVERAGE(B421:B439)</f>
        <v>#DIV/0!</v>
      </c>
    </row>
  </sheetData>
  <mergeCells count="14">
    <mergeCell ref="A2:A4"/>
    <mergeCell ref="B2:D2"/>
    <mergeCell ref="A69:A71"/>
    <mergeCell ref="B69:D69"/>
    <mergeCell ref="A134:A136"/>
    <mergeCell ref="B134:D134"/>
    <mergeCell ref="A401:A403"/>
    <mergeCell ref="B401:D401"/>
    <mergeCell ref="A200:A202"/>
    <mergeCell ref="B200:D200"/>
    <mergeCell ref="A266:A268"/>
    <mergeCell ref="B266:D266"/>
    <mergeCell ref="A333:A335"/>
    <mergeCell ref="B333:D333"/>
  </mergeCells>
  <pageMargins left="0.7" right="0.7" top="0.75" bottom="0.75" header="0.3" footer="0.3"/>
  <pageSetup paperSize="9" orientation="portrait" horizontalDpi="4294967295" verticalDpi="4294967295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Лист8">
    <tabColor rgb="FF92D050"/>
  </sheetPr>
  <dimension ref="A1:G464"/>
  <sheetViews>
    <sheetView topLeftCell="A415" zoomScale="80" zoomScaleNormal="80" workbookViewId="0">
      <selection activeCell="E240" sqref="E239:I240"/>
    </sheetView>
  </sheetViews>
  <sheetFormatPr defaultColWidth="8.7109375" defaultRowHeight="15"/>
  <cols>
    <col min="3" max="3" width="9.140625"/>
    <col min="5" max="5" width="9.42578125" bestFit="1" customWidth="1"/>
    <col min="6" max="6" width="8.7109375" style="36"/>
    <col min="7" max="7" width="9.42578125" style="36" bestFit="1" customWidth="1"/>
  </cols>
  <sheetData>
    <row r="1" spans="1:7">
      <c r="D1" s="13">
        <v>0.1</v>
      </c>
      <c r="E1" s="13">
        <v>0.4</v>
      </c>
    </row>
    <row r="2" spans="1:7" ht="23.25" customHeight="1">
      <c r="A2" s="473" t="s">
        <v>0</v>
      </c>
      <c r="B2" s="529" t="s">
        <v>1</v>
      </c>
      <c r="C2" s="529"/>
      <c r="D2" s="529"/>
      <c r="E2" s="40">
        <f>(1-E57)^(1/3)-1</f>
        <v>-3.008737350166546E-2</v>
      </c>
      <c r="F2" s="40">
        <f>(1-F57)^(1/3)-1</f>
        <v>-3.694607625887858E-2</v>
      </c>
      <c r="G2" s="40"/>
    </row>
    <row r="3" spans="1:7" ht="72.75" thickBot="1">
      <c r="A3" s="473"/>
      <c r="B3" s="11" t="s">
        <v>4</v>
      </c>
      <c r="C3" s="1"/>
      <c r="D3" s="11" t="s">
        <v>80</v>
      </c>
      <c r="E3" s="11" t="s">
        <v>5</v>
      </c>
      <c r="F3" s="39" t="s">
        <v>5</v>
      </c>
      <c r="G3" s="39"/>
    </row>
    <row r="4" spans="1:7" ht="16.5" customHeight="1" thickBot="1">
      <c r="A4" s="473"/>
      <c r="B4" s="11" t="s">
        <v>6</v>
      </c>
      <c r="C4" s="1"/>
      <c r="D4" s="11" t="s">
        <v>7</v>
      </c>
      <c r="E4" s="11" t="s">
        <v>7</v>
      </c>
      <c r="F4" s="39" t="s">
        <v>7</v>
      </c>
      <c r="G4" s="39"/>
    </row>
    <row r="5" spans="1:7">
      <c r="A5" s="171">
        <v>1</v>
      </c>
      <c r="B5" s="172">
        <v>2</v>
      </c>
      <c r="C5" s="51"/>
      <c r="D5" s="172">
        <v>3</v>
      </c>
      <c r="E5" s="172">
        <v>4</v>
      </c>
      <c r="F5" s="173">
        <v>5</v>
      </c>
      <c r="G5" s="173"/>
    </row>
    <row r="6" spans="1:7">
      <c r="A6" s="27" t="s">
        <v>10</v>
      </c>
      <c r="B6" s="28">
        <v>0.6</v>
      </c>
      <c r="C6" s="30">
        <v>0</v>
      </c>
      <c r="D6" s="14">
        <v>0</v>
      </c>
      <c r="E6" s="14">
        <v>0</v>
      </c>
      <c r="F6" s="38">
        <v>0</v>
      </c>
      <c r="G6" s="38">
        <v>0</v>
      </c>
    </row>
    <row r="7" spans="1:7">
      <c r="A7" s="27" t="s">
        <v>58</v>
      </c>
      <c r="B7" s="30">
        <v>1.5</v>
      </c>
      <c r="C7" s="30">
        <f>B6</f>
        <v>0.6</v>
      </c>
      <c r="D7" s="14">
        <v>0</v>
      </c>
      <c r="E7" s="14">
        <v>0</v>
      </c>
      <c r="F7" s="38">
        <v>0</v>
      </c>
      <c r="G7" s="38">
        <v>0</v>
      </c>
    </row>
    <row r="8" spans="1:7">
      <c r="A8" s="27" t="s">
        <v>59</v>
      </c>
      <c r="B8" s="28">
        <v>2.5</v>
      </c>
      <c r="C8" s="30">
        <f t="shared" ref="C8:C56" si="0">B7</f>
        <v>1.5</v>
      </c>
      <c r="D8" s="14">
        <v>0</v>
      </c>
      <c r="E8" s="14">
        <v>0</v>
      </c>
      <c r="F8" s="38">
        <v>0</v>
      </c>
      <c r="G8" s="38">
        <v>0</v>
      </c>
    </row>
    <row r="9" spans="1:7">
      <c r="A9" s="27" t="s">
        <v>60</v>
      </c>
      <c r="B9" s="28">
        <v>3.4</v>
      </c>
      <c r="C9" s="30">
        <f t="shared" si="0"/>
        <v>2.5</v>
      </c>
      <c r="D9" s="14">
        <v>0</v>
      </c>
      <c r="E9" s="14">
        <v>0</v>
      </c>
      <c r="F9" s="38">
        <v>0</v>
      </c>
      <c r="G9" s="38">
        <v>0</v>
      </c>
    </row>
    <row r="10" spans="1:7">
      <c r="A10" s="27" t="s">
        <v>61</v>
      </c>
      <c r="B10" s="28">
        <v>4.0999999999999996</v>
      </c>
      <c r="C10" s="30">
        <f t="shared" si="0"/>
        <v>3.4</v>
      </c>
      <c r="D10" s="14">
        <v>0</v>
      </c>
      <c r="E10" s="14">
        <v>0</v>
      </c>
      <c r="F10" s="38">
        <v>0</v>
      </c>
      <c r="G10" s="38">
        <v>0</v>
      </c>
    </row>
    <row r="11" spans="1:7">
      <c r="A11" s="27" t="s">
        <v>62</v>
      </c>
      <c r="B11" s="30">
        <v>5</v>
      </c>
      <c r="C11" s="30">
        <f t="shared" si="0"/>
        <v>4.0999999999999996</v>
      </c>
      <c r="D11" s="14">
        <v>0</v>
      </c>
      <c r="E11" s="14">
        <v>0</v>
      </c>
      <c r="F11" s="38">
        <v>0</v>
      </c>
      <c r="G11" s="38">
        <v>0</v>
      </c>
    </row>
    <row r="12" spans="1:7">
      <c r="A12" s="27" t="s">
        <v>63</v>
      </c>
      <c r="B12" s="28">
        <v>5.9</v>
      </c>
      <c r="C12" s="30">
        <f t="shared" si="0"/>
        <v>5</v>
      </c>
      <c r="D12" s="14">
        <v>0</v>
      </c>
      <c r="E12" s="14">
        <v>0</v>
      </c>
      <c r="F12" s="38">
        <v>0</v>
      </c>
      <c r="G12" s="38">
        <v>0</v>
      </c>
    </row>
    <row r="13" spans="1:7">
      <c r="A13" s="29" t="s">
        <v>11</v>
      </c>
      <c r="B13" s="28">
        <v>6.7</v>
      </c>
      <c r="C13" s="30">
        <f t="shared" si="0"/>
        <v>5.9</v>
      </c>
      <c r="D13" s="14">
        <v>0</v>
      </c>
      <c r="E13" s="14">
        <v>0</v>
      </c>
      <c r="F13" s="38">
        <v>0</v>
      </c>
      <c r="G13" s="38">
        <v>0</v>
      </c>
    </row>
    <row r="14" spans="1:7">
      <c r="A14" s="29" t="s">
        <v>12</v>
      </c>
      <c r="B14" s="30">
        <v>7.6</v>
      </c>
      <c r="C14" s="30">
        <f t="shared" si="0"/>
        <v>6.7</v>
      </c>
      <c r="D14" s="14">
        <v>0</v>
      </c>
      <c r="E14" s="14">
        <v>0</v>
      </c>
      <c r="F14" s="38">
        <v>0</v>
      </c>
      <c r="G14" s="38">
        <v>0</v>
      </c>
    </row>
    <row r="15" spans="1:7">
      <c r="A15" s="29" t="s">
        <v>13</v>
      </c>
      <c r="B15" s="28">
        <v>8.1999999999999993</v>
      </c>
      <c r="C15" s="30">
        <f t="shared" si="0"/>
        <v>7.6</v>
      </c>
      <c r="D15" s="14">
        <v>0</v>
      </c>
      <c r="E15" s="14">
        <v>0</v>
      </c>
      <c r="F15" s="38">
        <v>0</v>
      </c>
      <c r="G15" s="38">
        <v>0</v>
      </c>
    </row>
    <row r="16" spans="1:7">
      <c r="A16" s="29" t="s">
        <v>14</v>
      </c>
      <c r="B16" s="28">
        <v>8.8000000000000007</v>
      </c>
      <c r="C16" s="30">
        <f t="shared" si="0"/>
        <v>8.1999999999999993</v>
      </c>
      <c r="D16" s="14">
        <v>0</v>
      </c>
      <c r="E16" s="14">
        <v>0</v>
      </c>
      <c r="F16" s="38">
        <v>0</v>
      </c>
      <c r="G16" s="38">
        <v>0</v>
      </c>
    </row>
    <row r="17" spans="1:7">
      <c r="A17" s="29" t="s">
        <v>15</v>
      </c>
      <c r="B17" s="28">
        <v>9.5</v>
      </c>
      <c r="C17" s="30">
        <f t="shared" si="0"/>
        <v>8.8000000000000007</v>
      </c>
      <c r="D17" s="14">
        <v>0</v>
      </c>
      <c r="E17" s="14">
        <v>0</v>
      </c>
      <c r="F17" s="38">
        <v>0</v>
      </c>
      <c r="G17" s="38">
        <v>0</v>
      </c>
    </row>
    <row r="18" spans="1:7">
      <c r="A18" s="29" t="s">
        <v>16</v>
      </c>
      <c r="B18" s="28">
        <v>10.4</v>
      </c>
      <c r="C18" s="30">
        <f t="shared" si="0"/>
        <v>9.5</v>
      </c>
      <c r="D18" s="14">
        <v>0</v>
      </c>
      <c r="E18" s="14">
        <v>0</v>
      </c>
      <c r="F18" s="38">
        <v>0</v>
      </c>
      <c r="G18" s="38">
        <v>0</v>
      </c>
    </row>
    <row r="19" spans="1:7">
      <c r="A19" s="29" t="s">
        <v>17</v>
      </c>
      <c r="B19" s="28">
        <v>11.2</v>
      </c>
      <c r="C19" s="30">
        <f t="shared" si="0"/>
        <v>10.4</v>
      </c>
      <c r="D19" s="14">
        <v>0</v>
      </c>
      <c r="E19" s="14">
        <v>0</v>
      </c>
      <c r="F19" s="38">
        <v>0</v>
      </c>
      <c r="G19" s="38">
        <v>0</v>
      </c>
    </row>
    <row r="20" spans="1:7">
      <c r="A20" s="29" t="s">
        <v>18</v>
      </c>
      <c r="B20" s="30">
        <v>12</v>
      </c>
      <c r="C20" s="30">
        <f t="shared" si="0"/>
        <v>11.2</v>
      </c>
      <c r="D20" s="14">
        <v>0</v>
      </c>
      <c r="E20" s="14">
        <v>0</v>
      </c>
      <c r="F20" s="38">
        <v>0</v>
      </c>
      <c r="G20" s="38">
        <v>0</v>
      </c>
    </row>
    <row r="21" spans="1:7">
      <c r="A21" s="29" t="s">
        <v>19</v>
      </c>
      <c r="B21" s="28">
        <v>12.9</v>
      </c>
      <c r="C21" s="30">
        <f t="shared" si="0"/>
        <v>12</v>
      </c>
      <c r="D21" s="14">
        <v>0</v>
      </c>
      <c r="E21" s="14">
        <v>0</v>
      </c>
      <c r="F21" s="38">
        <v>0</v>
      </c>
      <c r="G21" s="38">
        <v>6.9767441860465141E-3</v>
      </c>
    </row>
    <row r="22" spans="1:7">
      <c r="A22" s="29" t="s">
        <v>20</v>
      </c>
      <c r="B22" s="28">
        <v>13.5</v>
      </c>
      <c r="C22" s="30">
        <f t="shared" si="0"/>
        <v>12.9</v>
      </c>
      <c r="D22" s="14">
        <v>0</v>
      </c>
      <c r="E22" s="14">
        <v>0</v>
      </c>
      <c r="F22" s="38">
        <v>0</v>
      </c>
      <c r="G22" s="38">
        <v>1.1111111111111113E-2</v>
      </c>
    </row>
    <row r="23" spans="1:7">
      <c r="A23" s="29" t="s">
        <v>21</v>
      </c>
      <c r="B23" s="30">
        <v>14</v>
      </c>
      <c r="C23" s="30">
        <f t="shared" si="0"/>
        <v>13.5</v>
      </c>
      <c r="D23" s="14">
        <v>0</v>
      </c>
      <c r="E23" s="14">
        <v>0</v>
      </c>
      <c r="F23" s="38">
        <v>0</v>
      </c>
      <c r="G23" s="38">
        <v>1.4285714285714287E-2</v>
      </c>
    </row>
    <row r="24" spans="1:7">
      <c r="A24" s="29" t="s">
        <v>22</v>
      </c>
      <c r="B24" s="28">
        <v>14.9</v>
      </c>
      <c r="C24" s="30">
        <f t="shared" si="0"/>
        <v>14</v>
      </c>
      <c r="D24" s="14">
        <v>0</v>
      </c>
      <c r="E24" s="14">
        <v>0</v>
      </c>
      <c r="F24" s="38">
        <v>0</v>
      </c>
      <c r="G24" s="38">
        <v>1.9463087248322148E-2</v>
      </c>
    </row>
    <row r="25" spans="1:7">
      <c r="A25" s="29" t="s">
        <v>23</v>
      </c>
      <c r="B25" s="28">
        <v>15.7</v>
      </c>
      <c r="C25" s="30">
        <f t="shared" si="0"/>
        <v>14.9</v>
      </c>
      <c r="D25" s="14">
        <v>0</v>
      </c>
      <c r="E25" s="14">
        <v>0</v>
      </c>
      <c r="F25" s="38">
        <v>4.4331210191082791E-3</v>
      </c>
      <c r="G25" s="38">
        <v>2.3566878980891718E-2</v>
      </c>
    </row>
    <row r="26" spans="1:7">
      <c r="A26" s="29" t="s">
        <v>24</v>
      </c>
      <c r="B26" s="28">
        <v>16.7</v>
      </c>
      <c r="C26" s="30">
        <f t="shared" si="0"/>
        <v>15.7</v>
      </c>
      <c r="D26" s="14">
        <v>0</v>
      </c>
      <c r="E26" s="14">
        <v>0</v>
      </c>
      <c r="F26" s="38">
        <v>1.015568862275449E-2</v>
      </c>
      <c r="G26" s="38">
        <v>2.8143712574850301E-2</v>
      </c>
    </row>
    <row r="27" spans="1:7">
      <c r="A27" s="29" t="s">
        <v>25</v>
      </c>
      <c r="B27" s="28">
        <v>17.5</v>
      </c>
      <c r="C27" s="30">
        <f t="shared" si="0"/>
        <v>16.7</v>
      </c>
      <c r="D27" s="14">
        <v>0</v>
      </c>
      <c r="E27" s="14">
        <v>0</v>
      </c>
      <c r="F27" s="38">
        <v>1.4262857142857145E-2</v>
      </c>
      <c r="G27" s="38">
        <v>3.1428571428571431E-2</v>
      </c>
    </row>
    <row r="28" spans="1:7">
      <c r="A28" s="29" t="s">
        <v>26</v>
      </c>
      <c r="B28" s="28">
        <v>19.2</v>
      </c>
      <c r="C28" s="30">
        <f t="shared" si="0"/>
        <v>17.5</v>
      </c>
      <c r="D28" s="14">
        <v>2.0624999999999859E-2</v>
      </c>
      <c r="E28" s="14"/>
      <c r="F28" s="38"/>
      <c r="G28" s="38"/>
    </row>
    <row r="29" spans="1:7">
      <c r="A29" s="29" t="s">
        <v>27</v>
      </c>
      <c r="B29" s="28">
        <v>20.2</v>
      </c>
      <c r="C29" s="30">
        <f t="shared" si="0"/>
        <v>19.2</v>
      </c>
      <c r="D29" s="14">
        <v>6.9108910891088976E-2</v>
      </c>
      <c r="E29" s="14"/>
      <c r="F29" s="38"/>
      <c r="G29" s="38"/>
    </row>
    <row r="30" spans="1:7">
      <c r="A30" s="29" t="s">
        <v>28</v>
      </c>
      <c r="B30" s="30">
        <v>21.1</v>
      </c>
      <c r="C30" s="30">
        <f t="shared" si="0"/>
        <v>20.2</v>
      </c>
      <c r="D30" s="14">
        <v>0.10881516587677721</v>
      </c>
      <c r="E30" s="14">
        <v>1.0881516587677722E-2</v>
      </c>
      <c r="F30" s="38">
        <v>2.8890995260663518E-2</v>
      </c>
      <c r="G30" s="38">
        <v>5.8767772511848365E-2</v>
      </c>
    </row>
    <row r="31" spans="1:7">
      <c r="A31" s="29" t="s">
        <v>29</v>
      </c>
      <c r="B31" s="28">
        <v>22.6</v>
      </c>
      <c r="C31" s="30">
        <f t="shared" si="0"/>
        <v>21.1</v>
      </c>
      <c r="D31" s="14">
        <v>0.16796460176991146</v>
      </c>
      <c r="E31" s="14">
        <v>1.6796460176991147E-2</v>
      </c>
      <c r="F31" s="38">
        <v>3.3610619469026562E-2</v>
      </c>
      <c r="G31" s="38">
        <v>8.141592920353985E-2</v>
      </c>
    </row>
    <row r="32" spans="1:7">
      <c r="A32" s="29" t="s">
        <v>30</v>
      </c>
      <c r="B32" s="28">
        <v>24.1</v>
      </c>
      <c r="C32" s="30">
        <f t="shared" si="0"/>
        <v>22.6</v>
      </c>
      <c r="D32" s="14">
        <v>0.2197510373443983</v>
      </c>
      <c r="E32" s="14">
        <v>2.1975103734439831E-2</v>
      </c>
      <c r="F32" s="38">
        <v>3.7742738589211622E-2</v>
      </c>
      <c r="G32" s="38">
        <v>0.10124481327800831</v>
      </c>
    </row>
    <row r="33" spans="1:7">
      <c r="A33" s="29" t="s">
        <v>31</v>
      </c>
      <c r="B33" s="28">
        <v>25.4</v>
      </c>
      <c r="C33" s="30">
        <f t="shared" si="0"/>
        <v>24.1</v>
      </c>
      <c r="D33" s="14">
        <v>0.25968503937007864</v>
      </c>
      <c r="E33" s="14">
        <v>2.5968503937007864E-2</v>
      </c>
      <c r="F33" s="38">
        <v>4.5574803149606276E-2</v>
      </c>
      <c r="G33" s="38">
        <v>0.11653543307086614</v>
      </c>
    </row>
    <row r="34" spans="1:7">
      <c r="A34" s="29" t="s">
        <v>32</v>
      </c>
      <c r="B34" s="28">
        <v>26.6</v>
      </c>
      <c r="C34" s="30">
        <f t="shared" si="0"/>
        <v>25.4</v>
      </c>
      <c r="D34" s="14">
        <v>0.29308270676691728</v>
      </c>
      <c r="E34" s="14">
        <v>2.9308270676691728E-2</v>
      </c>
      <c r="F34" s="38">
        <v>6.1563909774436099E-2</v>
      </c>
      <c r="G34" s="38">
        <v>0.1293233082706767</v>
      </c>
    </row>
    <row r="35" spans="1:7">
      <c r="A35" s="29" t="s">
        <v>33</v>
      </c>
      <c r="B35" s="28">
        <v>28.5</v>
      </c>
      <c r="C35" s="30">
        <f t="shared" si="0"/>
        <v>26.6</v>
      </c>
      <c r="D35" s="14">
        <v>0.34021052631578941</v>
      </c>
      <c r="E35" s="14">
        <v>3.4021052631578938E-2</v>
      </c>
      <c r="F35" s="38">
        <v>8.4126315789473674E-2</v>
      </c>
      <c r="G35" s="38">
        <v>0.14736842105263159</v>
      </c>
    </row>
    <row r="36" spans="1:7">
      <c r="A36" s="29" t="s">
        <v>34</v>
      </c>
      <c r="B36" s="28">
        <v>29.5</v>
      </c>
      <c r="C36" s="30">
        <f t="shared" si="0"/>
        <v>28.5</v>
      </c>
      <c r="D36" s="14">
        <v>0.36257627118644059</v>
      </c>
      <c r="E36" s="14">
        <v>3.625762711864406E-2</v>
      </c>
      <c r="F36" s="38">
        <v>9.4833898305084749E-2</v>
      </c>
      <c r="G36" s="38">
        <v>0.15593220338983052</v>
      </c>
    </row>
    <row r="37" spans="1:7">
      <c r="A37" s="29" t="s">
        <v>35</v>
      </c>
      <c r="B37" s="28">
        <v>30.6</v>
      </c>
      <c r="C37" s="30">
        <f t="shared" si="0"/>
        <v>29.5</v>
      </c>
      <c r="D37" s="14">
        <v>0.38549019607843132</v>
      </c>
      <c r="E37" s="14">
        <v>3.8549019607843134E-2</v>
      </c>
      <c r="F37" s="38">
        <v>0.10580392156862746</v>
      </c>
      <c r="G37" s="38">
        <v>0.1647058823529412</v>
      </c>
    </row>
    <row r="38" spans="1:7">
      <c r="A38" s="29" t="s">
        <v>36</v>
      </c>
      <c r="B38" s="28">
        <v>32.299999999999997</v>
      </c>
      <c r="C38" s="30">
        <f t="shared" si="0"/>
        <v>30.6</v>
      </c>
      <c r="D38" s="14">
        <v>0.41783281733746119</v>
      </c>
      <c r="E38" s="14">
        <v>5.0699690402476717E-2</v>
      </c>
      <c r="F38" s="38">
        <v>0.12128792569659438</v>
      </c>
      <c r="G38" s="38">
        <v>0.17708978328173372</v>
      </c>
    </row>
    <row r="39" spans="1:7">
      <c r="A39" s="29" t="s">
        <v>37</v>
      </c>
      <c r="B39" s="28">
        <v>34.700000000000003</v>
      </c>
      <c r="C39" s="30">
        <f t="shared" si="0"/>
        <v>32.299999999999997</v>
      </c>
      <c r="D39" s="14">
        <v>0.4580979827089337</v>
      </c>
      <c r="E39" s="14">
        <v>7.4858789625360217E-2</v>
      </c>
      <c r="F39" s="38">
        <v>0.14056484149855911</v>
      </c>
      <c r="G39" s="38">
        <v>0.19250720461095103</v>
      </c>
    </row>
    <row r="40" spans="1:7">
      <c r="A40" s="29" t="s">
        <v>38</v>
      </c>
      <c r="B40" s="28">
        <v>37.799999999999997</v>
      </c>
      <c r="C40" s="30">
        <f t="shared" si="0"/>
        <v>34.700000000000003</v>
      </c>
      <c r="D40" s="14">
        <v>0.5025396825396824</v>
      </c>
      <c r="E40" s="14">
        <v>0.10152380952380949</v>
      </c>
      <c r="F40" s="38">
        <v>0.16184126984126981</v>
      </c>
      <c r="G40" s="38">
        <v>0.2095238095238095</v>
      </c>
    </row>
    <row r="41" spans="1:7">
      <c r="A41" s="29" t="s">
        <v>39</v>
      </c>
      <c r="B41" s="28">
        <v>39.799999999999997</v>
      </c>
      <c r="C41" s="30">
        <f t="shared" si="0"/>
        <v>37.799999999999997</v>
      </c>
      <c r="D41" s="14">
        <v>0.52753768844221094</v>
      </c>
      <c r="E41" s="14">
        <v>0.1165226130653266</v>
      </c>
      <c r="F41" s="38">
        <v>0.17380904522613064</v>
      </c>
      <c r="G41" s="38">
        <v>0.21909547738693466</v>
      </c>
    </row>
    <row r="42" spans="1:7">
      <c r="A42" s="29" t="s">
        <v>40</v>
      </c>
      <c r="B42" s="28">
        <v>42.7</v>
      </c>
      <c r="C42" s="30">
        <f t="shared" si="0"/>
        <v>39.799999999999997</v>
      </c>
      <c r="D42" s="14">
        <v>0.5596252927400468</v>
      </c>
      <c r="E42" s="14">
        <v>0.13577517564402811</v>
      </c>
      <c r="F42" s="38">
        <v>0.18917096018735366</v>
      </c>
      <c r="G42" s="38">
        <v>0.23138173302107734</v>
      </c>
    </row>
    <row r="43" spans="1:7">
      <c r="A43" s="29" t="s">
        <v>41</v>
      </c>
      <c r="B43" s="28">
        <v>47.6</v>
      </c>
      <c r="C43" s="30">
        <f t="shared" si="0"/>
        <v>42.7</v>
      </c>
      <c r="D43" s="14">
        <v>0.60495798319327732</v>
      </c>
      <c r="E43" s="14">
        <v>0.16297478991596639</v>
      </c>
      <c r="F43" s="38">
        <v>0.21087394957983197</v>
      </c>
      <c r="G43" s="38">
        <v>0.24873949579831936</v>
      </c>
    </row>
    <row r="44" spans="1:7">
      <c r="A44" s="29" t="s">
        <v>42</v>
      </c>
      <c r="B44" s="28">
        <v>52.3</v>
      </c>
      <c r="C44" s="30">
        <f t="shared" si="0"/>
        <v>47.6</v>
      </c>
      <c r="D44" s="14">
        <v>0.64045889101338427</v>
      </c>
      <c r="E44" s="14">
        <v>0.18427533460803058</v>
      </c>
      <c r="F44" s="38">
        <v>0.22786998087954108</v>
      </c>
      <c r="G44" s="38">
        <v>0.26233269598470366</v>
      </c>
    </row>
    <row r="45" spans="1:7">
      <c r="A45" s="29" t="s">
        <v>43</v>
      </c>
      <c r="B45" s="30">
        <v>58.1</v>
      </c>
      <c r="C45" s="30">
        <f t="shared" si="0"/>
        <v>52.3</v>
      </c>
      <c r="D45" s="14">
        <v>0.67635111876075726</v>
      </c>
      <c r="E45" s="14">
        <v>0.20581067125645441</v>
      </c>
      <c r="F45" s="38">
        <v>0.24505335628227196</v>
      </c>
      <c r="G45" s="38">
        <v>0.27607573149741826</v>
      </c>
    </row>
    <row r="46" spans="1:7">
      <c r="A46" s="29" t="s">
        <v>44</v>
      </c>
      <c r="B46" s="30">
        <v>66.900000000000006</v>
      </c>
      <c r="C46" s="30">
        <f t="shared" si="0"/>
        <v>58.1</v>
      </c>
      <c r="D46" s="14">
        <v>0.71892376681614345</v>
      </c>
      <c r="E46" s="14">
        <v>0.23135426008968613</v>
      </c>
      <c r="F46" s="38">
        <v>0.2654349775784754</v>
      </c>
      <c r="G46" s="38">
        <v>0.29237668161434976</v>
      </c>
    </row>
    <row r="47" spans="1:7">
      <c r="A47" s="29" t="s">
        <v>45</v>
      </c>
      <c r="B47" s="28">
        <v>76.8</v>
      </c>
      <c r="C47" s="30">
        <f t="shared" si="0"/>
        <v>66.900000000000006</v>
      </c>
      <c r="D47" s="14">
        <v>0.75515624999999997</v>
      </c>
      <c r="E47" s="14">
        <v>0.25309374999999995</v>
      </c>
      <c r="F47" s="38">
        <v>0.28278125000000004</v>
      </c>
      <c r="G47" s="38">
        <v>0.30625000000000002</v>
      </c>
    </row>
    <row r="48" spans="1:7">
      <c r="A48" s="29" t="s">
        <v>46</v>
      </c>
      <c r="B48" s="28">
        <v>88.2</v>
      </c>
      <c r="C48" s="30">
        <f t="shared" si="0"/>
        <v>76.8</v>
      </c>
      <c r="D48" s="14">
        <v>0.78680272108843541</v>
      </c>
      <c r="E48" s="14">
        <v>0.27208163265306118</v>
      </c>
      <c r="F48" s="38">
        <v>0.29793197278911565</v>
      </c>
      <c r="G48" s="38">
        <v>0.3183673469387755</v>
      </c>
    </row>
    <row r="49" spans="1:7">
      <c r="A49" s="29" t="s">
        <v>47</v>
      </c>
      <c r="B49" s="28">
        <v>108.2</v>
      </c>
      <c r="C49" s="30">
        <f t="shared" si="0"/>
        <v>88.2</v>
      </c>
      <c r="D49" s="14">
        <v>0.82621072088724579</v>
      </c>
      <c r="E49" s="14">
        <v>0.29572643253234748</v>
      </c>
      <c r="F49" s="38">
        <v>0.31679852125693159</v>
      </c>
      <c r="G49" s="38">
        <v>0.33345656192236595</v>
      </c>
    </row>
    <row r="50" spans="1:7">
      <c r="A50" s="29" t="s">
        <v>48</v>
      </c>
      <c r="B50" s="28">
        <v>129.9</v>
      </c>
      <c r="C50" s="30">
        <f t="shared" si="0"/>
        <v>108.2</v>
      </c>
      <c r="D50" s="14">
        <v>0.85524249422632792</v>
      </c>
      <c r="E50" s="14">
        <v>0.31314549653579682</v>
      </c>
      <c r="F50" s="38">
        <v>0.33069745958429564</v>
      </c>
      <c r="G50" s="38">
        <v>0.34457274826789841</v>
      </c>
    </row>
    <row r="51" spans="1:7">
      <c r="A51" s="29" t="s">
        <v>49</v>
      </c>
      <c r="B51" s="28">
        <v>150.4</v>
      </c>
      <c r="C51" s="30">
        <f t="shared" si="0"/>
        <v>129.9</v>
      </c>
      <c r="D51" s="14">
        <v>0.87497340425531911</v>
      </c>
      <c r="E51" s="14">
        <v>0.32498404255319147</v>
      </c>
      <c r="F51" s="38">
        <v>0.34014361702127666</v>
      </c>
      <c r="G51" s="38">
        <v>0.35212765957446807</v>
      </c>
    </row>
    <row r="52" spans="1:7">
      <c r="A52" s="29" t="s">
        <v>50</v>
      </c>
      <c r="B52" s="30">
        <v>194</v>
      </c>
      <c r="C52" s="30">
        <f t="shared" si="0"/>
        <v>150.4</v>
      </c>
      <c r="D52" s="14">
        <v>0.90307216494845355</v>
      </c>
      <c r="E52" s="14">
        <v>0.34184329896907223</v>
      </c>
      <c r="F52" s="38">
        <v>0.35359587628865979</v>
      </c>
      <c r="G52" s="38">
        <v>0.36288659793814437</v>
      </c>
    </row>
    <row r="53" spans="1:7">
      <c r="A53" s="29" t="s">
        <v>51</v>
      </c>
      <c r="B53" s="28">
        <v>234.8</v>
      </c>
      <c r="C53" s="30">
        <f t="shared" si="0"/>
        <v>194</v>
      </c>
      <c r="D53" s="14">
        <v>0.91991482112436118</v>
      </c>
      <c r="E53" s="14">
        <v>0.35194889267461676</v>
      </c>
      <c r="F53" s="38">
        <v>0.36165928449744467</v>
      </c>
      <c r="G53" s="38">
        <v>0.36933560477001709</v>
      </c>
    </row>
    <row r="54" spans="1:7">
      <c r="A54" s="29" t="s">
        <v>52</v>
      </c>
      <c r="B54" s="28">
        <v>323.39999999999998</v>
      </c>
      <c r="C54" s="30">
        <f t="shared" si="0"/>
        <v>234.8</v>
      </c>
      <c r="D54" s="14">
        <v>0.94185528756957337</v>
      </c>
      <c r="E54" s="14">
        <v>0.36511317254174397</v>
      </c>
      <c r="F54" s="38">
        <v>0.37216326530612243</v>
      </c>
      <c r="G54" s="38">
        <v>0.37773654916512062</v>
      </c>
    </row>
    <row r="55" spans="1:7">
      <c r="A55" s="29" t="s">
        <v>53</v>
      </c>
      <c r="B55" s="28">
        <v>437.6</v>
      </c>
      <c r="C55" s="30">
        <f>B54</f>
        <v>323.39999999999998</v>
      </c>
      <c r="D55" s="14">
        <v>0.95702925045703846</v>
      </c>
      <c r="E55" s="14">
        <v>0.3742175502742231</v>
      </c>
      <c r="F55" s="38">
        <v>0.37942778793418652</v>
      </c>
      <c r="G55" s="38">
        <v>0.383546617915905</v>
      </c>
    </row>
    <row r="56" spans="1:7">
      <c r="A56" s="29" t="s">
        <v>53</v>
      </c>
      <c r="B56" s="31" t="s">
        <v>147</v>
      </c>
      <c r="C56" s="30">
        <f t="shared" si="0"/>
        <v>437.6</v>
      </c>
      <c r="D56" s="11">
        <v>49.1</v>
      </c>
      <c r="E56" s="11"/>
      <c r="F56" s="39"/>
      <c r="G56" s="39"/>
    </row>
    <row r="57" spans="1:7">
      <c r="A57" s="29"/>
      <c r="B57" s="31"/>
      <c r="C57" s="31"/>
      <c r="D57" s="11"/>
      <c r="E57" s="32">
        <v>8.7573606968503484E-2</v>
      </c>
      <c r="F57" s="40">
        <v>0.10679362298165611</v>
      </c>
      <c r="G57" s="40">
        <v>0.12857472477186971</v>
      </c>
    </row>
    <row r="58" spans="1:7" ht="60">
      <c r="A58" s="33" t="s">
        <v>55</v>
      </c>
      <c r="B58" s="31">
        <v>20</v>
      </c>
      <c r="C58" s="31"/>
      <c r="D58" s="11"/>
      <c r="F58" s="41">
        <v>25.006666666666668</v>
      </c>
      <c r="G58" s="42">
        <v>20</v>
      </c>
    </row>
    <row r="59" spans="1:7" ht="60">
      <c r="A59" s="33" t="s">
        <v>56</v>
      </c>
      <c r="B59" s="31">
        <v>50.2</v>
      </c>
      <c r="C59" s="31"/>
      <c r="D59" s="11"/>
      <c r="E59" s="221">
        <v>31.340000000000003</v>
      </c>
      <c r="F59" s="39"/>
      <c r="G59" s="39"/>
    </row>
    <row r="60" spans="1:7" ht="96.75">
      <c r="A60" s="35" t="s">
        <v>57</v>
      </c>
      <c r="B60" s="29">
        <v>12</v>
      </c>
      <c r="C60" s="29"/>
      <c r="D60" s="11"/>
      <c r="E60" s="221">
        <v>18.804000000000002</v>
      </c>
      <c r="F60" s="39">
        <v>15.004</v>
      </c>
      <c r="G60" s="39">
        <v>12</v>
      </c>
    </row>
    <row r="62" spans="1:7" ht="60.75" thickBot="1">
      <c r="A62" s="5" t="s">
        <v>56</v>
      </c>
      <c r="B62">
        <f>B59</f>
        <v>50.2</v>
      </c>
    </row>
    <row r="63" spans="1:7">
      <c r="A63" s="16" t="s">
        <v>64</v>
      </c>
      <c r="B63" s="17">
        <f>AVERAGE(B11:B50)</f>
        <v>31.340000000000003</v>
      </c>
      <c r="C63" s="17"/>
    </row>
    <row r="64" spans="1:7">
      <c r="A64" s="16" t="s">
        <v>65</v>
      </c>
      <c r="B64" s="18">
        <f>AVERAGE(B16:B45)</f>
        <v>25.006666666666668</v>
      </c>
      <c r="C64" s="18"/>
    </row>
    <row r="65" spans="1:7">
      <c r="A65" s="16" t="s">
        <v>66</v>
      </c>
      <c r="B65" s="18">
        <f>AVERAGE(B22:B40)</f>
        <v>23.415789473684214</v>
      </c>
      <c r="C65" s="18"/>
    </row>
    <row r="69" spans="1:7" ht="15" customHeight="1">
      <c r="A69" s="473" t="s">
        <v>0</v>
      </c>
      <c r="B69" s="529" t="s">
        <v>2</v>
      </c>
      <c r="C69" s="529"/>
      <c r="D69" s="529"/>
      <c r="E69" s="49">
        <f>(1-E124)^(1/3)-1</f>
        <v>-2.534320356149089E-2</v>
      </c>
      <c r="F69" s="49">
        <f>(1-F124)^(1/3)-1</f>
        <v>-2.6262530899764824E-2</v>
      </c>
      <c r="G69" s="49"/>
    </row>
    <row r="70" spans="1:7" ht="72">
      <c r="A70" s="473"/>
      <c r="B70" s="11" t="s">
        <v>4</v>
      </c>
      <c r="C70" s="11"/>
      <c r="D70" s="11" t="s">
        <v>80</v>
      </c>
      <c r="E70" s="11" t="s">
        <v>5</v>
      </c>
      <c r="F70" s="39" t="s">
        <v>5</v>
      </c>
      <c r="G70" s="39"/>
    </row>
    <row r="71" spans="1:7" ht="24">
      <c r="A71" s="473"/>
      <c r="B71" s="11" t="s">
        <v>8</v>
      </c>
      <c r="C71" s="11"/>
      <c r="D71" s="11" t="s">
        <v>7</v>
      </c>
      <c r="E71" s="11" t="s">
        <v>7</v>
      </c>
      <c r="F71" s="39" t="s">
        <v>7</v>
      </c>
      <c r="G71" s="39"/>
    </row>
    <row r="72" spans="1:7">
      <c r="A72" s="50">
        <v>1</v>
      </c>
      <c r="B72" s="51">
        <v>2</v>
      </c>
      <c r="C72" s="51"/>
      <c r="D72" s="51">
        <v>3</v>
      </c>
      <c r="E72" s="51">
        <v>4</v>
      </c>
      <c r="F72" s="52">
        <v>5</v>
      </c>
      <c r="G72" s="52"/>
    </row>
    <row r="73" spans="1:7">
      <c r="A73" s="27" t="s">
        <v>10</v>
      </c>
      <c r="B73" s="153">
        <v>11.7</v>
      </c>
      <c r="C73" s="253">
        <v>0</v>
      </c>
      <c r="D73" s="14">
        <v>0</v>
      </c>
      <c r="E73" s="14">
        <v>0</v>
      </c>
      <c r="F73" s="38">
        <v>0</v>
      </c>
      <c r="G73" s="38">
        <v>0</v>
      </c>
    </row>
    <row r="74" spans="1:7">
      <c r="A74" s="27" t="s">
        <v>58</v>
      </c>
      <c r="B74" s="53">
        <v>16.600000000000001</v>
      </c>
      <c r="C74" s="30">
        <f>B73</f>
        <v>11.7</v>
      </c>
      <c r="D74" s="14">
        <v>0</v>
      </c>
      <c r="E74" s="14">
        <v>0</v>
      </c>
      <c r="F74" s="38">
        <v>0</v>
      </c>
      <c r="G74" s="38">
        <v>4.9397590361446224E-4</v>
      </c>
    </row>
    <row r="75" spans="1:7">
      <c r="A75" s="27" t="s">
        <v>59</v>
      </c>
      <c r="B75" s="53">
        <v>20.100000000000001</v>
      </c>
      <c r="C75" s="30">
        <f t="shared" ref="C75:C123" si="1">B74</f>
        <v>16.600000000000001</v>
      </c>
      <c r="D75" s="14">
        <v>0</v>
      </c>
      <c r="E75" s="14">
        <v>0</v>
      </c>
      <c r="F75" s="38">
        <v>0</v>
      </c>
      <c r="G75" s="38">
        <v>1.7820895522388063E-2</v>
      </c>
    </row>
    <row r="76" spans="1:7">
      <c r="A76" s="27" t="s">
        <v>60</v>
      </c>
      <c r="B76" s="53">
        <v>22.2</v>
      </c>
      <c r="C76" s="30">
        <f t="shared" si="1"/>
        <v>20.100000000000001</v>
      </c>
      <c r="D76" s="14">
        <v>0</v>
      </c>
      <c r="E76" s="14">
        <v>0</v>
      </c>
      <c r="F76" s="38">
        <v>0</v>
      </c>
      <c r="G76" s="38">
        <v>2.5594594594594591E-2</v>
      </c>
    </row>
    <row r="77" spans="1:7">
      <c r="A77" s="27" t="s">
        <v>61</v>
      </c>
      <c r="B77" s="53">
        <v>24.4</v>
      </c>
      <c r="C77" s="30">
        <f t="shared" si="1"/>
        <v>22.2</v>
      </c>
      <c r="D77" s="14">
        <v>0</v>
      </c>
      <c r="E77" s="14">
        <v>0</v>
      </c>
      <c r="F77" s="38">
        <v>0</v>
      </c>
      <c r="G77" s="38">
        <v>3.2303278688524582E-2</v>
      </c>
    </row>
    <row r="78" spans="1:7">
      <c r="A78" s="27" t="s">
        <v>62</v>
      </c>
      <c r="B78" s="53">
        <v>26.1</v>
      </c>
      <c r="C78" s="30">
        <f t="shared" si="1"/>
        <v>24.4</v>
      </c>
      <c r="D78" s="14">
        <v>0</v>
      </c>
      <c r="E78" s="14">
        <v>0</v>
      </c>
      <c r="F78" s="38">
        <v>0</v>
      </c>
      <c r="G78" s="38">
        <v>3.6712643678160926E-2</v>
      </c>
    </row>
    <row r="79" spans="1:7">
      <c r="A79" s="27" t="s">
        <v>63</v>
      </c>
      <c r="B79" s="53">
        <v>28.1</v>
      </c>
      <c r="C79" s="30">
        <f t="shared" si="1"/>
        <v>26.1</v>
      </c>
      <c r="D79" s="14">
        <v>0</v>
      </c>
      <c r="E79" s="14"/>
      <c r="F79" s="38"/>
      <c r="G79" s="38"/>
    </row>
    <row r="80" spans="1:7">
      <c r="A80" s="29" t="s">
        <v>11</v>
      </c>
      <c r="B80" s="53">
        <v>29.2</v>
      </c>
      <c r="C80" s="30">
        <f t="shared" si="1"/>
        <v>28.1</v>
      </c>
      <c r="D80" s="14">
        <v>0</v>
      </c>
      <c r="E80" s="14"/>
      <c r="F80" s="38"/>
      <c r="G80" s="38"/>
    </row>
    <row r="81" spans="1:7">
      <c r="A81" s="29" t="s">
        <v>12</v>
      </c>
      <c r="B81" s="53">
        <v>30.1</v>
      </c>
      <c r="C81" s="30">
        <f t="shared" si="1"/>
        <v>29.2</v>
      </c>
      <c r="D81" s="14">
        <v>2.7591362126245987E-2</v>
      </c>
      <c r="E81" s="14"/>
      <c r="F81" s="38"/>
      <c r="G81" s="38"/>
    </row>
    <row r="82" spans="1:7">
      <c r="A82" s="29" t="s">
        <v>13</v>
      </c>
      <c r="B82" s="53">
        <v>31.4</v>
      </c>
      <c r="C82" s="30">
        <f t="shared" si="1"/>
        <v>30.1</v>
      </c>
      <c r="D82" s="14">
        <v>6.7850318471337628E-2</v>
      </c>
      <c r="E82" s="14"/>
      <c r="F82" s="38"/>
      <c r="G82" s="38"/>
    </row>
    <row r="83" spans="1:7">
      <c r="A83" s="29" t="s">
        <v>14</v>
      </c>
      <c r="B83" s="153">
        <v>32</v>
      </c>
      <c r="C83" s="30">
        <f t="shared" si="1"/>
        <v>31.4</v>
      </c>
      <c r="D83" s="14">
        <v>8.5328125000000088E-2</v>
      </c>
      <c r="E83" s="14"/>
      <c r="F83" s="38"/>
      <c r="G83" s="38"/>
    </row>
    <row r="84" spans="1:7">
      <c r="A84" s="29" t="s">
        <v>15</v>
      </c>
      <c r="B84" s="153">
        <v>33</v>
      </c>
      <c r="C84" s="30">
        <f t="shared" si="1"/>
        <v>32</v>
      </c>
      <c r="D84" s="14">
        <v>0.11304545454545463</v>
      </c>
      <c r="E84" s="14">
        <v>1.1304545454545465E-2</v>
      </c>
      <c r="F84" s="38">
        <v>1.2793939393939387E-2</v>
      </c>
      <c r="G84" s="38">
        <v>9.9672727272727274E-2</v>
      </c>
    </row>
    <row r="85" spans="1:7">
      <c r="A85" s="29" t="s">
        <v>16</v>
      </c>
      <c r="B85" s="53">
        <v>34.200000000000003</v>
      </c>
      <c r="C85" s="30">
        <f t="shared" si="1"/>
        <v>33</v>
      </c>
      <c r="D85" s="14">
        <v>0.14416666666666683</v>
      </c>
      <c r="E85" s="14">
        <v>1.4416666666666684E-2</v>
      </c>
      <c r="F85" s="38">
        <v>1.5853801169590644E-2</v>
      </c>
      <c r="G85" s="38">
        <v>0.11021052631578951</v>
      </c>
    </row>
    <row r="86" spans="1:7">
      <c r="A86" s="29" t="s">
        <v>17</v>
      </c>
      <c r="B86" s="53">
        <v>35.4</v>
      </c>
      <c r="C86" s="30">
        <f t="shared" si="1"/>
        <v>34.200000000000003</v>
      </c>
      <c r="D86" s="14">
        <v>0.17317796610169497</v>
      </c>
      <c r="E86" s="14">
        <v>1.7317796610169498E-2</v>
      </c>
      <c r="F86" s="38">
        <v>1.8706214689265529E-2</v>
      </c>
      <c r="G86" s="38">
        <v>0.12003389830508472</v>
      </c>
    </row>
    <row r="87" spans="1:7">
      <c r="A87" s="29" t="s">
        <v>18</v>
      </c>
      <c r="B87" s="53">
        <v>36.5</v>
      </c>
      <c r="C87" s="30">
        <f t="shared" si="1"/>
        <v>35.4</v>
      </c>
      <c r="D87" s="14">
        <v>0.19809589041095899</v>
      </c>
      <c r="E87" s="14">
        <v>1.98095890410959E-2</v>
      </c>
      <c r="F87" s="38">
        <v>2.1156164383561639E-2</v>
      </c>
      <c r="G87" s="38">
        <v>0.1284712328767123</v>
      </c>
    </row>
    <row r="88" spans="1:7">
      <c r="A88" s="29" t="s">
        <v>19</v>
      </c>
      <c r="B88" s="53">
        <v>39.6</v>
      </c>
      <c r="C88" s="30">
        <f t="shared" si="1"/>
        <v>36.5</v>
      </c>
      <c r="D88" s="14">
        <v>0.26087121212121223</v>
      </c>
      <c r="E88" s="14">
        <v>2.6087121212121225E-2</v>
      </c>
      <c r="F88" s="38">
        <v>2.732828282828283E-2</v>
      </c>
      <c r="G88" s="38">
        <v>0.14972727272727274</v>
      </c>
    </row>
    <row r="89" spans="1:7">
      <c r="A89" s="29" t="s">
        <v>20</v>
      </c>
      <c r="B89" s="53">
        <v>40.1</v>
      </c>
      <c r="C89" s="30">
        <f t="shared" si="1"/>
        <v>39.6</v>
      </c>
      <c r="D89" s="14">
        <v>0.27008728179551134</v>
      </c>
      <c r="E89" s="14">
        <v>2.7008728179551134E-2</v>
      </c>
      <c r="F89" s="38">
        <v>2.8234413965087277E-2</v>
      </c>
      <c r="G89" s="38">
        <v>0.15284788029925189</v>
      </c>
    </row>
    <row r="90" spans="1:7">
      <c r="A90" s="29" t="s">
        <v>21</v>
      </c>
      <c r="B90" s="53">
        <v>40.799999999999997</v>
      </c>
      <c r="C90" s="30">
        <f t="shared" si="1"/>
        <v>40.1</v>
      </c>
      <c r="D90" s="14">
        <v>0.2826102941176471</v>
      </c>
      <c r="E90" s="14">
        <v>2.8261029411764713E-2</v>
      </c>
      <c r="F90" s="38">
        <v>2.9465686274509795E-2</v>
      </c>
      <c r="G90" s="38">
        <v>0.15708823529411764</v>
      </c>
    </row>
    <row r="91" spans="1:7">
      <c r="A91" s="29" t="s">
        <v>22</v>
      </c>
      <c r="B91" s="53">
        <v>41.6</v>
      </c>
      <c r="C91" s="30">
        <f t="shared" si="1"/>
        <v>40.799999999999997</v>
      </c>
      <c r="D91" s="14">
        <v>0.29640625000000009</v>
      </c>
      <c r="E91" s="14">
        <v>2.9640625000000011E-2</v>
      </c>
      <c r="F91" s="38">
        <v>3.0822115384615385E-2</v>
      </c>
      <c r="G91" s="38">
        <v>0.16175961538461539</v>
      </c>
    </row>
    <row r="92" spans="1:7">
      <c r="A92" s="29" t="s">
        <v>23</v>
      </c>
      <c r="B92" s="53">
        <v>42.9</v>
      </c>
      <c r="C92" s="30">
        <f t="shared" si="1"/>
        <v>41.6</v>
      </c>
      <c r="D92" s="14">
        <v>0.31772727272727275</v>
      </c>
      <c r="E92" s="14">
        <v>3.1772727272727279E-2</v>
      </c>
      <c r="F92" s="38">
        <v>3.2918414918414914E-2</v>
      </c>
      <c r="G92" s="38">
        <v>0.16897902097902098</v>
      </c>
    </row>
    <row r="93" spans="1:7">
      <c r="A93" s="29" t="s">
        <v>24</v>
      </c>
      <c r="B93" s="53">
        <v>44.1</v>
      </c>
      <c r="C93" s="30">
        <f t="shared" si="1"/>
        <v>42.9</v>
      </c>
      <c r="D93" s="14">
        <v>0.33629251700680279</v>
      </c>
      <c r="E93" s="14">
        <v>3.3629251700680284E-2</v>
      </c>
      <c r="F93" s="38">
        <v>3.4743764172335601E-2</v>
      </c>
      <c r="G93" s="38">
        <v>0.17526530612244898</v>
      </c>
    </row>
    <row r="94" spans="1:7">
      <c r="A94" s="29" t="s">
        <v>25</v>
      </c>
      <c r="B94" s="153">
        <v>45</v>
      </c>
      <c r="C94" s="30">
        <f t="shared" si="1"/>
        <v>44.1</v>
      </c>
      <c r="D94" s="14">
        <v>0.34956666666666675</v>
      </c>
      <c r="E94" s="14">
        <v>3.4956666666666671E-2</v>
      </c>
      <c r="F94" s="38">
        <v>3.6048888888888887E-2</v>
      </c>
      <c r="G94" s="38">
        <v>0.17976</v>
      </c>
    </row>
    <row r="95" spans="1:7">
      <c r="A95" s="29" t="s">
        <v>26</v>
      </c>
      <c r="B95" s="53">
        <v>45.5</v>
      </c>
      <c r="C95" s="30">
        <f t="shared" si="1"/>
        <v>45</v>
      </c>
      <c r="D95" s="14">
        <v>0.35671428571428576</v>
      </c>
      <c r="E95" s="14">
        <v>3.5671428571428576E-2</v>
      </c>
      <c r="F95" s="38">
        <v>3.6751648351648347E-2</v>
      </c>
      <c r="G95" s="38">
        <v>0.18218021978021975</v>
      </c>
    </row>
    <row r="96" spans="1:7">
      <c r="A96" s="29" t="s">
        <v>27</v>
      </c>
      <c r="B96" s="153">
        <v>46</v>
      </c>
      <c r="C96" s="30">
        <f t="shared" si="1"/>
        <v>45.5</v>
      </c>
      <c r="D96" s="14">
        <v>0.36370652173913048</v>
      </c>
      <c r="E96" s="14">
        <v>3.6370652173913054E-2</v>
      </c>
      <c r="F96" s="38">
        <v>3.7439130434782607E-2</v>
      </c>
      <c r="G96" s="38">
        <v>0.18454782608695652</v>
      </c>
    </row>
    <row r="97" spans="1:7">
      <c r="A97" s="29" t="s">
        <v>28</v>
      </c>
      <c r="B97" s="153">
        <v>47</v>
      </c>
      <c r="C97" s="30">
        <f t="shared" si="1"/>
        <v>46</v>
      </c>
      <c r="D97" s="14">
        <v>0.37724468085106388</v>
      </c>
      <c r="E97" s="14">
        <v>3.7724468085106391E-2</v>
      </c>
      <c r="F97" s="38">
        <v>3.8770212765957442E-2</v>
      </c>
      <c r="G97" s="38">
        <v>0.18913191489361703</v>
      </c>
    </row>
    <row r="98" spans="1:7">
      <c r="A98" s="29" t="s">
        <v>29</v>
      </c>
      <c r="B98" s="153">
        <v>48</v>
      </c>
      <c r="C98" s="30">
        <f t="shared" si="1"/>
        <v>47</v>
      </c>
      <c r="D98" s="14">
        <v>0.39021875000000006</v>
      </c>
      <c r="E98" s="14">
        <v>3.9021875000000004E-2</v>
      </c>
      <c r="F98" s="38">
        <v>4.0274999999999964E-2</v>
      </c>
      <c r="G98" s="38">
        <v>0.19352500000000003</v>
      </c>
    </row>
    <row r="99" spans="1:7">
      <c r="A99" s="29" t="s">
        <v>30</v>
      </c>
      <c r="B99" s="153">
        <v>49</v>
      </c>
      <c r="C99" s="30">
        <f t="shared" si="1"/>
        <v>48</v>
      </c>
      <c r="D99" s="14">
        <v>0.40266326530612251</v>
      </c>
      <c r="E99" s="14">
        <v>4.159795918367349E-2</v>
      </c>
      <c r="F99" s="38">
        <v>4.7616326530612214E-2</v>
      </c>
      <c r="G99" s="38">
        <v>0.19773877551020408</v>
      </c>
    </row>
    <row r="100" spans="1:7">
      <c r="A100" s="29" t="s">
        <v>31</v>
      </c>
      <c r="B100" s="53">
        <v>49.6</v>
      </c>
      <c r="C100" s="30">
        <f t="shared" si="1"/>
        <v>49</v>
      </c>
      <c r="D100" s="14">
        <v>0.40988911290322588</v>
      </c>
      <c r="E100" s="14">
        <v>4.5933467741935512E-2</v>
      </c>
      <c r="F100" s="38">
        <v>5.1879032258064492E-2</v>
      </c>
      <c r="G100" s="38">
        <v>0.20018548387096777</v>
      </c>
    </row>
    <row r="101" spans="1:7">
      <c r="A101" s="29" t="s">
        <v>32</v>
      </c>
      <c r="B101" s="53">
        <v>50.6</v>
      </c>
      <c r="C101" s="30">
        <f t="shared" si="1"/>
        <v>49.6</v>
      </c>
      <c r="D101" s="14">
        <v>0.42155138339920956</v>
      </c>
      <c r="E101" s="14">
        <v>5.2930830039525721E-2</v>
      </c>
      <c r="F101" s="38">
        <v>5.8758893280632392E-2</v>
      </c>
      <c r="G101" s="38">
        <v>0.20413438735177866</v>
      </c>
    </row>
    <row r="102" spans="1:7">
      <c r="A102" s="29" t="s">
        <v>33</v>
      </c>
      <c r="B102" s="153">
        <v>51.9</v>
      </c>
      <c r="C102" s="30">
        <f t="shared" si="1"/>
        <v>50.6</v>
      </c>
      <c r="D102" s="14">
        <v>0.43604046242774569</v>
      </c>
      <c r="E102" s="14">
        <v>6.1624277456647406E-2</v>
      </c>
      <c r="F102" s="38">
        <v>6.7306358381502854E-2</v>
      </c>
      <c r="G102" s="38">
        <v>0.20904046242774565</v>
      </c>
    </row>
    <row r="103" spans="1:7">
      <c r="A103" s="29" t="s">
        <v>34</v>
      </c>
      <c r="B103" s="53">
        <v>53.7</v>
      </c>
      <c r="C103" s="30">
        <f t="shared" si="1"/>
        <v>51.9</v>
      </c>
      <c r="D103" s="14">
        <v>0.45494413407821238</v>
      </c>
      <c r="E103" s="14">
        <v>7.2966480446927412E-2</v>
      </c>
      <c r="F103" s="38">
        <v>7.8458100558659205E-2</v>
      </c>
      <c r="G103" s="38">
        <v>0.21544134078212293</v>
      </c>
    </row>
    <row r="104" spans="1:7">
      <c r="A104" s="29" t="s">
        <v>35</v>
      </c>
      <c r="B104" s="153">
        <v>55</v>
      </c>
      <c r="C104" s="30">
        <f t="shared" si="1"/>
        <v>53.7</v>
      </c>
      <c r="D104" s="14">
        <v>0.46782727272727276</v>
      </c>
      <c r="E104" s="14">
        <v>8.0696363636363649E-2</v>
      </c>
      <c r="F104" s="38">
        <v>8.6058181818181784E-2</v>
      </c>
      <c r="G104" s="38">
        <v>0.21980363636363637</v>
      </c>
    </row>
    <row r="105" spans="1:7">
      <c r="A105" s="29" t="s">
        <v>36</v>
      </c>
      <c r="B105" s="153">
        <v>55.7</v>
      </c>
      <c r="C105" s="30">
        <f t="shared" si="1"/>
        <v>55</v>
      </c>
      <c r="D105" s="14">
        <v>0.47451526032315988</v>
      </c>
      <c r="E105" s="14">
        <v>8.4709156193895907E-2</v>
      </c>
      <c r="F105" s="38">
        <v>9.0003590664272881E-2</v>
      </c>
      <c r="G105" s="38">
        <v>0.22206822262118492</v>
      </c>
    </row>
    <row r="106" spans="1:7">
      <c r="A106" s="29" t="s">
        <v>37</v>
      </c>
      <c r="B106" s="53">
        <v>56.3</v>
      </c>
      <c r="C106" s="30">
        <f t="shared" si="1"/>
        <v>55.7</v>
      </c>
      <c r="D106" s="14">
        <v>0.48011545293072827</v>
      </c>
      <c r="E106" s="14">
        <v>8.8069271758436943E-2</v>
      </c>
      <c r="F106" s="38">
        <v>9.3307282415630508E-2</v>
      </c>
      <c r="G106" s="38">
        <v>0.22396447602131439</v>
      </c>
    </row>
    <row r="107" spans="1:7">
      <c r="A107" s="29" t="s">
        <v>38</v>
      </c>
      <c r="B107" s="53">
        <v>57.1</v>
      </c>
      <c r="C107" s="30">
        <f t="shared" si="1"/>
        <v>56.3</v>
      </c>
      <c r="D107" s="14">
        <v>0.48739929947460603</v>
      </c>
      <c r="E107" s="14">
        <v>9.2439579684763601E-2</v>
      </c>
      <c r="F107" s="38">
        <v>9.7604203152364261E-2</v>
      </c>
      <c r="G107" s="38">
        <v>0.22643082311733803</v>
      </c>
    </row>
    <row r="108" spans="1:7">
      <c r="A108" s="29" t="s">
        <v>39</v>
      </c>
      <c r="B108" s="53">
        <v>58.3</v>
      </c>
      <c r="C108" s="30">
        <f t="shared" si="1"/>
        <v>57.1</v>
      </c>
      <c r="D108" s="14">
        <v>0.49795025728987996</v>
      </c>
      <c r="E108" s="14">
        <v>9.8770154373927971E-2</v>
      </c>
      <c r="F108" s="38">
        <v>0.10382847341337903</v>
      </c>
      <c r="G108" s="38">
        <v>0.23000343053173244</v>
      </c>
    </row>
    <row r="109" spans="1:7">
      <c r="A109" s="29" t="s">
        <v>40</v>
      </c>
      <c r="B109" s="53">
        <v>60.3</v>
      </c>
      <c r="C109" s="30">
        <f t="shared" si="1"/>
        <v>58.3</v>
      </c>
      <c r="D109" s="14">
        <v>0.51460199004975127</v>
      </c>
      <c r="E109" s="14">
        <v>0.10876119402985074</v>
      </c>
      <c r="F109" s="38">
        <v>0.1136517412935323</v>
      </c>
      <c r="G109" s="38">
        <v>0.23564179104477612</v>
      </c>
    </row>
    <row r="110" spans="1:7">
      <c r="A110" s="29" t="s">
        <v>41</v>
      </c>
      <c r="B110" s="53">
        <v>61.2</v>
      </c>
      <c r="C110" s="30">
        <f t="shared" si="1"/>
        <v>60.3</v>
      </c>
      <c r="D110" s="14">
        <v>0.52174019607843147</v>
      </c>
      <c r="E110" s="14">
        <v>0.11304411764705885</v>
      </c>
      <c r="F110" s="38">
        <v>0.11786274509803921</v>
      </c>
      <c r="G110" s="38">
        <v>0.23805882352941179</v>
      </c>
    </row>
    <row r="111" spans="1:7">
      <c r="A111" s="29" t="s">
        <v>42</v>
      </c>
      <c r="B111" s="53">
        <v>63.6</v>
      </c>
      <c r="C111" s="30">
        <f t="shared" si="1"/>
        <v>61.2</v>
      </c>
      <c r="D111" s="14">
        <v>0.53978773584905659</v>
      </c>
      <c r="E111" s="14">
        <v>0.12387264150943397</v>
      </c>
      <c r="F111" s="38">
        <v>0.12850943396226414</v>
      </c>
      <c r="G111" s="38">
        <v>0.24416981132075474</v>
      </c>
    </row>
    <row r="112" spans="1:7">
      <c r="A112" s="29" t="s">
        <v>43</v>
      </c>
      <c r="B112" s="53">
        <v>64.900000000000006</v>
      </c>
      <c r="C112" s="30">
        <f t="shared" si="1"/>
        <v>63.6</v>
      </c>
      <c r="D112" s="14">
        <v>0.54900616332819741</v>
      </c>
      <c r="E112" s="14">
        <v>0.12940369799691837</v>
      </c>
      <c r="F112" s="38">
        <v>0.13394761171032357</v>
      </c>
      <c r="G112" s="38">
        <v>0.24729121725731898</v>
      </c>
    </row>
    <row r="113" spans="1:7">
      <c r="A113" s="29" t="s">
        <v>44</v>
      </c>
      <c r="B113" s="53">
        <v>66.8</v>
      </c>
      <c r="C113" s="30">
        <f t="shared" si="1"/>
        <v>64.900000000000006</v>
      </c>
      <c r="D113" s="14">
        <v>0.56183383233532946</v>
      </c>
      <c r="E113" s="14">
        <v>0.13710029940119761</v>
      </c>
      <c r="F113" s="38">
        <v>0.1415149700598802</v>
      </c>
      <c r="G113" s="38">
        <v>0.2516347305389221</v>
      </c>
    </row>
    <row r="114" spans="1:7">
      <c r="A114" s="29" t="s">
        <v>45</v>
      </c>
      <c r="B114" s="53">
        <v>69.7</v>
      </c>
      <c r="C114" s="30">
        <f t="shared" si="1"/>
        <v>66.8</v>
      </c>
      <c r="D114" s="14">
        <v>0.58006456241033011</v>
      </c>
      <c r="E114" s="14">
        <v>0.14803873744619803</v>
      </c>
      <c r="F114" s="38">
        <v>0.15226972740315639</v>
      </c>
      <c r="G114" s="38">
        <v>0.25780774748923962</v>
      </c>
    </row>
    <row r="115" spans="1:7">
      <c r="A115" s="29" t="s">
        <v>46</v>
      </c>
      <c r="B115" s="153">
        <v>73</v>
      </c>
      <c r="C115" s="30">
        <f t="shared" si="1"/>
        <v>69.7</v>
      </c>
      <c r="D115" s="14">
        <v>0.59904794520547955</v>
      </c>
      <c r="E115" s="14">
        <v>0.15942876712328768</v>
      </c>
      <c r="F115" s="38">
        <v>0.16346849315068493</v>
      </c>
      <c r="G115" s="38">
        <v>0.26423561643835614</v>
      </c>
    </row>
    <row r="116" spans="1:7">
      <c r="A116" s="29" t="s">
        <v>47</v>
      </c>
      <c r="B116" s="53">
        <v>76.2</v>
      </c>
      <c r="C116" s="30">
        <f t="shared" si="1"/>
        <v>73</v>
      </c>
      <c r="D116" s="14">
        <v>0.6158858267716536</v>
      </c>
      <c r="E116" s="14">
        <v>0.16953149606299214</v>
      </c>
      <c r="F116" s="38">
        <v>0.17340157480314961</v>
      </c>
      <c r="G116" s="38">
        <v>0.26993700787401576</v>
      </c>
    </row>
    <row r="117" spans="1:7">
      <c r="A117" s="29" t="s">
        <v>48</v>
      </c>
      <c r="B117" s="53">
        <v>81.8</v>
      </c>
      <c r="C117" s="30">
        <f t="shared" si="1"/>
        <v>76.2</v>
      </c>
      <c r="D117" s="14">
        <v>0.64218215158924208</v>
      </c>
      <c r="E117" s="14">
        <v>0.18530929095354526</v>
      </c>
      <c r="F117" s="38">
        <v>0.18891442542787285</v>
      </c>
      <c r="G117" s="38">
        <v>0.27884107579462097</v>
      </c>
    </row>
    <row r="118" spans="1:7">
      <c r="A118" s="29" t="s">
        <v>49</v>
      </c>
      <c r="B118" s="153">
        <v>88</v>
      </c>
      <c r="C118" s="30">
        <f t="shared" si="1"/>
        <v>81.8</v>
      </c>
      <c r="D118" s="14">
        <v>0.66739204545454556</v>
      </c>
      <c r="E118" s="14">
        <v>0.20043522727272728</v>
      </c>
      <c r="F118" s="38">
        <v>0.20378636363636363</v>
      </c>
      <c r="G118" s="38">
        <v>0.28737727272727276</v>
      </c>
    </row>
    <row r="119" spans="1:7">
      <c r="A119" s="29" t="s">
        <v>50</v>
      </c>
      <c r="B119" s="53">
        <v>98.7</v>
      </c>
      <c r="C119" s="30">
        <f t="shared" si="1"/>
        <v>88</v>
      </c>
      <c r="D119" s="14">
        <v>0.7034498480243162</v>
      </c>
      <c r="E119" s="14">
        <v>0.22206990881458968</v>
      </c>
      <c r="F119" s="38">
        <v>0.22505775075987841</v>
      </c>
      <c r="G119" s="38">
        <v>0.29958662613981762</v>
      </c>
    </row>
    <row r="120" spans="1:7">
      <c r="A120" s="29" t="s">
        <v>51</v>
      </c>
      <c r="B120" s="53">
        <v>115.6</v>
      </c>
      <c r="C120" s="30">
        <f t="shared" si="1"/>
        <v>98.7</v>
      </c>
      <c r="D120" s="14">
        <v>0.74680363321799315</v>
      </c>
      <c r="E120" s="14">
        <v>0.24808217993079587</v>
      </c>
      <c r="F120" s="38">
        <v>0.25063321799307953</v>
      </c>
      <c r="G120" s="38">
        <v>0.31426643598615916</v>
      </c>
    </row>
    <row r="121" spans="1:7">
      <c r="A121" s="29" t="s">
        <v>52</v>
      </c>
      <c r="B121" s="53">
        <v>151.1</v>
      </c>
      <c r="C121" s="30">
        <f t="shared" si="1"/>
        <v>115.6</v>
      </c>
      <c r="D121" s="14">
        <v>0.80629053606882861</v>
      </c>
      <c r="E121" s="14">
        <v>0.28377432164129718</v>
      </c>
      <c r="F121" s="38">
        <v>0.28572600926538716</v>
      </c>
      <c r="G121" s="38">
        <v>0.33440900066181334</v>
      </c>
    </row>
    <row r="122" spans="1:7">
      <c r="A122" s="29" t="s">
        <v>53</v>
      </c>
      <c r="B122" s="53">
        <v>209.8</v>
      </c>
      <c r="C122" s="30">
        <f>B121</f>
        <v>151.1</v>
      </c>
      <c r="D122" s="14">
        <v>0.86048856053384182</v>
      </c>
      <c r="E122" s="14">
        <v>0.31629313632030509</v>
      </c>
      <c r="F122" s="38">
        <v>0.31769876072449948</v>
      </c>
      <c r="G122" s="38">
        <v>0.35276072449952339</v>
      </c>
    </row>
    <row r="123" spans="1:7">
      <c r="A123" s="29" t="s">
        <v>53</v>
      </c>
      <c r="B123" s="29" t="s">
        <v>148</v>
      </c>
      <c r="C123" s="30">
        <f t="shared" si="1"/>
        <v>209.8</v>
      </c>
      <c r="D123" s="11" t="s">
        <v>81</v>
      </c>
      <c r="E123" s="11"/>
      <c r="F123" s="39"/>
      <c r="G123" s="39"/>
    </row>
    <row r="124" spans="1:7">
      <c r="A124" s="29"/>
      <c r="B124" s="29"/>
      <c r="C124" s="29"/>
      <c r="D124" s="11"/>
      <c r="E124" s="32">
        <v>7.4119054165449824E-2</v>
      </c>
      <c r="F124" s="40">
        <v>7.6736544918223085E-2</v>
      </c>
      <c r="G124" s="40">
        <v>0.17688481970208142</v>
      </c>
    </row>
    <row r="125" spans="1:7" ht="60">
      <c r="A125" s="33" t="s">
        <v>55</v>
      </c>
      <c r="B125" s="154">
        <v>27.53</v>
      </c>
      <c r="C125" s="29"/>
      <c r="D125" s="11"/>
      <c r="F125" s="41">
        <v>47.963333333333338</v>
      </c>
      <c r="G125" s="42">
        <v>27.53</v>
      </c>
    </row>
    <row r="126" spans="1:7" ht="60">
      <c r="A126" s="33" t="s">
        <v>56</v>
      </c>
      <c r="B126" s="154">
        <v>53.4</v>
      </c>
      <c r="C126" s="29"/>
      <c r="D126" s="11"/>
      <c r="E126" s="159">
        <v>48.782499999999999</v>
      </c>
      <c r="F126" s="39"/>
      <c r="G126" s="39"/>
    </row>
    <row r="127" spans="1:7" ht="96.75">
      <c r="A127" s="35" t="s">
        <v>57</v>
      </c>
      <c r="B127" s="29">
        <v>16.5</v>
      </c>
      <c r="C127" s="29"/>
      <c r="D127" s="11"/>
      <c r="E127" s="159">
        <v>29.269499999999997</v>
      </c>
      <c r="F127" s="39">
        <v>28.778000000000002</v>
      </c>
      <c r="G127" s="39">
        <v>16.518000000000001</v>
      </c>
    </row>
    <row r="129" spans="1:7" ht="60.75" thickBot="1">
      <c r="A129" s="5" t="s">
        <v>56</v>
      </c>
      <c r="B129">
        <f>B126</f>
        <v>53.4</v>
      </c>
    </row>
    <row r="130" spans="1:7">
      <c r="A130" s="16" t="s">
        <v>64</v>
      </c>
      <c r="B130" s="17">
        <f>AVERAGE(B78:B117)</f>
        <v>48.782499999999999</v>
      </c>
      <c r="C130" s="17"/>
    </row>
    <row r="131" spans="1:7">
      <c r="A131" s="16" t="s">
        <v>65</v>
      </c>
      <c r="B131" s="18">
        <f>AVERAGE(B83:B112)</f>
        <v>47.963333333333338</v>
      </c>
      <c r="C131" s="18"/>
    </row>
    <row r="132" spans="1:7">
      <c r="A132" s="16" t="s">
        <v>66</v>
      </c>
      <c r="B132" s="18">
        <f>AVERAGE(B89:B107)</f>
        <v>48.415789473684214</v>
      </c>
      <c r="C132" s="18"/>
    </row>
    <row r="134" spans="1:7">
      <c r="A134" s="473" t="s">
        <v>0</v>
      </c>
      <c r="B134" s="473" t="s">
        <v>78</v>
      </c>
      <c r="C134" s="473"/>
      <c r="D134" s="473"/>
      <c r="E134" s="40">
        <f>(1-E189)^(1/3)-1</f>
        <v>0</v>
      </c>
      <c r="F134" s="40">
        <f>(1-F189)^(1/3)-1</f>
        <v>0</v>
      </c>
      <c r="G134" s="40"/>
    </row>
    <row r="135" spans="1:7" ht="72">
      <c r="A135" s="473"/>
      <c r="B135" s="11" t="s">
        <v>4</v>
      </c>
      <c r="C135" s="254"/>
      <c r="D135" s="11" t="s">
        <v>80</v>
      </c>
      <c r="E135" s="11" t="s">
        <v>5</v>
      </c>
      <c r="F135" s="39" t="s">
        <v>5</v>
      </c>
      <c r="G135" s="39"/>
    </row>
    <row r="136" spans="1:7" ht="24">
      <c r="A136" s="473"/>
      <c r="B136" s="11" t="s">
        <v>9</v>
      </c>
      <c r="C136" s="254"/>
      <c r="D136" s="11" t="s">
        <v>7</v>
      </c>
      <c r="E136" s="11" t="s">
        <v>7</v>
      </c>
      <c r="F136" s="39" t="s">
        <v>7</v>
      </c>
      <c r="G136" s="39"/>
    </row>
    <row r="137" spans="1:7">
      <c r="A137" s="50">
        <v>1</v>
      </c>
      <c r="B137" s="51">
        <v>2</v>
      </c>
      <c r="C137" s="51"/>
      <c r="D137" s="51">
        <v>3</v>
      </c>
      <c r="E137" s="51">
        <v>4</v>
      </c>
      <c r="F137" s="52">
        <v>5</v>
      </c>
      <c r="G137" s="52"/>
    </row>
    <row r="138" spans="1:7">
      <c r="A138" s="27" t="s">
        <v>10</v>
      </c>
      <c r="B138" s="223"/>
      <c r="C138" s="255">
        <v>0</v>
      </c>
      <c r="D138" s="14">
        <f t="shared" ref="D138:D186" si="2">IF(B138=0,0,IF(B138&lt;=E$192,0,B138-E$192)/B138)</f>
        <v>0</v>
      </c>
      <c r="E138" s="14"/>
      <c r="F138" s="38"/>
      <c r="G138" s="38"/>
    </row>
    <row r="139" spans="1:7">
      <c r="A139" s="27" t="s">
        <v>58</v>
      </c>
      <c r="B139" s="223"/>
      <c r="C139" s="30">
        <f>B138</f>
        <v>0</v>
      </c>
      <c r="D139" s="14">
        <f t="shared" si="2"/>
        <v>0</v>
      </c>
      <c r="E139" s="14"/>
      <c r="F139" s="38"/>
      <c r="G139" s="38"/>
    </row>
    <row r="140" spans="1:7">
      <c r="A140" s="27" t="s">
        <v>59</v>
      </c>
      <c r="B140" s="223"/>
      <c r="C140" s="30">
        <f t="shared" ref="C140:C188" si="3">B139</f>
        <v>0</v>
      </c>
      <c r="D140" s="14">
        <f t="shared" si="2"/>
        <v>0</v>
      </c>
      <c r="E140" s="14"/>
      <c r="F140" s="38"/>
      <c r="G140" s="38"/>
    </row>
    <row r="141" spans="1:7">
      <c r="A141" s="27" t="s">
        <v>60</v>
      </c>
      <c r="B141" s="223"/>
      <c r="C141" s="30">
        <f t="shared" si="3"/>
        <v>0</v>
      </c>
      <c r="D141" s="14">
        <f t="shared" si="2"/>
        <v>0</v>
      </c>
      <c r="E141" s="14"/>
      <c r="F141" s="38"/>
      <c r="G141" s="38"/>
    </row>
    <row r="142" spans="1:7">
      <c r="A142" s="27" t="s">
        <v>61</v>
      </c>
      <c r="B142" s="223"/>
      <c r="C142" s="30">
        <f t="shared" si="3"/>
        <v>0</v>
      </c>
      <c r="D142" s="14">
        <f t="shared" si="2"/>
        <v>0</v>
      </c>
      <c r="E142" s="14"/>
      <c r="F142" s="38"/>
      <c r="G142" s="38"/>
    </row>
    <row r="143" spans="1:7">
      <c r="A143" s="27" t="s">
        <v>62</v>
      </c>
      <c r="B143" s="223"/>
      <c r="C143" s="30">
        <f t="shared" si="3"/>
        <v>0</v>
      </c>
      <c r="D143" s="14">
        <f t="shared" si="2"/>
        <v>0</v>
      </c>
      <c r="E143" s="14"/>
      <c r="F143" s="38"/>
      <c r="G143" s="38"/>
    </row>
    <row r="144" spans="1:7">
      <c r="A144" s="27" t="s">
        <v>63</v>
      </c>
      <c r="B144" s="223"/>
      <c r="C144" s="30">
        <f t="shared" si="3"/>
        <v>0</v>
      </c>
      <c r="D144" s="14">
        <f t="shared" si="2"/>
        <v>0</v>
      </c>
      <c r="E144" s="14"/>
      <c r="F144" s="38"/>
      <c r="G144" s="38"/>
    </row>
    <row r="145" spans="1:7">
      <c r="A145" s="29" t="s">
        <v>11</v>
      </c>
      <c r="B145" s="223"/>
      <c r="C145" s="30">
        <f t="shared" si="3"/>
        <v>0</v>
      </c>
      <c r="D145" s="14">
        <f t="shared" si="2"/>
        <v>0</v>
      </c>
      <c r="E145" s="14"/>
      <c r="F145" s="38"/>
      <c r="G145" s="38"/>
    </row>
    <row r="146" spans="1:7">
      <c r="A146" s="29" t="s">
        <v>12</v>
      </c>
      <c r="B146" s="223"/>
      <c r="C146" s="30">
        <f t="shared" si="3"/>
        <v>0</v>
      </c>
      <c r="D146" s="14">
        <f t="shared" si="2"/>
        <v>0</v>
      </c>
      <c r="E146" s="14"/>
      <c r="F146" s="38"/>
      <c r="G146" s="38"/>
    </row>
    <row r="147" spans="1:7">
      <c r="A147" s="29" t="s">
        <v>13</v>
      </c>
      <c r="B147" s="223"/>
      <c r="C147" s="30">
        <f t="shared" si="3"/>
        <v>0</v>
      </c>
      <c r="D147" s="14">
        <f t="shared" si="2"/>
        <v>0</v>
      </c>
      <c r="E147" s="14"/>
      <c r="F147" s="38"/>
      <c r="G147" s="38"/>
    </row>
    <row r="148" spans="1:7">
      <c r="A148" s="29" t="s">
        <v>14</v>
      </c>
      <c r="B148" s="223"/>
      <c r="C148" s="30">
        <f t="shared" si="3"/>
        <v>0</v>
      </c>
      <c r="D148" s="14">
        <f t="shared" si="2"/>
        <v>0</v>
      </c>
      <c r="E148" s="14"/>
      <c r="F148" s="38"/>
      <c r="G148" s="38"/>
    </row>
    <row r="149" spans="1:7">
      <c r="A149" s="29" t="s">
        <v>15</v>
      </c>
      <c r="B149" s="223"/>
      <c r="C149" s="30">
        <f t="shared" si="3"/>
        <v>0</v>
      </c>
      <c r="D149" s="14">
        <f t="shared" si="2"/>
        <v>0</v>
      </c>
      <c r="E149" s="14"/>
      <c r="F149" s="38"/>
      <c r="G149" s="38"/>
    </row>
    <row r="150" spans="1:7">
      <c r="A150" s="29" t="s">
        <v>16</v>
      </c>
      <c r="B150" s="223"/>
      <c r="C150" s="30">
        <f t="shared" si="3"/>
        <v>0</v>
      </c>
      <c r="D150" s="14">
        <f t="shared" si="2"/>
        <v>0</v>
      </c>
      <c r="E150" s="14"/>
      <c r="F150" s="38"/>
      <c r="G150" s="38"/>
    </row>
    <row r="151" spans="1:7">
      <c r="A151" s="29" t="s">
        <v>17</v>
      </c>
      <c r="B151" s="223"/>
      <c r="C151" s="30">
        <f t="shared" si="3"/>
        <v>0</v>
      </c>
      <c r="D151" s="14">
        <f t="shared" si="2"/>
        <v>0</v>
      </c>
      <c r="E151" s="14"/>
      <c r="F151" s="38"/>
      <c r="G151" s="38"/>
    </row>
    <row r="152" spans="1:7">
      <c r="A152" s="29" t="s">
        <v>18</v>
      </c>
      <c r="B152" s="223"/>
      <c r="C152" s="30">
        <f t="shared" si="3"/>
        <v>0</v>
      </c>
      <c r="D152" s="14">
        <f t="shared" si="2"/>
        <v>0</v>
      </c>
      <c r="E152" s="14"/>
      <c r="F152" s="38"/>
      <c r="G152" s="38"/>
    </row>
    <row r="153" spans="1:7">
      <c r="A153" s="29" t="s">
        <v>19</v>
      </c>
      <c r="B153" s="223"/>
      <c r="C153" s="30">
        <f t="shared" si="3"/>
        <v>0</v>
      </c>
      <c r="D153" s="14">
        <f t="shared" si="2"/>
        <v>0</v>
      </c>
      <c r="E153" s="14"/>
      <c r="F153" s="38"/>
      <c r="G153" s="38"/>
    </row>
    <row r="154" spans="1:7">
      <c r="A154" s="29" t="s">
        <v>20</v>
      </c>
      <c r="B154" s="223"/>
      <c r="C154" s="30">
        <f t="shared" si="3"/>
        <v>0</v>
      </c>
      <c r="D154" s="14">
        <f t="shared" si="2"/>
        <v>0</v>
      </c>
      <c r="E154" s="14"/>
      <c r="F154" s="38"/>
      <c r="G154" s="38"/>
    </row>
    <row r="155" spans="1:7">
      <c r="A155" s="29" t="s">
        <v>21</v>
      </c>
      <c r="B155" s="223"/>
      <c r="C155" s="30">
        <f t="shared" si="3"/>
        <v>0</v>
      </c>
      <c r="D155" s="14">
        <f t="shared" si="2"/>
        <v>0</v>
      </c>
      <c r="E155" s="14"/>
      <c r="F155" s="38"/>
      <c r="G155" s="38"/>
    </row>
    <row r="156" spans="1:7">
      <c r="A156" s="29" t="s">
        <v>22</v>
      </c>
      <c r="B156" s="223"/>
      <c r="C156" s="30">
        <f t="shared" si="3"/>
        <v>0</v>
      </c>
      <c r="D156" s="14">
        <f t="shared" si="2"/>
        <v>0</v>
      </c>
      <c r="E156" s="14"/>
      <c r="F156" s="38"/>
      <c r="G156" s="38"/>
    </row>
    <row r="157" spans="1:7">
      <c r="A157" s="29" t="s">
        <v>23</v>
      </c>
      <c r="B157" s="223"/>
      <c r="C157" s="30">
        <f t="shared" si="3"/>
        <v>0</v>
      </c>
      <c r="D157" s="14">
        <f t="shared" si="2"/>
        <v>0</v>
      </c>
      <c r="E157" s="14"/>
      <c r="F157" s="38"/>
      <c r="G157" s="38"/>
    </row>
    <row r="158" spans="1:7">
      <c r="A158" s="29" t="s">
        <v>24</v>
      </c>
      <c r="B158" s="223"/>
      <c r="C158" s="30">
        <f t="shared" si="3"/>
        <v>0</v>
      </c>
      <c r="D158" s="14">
        <f t="shared" si="2"/>
        <v>0</v>
      </c>
      <c r="E158" s="14"/>
      <c r="F158" s="38"/>
      <c r="G158" s="38"/>
    </row>
    <row r="159" spans="1:7">
      <c r="A159" s="29" t="s">
        <v>25</v>
      </c>
      <c r="B159" s="223"/>
      <c r="C159" s="30">
        <f t="shared" si="3"/>
        <v>0</v>
      </c>
      <c r="D159" s="14">
        <f t="shared" si="2"/>
        <v>0</v>
      </c>
      <c r="E159" s="14"/>
      <c r="F159" s="38"/>
      <c r="G159" s="38"/>
    </row>
    <row r="160" spans="1:7">
      <c r="A160" s="29" t="s">
        <v>26</v>
      </c>
      <c r="B160" s="223"/>
      <c r="C160" s="30">
        <f t="shared" si="3"/>
        <v>0</v>
      </c>
      <c r="D160" s="14">
        <f t="shared" si="2"/>
        <v>0</v>
      </c>
      <c r="E160" s="14"/>
      <c r="F160" s="38"/>
      <c r="G160" s="38"/>
    </row>
    <row r="161" spans="1:7">
      <c r="A161" s="29" t="s">
        <v>27</v>
      </c>
      <c r="B161" s="223"/>
      <c r="C161" s="30">
        <f t="shared" si="3"/>
        <v>0</v>
      </c>
      <c r="D161" s="14">
        <f t="shared" si="2"/>
        <v>0</v>
      </c>
      <c r="E161" s="14"/>
      <c r="F161" s="38"/>
      <c r="G161" s="38"/>
    </row>
    <row r="162" spans="1:7">
      <c r="A162" s="29" t="s">
        <v>28</v>
      </c>
      <c r="B162" s="223"/>
      <c r="C162" s="30">
        <f t="shared" si="3"/>
        <v>0</v>
      </c>
      <c r="D162" s="14">
        <f t="shared" si="2"/>
        <v>0</v>
      </c>
      <c r="E162" s="14"/>
      <c r="F162" s="38"/>
      <c r="G162" s="38"/>
    </row>
    <row r="163" spans="1:7">
      <c r="A163" s="29" t="s">
        <v>29</v>
      </c>
      <c r="B163" s="223"/>
      <c r="C163" s="30">
        <f t="shared" si="3"/>
        <v>0</v>
      </c>
      <c r="D163" s="14">
        <f t="shared" si="2"/>
        <v>0</v>
      </c>
      <c r="E163" s="14"/>
      <c r="F163" s="38"/>
      <c r="G163" s="38"/>
    </row>
    <row r="164" spans="1:7">
      <c r="A164" s="29" t="s">
        <v>30</v>
      </c>
      <c r="B164" s="223"/>
      <c r="C164" s="30">
        <f t="shared" si="3"/>
        <v>0</v>
      </c>
      <c r="D164" s="14">
        <f t="shared" si="2"/>
        <v>0</v>
      </c>
      <c r="E164" s="14"/>
      <c r="F164" s="38"/>
      <c r="G164" s="38"/>
    </row>
    <row r="165" spans="1:7">
      <c r="A165" s="29" t="s">
        <v>31</v>
      </c>
      <c r="B165" s="223"/>
      <c r="C165" s="30">
        <f t="shared" si="3"/>
        <v>0</v>
      </c>
      <c r="D165" s="14">
        <f t="shared" si="2"/>
        <v>0</v>
      </c>
      <c r="E165" s="14"/>
      <c r="F165" s="38"/>
      <c r="G165" s="38"/>
    </row>
    <row r="166" spans="1:7">
      <c r="A166" s="29" t="s">
        <v>32</v>
      </c>
      <c r="B166" s="223"/>
      <c r="C166" s="30">
        <f t="shared" si="3"/>
        <v>0</v>
      </c>
      <c r="D166" s="14">
        <f t="shared" si="2"/>
        <v>0</v>
      </c>
      <c r="E166" s="14"/>
      <c r="F166" s="38"/>
      <c r="G166" s="38"/>
    </row>
    <row r="167" spans="1:7">
      <c r="A167" s="29" t="s">
        <v>33</v>
      </c>
      <c r="B167" s="223"/>
      <c r="C167" s="30">
        <f t="shared" si="3"/>
        <v>0</v>
      </c>
      <c r="D167" s="14">
        <f t="shared" si="2"/>
        <v>0</v>
      </c>
      <c r="E167" s="14"/>
      <c r="F167" s="38"/>
      <c r="G167" s="38"/>
    </row>
    <row r="168" spans="1:7">
      <c r="A168" s="29" t="s">
        <v>34</v>
      </c>
      <c r="B168" s="223"/>
      <c r="C168" s="30">
        <f t="shared" si="3"/>
        <v>0</v>
      </c>
      <c r="D168" s="14">
        <f t="shared" si="2"/>
        <v>0</v>
      </c>
      <c r="E168" s="14"/>
      <c r="F168" s="38"/>
      <c r="G168" s="38"/>
    </row>
    <row r="169" spans="1:7">
      <c r="A169" s="29" t="s">
        <v>35</v>
      </c>
      <c r="B169" s="223"/>
      <c r="C169" s="30">
        <f t="shared" si="3"/>
        <v>0</v>
      </c>
      <c r="D169" s="14">
        <f t="shared" si="2"/>
        <v>0</v>
      </c>
      <c r="E169" s="14"/>
      <c r="F169" s="38"/>
      <c r="G169" s="38"/>
    </row>
    <row r="170" spans="1:7">
      <c r="A170" s="29" t="s">
        <v>36</v>
      </c>
      <c r="B170" s="223"/>
      <c r="C170" s="30">
        <f t="shared" si="3"/>
        <v>0</v>
      </c>
      <c r="D170" s="14">
        <f t="shared" si="2"/>
        <v>0</v>
      </c>
      <c r="E170" s="14"/>
      <c r="F170" s="38"/>
      <c r="G170" s="38"/>
    </row>
    <row r="171" spans="1:7">
      <c r="A171" s="29" t="s">
        <v>37</v>
      </c>
      <c r="B171" s="223"/>
      <c r="C171" s="30">
        <f t="shared" si="3"/>
        <v>0</v>
      </c>
      <c r="D171" s="14">
        <f t="shared" si="2"/>
        <v>0</v>
      </c>
      <c r="E171" s="14"/>
      <c r="F171" s="38"/>
      <c r="G171" s="38"/>
    </row>
    <row r="172" spans="1:7">
      <c r="A172" s="29" t="s">
        <v>38</v>
      </c>
      <c r="B172" s="223"/>
      <c r="C172" s="30">
        <f t="shared" si="3"/>
        <v>0</v>
      </c>
      <c r="D172" s="14">
        <f t="shared" si="2"/>
        <v>0</v>
      </c>
      <c r="E172" s="14"/>
      <c r="F172" s="38"/>
      <c r="G172" s="38"/>
    </row>
    <row r="173" spans="1:7">
      <c r="A173" s="29" t="s">
        <v>39</v>
      </c>
      <c r="B173" s="223"/>
      <c r="C173" s="30">
        <f t="shared" si="3"/>
        <v>0</v>
      </c>
      <c r="D173" s="14">
        <f t="shared" si="2"/>
        <v>0</v>
      </c>
      <c r="E173" s="14"/>
      <c r="F173" s="38"/>
      <c r="G173" s="38"/>
    </row>
    <row r="174" spans="1:7">
      <c r="A174" s="29" t="s">
        <v>40</v>
      </c>
      <c r="B174" s="223"/>
      <c r="C174" s="30">
        <f t="shared" si="3"/>
        <v>0</v>
      </c>
      <c r="D174" s="14">
        <f t="shared" si="2"/>
        <v>0</v>
      </c>
      <c r="E174" s="14"/>
      <c r="F174" s="38"/>
      <c r="G174" s="38"/>
    </row>
    <row r="175" spans="1:7">
      <c r="A175" s="29" t="s">
        <v>41</v>
      </c>
      <c r="B175" s="223"/>
      <c r="C175" s="30">
        <f t="shared" si="3"/>
        <v>0</v>
      </c>
      <c r="D175" s="14">
        <f t="shared" si="2"/>
        <v>0</v>
      </c>
      <c r="E175" s="14"/>
      <c r="F175" s="38"/>
      <c r="G175" s="38"/>
    </row>
    <row r="176" spans="1:7">
      <c r="A176" s="29" t="s">
        <v>42</v>
      </c>
      <c r="B176" s="223"/>
      <c r="C176" s="30">
        <f t="shared" si="3"/>
        <v>0</v>
      </c>
      <c r="D176" s="14">
        <f t="shared" si="2"/>
        <v>0</v>
      </c>
      <c r="E176" s="14"/>
      <c r="F176" s="38"/>
      <c r="G176" s="38"/>
    </row>
    <row r="177" spans="1:7">
      <c r="A177" s="29" t="s">
        <v>43</v>
      </c>
      <c r="B177" s="223"/>
      <c r="C177" s="30">
        <f t="shared" si="3"/>
        <v>0</v>
      </c>
      <c r="D177" s="14">
        <f t="shared" si="2"/>
        <v>0</v>
      </c>
      <c r="E177" s="14"/>
      <c r="F177" s="38"/>
      <c r="G177" s="38"/>
    </row>
    <row r="178" spans="1:7">
      <c r="A178" s="29" t="s">
        <v>44</v>
      </c>
      <c r="B178" s="223"/>
      <c r="C178" s="30">
        <f t="shared" si="3"/>
        <v>0</v>
      </c>
      <c r="D178" s="14">
        <f t="shared" si="2"/>
        <v>0</v>
      </c>
      <c r="E178" s="14"/>
      <c r="F178" s="38"/>
      <c r="G178" s="38"/>
    </row>
    <row r="179" spans="1:7">
      <c r="A179" s="29" t="s">
        <v>45</v>
      </c>
      <c r="B179" s="223"/>
      <c r="C179" s="30">
        <f t="shared" si="3"/>
        <v>0</v>
      </c>
      <c r="D179" s="14">
        <f t="shared" si="2"/>
        <v>0</v>
      </c>
      <c r="E179" s="14"/>
      <c r="F179" s="38"/>
      <c r="G179" s="38"/>
    </row>
    <row r="180" spans="1:7">
      <c r="A180" s="29" t="s">
        <v>46</v>
      </c>
      <c r="B180" s="223"/>
      <c r="C180" s="30">
        <f t="shared" si="3"/>
        <v>0</v>
      </c>
      <c r="D180" s="14">
        <f t="shared" si="2"/>
        <v>0</v>
      </c>
      <c r="E180" s="14"/>
      <c r="F180" s="38"/>
      <c r="G180" s="38"/>
    </row>
    <row r="181" spans="1:7">
      <c r="A181" s="29" t="s">
        <v>47</v>
      </c>
      <c r="B181" s="223"/>
      <c r="C181" s="30">
        <f t="shared" si="3"/>
        <v>0</v>
      </c>
      <c r="D181" s="14">
        <f t="shared" si="2"/>
        <v>0</v>
      </c>
      <c r="E181" s="14"/>
      <c r="F181" s="38"/>
      <c r="G181" s="38"/>
    </row>
    <row r="182" spans="1:7">
      <c r="A182" s="29" t="s">
        <v>48</v>
      </c>
      <c r="B182" s="223"/>
      <c r="C182" s="30">
        <f t="shared" si="3"/>
        <v>0</v>
      </c>
      <c r="D182" s="14">
        <f t="shared" si="2"/>
        <v>0</v>
      </c>
      <c r="E182" s="14"/>
      <c r="F182" s="38"/>
      <c r="G182" s="38"/>
    </row>
    <row r="183" spans="1:7">
      <c r="A183" s="29" t="s">
        <v>49</v>
      </c>
      <c r="B183" s="223"/>
      <c r="C183" s="30">
        <f t="shared" si="3"/>
        <v>0</v>
      </c>
      <c r="D183" s="14">
        <f t="shared" si="2"/>
        <v>0</v>
      </c>
      <c r="E183" s="14"/>
      <c r="F183" s="38"/>
      <c r="G183" s="38"/>
    </row>
    <row r="184" spans="1:7">
      <c r="A184" s="29" t="s">
        <v>50</v>
      </c>
      <c r="B184" s="223"/>
      <c r="C184" s="30">
        <f t="shared" si="3"/>
        <v>0</v>
      </c>
      <c r="D184" s="14">
        <f t="shared" si="2"/>
        <v>0</v>
      </c>
      <c r="E184" s="14"/>
      <c r="F184" s="38"/>
      <c r="G184" s="38"/>
    </row>
    <row r="185" spans="1:7">
      <c r="A185" s="29" t="s">
        <v>51</v>
      </c>
      <c r="B185" s="223"/>
      <c r="C185" s="30">
        <f t="shared" si="3"/>
        <v>0</v>
      </c>
      <c r="D185" s="14">
        <f t="shared" si="2"/>
        <v>0</v>
      </c>
      <c r="E185" s="14"/>
      <c r="F185" s="38"/>
      <c r="G185" s="38"/>
    </row>
    <row r="186" spans="1:7">
      <c r="A186" s="29" t="s">
        <v>52</v>
      </c>
      <c r="B186" s="223"/>
      <c r="C186" s="30">
        <f t="shared" si="3"/>
        <v>0</v>
      </c>
      <c r="D186" s="14">
        <f t="shared" si="2"/>
        <v>0</v>
      </c>
      <c r="E186" s="14"/>
      <c r="F186" s="38"/>
      <c r="G186" s="38"/>
    </row>
    <row r="187" spans="1:7">
      <c r="A187" s="29" t="s">
        <v>53</v>
      </c>
      <c r="B187" s="53"/>
      <c r="C187" s="30">
        <f>B186</f>
        <v>0</v>
      </c>
      <c r="D187" s="14">
        <f>IF(B187=0,0,IF(B187&lt;=E$192,0,B187-E$192)/B187)</f>
        <v>0</v>
      </c>
      <c r="E187" s="14"/>
      <c r="F187" s="38"/>
      <c r="G187" s="38"/>
    </row>
    <row r="188" spans="1:7">
      <c r="A188" s="29" t="s">
        <v>53</v>
      </c>
      <c r="B188" s="29" t="s">
        <v>145</v>
      </c>
      <c r="C188" s="30">
        <f t="shared" si="3"/>
        <v>0</v>
      </c>
      <c r="D188" s="58"/>
      <c r="E188" s="11"/>
      <c r="F188" s="39"/>
      <c r="G188" s="39"/>
    </row>
    <row r="189" spans="1:7" ht="15.75" thickBot="1">
      <c r="A189" s="29"/>
      <c r="B189" s="29"/>
      <c r="C189" s="4"/>
      <c r="D189" s="58"/>
      <c r="E189" s="32"/>
      <c r="F189" s="40"/>
      <c r="G189" s="40"/>
    </row>
    <row r="190" spans="1:7" ht="60.75" thickBot="1">
      <c r="A190" s="33" t="s">
        <v>55</v>
      </c>
      <c r="B190" s="29">
        <v>0.9</v>
      </c>
      <c r="C190" s="4"/>
      <c r="D190" s="58"/>
      <c r="F190" s="41"/>
      <c r="G190" s="42"/>
    </row>
    <row r="191" spans="1:7" ht="60.75" thickBot="1">
      <c r="A191" s="33" t="s">
        <v>56</v>
      </c>
      <c r="B191" s="29">
        <v>0.44</v>
      </c>
      <c r="C191" s="4"/>
      <c r="D191" s="11"/>
      <c r="E191" s="34"/>
      <c r="F191" s="39"/>
      <c r="G191" s="39"/>
    </row>
    <row r="192" spans="1:7" ht="97.5" thickBot="1">
      <c r="A192" s="35" t="s">
        <v>57</v>
      </c>
      <c r="B192" s="29">
        <v>0.5</v>
      </c>
      <c r="C192" s="4"/>
      <c r="D192" s="11"/>
      <c r="E192" s="11">
        <f>0.6*E191</f>
        <v>0</v>
      </c>
      <c r="F192" s="39">
        <f>0.6*F190</f>
        <v>0</v>
      </c>
      <c r="G192" s="39"/>
    </row>
    <row r="195" spans="1:7">
      <c r="A195" s="16" t="s">
        <v>64</v>
      </c>
      <c r="B195" s="17" t="e">
        <f>AVERAGE(B143:B182)</f>
        <v>#DIV/0!</v>
      </c>
      <c r="C195" s="17"/>
    </row>
    <row r="196" spans="1:7">
      <c r="A196" s="16" t="s">
        <v>65</v>
      </c>
      <c r="B196" s="18" t="e">
        <f>AVERAGE(B148:B177)</f>
        <v>#DIV/0!</v>
      </c>
      <c r="C196" s="18"/>
    </row>
    <row r="197" spans="1:7">
      <c r="A197" s="16" t="s">
        <v>66</v>
      </c>
      <c r="B197" s="18" t="e">
        <f>AVERAGE(B154:B172)</f>
        <v>#DIV/0!</v>
      </c>
      <c r="C197" s="18"/>
    </row>
    <row r="200" spans="1:7" ht="15" customHeight="1">
      <c r="A200" s="473" t="s">
        <v>0</v>
      </c>
      <c r="B200" s="473" t="s">
        <v>3</v>
      </c>
      <c r="C200" s="473"/>
      <c r="D200" s="473"/>
      <c r="E200" s="40">
        <f>(1-E255)^(1/3)-1</f>
        <v>-2.8653345380911466E-2</v>
      </c>
      <c r="F200" s="40">
        <f>(1-F255)^(1/3)-1</f>
        <v>-3.5869212465289957E-2</v>
      </c>
      <c r="G200" s="40"/>
    </row>
    <row r="201" spans="1:7" ht="72">
      <c r="A201" s="473"/>
      <c r="B201" s="11" t="s">
        <v>4</v>
      </c>
      <c r="C201" s="11"/>
      <c r="D201" s="11" t="s">
        <v>80</v>
      </c>
      <c r="E201" s="11" t="s">
        <v>5</v>
      </c>
      <c r="F201" s="39" t="s">
        <v>5</v>
      </c>
      <c r="G201" s="39"/>
    </row>
    <row r="202" spans="1:7" ht="24">
      <c r="A202" s="473"/>
      <c r="B202" s="11" t="s">
        <v>9</v>
      </c>
      <c r="C202" s="11"/>
      <c r="D202" s="11" t="s">
        <v>7</v>
      </c>
      <c r="E202" s="55" t="s">
        <v>65</v>
      </c>
      <c r="F202" s="39"/>
      <c r="G202" s="56"/>
    </row>
    <row r="203" spans="1:7">
      <c r="A203" s="50">
        <v>1</v>
      </c>
      <c r="B203" s="51">
        <v>2</v>
      </c>
      <c r="C203" s="51"/>
      <c r="D203" s="51">
        <v>3</v>
      </c>
      <c r="E203" s="51">
        <v>4</v>
      </c>
      <c r="F203" s="52">
        <v>5</v>
      </c>
      <c r="G203" s="52"/>
    </row>
    <row r="204" spans="1:7">
      <c r="A204" s="27" t="s">
        <v>10</v>
      </c>
      <c r="B204" s="57">
        <v>1E-3</v>
      </c>
      <c r="C204" s="163">
        <v>0</v>
      </c>
      <c r="D204" s="14">
        <v>0</v>
      </c>
      <c r="E204" s="14">
        <v>0</v>
      </c>
      <c r="F204" s="38">
        <v>0</v>
      </c>
      <c r="G204" s="38">
        <v>0</v>
      </c>
    </row>
    <row r="205" spans="1:7">
      <c r="A205" s="27" t="s">
        <v>58</v>
      </c>
      <c r="B205" s="57">
        <v>1E-3</v>
      </c>
      <c r="C205" s="30">
        <f>B204</f>
        <v>1E-3</v>
      </c>
      <c r="D205" s="14">
        <v>0</v>
      </c>
      <c r="E205" s="14">
        <v>0</v>
      </c>
      <c r="F205" s="38">
        <v>0</v>
      </c>
      <c r="G205" s="38">
        <v>0</v>
      </c>
    </row>
    <row r="206" spans="1:7">
      <c r="A206" s="27" t="s">
        <v>59</v>
      </c>
      <c r="B206" s="57">
        <v>1E-3</v>
      </c>
      <c r="C206" s="30">
        <f t="shared" ref="C206:C254" si="4">B205</f>
        <v>1E-3</v>
      </c>
      <c r="D206" s="14">
        <v>0</v>
      </c>
      <c r="E206" s="14">
        <v>0</v>
      </c>
      <c r="F206" s="38">
        <v>0</v>
      </c>
      <c r="G206" s="38">
        <v>0</v>
      </c>
    </row>
    <row r="207" spans="1:7">
      <c r="A207" s="27" t="s">
        <v>60</v>
      </c>
      <c r="B207" s="57">
        <v>1E-3</v>
      </c>
      <c r="C207" s="30">
        <f t="shared" si="4"/>
        <v>1E-3</v>
      </c>
      <c r="D207" s="14">
        <v>0</v>
      </c>
      <c r="E207" s="14">
        <v>0</v>
      </c>
      <c r="F207" s="38">
        <v>0</v>
      </c>
      <c r="G207" s="38">
        <v>0</v>
      </c>
    </row>
    <row r="208" spans="1:7">
      <c r="A208" s="27" t="s">
        <v>61</v>
      </c>
      <c r="B208" s="57">
        <v>2E-3</v>
      </c>
      <c r="C208" s="30">
        <f t="shared" si="4"/>
        <v>1E-3</v>
      </c>
      <c r="D208" s="14">
        <v>0</v>
      </c>
      <c r="E208" s="14">
        <v>0</v>
      </c>
      <c r="F208" s="38">
        <v>0</v>
      </c>
      <c r="G208" s="38">
        <v>0</v>
      </c>
    </row>
    <row r="209" spans="1:7">
      <c r="A209" s="27" t="s">
        <v>62</v>
      </c>
      <c r="B209" s="57">
        <v>2E-3</v>
      </c>
      <c r="C209" s="30">
        <f t="shared" si="4"/>
        <v>2E-3</v>
      </c>
      <c r="D209" s="14">
        <v>0</v>
      </c>
      <c r="E209" s="14">
        <v>0</v>
      </c>
      <c r="F209" s="38">
        <v>0</v>
      </c>
      <c r="G209" s="38">
        <v>0</v>
      </c>
    </row>
    <row r="210" spans="1:7">
      <c r="A210" s="27" t="s">
        <v>63</v>
      </c>
      <c r="B210" s="57">
        <v>2E-3</v>
      </c>
      <c r="C210" s="30">
        <f t="shared" si="4"/>
        <v>2E-3</v>
      </c>
      <c r="D210" s="14">
        <v>0</v>
      </c>
      <c r="E210" s="14">
        <v>0</v>
      </c>
      <c r="F210" s="38">
        <v>0</v>
      </c>
      <c r="G210" s="38">
        <v>0</v>
      </c>
    </row>
    <row r="211" spans="1:7">
      <c r="A211" s="29" t="s">
        <v>11</v>
      </c>
      <c r="B211" s="57">
        <v>3.0000000000000001E-3</v>
      </c>
      <c r="C211" s="30">
        <f t="shared" si="4"/>
        <v>2E-3</v>
      </c>
      <c r="D211" s="14">
        <v>0</v>
      </c>
      <c r="E211" s="14">
        <v>0</v>
      </c>
      <c r="F211" s="38">
        <v>0</v>
      </c>
      <c r="G211" s="38">
        <v>0</v>
      </c>
    </row>
    <row r="212" spans="1:7">
      <c r="A212" s="29" t="s">
        <v>12</v>
      </c>
      <c r="B212" s="57">
        <v>3.0000000000000001E-3</v>
      </c>
      <c r="C212" s="30">
        <f t="shared" si="4"/>
        <v>3.0000000000000001E-3</v>
      </c>
      <c r="D212" s="14">
        <v>0</v>
      </c>
      <c r="E212" s="14">
        <v>0</v>
      </c>
      <c r="F212" s="38">
        <v>0</v>
      </c>
      <c r="G212" s="38">
        <v>0</v>
      </c>
    </row>
    <row r="213" spans="1:7">
      <c r="A213" s="29" t="s">
        <v>13</v>
      </c>
      <c r="B213" s="57">
        <v>4.0000000000000001E-3</v>
      </c>
      <c r="C213" s="30">
        <f t="shared" si="4"/>
        <v>3.0000000000000001E-3</v>
      </c>
      <c r="D213" s="14">
        <v>0</v>
      </c>
      <c r="E213" s="14">
        <v>0</v>
      </c>
      <c r="F213" s="38">
        <v>0</v>
      </c>
      <c r="G213" s="38">
        <v>0</v>
      </c>
    </row>
    <row r="214" spans="1:7">
      <c r="A214" s="29" t="s">
        <v>14</v>
      </c>
      <c r="B214" s="57">
        <v>4.0000000000000001E-3</v>
      </c>
      <c r="C214" s="30">
        <f t="shared" si="4"/>
        <v>4.0000000000000001E-3</v>
      </c>
      <c r="D214" s="14">
        <v>0</v>
      </c>
      <c r="E214" s="14">
        <v>0</v>
      </c>
      <c r="F214" s="38">
        <v>0</v>
      </c>
      <c r="G214" s="38">
        <v>0</v>
      </c>
    </row>
    <row r="215" spans="1:7">
      <c r="A215" s="29" t="s">
        <v>15</v>
      </c>
      <c r="B215" s="57">
        <v>4.0000000000000001E-3</v>
      </c>
      <c r="C215" s="30">
        <f t="shared" si="4"/>
        <v>4.0000000000000001E-3</v>
      </c>
      <c r="D215" s="14">
        <v>0</v>
      </c>
      <c r="E215" s="14">
        <v>0</v>
      </c>
      <c r="F215" s="38">
        <v>0</v>
      </c>
      <c r="G215" s="38">
        <v>0</v>
      </c>
    </row>
    <row r="216" spans="1:7">
      <c r="A216" s="29" t="s">
        <v>16</v>
      </c>
      <c r="B216" s="57">
        <v>5.0000000000000001E-3</v>
      </c>
      <c r="C216" s="30">
        <f t="shared" si="4"/>
        <v>4.0000000000000001E-3</v>
      </c>
      <c r="D216" s="14">
        <v>0</v>
      </c>
      <c r="E216" s="14">
        <v>0</v>
      </c>
      <c r="F216" s="38">
        <v>0</v>
      </c>
      <c r="G216" s="38">
        <v>0</v>
      </c>
    </row>
    <row r="217" spans="1:7">
      <c r="A217" s="29" t="s">
        <v>17</v>
      </c>
      <c r="B217" s="57">
        <v>5.0000000000000001E-3</v>
      </c>
      <c r="C217" s="30">
        <f t="shared" si="4"/>
        <v>5.0000000000000001E-3</v>
      </c>
      <c r="D217" s="14">
        <v>0</v>
      </c>
      <c r="E217" s="14">
        <v>0</v>
      </c>
      <c r="F217" s="38">
        <v>0</v>
      </c>
      <c r="G217" s="38">
        <v>0</v>
      </c>
    </row>
    <row r="218" spans="1:7">
      <c r="A218" s="29" t="s">
        <v>18</v>
      </c>
      <c r="B218" s="57">
        <v>5.0000000000000001E-3</v>
      </c>
      <c r="C218" s="30">
        <f t="shared" si="4"/>
        <v>5.0000000000000001E-3</v>
      </c>
      <c r="D218" s="14">
        <v>0</v>
      </c>
      <c r="E218" s="14">
        <v>0</v>
      </c>
      <c r="F218" s="38">
        <v>0</v>
      </c>
      <c r="G218" s="38">
        <v>0</v>
      </c>
    </row>
    <row r="219" spans="1:7">
      <c r="A219" s="29" t="s">
        <v>19</v>
      </c>
      <c r="B219" s="57">
        <v>5.0000000000000001E-3</v>
      </c>
      <c r="C219" s="30">
        <f t="shared" si="4"/>
        <v>5.0000000000000001E-3</v>
      </c>
      <c r="D219" s="14">
        <v>0</v>
      </c>
      <c r="E219" s="14">
        <v>0</v>
      </c>
      <c r="F219" s="38">
        <v>0</v>
      </c>
      <c r="G219" s="38">
        <v>0</v>
      </c>
    </row>
    <row r="220" spans="1:7">
      <c r="A220" s="29" t="s">
        <v>20</v>
      </c>
      <c r="B220" s="57">
        <v>6.0000000000000001E-3</v>
      </c>
      <c r="C220" s="30">
        <f t="shared" si="4"/>
        <v>5.0000000000000001E-3</v>
      </c>
      <c r="D220" s="14">
        <v>0</v>
      </c>
      <c r="E220" s="14">
        <v>0</v>
      </c>
      <c r="F220" s="38">
        <v>0</v>
      </c>
      <c r="G220" s="38">
        <v>0</v>
      </c>
    </row>
    <row r="221" spans="1:7">
      <c r="A221" s="29" t="s">
        <v>21</v>
      </c>
      <c r="B221" s="57">
        <v>6.0000000000000001E-3</v>
      </c>
      <c r="C221" s="30">
        <f t="shared" si="4"/>
        <v>6.0000000000000001E-3</v>
      </c>
      <c r="D221" s="14">
        <v>0</v>
      </c>
      <c r="E221" s="14">
        <v>0</v>
      </c>
      <c r="F221" s="38">
        <v>0</v>
      </c>
      <c r="G221" s="38">
        <v>0</v>
      </c>
    </row>
    <row r="222" spans="1:7">
      <c r="A222" s="29" t="s">
        <v>22</v>
      </c>
      <c r="B222" s="57">
        <v>6.0000000000000001E-3</v>
      </c>
      <c r="C222" s="30">
        <f t="shared" si="4"/>
        <v>6.0000000000000001E-3</v>
      </c>
      <c r="D222" s="14">
        <v>0</v>
      </c>
      <c r="E222" s="14">
        <v>0</v>
      </c>
      <c r="F222" s="38">
        <v>0</v>
      </c>
      <c r="G222" s="38">
        <v>0</v>
      </c>
    </row>
    <row r="223" spans="1:7">
      <c r="A223" s="29" t="s">
        <v>23</v>
      </c>
      <c r="B223" s="57">
        <v>7.0000000000000001E-3</v>
      </c>
      <c r="C223" s="30">
        <f t="shared" si="4"/>
        <v>6.0000000000000001E-3</v>
      </c>
      <c r="D223" s="14">
        <v>0</v>
      </c>
      <c r="E223" s="14">
        <v>0</v>
      </c>
      <c r="F223" s="38">
        <v>0</v>
      </c>
      <c r="G223" s="38">
        <v>0</v>
      </c>
    </row>
    <row r="224" spans="1:7">
      <c r="A224" s="29" t="s">
        <v>24</v>
      </c>
      <c r="B224" s="57">
        <v>8.0000000000000002E-3</v>
      </c>
      <c r="C224" s="30">
        <f t="shared" si="4"/>
        <v>7.0000000000000001E-3</v>
      </c>
      <c r="D224" s="14">
        <v>0</v>
      </c>
      <c r="E224" s="14">
        <v>0</v>
      </c>
      <c r="F224" s="38">
        <v>0</v>
      </c>
      <c r="G224" s="38">
        <v>0</v>
      </c>
    </row>
    <row r="225" spans="1:7">
      <c r="A225" s="29" t="s">
        <v>25</v>
      </c>
      <c r="B225" s="57">
        <v>8.0000000000000002E-3</v>
      </c>
      <c r="C225" s="30">
        <f t="shared" si="4"/>
        <v>8.0000000000000002E-3</v>
      </c>
      <c r="D225" s="14">
        <v>0</v>
      </c>
      <c r="E225" s="14">
        <v>0</v>
      </c>
      <c r="F225" s="38">
        <v>0</v>
      </c>
      <c r="G225" s="38">
        <v>0</v>
      </c>
    </row>
    <row r="226" spans="1:7">
      <c r="A226" s="29" t="s">
        <v>26</v>
      </c>
      <c r="B226" s="57">
        <v>8.9999999999999993E-3</v>
      </c>
      <c r="C226" s="30">
        <f t="shared" si="4"/>
        <v>8.0000000000000002E-3</v>
      </c>
      <c r="D226" s="14">
        <v>0</v>
      </c>
      <c r="E226" s="14">
        <v>0</v>
      </c>
      <c r="F226" s="38">
        <v>0</v>
      </c>
      <c r="G226" s="38">
        <v>0</v>
      </c>
    </row>
    <row r="227" spans="1:7">
      <c r="A227" s="29" t="s">
        <v>27</v>
      </c>
      <c r="B227" s="169">
        <v>0.01</v>
      </c>
      <c r="C227" s="30">
        <f t="shared" si="4"/>
        <v>8.9999999999999993E-3</v>
      </c>
      <c r="D227" s="14">
        <v>0</v>
      </c>
      <c r="E227" s="14">
        <v>0</v>
      </c>
      <c r="F227" s="38">
        <v>0</v>
      </c>
      <c r="G227" s="38">
        <v>0</v>
      </c>
    </row>
    <row r="228" spans="1:7">
      <c r="A228" s="29" t="s">
        <v>28</v>
      </c>
      <c r="B228" s="57">
        <v>1.0999999999999999E-2</v>
      </c>
      <c r="C228" s="30">
        <f t="shared" si="4"/>
        <v>0.01</v>
      </c>
      <c r="D228" s="14">
        <v>0</v>
      </c>
      <c r="E228" s="14">
        <v>0</v>
      </c>
      <c r="F228" s="38">
        <v>0</v>
      </c>
      <c r="G228" s="38">
        <v>0</v>
      </c>
    </row>
    <row r="229" spans="1:7">
      <c r="A229" s="29" t="s">
        <v>29</v>
      </c>
      <c r="B229" s="57">
        <v>1.2E-2</v>
      </c>
      <c r="C229" s="30">
        <f t="shared" si="4"/>
        <v>1.0999999999999999E-2</v>
      </c>
      <c r="D229" s="14">
        <v>0</v>
      </c>
      <c r="E229" s="14">
        <v>0</v>
      </c>
      <c r="F229" s="38">
        <v>0</v>
      </c>
      <c r="G229" s="38">
        <v>0</v>
      </c>
    </row>
    <row r="230" spans="1:7">
      <c r="A230" s="29" t="s">
        <v>30</v>
      </c>
      <c r="B230" s="57">
        <v>1.2E-2</v>
      </c>
      <c r="C230" s="30">
        <f t="shared" si="4"/>
        <v>1.2E-2</v>
      </c>
      <c r="D230" s="14">
        <v>0</v>
      </c>
      <c r="E230" s="14">
        <v>0</v>
      </c>
      <c r="F230" s="38">
        <v>0</v>
      </c>
      <c r="G230" s="38">
        <v>0</v>
      </c>
    </row>
    <row r="231" spans="1:7">
      <c r="A231" s="29" t="s">
        <v>31</v>
      </c>
      <c r="B231" s="57">
        <v>1.4E-2</v>
      </c>
      <c r="C231" s="30">
        <f t="shared" si="4"/>
        <v>1.2E-2</v>
      </c>
      <c r="D231" s="14">
        <v>0</v>
      </c>
      <c r="E231" s="14">
        <v>0</v>
      </c>
      <c r="F231" s="38">
        <v>0</v>
      </c>
      <c r="G231" s="38">
        <v>0</v>
      </c>
    </row>
    <row r="232" spans="1:7">
      <c r="A232" s="29" t="s">
        <v>32</v>
      </c>
      <c r="B232" s="57">
        <v>1.4999999999999999E-2</v>
      </c>
      <c r="C232" s="30">
        <f t="shared" si="4"/>
        <v>1.4E-2</v>
      </c>
      <c r="D232" s="14">
        <v>0</v>
      </c>
      <c r="E232" s="14">
        <v>0</v>
      </c>
      <c r="F232" s="38">
        <v>0</v>
      </c>
      <c r="G232" s="38">
        <v>0</v>
      </c>
    </row>
    <row r="233" spans="1:7">
      <c r="A233" s="29" t="s">
        <v>33</v>
      </c>
      <c r="B233" s="57">
        <v>1.6E-2</v>
      </c>
      <c r="C233" s="30">
        <f t="shared" si="4"/>
        <v>1.4999999999999999E-2</v>
      </c>
      <c r="D233" s="14">
        <v>0</v>
      </c>
      <c r="E233" s="14">
        <v>0</v>
      </c>
      <c r="F233" s="38">
        <v>0</v>
      </c>
      <c r="G233" s="38">
        <v>0</v>
      </c>
    </row>
    <row r="234" spans="1:7">
      <c r="A234" s="29" t="s">
        <v>34</v>
      </c>
      <c r="B234" s="57">
        <v>1.9E-2</v>
      </c>
      <c r="C234" s="30">
        <f t="shared" si="4"/>
        <v>1.6E-2</v>
      </c>
      <c r="D234" s="14">
        <v>0</v>
      </c>
      <c r="E234" s="14">
        <v>0</v>
      </c>
      <c r="F234" s="38">
        <v>0</v>
      </c>
      <c r="G234" s="38">
        <v>0</v>
      </c>
    </row>
    <row r="235" spans="1:7">
      <c r="A235" s="29" t="s">
        <v>35</v>
      </c>
      <c r="B235" s="57">
        <v>2.1000000000000001E-2</v>
      </c>
      <c r="C235" s="30">
        <f t="shared" si="4"/>
        <v>1.9E-2</v>
      </c>
      <c r="D235" s="14">
        <v>0</v>
      </c>
      <c r="E235" s="14">
        <v>0</v>
      </c>
      <c r="F235" s="38">
        <v>0</v>
      </c>
      <c r="G235" s="38">
        <v>0</v>
      </c>
    </row>
    <row r="236" spans="1:7">
      <c r="A236" s="29" t="s">
        <v>36</v>
      </c>
      <c r="B236" s="57">
        <v>2.5000000000000001E-2</v>
      </c>
      <c r="C236" s="30">
        <f t="shared" si="4"/>
        <v>2.1000000000000001E-2</v>
      </c>
      <c r="D236" s="14">
        <v>0</v>
      </c>
      <c r="E236" s="14">
        <v>0</v>
      </c>
      <c r="F236" s="38">
        <v>0</v>
      </c>
      <c r="G236" s="38">
        <v>0</v>
      </c>
    </row>
    <row r="237" spans="1:7">
      <c r="A237" s="29" t="s">
        <v>37</v>
      </c>
      <c r="B237" s="57">
        <v>3.2000000000000001E-2</v>
      </c>
      <c r="C237" s="30">
        <f t="shared" si="4"/>
        <v>2.5000000000000001E-2</v>
      </c>
      <c r="D237" s="14">
        <v>0</v>
      </c>
      <c r="E237" s="14">
        <v>0</v>
      </c>
      <c r="F237" s="38">
        <v>0</v>
      </c>
      <c r="G237" s="38">
        <v>0</v>
      </c>
    </row>
    <row r="238" spans="1:7">
      <c r="A238" s="29" t="s">
        <v>38</v>
      </c>
      <c r="B238" s="57">
        <v>0.05</v>
      </c>
      <c r="C238" s="30">
        <f t="shared" si="4"/>
        <v>3.2000000000000001E-2</v>
      </c>
      <c r="D238" s="14">
        <v>0</v>
      </c>
      <c r="E238" s="14">
        <v>0</v>
      </c>
      <c r="F238" s="38">
        <v>5.8000000000000135E-3</v>
      </c>
      <c r="G238" s="38">
        <v>0</v>
      </c>
    </row>
    <row r="239" spans="1:7">
      <c r="A239" s="29" t="s">
        <v>39</v>
      </c>
      <c r="B239" s="57">
        <v>7.0000000000000007E-2</v>
      </c>
      <c r="C239" s="30">
        <f t="shared" si="4"/>
        <v>0.05</v>
      </c>
      <c r="D239" s="14">
        <v>0</v>
      </c>
      <c r="E239" s="14"/>
      <c r="F239" s="38"/>
      <c r="G239" s="38"/>
    </row>
    <row r="240" spans="1:7">
      <c r="A240" s="29" t="s">
        <v>40</v>
      </c>
      <c r="B240" s="57">
        <v>0.18</v>
      </c>
      <c r="C240" s="30">
        <f t="shared" si="4"/>
        <v>7.0000000000000007E-2</v>
      </c>
      <c r="D240" s="14">
        <v>7.5083333333333183E-2</v>
      </c>
      <c r="E240" s="14"/>
      <c r="F240" s="38"/>
      <c r="G240" s="38"/>
    </row>
    <row r="241" spans="1:7">
      <c r="A241" s="29" t="s">
        <v>41</v>
      </c>
      <c r="B241" s="57">
        <v>0.28999999999999998</v>
      </c>
      <c r="C241" s="30">
        <f t="shared" si="4"/>
        <v>0.18</v>
      </c>
      <c r="D241" s="14">
        <v>0.42591379310344818</v>
      </c>
      <c r="E241" s="14">
        <v>5.5548275862068917E-2</v>
      </c>
      <c r="F241" s="38">
        <v>0.30255172413793108</v>
      </c>
      <c r="G241" s="38">
        <v>0</v>
      </c>
    </row>
    <row r="242" spans="1:7">
      <c r="A242" s="29" t="s">
        <v>42</v>
      </c>
      <c r="B242" s="57">
        <v>0.56999999999999995</v>
      </c>
      <c r="C242" s="30">
        <f t="shared" si="4"/>
        <v>0.28999999999999998</v>
      </c>
      <c r="D242" s="14">
        <v>0.7079210526315789</v>
      </c>
      <c r="E242" s="14">
        <v>0.22475263157894734</v>
      </c>
      <c r="F242" s="38">
        <v>0.35042105263157897</v>
      </c>
      <c r="G242" s="38">
        <v>0</v>
      </c>
    </row>
    <row r="243" spans="1:7">
      <c r="A243" s="29" t="s">
        <v>43</v>
      </c>
      <c r="B243" s="57">
        <v>0.93</v>
      </c>
      <c r="C243" s="30">
        <f t="shared" si="4"/>
        <v>0.56999999999999995</v>
      </c>
      <c r="D243" s="14">
        <v>0.82098387096774195</v>
      </c>
      <c r="E243" s="14">
        <v>0.29259032258064521</v>
      </c>
      <c r="F243" s="38">
        <v>0.36961290322580642</v>
      </c>
      <c r="G243" s="38">
        <v>0</v>
      </c>
    </row>
    <row r="244" spans="1:7">
      <c r="A244" s="29" t="s">
        <v>44</v>
      </c>
      <c r="B244" s="57">
        <v>1.1200000000000001</v>
      </c>
      <c r="C244" s="30">
        <f t="shared" si="4"/>
        <v>0.93</v>
      </c>
      <c r="D244" s="14">
        <v>0.8513526785714286</v>
      </c>
      <c r="E244" s="14">
        <v>0.31081160714285716</v>
      </c>
      <c r="F244" s="38">
        <v>0.37476785714285715</v>
      </c>
      <c r="G244" s="38">
        <v>0</v>
      </c>
    </row>
    <row r="245" spans="1:7">
      <c r="A245" s="29" t="s">
        <v>45</v>
      </c>
      <c r="B245" s="57">
        <v>1.34</v>
      </c>
      <c r="C245" s="30">
        <f t="shared" si="4"/>
        <v>1.1200000000000001</v>
      </c>
      <c r="D245" s="14">
        <v>0.87575746268656718</v>
      </c>
      <c r="E245" s="14">
        <v>0.3254544776119403</v>
      </c>
      <c r="F245" s="38">
        <v>0.37891044776119409</v>
      </c>
      <c r="G245" s="38">
        <v>1.044776119402986E-2</v>
      </c>
    </row>
    <row r="246" spans="1:7">
      <c r="A246" s="29" t="s">
        <v>46</v>
      </c>
      <c r="B246" s="57">
        <v>1.74</v>
      </c>
      <c r="C246" s="30">
        <f t="shared" si="4"/>
        <v>1.34</v>
      </c>
      <c r="D246" s="14">
        <v>0.90431896551724134</v>
      </c>
      <c r="E246" s="14">
        <v>0.34259137931034478</v>
      </c>
      <c r="F246" s="38">
        <v>0.38375862068965522</v>
      </c>
      <c r="G246" s="38">
        <v>3.1034482758620693E-2</v>
      </c>
    </row>
    <row r="247" spans="1:7">
      <c r="A247" s="29" t="s">
        <v>47</v>
      </c>
      <c r="B247" s="57">
        <v>2.09</v>
      </c>
      <c r="C247" s="30">
        <f t="shared" si="4"/>
        <v>1.74</v>
      </c>
      <c r="D247" s="14">
        <v>0.92034210526315785</v>
      </c>
      <c r="E247" s="14">
        <v>0.35220526315789474</v>
      </c>
      <c r="F247" s="38">
        <v>0.38647846889952159</v>
      </c>
      <c r="G247" s="38">
        <v>5.5502392344497595E-2</v>
      </c>
    </row>
    <row r="248" spans="1:7">
      <c r="A248" s="29" t="s">
        <v>48</v>
      </c>
      <c r="B248" s="57">
        <v>2.44</v>
      </c>
      <c r="C248" s="30">
        <f t="shared" si="4"/>
        <v>2.09</v>
      </c>
      <c r="D248" s="14">
        <v>0.93176844262295078</v>
      </c>
      <c r="E248" s="14">
        <v>0.35906106557377049</v>
      </c>
      <c r="F248" s="38">
        <v>0.38841803278688525</v>
      </c>
      <c r="G248" s="38">
        <v>0.10491803278688525</v>
      </c>
    </row>
    <row r="249" spans="1:7">
      <c r="A249" s="29" t="s">
        <v>49</v>
      </c>
      <c r="B249" s="57">
        <v>2.92</v>
      </c>
      <c r="C249" s="30">
        <f t="shared" si="4"/>
        <v>2.44</v>
      </c>
      <c r="D249" s="14">
        <v>0.94298458904109583</v>
      </c>
      <c r="E249" s="14">
        <v>0.36579075342465756</v>
      </c>
      <c r="F249" s="38">
        <v>0.39032191780821918</v>
      </c>
      <c r="G249" s="38">
        <v>0.15342465753424658</v>
      </c>
    </row>
    <row r="250" spans="1:7">
      <c r="A250" s="29" t="s">
        <v>50</v>
      </c>
      <c r="B250" s="195">
        <v>3.9</v>
      </c>
      <c r="C250" s="30">
        <f t="shared" si="4"/>
        <v>2.92</v>
      </c>
      <c r="D250" s="14">
        <v>0.95731153846153838</v>
      </c>
      <c r="E250" s="14">
        <v>0.37438692307692312</v>
      </c>
      <c r="F250" s="38">
        <v>0.39275384615384612</v>
      </c>
      <c r="G250" s="38">
        <v>0.2153846153846154</v>
      </c>
    </row>
    <row r="251" spans="1:7">
      <c r="A251" s="29" t="s">
        <v>51</v>
      </c>
      <c r="B251" s="57">
        <v>5.62</v>
      </c>
      <c r="C251" s="30">
        <f t="shared" si="4"/>
        <v>3.9</v>
      </c>
      <c r="D251" s="14">
        <v>0.97037633451957295</v>
      </c>
      <c r="E251" s="14">
        <v>0.38222580071174383</v>
      </c>
      <c r="F251" s="38">
        <v>0.39497153024911036</v>
      </c>
      <c r="G251" s="38">
        <v>0.27188612099644133</v>
      </c>
    </row>
    <row r="252" spans="1:7">
      <c r="A252" s="29" t="s">
        <v>52</v>
      </c>
      <c r="B252" s="57">
        <v>9.84</v>
      </c>
      <c r="C252" s="30">
        <f t="shared" si="4"/>
        <v>5.62</v>
      </c>
      <c r="D252" s="14">
        <v>0.98308079268292681</v>
      </c>
      <c r="E252" s="14">
        <v>0.38984847560975611</v>
      </c>
      <c r="F252" s="38">
        <v>0.39712804878048785</v>
      </c>
      <c r="G252" s="38">
        <v>0.32682926829268294</v>
      </c>
    </row>
    <row r="253" spans="1:7">
      <c r="A253" s="29" t="s">
        <v>53</v>
      </c>
      <c r="B253" s="224">
        <v>14.8</v>
      </c>
      <c r="C253" s="30">
        <f>B252</f>
        <v>9.84</v>
      </c>
      <c r="D253" s="14">
        <v>0.98875101351351358</v>
      </c>
      <c r="E253" s="14">
        <v>0.39325060810810814</v>
      </c>
      <c r="F253" s="38">
        <v>0.39809054054054055</v>
      </c>
      <c r="G253" s="38">
        <v>0.35135135135135143</v>
      </c>
    </row>
    <row r="254" spans="1:7">
      <c r="A254" s="29" t="s">
        <v>53</v>
      </c>
      <c r="B254" s="29" t="s">
        <v>149</v>
      </c>
      <c r="C254" s="30">
        <f t="shared" si="4"/>
        <v>14.8</v>
      </c>
      <c r="D254" s="58"/>
      <c r="E254" s="11"/>
      <c r="F254" s="39"/>
      <c r="G254" s="39"/>
    </row>
    <row r="255" spans="1:7">
      <c r="A255" s="29"/>
      <c r="B255" s="29"/>
      <c r="C255" s="29"/>
      <c r="D255" s="58"/>
      <c r="E255" s="32">
        <v>8.3520518341659813E-2</v>
      </c>
      <c r="F255" s="40">
        <v>0.10379398553043838</v>
      </c>
      <c r="G255" s="40">
        <v>3.0415573652867421E-2</v>
      </c>
    </row>
    <row r="256" spans="1:7" ht="60">
      <c r="A256" s="33" t="s">
        <v>55</v>
      </c>
      <c r="B256" s="29">
        <v>2</v>
      </c>
      <c r="C256" s="29"/>
      <c r="D256" s="58"/>
      <c r="F256" s="41">
        <v>7.85E-2</v>
      </c>
      <c r="G256" s="42">
        <v>2</v>
      </c>
    </row>
    <row r="257" spans="1:7" ht="60">
      <c r="A257" s="33" t="s">
        <v>56</v>
      </c>
      <c r="B257" s="29">
        <v>0.9</v>
      </c>
      <c r="C257" s="29"/>
      <c r="D257" s="11"/>
      <c r="E257" s="222">
        <v>0.27747500000000003</v>
      </c>
      <c r="F257" s="39"/>
      <c r="G257" s="39"/>
    </row>
    <row r="258" spans="1:7" ht="96.75">
      <c r="A258" s="35" t="s">
        <v>57</v>
      </c>
      <c r="B258" s="29">
        <v>1.2</v>
      </c>
      <c r="C258" s="29"/>
      <c r="D258" s="11"/>
      <c r="E258" s="222">
        <v>0.16648500000000002</v>
      </c>
      <c r="F258" s="39">
        <v>4.7099999999999996E-2</v>
      </c>
      <c r="G258" s="39">
        <v>1.2</v>
      </c>
    </row>
    <row r="261" spans="1:7">
      <c r="A261" s="16" t="s">
        <v>64</v>
      </c>
      <c r="B261" s="17">
        <f>AVERAGE(B209:B248)</f>
        <v>0.27747500000000003</v>
      </c>
      <c r="C261" s="17"/>
    </row>
    <row r="262" spans="1:7">
      <c r="A262" s="16" t="s">
        <v>65</v>
      </c>
      <c r="B262" s="18">
        <f>AVERAGE(B214:B243)</f>
        <v>7.85E-2</v>
      </c>
      <c r="C262" s="18"/>
    </row>
    <row r="263" spans="1:7">
      <c r="A263" s="16" t="s">
        <v>66</v>
      </c>
      <c r="B263" s="18">
        <f>AVERAGE(B220:B238)</f>
        <v>1.5105263157894736E-2</v>
      </c>
      <c r="C263" s="18"/>
    </row>
    <row r="266" spans="1:7" ht="15" customHeight="1">
      <c r="A266" s="473" t="s">
        <v>0</v>
      </c>
      <c r="B266" s="530" t="s">
        <v>67</v>
      </c>
      <c r="C266" s="530"/>
      <c r="D266" s="530"/>
      <c r="E266" s="40">
        <f>(1-E321)^(1/3)-1</f>
        <v>0</v>
      </c>
      <c r="F266" s="40">
        <f>(1-F321)^(1/3)-1</f>
        <v>0</v>
      </c>
      <c r="G266" s="40"/>
    </row>
    <row r="267" spans="1:7" ht="72.75" thickBot="1">
      <c r="A267" s="473"/>
      <c r="B267" s="11" t="s">
        <v>4</v>
      </c>
      <c r="C267" s="65"/>
      <c r="D267" s="11" t="s">
        <v>80</v>
      </c>
      <c r="E267" s="11" t="s">
        <v>5</v>
      </c>
      <c r="F267" s="39" t="s">
        <v>5</v>
      </c>
      <c r="G267" s="39"/>
    </row>
    <row r="268" spans="1:7" ht="24.75">
      <c r="A268" s="473"/>
      <c r="B268" s="29" t="s">
        <v>68</v>
      </c>
      <c r="D268" s="184" t="s">
        <v>7</v>
      </c>
      <c r="E268" s="184" t="s">
        <v>7</v>
      </c>
      <c r="F268" s="184" t="s">
        <v>7</v>
      </c>
      <c r="G268" s="184"/>
    </row>
    <row r="269" spans="1:7">
      <c r="A269" s="50">
        <v>1</v>
      </c>
      <c r="B269" s="51">
        <v>2</v>
      </c>
      <c r="D269" s="51">
        <v>3</v>
      </c>
      <c r="E269" s="51">
        <v>4</v>
      </c>
      <c r="F269" s="52">
        <v>5</v>
      </c>
      <c r="G269" s="52"/>
    </row>
    <row r="270" spans="1:7">
      <c r="A270" s="27" t="s">
        <v>10</v>
      </c>
      <c r="B270" s="57"/>
      <c r="C270">
        <v>0</v>
      </c>
      <c r="D270" s="14">
        <f t="shared" ref="D270:D318" si="5">IF(B270=0,0,IF(B270&lt;=E$324,0,B270-E$324)/B270)</f>
        <v>0</v>
      </c>
      <c r="E270" s="14"/>
      <c r="F270" s="38"/>
      <c r="G270" s="38"/>
    </row>
    <row r="271" spans="1:7">
      <c r="A271" s="27" t="s">
        <v>58</v>
      </c>
      <c r="B271" s="57"/>
      <c r="C271" s="30">
        <f>B270</f>
        <v>0</v>
      </c>
      <c r="D271" s="14">
        <f t="shared" si="5"/>
        <v>0</v>
      </c>
      <c r="E271" s="14"/>
      <c r="F271" s="38"/>
      <c r="G271" s="38"/>
    </row>
    <row r="272" spans="1:7">
      <c r="A272" s="27" t="s">
        <v>59</v>
      </c>
      <c r="B272" s="57"/>
      <c r="C272" s="30">
        <f t="shared" ref="C272:C320" si="6">B271</f>
        <v>0</v>
      </c>
      <c r="D272" s="14">
        <f t="shared" si="5"/>
        <v>0</v>
      </c>
      <c r="E272" s="14"/>
      <c r="F272" s="38"/>
      <c r="G272" s="38"/>
    </row>
    <row r="273" spans="1:7">
      <c r="A273" s="27" t="s">
        <v>60</v>
      </c>
      <c r="B273" s="57"/>
      <c r="C273" s="30">
        <f t="shared" si="6"/>
        <v>0</v>
      </c>
      <c r="D273" s="14">
        <f t="shared" si="5"/>
        <v>0</v>
      </c>
      <c r="E273" s="14"/>
      <c r="F273" s="38"/>
      <c r="G273" s="38"/>
    </row>
    <row r="274" spans="1:7">
      <c r="A274" s="27" t="s">
        <v>61</v>
      </c>
      <c r="B274" s="57"/>
      <c r="C274" s="30">
        <f t="shared" si="6"/>
        <v>0</v>
      </c>
      <c r="D274" s="14">
        <f t="shared" si="5"/>
        <v>0</v>
      </c>
      <c r="E274" s="14"/>
      <c r="F274" s="38"/>
      <c r="G274" s="38"/>
    </row>
    <row r="275" spans="1:7">
      <c r="A275" s="27" t="s">
        <v>62</v>
      </c>
      <c r="B275" s="57"/>
      <c r="C275" s="30">
        <f t="shared" si="6"/>
        <v>0</v>
      </c>
      <c r="D275" s="14">
        <f t="shared" si="5"/>
        <v>0</v>
      </c>
      <c r="E275" s="14"/>
      <c r="F275" s="38"/>
      <c r="G275" s="38"/>
    </row>
    <row r="276" spans="1:7">
      <c r="A276" s="27" t="s">
        <v>63</v>
      </c>
      <c r="B276" s="57"/>
      <c r="C276" s="30">
        <f t="shared" si="6"/>
        <v>0</v>
      </c>
      <c r="D276" s="14">
        <f t="shared" si="5"/>
        <v>0</v>
      </c>
      <c r="E276" s="14"/>
      <c r="F276" s="38"/>
      <c r="G276" s="38"/>
    </row>
    <row r="277" spans="1:7">
      <c r="A277" s="29" t="s">
        <v>11</v>
      </c>
      <c r="B277" s="57"/>
      <c r="C277" s="30">
        <f t="shared" si="6"/>
        <v>0</v>
      </c>
      <c r="D277" s="14">
        <f t="shared" si="5"/>
        <v>0</v>
      </c>
      <c r="E277" s="14"/>
      <c r="F277" s="38"/>
      <c r="G277" s="38"/>
    </row>
    <row r="278" spans="1:7">
      <c r="A278" s="29" t="s">
        <v>12</v>
      </c>
      <c r="B278" s="57"/>
      <c r="C278" s="30">
        <f t="shared" si="6"/>
        <v>0</v>
      </c>
      <c r="D278" s="14">
        <f t="shared" si="5"/>
        <v>0</v>
      </c>
      <c r="E278" s="14"/>
      <c r="F278" s="38"/>
      <c r="G278" s="38"/>
    </row>
    <row r="279" spans="1:7">
      <c r="A279" s="29" t="s">
        <v>13</v>
      </c>
      <c r="B279" s="57"/>
      <c r="C279" s="30">
        <f t="shared" si="6"/>
        <v>0</v>
      </c>
      <c r="D279" s="14">
        <f t="shared" si="5"/>
        <v>0</v>
      </c>
      <c r="E279" s="14"/>
      <c r="F279" s="38"/>
      <c r="G279" s="38"/>
    </row>
    <row r="280" spans="1:7">
      <c r="A280" s="29" t="s">
        <v>14</v>
      </c>
      <c r="B280" s="57"/>
      <c r="C280" s="30">
        <f t="shared" si="6"/>
        <v>0</v>
      </c>
      <c r="D280" s="14">
        <f t="shared" si="5"/>
        <v>0</v>
      </c>
      <c r="E280" s="14"/>
      <c r="F280" s="38"/>
      <c r="G280" s="38"/>
    </row>
    <row r="281" spans="1:7">
      <c r="A281" s="29" t="s">
        <v>15</v>
      </c>
      <c r="B281" s="57"/>
      <c r="C281" s="30">
        <f t="shared" si="6"/>
        <v>0</v>
      </c>
      <c r="D281" s="14">
        <f t="shared" si="5"/>
        <v>0</v>
      </c>
      <c r="E281" s="14"/>
      <c r="F281" s="38"/>
      <c r="G281" s="38"/>
    </row>
    <row r="282" spans="1:7">
      <c r="A282" s="29" t="s">
        <v>16</v>
      </c>
      <c r="B282" s="57"/>
      <c r="C282" s="30">
        <f t="shared" si="6"/>
        <v>0</v>
      </c>
      <c r="D282" s="14">
        <f t="shared" si="5"/>
        <v>0</v>
      </c>
      <c r="E282" s="14"/>
      <c r="F282" s="38"/>
      <c r="G282" s="38"/>
    </row>
    <row r="283" spans="1:7">
      <c r="A283" s="29" t="s">
        <v>17</v>
      </c>
      <c r="B283" s="57"/>
      <c r="C283" s="30">
        <f t="shared" si="6"/>
        <v>0</v>
      </c>
      <c r="D283" s="14">
        <f t="shared" si="5"/>
        <v>0</v>
      </c>
      <c r="E283" s="14"/>
      <c r="F283" s="38"/>
      <c r="G283" s="38"/>
    </row>
    <row r="284" spans="1:7">
      <c r="A284" s="29" t="s">
        <v>18</v>
      </c>
      <c r="B284" s="57"/>
      <c r="C284" s="30">
        <f t="shared" si="6"/>
        <v>0</v>
      </c>
      <c r="D284" s="14">
        <f t="shared" si="5"/>
        <v>0</v>
      </c>
      <c r="E284" s="14"/>
      <c r="F284" s="38"/>
      <c r="G284" s="38"/>
    </row>
    <row r="285" spans="1:7">
      <c r="A285" s="29" t="s">
        <v>19</v>
      </c>
      <c r="B285" s="57"/>
      <c r="C285" s="30">
        <f t="shared" si="6"/>
        <v>0</v>
      </c>
      <c r="D285" s="14">
        <f t="shared" si="5"/>
        <v>0</v>
      </c>
      <c r="E285" s="14"/>
      <c r="F285" s="38"/>
      <c r="G285" s="38"/>
    </row>
    <row r="286" spans="1:7">
      <c r="A286" s="29" t="s">
        <v>20</v>
      </c>
      <c r="B286" s="57"/>
      <c r="C286" s="30">
        <f t="shared" si="6"/>
        <v>0</v>
      </c>
      <c r="D286" s="14">
        <f t="shared" si="5"/>
        <v>0</v>
      </c>
      <c r="E286" s="14"/>
      <c r="F286" s="38"/>
      <c r="G286" s="38"/>
    </row>
    <row r="287" spans="1:7">
      <c r="A287" s="29" t="s">
        <v>21</v>
      </c>
      <c r="B287" s="57"/>
      <c r="C287" s="30">
        <f t="shared" si="6"/>
        <v>0</v>
      </c>
      <c r="D287" s="14">
        <f t="shared" si="5"/>
        <v>0</v>
      </c>
      <c r="E287" s="14"/>
      <c r="F287" s="38"/>
      <c r="G287" s="38"/>
    </row>
    <row r="288" spans="1:7">
      <c r="A288" s="29" t="s">
        <v>22</v>
      </c>
      <c r="B288" s="57"/>
      <c r="C288" s="30">
        <f t="shared" si="6"/>
        <v>0</v>
      </c>
      <c r="D288" s="14">
        <f t="shared" si="5"/>
        <v>0</v>
      </c>
      <c r="E288" s="14"/>
      <c r="F288" s="38"/>
      <c r="G288" s="38"/>
    </row>
    <row r="289" spans="1:7">
      <c r="A289" s="29" t="s">
        <v>23</v>
      </c>
      <c r="B289" s="57"/>
      <c r="C289" s="30">
        <f t="shared" si="6"/>
        <v>0</v>
      </c>
      <c r="D289" s="14">
        <f t="shared" si="5"/>
        <v>0</v>
      </c>
      <c r="E289" s="14"/>
      <c r="F289" s="38"/>
      <c r="G289" s="38"/>
    </row>
    <row r="290" spans="1:7">
      <c r="A290" s="29" t="s">
        <v>24</v>
      </c>
      <c r="B290" s="57"/>
      <c r="C290" s="30">
        <f t="shared" si="6"/>
        <v>0</v>
      </c>
      <c r="D290" s="14">
        <f t="shared" si="5"/>
        <v>0</v>
      </c>
      <c r="E290" s="14"/>
      <c r="F290" s="38"/>
      <c r="G290" s="38"/>
    </row>
    <row r="291" spans="1:7">
      <c r="A291" s="29" t="s">
        <v>25</v>
      </c>
      <c r="B291" s="57"/>
      <c r="C291" s="30">
        <f t="shared" si="6"/>
        <v>0</v>
      </c>
      <c r="D291" s="14">
        <f t="shared" si="5"/>
        <v>0</v>
      </c>
      <c r="E291" s="14"/>
      <c r="F291" s="38"/>
      <c r="G291" s="38"/>
    </row>
    <row r="292" spans="1:7">
      <c r="A292" s="29" t="s">
        <v>26</v>
      </c>
      <c r="B292" s="57"/>
      <c r="C292" s="30">
        <f t="shared" si="6"/>
        <v>0</v>
      </c>
      <c r="D292" s="14">
        <f t="shared" si="5"/>
        <v>0</v>
      </c>
      <c r="E292" s="14"/>
      <c r="F292" s="38"/>
      <c r="G292" s="38"/>
    </row>
    <row r="293" spans="1:7">
      <c r="A293" s="29" t="s">
        <v>27</v>
      </c>
      <c r="B293" s="57"/>
      <c r="C293" s="30">
        <f t="shared" si="6"/>
        <v>0</v>
      </c>
      <c r="D293" s="14">
        <f t="shared" si="5"/>
        <v>0</v>
      </c>
      <c r="E293" s="14"/>
      <c r="F293" s="38"/>
      <c r="G293" s="38"/>
    </row>
    <row r="294" spans="1:7">
      <c r="A294" s="29" t="s">
        <v>28</v>
      </c>
      <c r="B294" s="57"/>
      <c r="C294" s="30">
        <f t="shared" si="6"/>
        <v>0</v>
      </c>
      <c r="D294" s="14">
        <f t="shared" si="5"/>
        <v>0</v>
      </c>
      <c r="E294" s="14"/>
      <c r="F294" s="38"/>
      <c r="G294" s="38"/>
    </row>
    <row r="295" spans="1:7">
      <c r="A295" s="29" t="s">
        <v>29</v>
      </c>
      <c r="B295" s="57"/>
      <c r="C295" s="30">
        <f t="shared" si="6"/>
        <v>0</v>
      </c>
      <c r="D295" s="14">
        <f t="shared" si="5"/>
        <v>0</v>
      </c>
      <c r="E295" s="14"/>
      <c r="F295" s="38"/>
      <c r="G295" s="38"/>
    </row>
    <row r="296" spans="1:7">
      <c r="A296" s="29" t="s">
        <v>30</v>
      </c>
      <c r="B296" s="57"/>
      <c r="C296" s="30">
        <f t="shared" si="6"/>
        <v>0</v>
      </c>
      <c r="D296" s="14">
        <f t="shared" si="5"/>
        <v>0</v>
      </c>
      <c r="E296" s="14"/>
      <c r="F296" s="38"/>
      <c r="G296" s="38"/>
    </row>
    <row r="297" spans="1:7">
      <c r="A297" s="29" t="s">
        <v>31</v>
      </c>
      <c r="B297" s="57"/>
      <c r="C297" s="30">
        <f t="shared" si="6"/>
        <v>0</v>
      </c>
      <c r="D297" s="14">
        <f t="shared" si="5"/>
        <v>0</v>
      </c>
      <c r="E297" s="14"/>
      <c r="F297" s="38"/>
      <c r="G297" s="38"/>
    </row>
    <row r="298" spans="1:7">
      <c r="A298" s="29" t="s">
        <v>32</v>
      </c>
      <c r="B298" s="57"/>
      <c r="C298" s="30">
        <f t="shared" si="6"/>
        <v>0</v>
      </c>
      <c r="D298" s="14">
        <f t="shared" si="5"/>
        <v>0</v>
      </c>
      <c r="E298" s="14"/>
      <c r="F298" s="38"/>
      <c r="G298" s="38"/>
    </row>
    <row r="299" spans="1:7">
      <c r="A299" s="29" t="s">
        <v>33</v>
      </c>
      <c r="B299" s="57"/>
      <c r="C299" s="30">
        <f t="shared" si="6"/>
        <v>0</v>
      </c>
      <c r="D299" s="14">
        <f t="shared" si="5"/>
        <v>0</v>
      </c>
      <c r="E299" s="14"/>
      <c r="F299" s="38"/>
      <c r="G299" s="38"/>
    </row>
    <row r="300" spans="1:7">
      <c r="A300" s="29" t="s">
        <v>34</v>
      </c>
      <c r="B300" s="57"/>
      <c r="C300" s="30">
        <f t="shared" si="6"/>
        <v>0</v>
      </c>
      <c r="D300" s="14">
        <f t="shared" si="5"/>
        <v>0</v>
      </c>
      <c r="E300" s="14"/>
      <c r="F300" s="38"/>
      <c r="G300" s="38"/>
    </row>
    <row r="301" spans="1:7">
      <c r="A301" s="29" t="s">
        <v>35</v>
      </c>
      <c r="B301" s="57"/>
      <c r="C301" s="30">
        <f t="shared" si="6"/>
        <v>0</v>
      </c>
      <c r="D301" s="14">
        <f t="shared" si="5"/>
        <v>0</v>
      </c>
      <c r="E301" s="14"/>
      <c r="F301" s="38"/>
      <c r="G301" s="38"/>
    </row>
    <row r="302" spans="1:7">
      <c r="A302" s="29" t="s">
        <v>36</v>
      </c>
      <c r="B302" s="57"/>
      <c r="C302" s="30">
        <f t="shared" si="6"/>
        <v>0</v>
      </c>
      <c r="D302" s="14">
        <f t="shared" si="5"/>
        <v>0</v>
      </c>
      <c r="E302" s="14"/>
      <c r="F302" s="38"/>
      <c r="G302" s="38"/>
    </row>
    <row r="303" spans="1:7">
      <c r="A303" s="29" t="s">
        <v>37</v>
      </c>
      <c r="B303" s="57"/>
      <c r="C303" s="30">
        <f t="shared" si="6"/>
        <v>0</v>
      </c>
      <c r="D303" s="14">
        <f t="shared" si="5"/>
        <v>0</v>
      </c>
      <c r="E303" s="14"/>
      <c r="F303" s="38"/>
      <c r="G303" s="38"/>
    </row>
    <row r="304" spans="1:7">
      <c r="A304" s="29" t="s">
        <v>38</v>
      </c>
      <c r="B304" s="57"/>
      <c r="C304" s="30">
        <f t="shared" si="6"/>
        <v>0</v>
      </c>
      <c r="D304" s="14">
        <f t="shared" si="5"/>
        <v>0</v>
      </c>
      <c r="E304" s="14"/>
      <c r="F304" s="38"/>
      <c r="G304" s="38"/>
    </row>
    <row r="305" spans="1:7">
      <c r="A305" s="29" t="s">
        <v>39</v>
      </c>
      <c r="B305" s="57"/>
      <c r="C305" s="30">
        <f t="shared" si="6"/>
        <v>0</v>
      </c>
      <c r="D305" s="14">
        <f t="shared" si="5"/>
        <v>0</v>
      </c>
      <c r="E305" s="14"/>
      <c r="F305" s="38"/>
      <c r="G305" s="38"/>
    </row>
    <row r="306" spans="1:7">
      <c r="A306" s="29" t="s">
        <v>40</v>
      </c>
      <c r="B306" s="57"/>
      <c r="C306" s="30">
        <f t="shared" si="6"/>
        <v>0</v>
      </c>
      <c r="D306" s="14">
        <f t="shared" si="5"/>
        <v>0</v>
      </c>
      <c r="E306" s="14"/>
      <c r="F306" s="38"/>
      <c r="G306" s="38"/>
    </row>
    <row r="307" spans="1:7">
      <c r="A307" s="29" t="s">
        <v>41</v>
      </c>
      <c r="B307" s="57"/>
      <c r="C307" s="30">
        <f t="shared" si="6"/>
        <v>0</v>
      </c>
      <c r="D307" s="14">
        <f t="shared" si="5"/>
        <v>0</v>
      </c>
      <c r="E307" s="14"/>
      <c r="F307" s="38"/>
      <c r="G307" s="38"/>
    </row>
    <row r="308" spans="1:7">
      <c r="A308" s="29" t="s">
        <v>42</v>
      </c>
      <c r="B308" s="57"/>
      <c r="C308" s="30">
        <f t="shared" si="6"/>
        <v>0</v>
      </c>
      <c r="D308" s="14">
        <f t="shared" si="5"/>
        <v>0</v>
      </c>
      <c r="E308" s="14"/>
      <c r="F308" s="38"/>
      <c r="G308" s="38"/>
    </row>
    <row r="309" spans="1:7">
      <c r="A309" s="29" t="s">
        <v>43</v>
      </c>
      <c r="B309" s="57"/>
      <c r="C309" s="30">
        <f t="shared" si="6"/>
        <v>0</v>
      </c>
      <c r="D309" s="14">
        <f t="shared" si="5"/>
        <v>0</v>
      </c>
      <c r="E309" s="14"/>
      <c r="F309" s="38"/>
      <c r="G309" s="38"/>
    </row>
    <row r="310" spans="1:7">
      <c r="A310" s="29" t="s">
        <v>44</v>
      </c>
      <c r="B310" s="57"/>
      <c r="C310" s="30">
        <f t="shared" si="6"/>
        <v>0</v>
      </c>
      <c r="D310" s="14">
        <f t="shared" si="5"/>
        <v>0</v>
      </c>
      <c r="E310" s="14"/>
      <c r="F310" s="38"/>
      <c r="G310" s="38"/>
    </row>
    <row r="311" spans="1:7">
      <c r="A311" s="29" t="s">
        <v>45</v>
      </c>
      <c r="B311" s="57"/>
      <c r="C311" s="30">
        <f t="shared" si="6"/>
        <v>0</v>
      </c>
      <c r="D311" s="14">
        <f t="shared" si="5"/>
        <v>0</v>
      </c>
      <c r="E311" s="14"/>
      <c r="F311" s="38"/>
      <c r="G311" s="38"/>
    </row>
    <row r="312" spans="1:7">
      <c r="A312" s="29" t="s">
        <v>46</v>
      </c>
      <c r="B312" s="57"/>
      <c r="C312" s="30">
        <f t="shared" si="6"/>
        <v>0</v>
      </c>
      <c r="D312" s="14">
        <f t="shared" si="5"/>
        <v>0</v>
      </c>
      <c r="E312" s="14"/>
      <c r="F312" s="38"/>
      <c r="G312" s="38"/>
    </row>
    <row r="313" spans="1:7">
      <c r="A313" s="29" t="s">
        <v>47</v>
      </c>
      <c r="B313" s="57"/>
      <c r="C313" s="30">
        <f t="shared" si="6"/>
        <v>0</v>
      </c>
      <c r="D313" s="14">
        <f t="shared" si="5"/>
        <v>0</v>
      </c>
      <c r="E313" s="14"/>
      <c r="F313" s="38"/>
      <c r="G313" s="38"/>
    </row>
    <row r="314" spans="1:7">
      <c r="A314" s="29" t="s">
        <v>48</v>
      </c>
      <c r="B314" s="57"/>
      <c r="C314" s="30">
        <f t="shared" si="6"/>
        <v>0</v>
      </c>
      <c r="D314" s="14">
        <f t="shared" si="5"/>
        <v>0</v>
      </c>
      <c r="E314" s="14"/>
      <c r="F314" s="38"/>
      <c r="G314" s="38"/>
    </row>
    <row r="315" spans="1:7">
      <c r="A315" s="29" t="s">
        <v>49</v>
      </c>
      <c r="B315" s="57"/>
      <c r="C315" s="30">
        <f t="shared" si="6"/>
        <v>0</v>
      </c>
      <c r="D315" s="14">
        <f t="shared" si="5"/>
        <v>0</v>
      </c>
      <c r="E315" s="14"/>
      <c r="F315" s="38"/>
      <c r="G315" s="38"/>
    </row>
    <row r="316" spans="1:7">
      <c r="A316" s="29" t="s">
        <v>50</v>
      </c>
      <c r="B316" s="57"/>
      <c r="C316" s="30">
        <f t="shared" si="6"/>
        <v>0</v>
      </c>
      <c r="D316" s="14">
        <f t="shared" si="5"/>
        <v>0</v>
      </c>
      <c r="E316" s="14"/>
      <c r="F316" s="38"/>
      <c r="G316" s="38"/>
    </row>
    <row r="317" spans="1:7">
      <c r="A317" s="29" t="s">
        <v>51</v>
      </c>
      <c r="B317" s="57"/>
      <c r="C317" s="30">
        <f t="shared" si="6"/>
        <v>0</v>
      </c>
      <c r="D317" s="14">
        <f t="shared" si="5"/>
        <v>0</v>
      </c>
      <c r="E317" s="14"/>
      <c r="F317" s="38"/>
      <c r="G317" s="38"/>
    </row>
    <row r="318" spans="1:7">
      <c r="A318" s="29" t="s">
        <v>52</v>
      </c>
      <c r="B318" s="57"/>
      <c r="C318" s="30">
        <f t="shared" si="6"/>
        <v>0</v>
      </c>
      <c r="D318" s="14">
        <f t="shared" si="5"/>
        <v>0</v>
      </c>
      <c r="E318" s="14"/>
      <c r="F318" s="38"/>
      <c r="G318" s="38"/>
    </row>
    <row r="319" spans="1:7">
      <c r="A319" s="29" t="s">
        <v>53</v>
      </c>
      <c r="B319" s="57"/>
      <c r="C319" s="30">
        <f>B318</f>
        <v>0</v>
      </c>
      <c r="D319" s="14">
        <f>IF(B319=0,0,IF(B319&lt;=E$324,0,B319-E$324)/B319)</f>
        <v>0</v>
      </c>
      <c r="E319" s="14"/>
      <c r="F319" s="38"/>
      <c r="G319" s="38"/>
    </row>
    <row r="320" spans="1:7">
      <c r="A320" s="29" t="s">
        <v>53</v>
      </c>
      <c r="B320" s="29"/>
      <c r="C320" s="30">
        <f t="shared" si="6"/>
        <v>0</v>
      </c>
      <c r="D320" s="58"/>
      <c r="E320" s="11"/>
      <c r="F320" s="39"/>
      <c r="G320" s="39"/>
    </row>
    <row r="321" spans="1:7">
      <c r="A321" s="29"/>
      <c r="B321" s="29"/>
      <c r="D321" s="29"/>
      <c r="E321" s="32"/>
      <c r="F321" s="40"/>
      <c r="G321" s="40"/>
    </row>
    <row r="322" spans="1:7" ht="60">
      <c r="A322" s="33" t="s">
        <v>55</v>
      </c>
      <c r="B322" s="29"/>
      <c r="D322" s="29"/>
      <c r="F322" s="41"/>
      <c r="G322" s="42"/>
    </row>
    <row r="323" spans="1:7" ht="60">
      <c r="A323" s="33" t="s">
        <v>56</v>
      </c>
      <c r="B323" s="29"/>
      <c r="D323" s="11"/>
      <c r="E323" s="34"/>
      <c r="F323" s="39"/>
      <c r="G323" s="39"/>
    </row>
    <row r="324" spans="1:7" ht="96.75">
      <c r="A324" s="35" t="s">
        <v>57</v>
      </c>
      <c r="B324" s="29"/>
      <c r="D324" s="11"/>
      <c r="E324" s="11"/>
      <c r="F324" s="39"/>
      <c r="G324" s="39"/>
    </row>
    <row r="327" spans="1:7">
      <c r="A327" s="16" t="s">
        <v>64</v>
      </c>
      <c r="B327" s="17" t="e">
        <f>AVERAGE(B275:B314)</f>
        <v>#DIV/0!</v>
      </c>
    </row>
    <row r="328" spans="1:7">
      <c r="A328" s="16" t="s">
        <v>65</v>
      </c>
      <c r="B328" s="18" t="e">
        <f>AVERAGE(B280:B309)</f>
        <v>#DIV/0!</v>
      </c>
    </row>
    <row r="329" spans="1:7">
      <c r="A329" s="16" t="s">
        <v>66</v>
      </c>
      <c r="B329" s="18" t="e">
        <f>AVERAGE(B286:B304)</f>
        <v>#DIV/0!</v>
      </c>
    </row>
    <row r="333" spans="1:7" ht="15" customHeight="1">
      <c r="A333" s="473" t="s">
        <v>0</v>
      </c>
      <c r="B333" s="531" t="s">
        <v>70</v>
      </c>
      <c r="C333" s="531"/>
      <c r="D333" s="531"/>
      <c r="E333" s="40">
        <f>(1-E388)^(1/3)-1</f>
        <v>0</v>
      </c>
      <c r="F333" s="40">
        <f>(1-F388)^(1/3)-1</f>
        <v>0</v>
      </c>
      <c r="G333" s="40"/>
    </row>
    <row r="334" spans="1:7" ht="72">
      <c r="A334" s="473"/>
      <c r="B334" s="11" t="s">
        <v>4</v>
      </c>
      <c r="D334" s="11" t="s">
        <v>80</v>
      </c>
      <c r="E334" s="11" t="s">
        <v>5</v>
      </c>
      <c r="F334" s="39" t="s">
        <v>5</v>
      </c>
      <c r="G334" s="39"/>
    </row>
    <row r="335" spans="1:7" ht="24.75">
      <c r="A335" s="473"/>
      <c r="B335" s="29" t="s">
        <v>72</v>
      </c>
      <c r="D335" s="184" t="s">
        <v>7</v>
      </c>
      <c r="E335" s="184" t="s">
        <v>7</v>
      </c>
      <c r="F335" s="184" t="s">
        <v>7</v>
      </c>
      <c r="G335" s="184"/>
    </row>
    <row r="336" spans="1:7" ht="15.75" thickBot="1">
      <c r="A336" s="50">
        <v>1</v>
      </c>
      <c r="B336" s="51">
        <v>2</v>
      </c>
      <c r="C336" s="117"/>
      <c r="D336" s="51">
        <v>3</v>
      </c>
      <c r="E336" s="51">
        <v>4</v>
      </c>
      <c r="F336" s="52">
        <v>5</v>
      </c>
      <c r="G336" s="52"/>
    </row>
    <row r="337" spans="1:7">
      <c r="A337" s="27" t="s">
        <v>10</v>
      </c>
      <c r="B337" s="57"/>
      <c r="C337">
        <v>0</v>
      </c>
      <c r="D337" s="14">
        <f t="shared" ref="D337:D385" si="7">IF(B337=0,0,IF(B337&lt;=E$391,0,B337-E$391)/B337)</f>
        <v>0</v>
      </c>
      <c r="E337" s="14"/>
      <c r="F337" s="38"/>
      <c r="G337" s="38"/>
    </row>
    <row r="338" spans="1:7">
      <c r="A338" s="27" t="s">
        <v>58</v>
      </c>
      <c r="B338" s="57"/>
      <c r="C338" s="30">
        <f>B337</f>
        <v>0</v>
      </c>
      <c r="D338" s="14">
        <f t="shared" si="7"/>
        <v>0</v>
      </c>
      <c r="E338" s="14"/>
      <c r="F338" s="38"/>
      <c r="G338" s="38"/>
    </row>
    <row r="339" spans="1:7">
      <c r="A339" s="27" t="s">
        <v>59</v>
      </c>
      <c r="B339" s="57"/>
      <c r="C339" s="30">
        <f t="shared" ref="C339:C387" si="8">B338</f>
        <v>0</v>
      </c>
      <c r="D339" s="14">
        <f t="shared" si="7"/>
        <v>0</v>
      </c>
      <c r="E339" s="14"/>
      <c r="F339" s="38"/>
      <c r="G339" s="38"/>
    </row>
    <row r="340" spans="1:7">
      <c r="A340" s="27" t="s">
        <v>60</v>
      </c>
      <c r="B340" s="57"/>
      <c r="C340" s="30">
        <f t="shared" si="8"/>
        <v>0</v>
      </c>
      <c r="D340" s="14">
        <f t="shared" si="7"/>
        <v>0</v>
      </c>
      <c r="E340" s="14"/>
      <c r="F340" s="38"/>
      <c r="G340" s="38"/>
    </row>
    <row r="341" spans="1:7">
      <c r="A341" s="27" t="s">
        <v>61</v>
      </c>
      <c r="B341" s="57"/>
      <c r="C341" s="30">
        <f t="shared" si="8"/>
        <v>0</v>
      </c>
      <c r="D341" s="14">
        <f t="shared" si="7"/>
        <v>0</v>
      </c>
      <c r="E341" s="14"/>
      <c r="F341" s="38"/>
      <c r="G341" s="38"/>
    </row>
    <row r="342" spans="1:7">
      <c r="A342" s="27" t="s">
        <v>62</v>
      </c>
      <c r="B342" s="57"/>
      <c r="C342" s="30">
        <f t="shared" si="8"/>
        <v>0</v>
      </c>
      <c r="D342" s="14">
        <f t="shared" si="7"/>
        <v>0</v>
      </c>
      <c r="E342" s="14"/>
      <c r="F342" s="38"/>
      <c r="G342" s="38"/>
    </row>
    <row r="343" spans="1:7">
      <c r="A343" s="27" t="s">
        <v>63</v>
      </c>
      <c r="B343" s="57"/>
      <c r="C343" s="30">
        <f t="shared" si="8"/>
        <v>0</v>
      </c>
      <c r="D343" s="14">
        <f t="shared" si="7"/>
        <v>0</v>
      </c>
      <c r="E343" s="14"/>
      <c r="F343" s="38"/>
      <c r="G343" s="38"/>
    </row>
    <row r="344" spans="1:7">
      <c r="A344" s="29" t="s">
        <v>11</v>
      </c>
      <c r="B344" s="57"/>
      <c r="C344" s="30">
        <f t="shared" si="8"/>
        <v>0</v>
      </c>
      <c r="D344" s="14">
        <f t="shared" si="7"/>
        <v>0</v>
      </c>
      <c r="E344" s="14"/>
      <c r="F344" s="38"/>
      <c r="G344" s="38"/>
    </row>
    <row r="345" spans="1:7">
      <c r="A345" s="29" t="s">
        <v>12</v>
      </c>
      <c r="B345" s="57"/>
      <c r="C345" s="30">
        <f t="shared" si="8"/>
        <v>0</v>
      </c>
      <c r="D345" s="14">
        <f t="shared" si="7"/>
        <v>0</v>
      </c>
      <c r="E345" s="14"/>
      <c r="F345" s="38"/>
      <c r="G345" s="38"/>
    </row>
    <row r="346" spans="1:7">
      <c r="A346" s="29" t="s">
        <v>13</v>
      </c>
      <c r="B346" s="57"/>
      <c r="C346" s="30">
        <f t="shared" si="8"/>
        <v>0</v>
      </c>
      <c r="D346" s="14">
        <f t="shared" si="7"/>
        <v>0</v>
      </c>
      <c r="E346" s="14"/>
      <c r="F346" s="38"/>
      <c r="G346" s="38"/>
    </row>
    <row r="347" spans="1:7">
      <c r="A347" s="29" t="s">
        <v>14</v>
      </c>
      <c r="B347" s="57"/>
      <c r="C347" s="30">
        <f t="shared" si="8"/>
        <v>0</v>
      </c>
      <c r="D347" s="14">
        <f t="shared" si="7"/>
        <v>0</v>
      </c>
      <c r="E347" s="14"/>
      <c r="F347" s="38"/>
      <c r="G347" s="38"/>
    </row>
    <row r="348" spans="1:7">
      <c r="A348" s="29" t="s">
        <v>15</v>
      </c>
      <c r="B348" s="57"/>
      <c r="C348" s="30">
        <f t="shared" si="8"/>
        <v>0</v>
      </c>
      <c r="D348" s="14">
        <f t="shared" si="7"/>
        <v>0</v>
      </c>
      <c r="E348" s="14"/>
      <c r="F348" s="38"/>
      <c r="G348" s="38"/>
    </row>
    <row r="349" spans="1:7">
      <c r="A349" s="29" t="s">
        <v>16</v>
      </c>
      <c r="B349" s="57"/>
      <c r="C349" s="30">
        <f t="shared" si="8"/>
        <v>0</v>
      </c>
      <c r="D349" s="14">
        <f t="shared" si="7"/>
        <v>0</v>
      </c>
      <c r="E349" s="14"/>
      <c r="F349" s="38"/>
      <c r="G349" s="38"/>
    </row>
    <row r="350" spans="1:7">
      <c r="A350" s="29" t="s">
        <v>17</v>
      </c>
      <c r="B350" s="57"/>
      <c r="C350" s="30">
        <f t="shared" si="8"/>
        <v>0</v>
      </c>
      <c r="D350" s="14">
        <f t="shared" si="7"/>
        <v>0</v>
      </c>
      <c r="E350" s="14"/>
      <c r="F350" s="38"/>
      <c r="G350" s="38"/>
    </row>
    <row r="351" spans="1:7">
      <c r="A351" s="29" t="s">
        <v>18</v>
      </c>
      <c r="B351" s="57"/>
      <c r="C351" s="30">
        <f t="shared" si="8"/>
        <v>0</v>
      </c>
      <c r="D351" s="14">
        <f t="shared" si="7"/>
        <v>0</v>
      </c>
      <c r="E351" s="14"/>
      <c r="F351" s="38"/>
      <c r="G351" s="38"/>
    </row>
    <row r="352" spans="1:7">
      <c r="A352" s="29" t="s">
        <v>19</v>
      </c>
      <c r="B352" s="57"/>
      <c r="C352" s="30">
        <f t="shared" si="8"/>
        <v>0</v>
      </c>
      <c r="D352" s="14">
        <f t="shared" si="7"/>
        <v>0</v>
      </c>
      <c r="E352" s="14"/>
      <c r="F352" s="38"/>
      <c r="G352" s="38"/>
    </row>
    <row r="353" spans="1:7">
      <c r="A353" s="29" t="s">
        <v>20</v>
      </c>
      <c r="B353" s="57"/>
      <c r="C353" s="30">
        <f t="shared" si="8"/>
        <v>0</v>
      </c>
      <c r="D353" s="14">
        <f t="shared" si="7"/>
        <v>0</v>
      </c>
      <c r="E353" s="14"/>
      <c r="F353" s="38"/>
      <c r="G353" s="38"/>
    </row>
    <row r="354" spans="1:7">
      <c r="A354" s="29" t="s">
        <v>21</v>
      </c>
      <c r="B354" s="57"/>
      <c r="C354" s="30">
        <f t="shared" si="8"/>
        <v>0</v>
      </c>
      <c r="D354" s="14">
        <f t="shared" si="7"/>
        <v>0</v>
      </c>
      <c r="E354" s="14"/>
      <c r="F354" s="38"/>
      <c r="G354" s="38"/>
    </row>
    <row r="355" spans="1:7">
      <c r="A355" s="29" t="s">
        <v>22</v>
      </c>
      <c r="B355" s="57"/>
      <c r="C355" s="30">
        <f t="shared" si="8"/>
        <v>0</v>
      </c>
      <c r="D355" s="14">
        <f t="shared" si="7"/>
        <v>0</v>
      </c>
      <c r="E355" s="14"/>
      <c r="F355" s="38"/>
      <c r="G355" s="38"/>
    </row>
    <row r="356" spans="1:7">
      <c r="A356" s="29" t="s">
        <v>23</v>
      </c>
      <c r="B356" s="57"/>
      <c r="C356" s="30">
        <f t="shared" si="8"/>
        <v>0</v>
      </c>
      <c r="D356" s="14">
        <f t="shared" si="7"/>
        <v>0</v>
      </c>
      <c r="E356" s="14"/>
      <c r="F356" s="38"/>
      <c r="G356" s="38"/>
    </row>
    <row r="357" spans="1:7">
      <c r="A357" s="29" t="s">
        <v>24</v>
      </c>
      <c r="B357" s="57"/>
      <c r="C357" s="30">
        <f t="shared" si="8"/>
        <v>0</v>
      </c>
      <c r="D357" s="14">
        <f t="shared" si="7"/>
        <v>0</v>
      </c>
      <c r="E357" s="14"/>
      <c r="F357" s="38"/>
      <c r="G357" s="38"/>
    </row>
    <row r="358" spans="1:7">
      <c r="A358" s="29" t="s">
        <v>25</v>
      </c>
      <c r="B358" s="57"/>
      <c r="C358" s="30">
        <f t="shared" si="8"/>
        <v>0</v>
      </c>
      <c r="D358" s="14">
        <f t="shared" si="7"/>
        <v>0</v>
      </c>
      <c r="E358" s="14"/>
      <c r="F358" s="38"/>
      <c r="G358" s="38"/>
    </row>
    <row r="359" spans="1:7">
      <c r="A359" s="29" t="s">
        <v>26</v>
      </c>
      <c r="B359" s="57"/>
      <c r="C359" s="30">
        <f t="shared" si="8"/>
        <v>0</v>
      </c>
      <c r="D359" s="14">
        <f t="shared" si="7"/>
        <v>0</v>
      </c>
      <c r="E359" s="14"/>
      <c r="F359" s="38"/>
      <c r="G359" s="38"/>
    </row>
    <row r="360" spans="1:7">
      <c r="A360" s="29" t="s">
        <v>27</v>
      </c>
      <c r="B360" s="57"/>
      <c r="C360" s="30">
        <f t="shared" si="8"/>
        <v>0</v>
      </c>
      <c r="D360" s="14">
        <f t="shared" si="7"/>
        <v>0</v>
      </c>
      <c r="E360" s="14"/>
      <c r="F360" s="38"/>
      <c r="G360" s="38"/>
    </row>
    <row r="361" spans="1:7">
      <c r="A361" s="29" t="s">
        <v>28</v>
      </c>
      <c r="B361" s="57"/>
      <c r="C361" s="30">
        <f t="shared" si="8"/>
        <v>0</v>
      </c>
      <c r="D361" s="14">
        <f t="shared" si="7"/>
        <v>0</v>
      </c>
      <c r="E361" s="14"/>
      <c r="F361" s="38"/>
      <c r="G361" s="38"/>
    </row>
    <row r="362" spans="1:7">
      <c r="A362" s="29" t="s">
        <v>29</v>
      </c>
      <c r="B362" s="57"/>
      <c r="C362" s="30">
        <f t="shared" si="8"/>
        <v>0</v>
      </c>
      <c r="D362" s="14">
        <f t="shared" si="7"/>
        <v>0</v>
      </c>
      <c r="E362" s="14"/>
      <c r="F362" s="38"/>
      <c r="G362" s="38"/>
    </row>
    <row r="363" spans="1:7">
      <c r="A363" s="29" t="s">
        <v>30</v>
      </c>
      <c r="B363" s="57"/>
      <c r="C363" s="30">
        <f t="shared" si="8"/>
        <v>0</v>
      </c>
      <c r="D363" s="14">
        <f t="shared" si="7"/>
        <v>0</v>
      </c>
      <c r="E363" s="14"/>
      <c r="F363" s="38"/>
      <c r="G363" s="38"/>
    </row>
    <row r="364" spans="1:7">
      <c r="A364" s="29" t="s">
        <v>31</v>
      </c>
      <c r="B364" s="57"/>
      <c r="C364" s="30">
        <f t="shared" si="8"/>
        <v>0</v>
      </c>
      <c r="D364" s="14">
        <f t="shared" si="7"/>
        <v>0</v>
      </c>
      <c r="E364" s="14"/>
      <c r="F364" s="38"/>
      <c r="G364" s="38"/>
    </row>
    <row r="365" spans="1:7">
      <c r="A365" s="29" t="s">
        <v>32</v>
      </c>
      <c r="B365" s="57"/>
      <c r="C365" s="30">
        <f t="shared" si="8"/>
        <v>0</v>
      </c>
      <c r="D365" s="14">
        <f t="shared" si="7"/>
        <v>0</v>
      </c>
      <c r="E365" s="14"/>
      <c r="F365" s="38"/>
      <c r="G365" s="38"/>
    </row>
    <row r="366" spans="1:7">
      <c r="A366" s="29" t="s">
        <v>33</v>
      </c>
      <c r="B366" s="57"/>
      <c r="C366" s="30">
        <f t="shared" si="8"/>
        <v>0</v>
      </c>
      <c r="D366" s="14">
        <f t="shared" si="7"/>
        <v>0</v>
      </c>
      <c r="E366" s="14"/>
      <c r="F366" s="38"/>
      <c r="G366" s="38"/>
    </row>
    <row r="367" spans="1:7">
      <c r="A367" s="29" t="s">
        <v>34</v>
      </c>
      <c r="B367" s="57"/>
      <c r="C367" s="30">
        <f t="shared" si="8"/>
        <v>0</v>
      </c>
      <c r="D367" s="14">
        <f t="shared" si="7"/>
        <v>0</v>
      </c>
      <c r="E367" s="14"/>
      <c r="F367" s="38"/>
      <c r="G367" s="38"/>
    </row>
    <row r="368" spans="1:7">
      <c r="A368" s="29" t="s">
        <v>35</v>
      </c>
      <c r="B368" s="57"/>
      <c r="C368" s="30">
        <f t="shared" si="8"/>
        <v>0</v>
      </c>
      <c r="D368" s="14">
        <f t="shared" si="7"/>
        <v>0</v>
      </c>
      <c r="E368" s="14"/>
      <c r="F368" s="38"/>
      <c r="G368" s="38"/>
    </row>
    <row r="369" spans="1:7">
      <c r="A369" s="29" t="s">
        <v>36</v>
      </c>
      <c r="B369" s="57"/>
      <c r="C369" s="30">
        <f t="shared" si="8"/>
        <v>0</v>
      </c>
      <c r="D369" s="14">
        <f t="shared" si="7"/>
        <v>0</v>
      </c>
      <c r="E369" s="14"/>
      <c r="F369" s="38"/>
      <c r="G369" s="38"/>
    </row>
    <row r="370" spans="1:7">
      <c r="A370" s="29" t="s">
        <v>37</v>
      </c>
      <c r="B370" s="57"/>
      <c r="C370" s="30">
        <f t="shared" si="8"/>
        <v>0</v>
      </c>
      <c r="D370" s="14">
        <f t="shared" si="7"/>
        <v>0</v>
      </c>
      <c r="E370" s="14"/>
      <c r="F370" s="38"/>
      <c r="G370" s="38"/>
    </row>
    <row r="371" spans="1:7">
      <c r="A371" s="29" t="s">
        <v>38</v>
      </c>
      <c r="B371" s="57"/>
      <c r="C371" s="30">
        <f t="shared" si="8"/>
        <v>0</v>
      </c>
      <c r="D371" s="14">
        <f t="shared" si="7"/>
        <v>0</v>
      </c>
      <c r="E371" s="14"/>
      <c r="F371" s="38"/>
      <c r="G371" s="38"/>
    </row>
    <row r="372" spans="1:7">
      <c r="A372" s="29" t="s">
        <v>39</v>
      </c>
      <c r="B372" s="57"/>
      <c r="C372" s="30">
        <f t="shared" si="8"/>
        <v>0</v>
      </c>
      <c r="D372" s="14">
        <f t="shared" si="7"/>
        <v>0</v>
      </c>
      <c r="E372" s="14"/>
      <c r="F372" s="38"/>
      <c r="G372" s="38"/>
    </row>
    <row r="373" spans="1:7">
      <c r="A373" s="29" t="s">
        <v>40</v>
      </c>
      <c r="B373" s="57"/>
      <c r="C373" s="30">
        <f t="shared" si="8"/>
        <v>0</v>
      </c>
      <c r="D373" s="14">
        <f t="shared" si="7"/>
        <v>0</v>
      </c>
      <c r="E373" s="14"/>
      <c r="F373" s="38"/>
      <c r="G373" s="38"/>
    </row>
    <row r="374" spans="1:7">
      <c r="A374" s="29" t="s">
        <v>41</v>
      </c>
      <c r="B374" s="57"/>
      <c r="C374" s="30">
        <f t="shared" si="8"/>
        <v>0</v>
      </c>
      <c r="D374" s="14">
        <f t="shared" si="7"/>
        <v>0</v>
      </c>
      <c r="E374" s="14"/>
      <c r="F374" s="38"/>
      <c r="G374" s="38"/>
    </row>
    <row r="375" spans="1:7">
      <c r="A375" s="29" t="s">
        <v>42</v>
      </c>
      <c r="B375" s="57"/>
      <c r="C375" s="30">
        <f t="shared" si="8"/>
        <v>0</v>
      </c>
      <c r="D375" s="14">
        <f t="shared" si="7"/>
        <v>0</v>
      </c>
      <c r="E375" s="14"/>
      <c r="F375" s="38"/>
      <c r="G375" s="38"/>
    </row>
    <row r="376" spans="1:7">
      <c r="A376" s="29" t="s">
        <v>43</v>
      </c>
      <c r="B376" s="57"/>
      <c r="C376" s="30">
        <f t="shared" si="8"/>
        <v>0</v>
      </c>
      <c r="D376" s="14">
        <f t="shared" si="7"/>
        <v>0</v>
      </c>
      <c r="E376" s="14"/>
      <c r="F376" s="38"/>
      <c r="G376" s="38"/>
    </row>
    <row r="377" spans="1:7">
      <c r="A377" s="29" t="s">
        <v>44</v>
      </c>
      <c r="B377" s="57"/>
      <c r="C377" s="30">
        <f t="shared" si="8"/>
        <v>0</v>
      </c>
      <c r="D377" s="14">
        <f t="shared" si="7"/>
        <v>0</v>
      </c>
      <c r="E377" s="14"/>
      <c r="F377" s="38"/>
      <c r="G377" s="38"/>
    </row>
    <row r="378" spans="1:7">
      <c r="A378" s="29" t="s">
        <v>45</v>
      </c>
      <c r="B378" s="57"/>
      <c r="C378" s="30">
        <f t="shared" si="8"/>
        <v>0</v>
      </c>
      <c r="D378" s="14">
        <f t="shared" si="7"/>
        <v>0</v>
      </c>
      <c r="E378" s="14"/>
      <c r="F378" s="38"/>
      <c r="G378" s="38"/>
    </row>
    <row r="379" spans="1:7">
      <c r="A379" s="29" t="s">
        <v>46</v>
      </c>
      <c r="B379" s="57"/>
      <c r="C379" s="30">
        <f t="shared" si="8"/>
        <v>0</v>
      </c>
      <c r="D379" s="14">
        <f t="shared" si="7"/>
        <v>0</v>
      </c>
      <c r="E379" s="14"/>
      <c r="F379" s="38"/>
      <c r="G379" s="38"/>
    </row>
    <row r="380" spans="1:7">
      <c r="A380" s="29" t="s">
        <v>47</v>
      </c>
      <c r="B380" s="57"/>
      <c r="C380" s="30">
        <f t="shared" si="8"/>
        <v>0</v>
      </c>
      <c r="D380" s="14">
        <f t="shared" si="7"/>
        <v>0</v>
      </c>
      <c r="E380" s="14"/>
      <c r="F380" s="38"/>
      <c r="G380" s="38"/>
    </row>
    <row r="381" spans="1:7">
      <c r="A381" s="29" t="s">
        <v>48</v>
      </c>
      <c r="B381" s="57"/>
      <c r="C381" s="30">
        <f t="shared" si="8"/>
        <v>0</v>
      </c>
      <c r="D381" s="14">
        <f t="shared" si="7"/>
        <v>0</v>
      </c>
      <c r="E381" s="14"/>
      <c r="F381" s="38"/>
      <c r="G381" s="38"/>
    </row>
    <row r="382" spans="1:7">
      <c r="A382" s="29" t="s">
        <v>49</v>
      </c>
      <c r="B382" s="57"/>
      <c r="C382" s="30">
        <f t="shared" si="8"/>
        <v>0</v>
      </c>
      <c r="D382" s="14">
        <f t="shared" si="7"/>
        <v>0</v>
      </c>
      <c r="E382" s="14"/>
      <c r="F382" s="38"/>
      <c r="G382" s="38"/>
    </row>
    <row r="383" spans="1:7">
      <c r="A383" s="29" t="s">
        <v>50</v>
      </c>
      <c r="B383" s="57"/>
      <c r="C383" s="30">
        <f t="shared" si="8"/>
        <v>0</v>
      </c>
      <c r="D383" s="14">
        <f t="shared" si="7"/>
        <v>0</v>
      </c>
      <c r="E383" s="14"/>
      <c r="F383" s="38"/>
      <c r="G383" s="38"/>
    </row>
    <row r="384" spans="1:7">
      <c r="A384" s="29" t="s">
        <v>51</v>
      </c>
      <c r="B384" s="57"/>
      <c r="C384" s="30">
        <f t="shared" si="8"/>
        <v>0</v>
      </c>
      <c r="D384" s="14">
        <f t="shared" si="7"/>
        <v>0</v>
      </c>
      <c r="E384" s="14"/>
      <c r="F384" s="38"/>
      <c r="G384" s="38"/>
    </row>
    <row r="385" spans="1:7">
      <c r="A385" s="29" t="s">
        <v>52</v>
      </c>
      <c r="B385" s="57"/>
      <c r="C385" s="30">
        <f t="shared" si="8"/>
        <v>0</v>
      </c>
      <c r="D385" s="14">
        <f t="shared" si="7"/>
        <v>0</v>
      </c>
      <c r="E385" s="14"/>
      <c r="F385" s="38"/>
      <c r="G385" s="38"/>
    </row>
    <row r="386" spans="1:7">
      <c r="A386" s="29" t="s">
        <v>53</v>
      </c>
      <c r="B386" s="29"/>
      <c r="C386" s="30">
        <f>B385</f>
        <v>0</v>
      </c>
      <c r="D386" s="14">
        <f>IF(B386=0,0,IF(B386&lt;=E$391,0,B386-E$391)/B386)</f>
        <v>0</v>
      </c>
      <c r="E386" s="14"/>
      <c r="F386" s="38"/>
      <c r="G386" s="38"/>
    </row>
    <row r="387" spans="1:7">
      <c r="A387" s="29" t="s">
        <v>53</v>
      </c>
      <c r="B387" s="29"/>
      <c r="C387" s="30">
        <f t="shared" si="8"/>
        <v>0</v>
      </c>
      <c r="D387" s="58"/>
      <c r="E387" s="11"/>
      <c r="F387" s="39"/>
      <c r="G387" s="39"/>
    </row>
    <row r="388" spans="1:7">
      <c r="A388" s="29"/>
      <c r="B388" s="29"/>
      <c r="D388" s="29"/>
      <c r="E388" s="32"/>
      <c r="F388" s="40"/>
      <c r="G388" s="40"/>
    </row>
    <row r="389" spans="1:7" ht="60">
      <c r="A389" s="33" t="s">
        <v>55</v>
      </c>
      <c r="B389" s="29"/>
      <c r="D389" s="29"/>
      <c r="F389" s="41"/>
      <c r="G389" s="42"/>
    </row>
    <row r="390" spans="1:7" ht="60">
      <c r="A390" s="33" t="s">
        <v>56</v>
      </c>
      <c r="B390" s="29"/>
      <c r="D390" s="11"/>
      <c r="E390" s="34"/>
      <c r="F390" s="39"/>
      <c r="G390" s="39"/>
    </row>
    <row r="391" spans="1:7" ht="96.75">
      <c r="A391" s="35" t="s">
        <v>57</v>
      </c>
      <c r="B391" s="29"/>
      <c r="D391" s="11"/>
      <c r="E391" s="11">
        <f>0.6*E390</f>
        <v>0</v>
      </c>
      <c r="F391" s="39">
        <f>0.6*F389</f>
        <v>0</v>
      </c>
      <c r="G391" s="39"/>
    </row>
    <row r="394" spans="1:7">
      <c r="A394" s="16" t="s">
        <v>64</v>
      </c>
      <c r="B394" s="17" t="e">
        <f>AVERAGE(B342:B381)</f>
        <v>#DIV/0!</v>
      </c>
    </row>
    <row r="395" spans="1:7">
      <c r="A395" s="16" t="s">
        <v>65</v>
      </c>
      <c r="B395" s="18" t="e">
        <f>AVERAGE(B347:B376)</f>
        <v>#DIV/0!</v>
      </c>
    </row>
    <row r="396" spans="1:7">
      <c r="A396" s="16" t="s">
        <v>66</v>
      </c>
      <c r="B396" s="18" t="e">
        <f>AVERAGE(B353:B371)</f>
        <v>#DIV/0!</v>
      </c>
    </row>
    <row r="401" spans="1:7">
      <c r="A401" s="473" t="s">
        <v>0</v>
      </c>
      <c r="B401" s="528" t="s">
        <v>71</v>
      </c>
      <c r="C401" s="528"/>
      <c r="D401" s="528"/>
      <c r="E401" s="40">
        <f>(1-E456)^(1/3)-1</f>
        <v>0</v>
      </c>
      <c r="F401" s="40">
        <f>(1-F456)^(1/3)-1</f>
        <v>0</v>
      </c>
      <c r="G401" s="40"/>
    </row>
    <row r="402" spans="1:7" ht="72">
      <c r="A402" s="473"/>
      <c r="B402" s="11" t="s">
        <v>4</v>
      </c>
      <c r="C402">
        <v>0</v>
      </c>
      <c r="D402" s="11" t="s">
        <v>5</v>
      </c>
      <c r="E402" s="11" t="s">
        <v>5</v>
      </c>
      <c r="F402" s="39" t="s">
        <v>5</v>
      </c>
      <c r="G402" s="39"/>
    </row>
    <row r="403" spans="1:7" ht="72.75">
      <c r="A403" s="473"/>
      <c r="B403" s="29" t="s">
        <v>73</v>
      </c>
      <c r="C403" s="30" t="str">
        <f>B402</f>
        <v>Фактическое удельное годовое потребление</v>
      </c>
      <c r="D403" s="184" t="s">
        <v>7</v>
      </c>
      <c r="E403" s="55" t="s">
        <v>65</v>
      </c>
      <c r="F403" s="39"/>
      <c r="G403" s="56"/>
    </row>
    <row r="404" spans="1:7" ht="24.75">
      <c r="A404" s="50">
        <v>1</v>
      </c>
      <c r="B404" s="50"/>
      <c r="C404" s="30" t="str">
        <f t="shared" ref="C404:C452" si="9">B403</f>
        <v>кгут / кв. м</v>
      </c>
      <c r="D404" s="29" t="s">
        <v>73</v>
      </c>
      <c r="E404" s="51">
        <v>5</v>
      </c>
      <c r="F404" s="52">
        <v>6</v>
      </c>
      <c r="G404" s="52"/>
    </row>
    <row r="405" spans="1:7">
      <c r="A405" s="27" t="s">
        <v>10</v>
      </c>
      <c r="B405" s="29"/>
      <c r="C405" s="30">
        <f t="shared" si="9"/>
        <v>0</v>
      </c>
      <c r="D405" s="50"/>
      <c r="E405" s="14"/>
      <c r="F405" s="38"/>
      <c r="G405" s="38"/>
    </row>
    <row r="406" spans="1:7">
      <c r="A406" s="27" t="s">
        <v>58</v>
      </c>
      <c r="B406" s="29"/>
      <c r="C406" s="30">
        <f t="shared" si="9"/>
        <v>0</v>
      </c>
      <c r="D406" s="29"/>
      <c r="E406" s="14"/>
      <c r="F406" s="38"/>
      <c r="G406" s="38"/>
    </row>
    <row r="407" spans="1:7">
      <c r="A407" s="27" t="s">
        <v>59</v>
      </c>
      <c r="B407" s="29"/>
      <c r="C407" s="30">
        <f t="shared" si="9"/>
        <v>0</v>
      </c>
      <c r="D407" s="29"/>
      <c r="E407" s="14"/>
      <c r="F407" s="38"/>
      <c r="G407" s="38"/>
    </row>
    <row r="408" spans="1:7">
      <c r="A408" s="27" t="s">
        <v>60</v>
      </c>
      <c r="B408" s="29"/>
      <c r="C408" s="30">
        <f t="shared" si="9"/>
        <v>0</v>
      </c>
      <c r="D408" s="29"/>
      <c r="E408" s="14"/>
      <c r="F408" s="38"/>
      <c r="G408" s="38"/>
    </row>
    <row r="409" spans="1:7">
      <c r="A409" s="27" t="s">
        <v>61</v>
      </c>
      <c r="B409" s="29"/>
      <c r="C409" s="30">
        <f t="shared" si="9"/>
        <v>0</v>
      </c>
      <c r="D409" s="29"/>
      <c r="E409" s="14"/>
      <c r="F409" s="38"/>
      <c r="G409" s="38"/>
    </row>
    <row r="410" spans="1:7">
      <c r="A410" s="27" t="s">
        <v>62</v>
      </c>
      <c r="B410" s="29"/>
      <c r="C410" s="30">
        <f t="shared" si="9"/>
        <v>0</v>
      </c>
      <c r="D410" s="29"/>
      <c r="E410" s="14"/>
      <c r="F410" s="38"/>
      <c r="G410" s="38"/>
    </row>
    <row r="411" spans="1:7">
      <c r="A411" s="27" t="s">
        <v>63</v>
      </c>
      <c r="B411" s="29"/>
      <c r="C411" s="30">
        <f t="shared" si="9"/>
        <v>0</v>
      </c>
      <c r="D411" s="29"/>
      <c r="E411" s="14"/>
      <c r="F411" s="38"/>
      <c r="G411" s="38"/>
    </row>
    <row r="412" spans="1:7">
      <c r="A412" s="29" t="s">
        <v>11</v>
      </c>
      <c r="B412" s="29"/>
      <c r="C412" s="30">
        <f t="shared" si="9"/>
        <v>0</v>
      </c>
      <c r="D412" s="29"/>
      <c r="E412" s="14"/>
      <c r="F412" s="38"/>
      <c r="G412" s="38"/>
    </row>
    <row r="413" spans="1:7">
      <c r="A413" s="29" t="s">
        <v>12</v>
      </c>
      <c r="B413" s="29"/>
      <c r="C413" s="30">
        <f t="shared" si="9"/>
        <v>0</v>
      </c>
      <c r="D413" s="29"/>
      <c r="E413" s="14"/>
      <c r="F413" s="38"/>
      <c r="G413" s="38"/>
    </row>
    <row r="414" spans="1:7">
      <c r="A414" s="29" t="s">
        <v>13</v>
      </c>
      <c r="B414" s="29"/>
      <c r="C414" s="30">
        <f t="shared" si="9"/>
        <v>0</v>
      </c>
      <c r="D414" s="29"/>
      <c r="E414" s="14"/>
      <c r="F414" s="38"/>
      <c r="G414" s="38"/>
    </row>
    <row r="415" spans="1:7">
      <c r="A415" s="29" t="s">
        <v>14</v>
      </c>
      <c r="B415" s="29"/>
      <c r="C415" s="30">
        <f t="shared" si="9"/>
        <v>0</v>
      </c>
      <c r="D415" s="29"/>
      <c r="E415" s="14"/>
      <c r="F415" s="38"/>
      <c r="G415" s="38"/>
    </row>
    <row r="416" spans="1:7">
      <c r="A416" s="29" t="s">
        <v>15</v>
      </c>
      <c r="B416" s="29"/>
      <c r="C416" s="30">
        <f t="shared" si="9"/>
        <v>0</v>
      </c>
      <c r="D416" s="29"/>
      <c r="E416" s="14"/>
      <c r="F416" s="38"/>
      <c r="G416" s="38"/>
    </row>
    <row r="417" spans="1:7">
      <c r="A417" s="29" t="s">
        <v>16</v>
      </c>
      <c r="B417" s="29"/>
      <c r="C417" s="30">
        <f t="shared" si="9"/>
        <v>0</v>
      </c>
      <c r="D417" s="29"/>
      <c r="E417" s="14"/>
      <c r="F417" s="38"/>
      <c r="G417" s="38"/>
    </row>
    <row r="418" spans="1:7">
      <c r="A418" s="29" t="s">
        <v>17</v>
      </c>
      <c r="B418" s="29"/>
      <c r="C418" s="30">
        <f t="shared" si="9"/>
        <v>0</v>
      </c>
      <c r="D418" s="29"/>
      <c r="E418" s="14"/>
      <c r="F418" s="38"/>
      <c r="G418" s="38"/>
    </row>
    <row r="419" spans="1:7">
      <c r="A419" s="29" t="s">
        <v>18</v>
      </c>
      <c r="B419" s="29"/>
      <c r="C419" s="30">
        <f t="shared" si="9"/>
        <v>0</v>
      </c>
      <c r="D419" s="29"/>
      <c r="E419" s="14"/>
      <c r="F419" s="38"/>
      <c r="G419" s="38"/>
    </row>
    <row r="420" spans="1:7">
      <c r="A420" s="29" t="s">
        <v>19</v>
      </c>
      <c r="B420" s="29"/>
      <c r="C420" s="30">
        <f t="shared" si="9"/>
        <v>0</v>
      </c>
      <c r="D420" s="29"/>
      <c r="E420" s="14"/>
      <c r="F420" s="38"/>
      <c r="G420" s="38"/>
    </row>
    <row r="421" spans="1:7">
      <c r="A421" s="29" t="s">
        <v>20</v>
      </c>
      <c r="B421" s="29"/>
      <c r="C421" s="30">
        <f t="shared" si="9"/>
        <v>0</v>
      </c>
      <c r="D421" s="29"/>
      <c r="E421" s="14"/>
      <c r="F421" s="38"/>
      <c r="G421" s="38"/>
    </row>
    <row r="422" spans="1:7">
      <c r="A422" s="29" t="s">
        <v>21</v>
      </c>
      <c r="B422" s="29"/>
      <c r="C422" s="30">
        <f t="shared" si="9"/>
        <v>0</v>
      </c>
      <c r="D422" s="29"/>
      <c r="E422" s="14"/>
      <c r="F422" s="38"/>
      <c r="G422" s="38"/>
    </row>
    <row r="423" spans="1:7">
      <c r="A423" s="29" t="s">
        <v>22</v>
      </c>
      <c r="B423" s="29"/>
      <c r="C423" s="30">
        <f t="shared" si="9"/>
        <v>0</v>
      </c>
      <c r="D423" s="29"/>
      <c r="E423" s="14"/>
      <c r="F423" s="38"/>
      <c r="G423" s="38"/>
    </row>
    <row r="424" spans="1:7">
      <c r="A424" s="29" t="s">
        <v>23</v>
      </c>
      <c r="B424" s="29"/>
      <c r="C424" s="30">
        <f t="shared" si="9"/>
        <v>0</v>
      </c>
      <c r="D424" s="29"/>
      <c r="E424" s="14"/>
      <c r="F424" s="38"/>
      <c r="G424" s="38"/>
    </row>
    <row r="425" spans="1:7">
      <c r="A425" s="29" t="s">
        <v>24</v>
      </c>
      <c r="B425" s="29"/>
      <c r="C425" s="30">
        <f t="shared" si="9"/>
        <v>0</v>
      </c>
      <c r="D425" s="29"/>
      <c r="E425" s="14"/>
      <c r="F425" s="38"/>
      <c r="G425" s="38"/>
    </row>
    <row r="426" spans="1:7">
      <c r="A426" s="29" t="s">
        <v>25</v>
      </c>
      <c r="B426" s="29"/>
      <c r="C426" s="30">
        <f t="shared" si="9"/>
        <v>0</v>
      </c>
      <c r="D426" s="29"/>
      <c r="E426" s="14"/>
      <c r="F426" s="38"/>
      <c r="G426" s="38"/>
    </row>
    <row r="427" spans="1:7">
      <c r="A427" s="29" t="s">
        <v>26</v>
      </c>
      <c r="B427" s="29"/>
      <c r="C427" s="30">
        <f t="shared" si="9"/>
        <v>0</v>
      </c>
      <c r="D427" s="29"/>
      <c r="E427" s="14"/>
      <c r="F427" s="38"/>
      <c r="G427" s="38"/>
    </row>
    <row r="428" spans="1:7">
      <c r="A428" s="29" t="s">
        <v>27</v>
      </c>
      <c r="B428" s="29"/>
      <c r="C428" s="30">
        <f t="shared" si="9"/>
        <v>0</v>
      </c>
      <c r="D428" s="29"/>
      <c r="E428" s="14"/>
      <c r="F428" s="38"/>
      <c r="G428" s="38"/>
    </row>
    <row r="429" spans="1:7">
      <c r="A429" s="29" t="s">
        <v>28</v>
      </c>
      <c r="B429" s="29"/>
      <c r="C429" s="30">
        <f t="shared" si="9"/>
        <v>0</v>
      </c>
      <c r="D429" s="29"/>
      <c r="E429" s="14"/>
      <c r="F429" s="38"/>
      <c r="G429" s="38"/>
    </row>
    <row r="430" spans="1:7">
      <c r="A430" s="29" t="s">
        <v>29</v>
      </c>
      <c r="B430" s="29"/>
      <c r="C430" s="30">
        <f t="shared" si="9"/>
        <v>0</v>
      </c>
      <c r="D430" s="29"/>
      <c r="E430" s="14"/>
      <c r="F430" s="38"/>
      <c r="G430" s="38"/>
    </row>
    <row r="431" spans="1:7">
      <c r="A431" s="29" t="s">
        <v>30</v>
      </c>
      <c r="B431" s="29"/>
      <c r="C431" s="30">
        <f t="shared" si="9"/>
        <v>0</v>
      </c>
      <c r="D431" s="29"/>
      <c r="E431" s="14"/>
      <c r="F431" s="38"/>
      <c r="G431" s="38"/>
    </row>
    <row r="432" spans="1:7">
      <c r="A432" s="29" t="s">
        <v>31</v>
      </c>
      <c r="B432" s="29"/>
      <c r="C432" s="30">
        <f t="shared" si="9"/>
        <v>0</v>
      </c>
      <c r="D432" s="29"/>
      <c r="E432" s="14"/>
      <c r="F432" s="38"/>
      <c r="G432" s="38"/>
    </row>
    <row r="433" spans="1:7">
      <c r="A433" s="29" t="s">
        <v>32</v>
      </c>
      <c r="B433" s="29"/>
      <c r="C433" s="30">
        <f t="shared" si="9"/>
        <v>0</v>
      </c>
      <c r="D433" s="29"/>
      <c r="E433" s="14"/>
      <c r="F433" s="38"/>
      <c r="G433" s="38"/>
    </row>
    <row r="434" spans="1:7">
      <c r="A434" s="29" t="s">
        <v>33</v>
      </c>
      <c r="B434" s="29"/>
      <c r="C434" s="30">
        <f t="shared" si="9"/>
        <v>0</v>
      </c>
      <c r="D434" s="29"/>
      <c r="E434" s="14"/>
      <c r="F434" s="38"/>
      <c r="G434" s="38"/>
    </row>
    <row r="435" spans="1:7">
      <c r="A435" s="29" t="s">
        <v>34</v>
      </c>
      <c r="B435" s="29"/>
      <c r="C435" s="30">
        <f t="shared" si="9"/>
        <v>0</v>
      </c>
      <c r="D435" s="29"/>
      <c r="E435" s="14"/>
      <c r="F435" s="38"/>
      <c r="G435" s="38"/>
    </row>
    <row r="436" spans="1:7">
      <c r="A436" s="29" t="s">
        <v>35</v>
      </c>
      <c r="B436" s="29"/>
      <c r="C436" s="30">
        <f t="shared" si="9"/>
        <v>0</v>
      </c>
      <c r="D436" s="29"/>
      <c r="E436" s="14"/>
      <c r="F436" s="38"/>
      <c r="G436" s="38"/>
    </row>
    <row r="437" spans="1:7">
      <c r="A437" s="29" t="s">
        <v>36</v>
      </c>
      <c r="B437" s="29"/>
      <c r="C437" s="30">
        <f t="shared" si="9"/>
        <v>0</v>
      </c>
      <c r="D437" s="29"/>
      <c r="E437" s="14"/>
      <c r="F437" s="38"/>
      <c r="G437" s="38"/>
    </row>
    <row r="438" spans="1:7">
      <c r="A438" s="29" t="s">
        <v>37</v>
      </c>
      <c r="B438" s="29"/>
      <c r="C438" s="30">
        <f t="shared" si="9"/>
        <v>0</v>
      </c>
      <c r="D438" s="29"/>
      <c r="E438" s="14"/>
      <c r="F438" s="38"/>
      <c r="G438" s="38"/>
    </row>
    <row r="439" spans="1:7">
      <c r="A439" s="29" t="s">
        <v>38</v>
      </c>
      <c r="B439" s="29"/>
      <c r="C439" s="30">
        <f t="shared" si="9"/>
        <v>0</v>
      </c>
      <c r="D439" s="29"/>
      <c r="E439" s="14"/>
      <c r="F439" s="38"/>
      <c r="G439" s="38"/>
    </row>
    <row r="440" spans="1:7">
      <c r="A440" s="29" t="s">
        <v>39</v>
      </c>
      <c r="B440" s="29"/>
      <c r="C440" s="30">
        <f t="shared" si="9"/>
        <v>0</v>
      </c>
      <c r="D440" s="29"/>
      <c r="E440" s="14"/>
      <c r="F440" s="38"/>
      <c r="G440" s="38"/>
    </row>
    <row r="441" spans="1:7">
      <c r="A441" s="29" t="s">
        <v>40</v>
      </c>
      <c r="B441" s="29"/>
      <c r="C441" s="30">
        <f t="shared" si="9"/>
        <v>0</v>
      </c>
      <c r="D441" s="29"/>
      <c r="E441" s="14"/>
      <c r="F441" s="38"/>
      <c r="G441" s="38"/>
    </row>
    <row r="442" spans="1:7">
      <c r="A442" s="29" t="s">
        <v>41</v>
      </c>
      <c r="B442" s="29"/>
      <c r="C442" s="30">
        <f t="shared" si="9"/>
        <v>0</v>
      </c>
      <c r="D442" s="29"/>
      <c r="E442" s="14"/>
      <c r="F442" s="38"/>
      <c r="G442" s="38"/>
    </row>
    <row r="443" spans="1:7">
      <c r="A443" s="29" t="s">
        <v>42</v>
      </c>
      <c r="B443" s="29"/>
      <c r="C443" s="30">
        <f t="shared" si="9"/>
        <v>0</v>
      </c>
      <c r="D443" s="29"/>
      <c r="E443" s="14"/>
      <c r="F443" s="38"/>
      <c r="G443" s="38"/>
    </row>
    <row r="444" spans="1:7">
      <c r="A444" s="29" t="s">
        <v>43</v>
      </c>
      <c r="B444" s="29"/>
      <c r="C444" s="30">
        <f t="shared" si="9"/>
        <v>0</v>
      </c>
      <c r="D444" s="29"/>
      <c r="E444" s="14"/>
      <c r="F444" s="38"/>
      <c r="G444" s="38"/>
    </row>
    <row r="445" spans="1:7">
      <c r="A445" s="29" t="s">
        <v>44</v>
      </c>
      <c r="B445" s="29"/>
      <c r="C445" s="30">
        <f t="shared" si="9"/>
        <v>0</v>
      </c>
      <c r="D445" s="29"/>
      <c r="E445" s="14"/>
      <c r="F445" s="38"/>
      <c r="G445" s="38"/>
    </row>
    <row r="446" spans="1:7">
      <c r="A446" s="29" t="s">
        <v>45</v>
      </c>
      <c r="B446" s="29"/>
      <c r="C446" s="30">
        <f t="shared" si="9"/>
        <v>0</v>
      </c>
      <c r="D446" s="29"/>
      <c r="E446" s="14"/>
      <c r="F446" s="38"/>
      <c r="G446" s="38"/>
    </row>
    <row r="447" spans="1:7">
      <c r="A447" s="29" t="s">
        <v>46</v>
      </c>
      <c r="B447" s="29"/>
      <c r="C447" s="30">
        <f t="shared" si="9"/>
        <v>0</v>
      </c>
      <c r="D447" s="29"/>
      <c r="E447" s="14"/>
      <c r="F447" s="38"/>
      <c r="G447" s="38"/>
    </row>
    <row r="448" spans="1:7">
      <c r="A448" s="29" t="s">
        <v>47</v>
      </c>
      <c r="B448" s="29"/>
      <c r="C448" s="30">
        <f t="shared" si="9"/>
        <v>0</v>
      </c>
      <c r="D448" s="29"/>
      <c r="E448" s="14"/>
      <c r="F448" s="38"/>
      <c r="G448" s="38"/>
    </row>
    <row r="449" spans="1:7">
      <c r="A449" s="29" t="s">
        <v>48</v>
      </c>
      <c r="B449" s="29"/>
      <c r="C449" s="30">
        <f t="shared" si="9"/>
        <v>0</v>
      </c>
      <c r="D449" s="29"/>
      <c r="E449" s="14"/>
      <c r="F449" s="38"/>
      <c r="G449" s="38"/>
    </row>
    <row r="450" spans="1:7">
      <c r="A450" s="29" t="s">
        <v>49</v>
      </c>
      <c r="B450" s="29"/>
      <c r="C450" s="30">
        <f t="shared" si="9"/>
        <v>0</v>
      </c>
      <c r="D450" s="29"/>
      <c r="E450" s="14"/>
      <c r="F450" s="38"/>
      <c r="G450" s="38"/>
    </row>
    <row r="451" spans="1:7">
      <c r="A451" s="29" t="s">
        <v>50</v>
      </c>
      <c r="B451" s="29"/>
      <c r="C451" s="30">
        <f>B450</f>
        <v>0</v>
      </c>
      <c r="D451" s="29"/>
      <c r="E451" s="14"/>
      <c r="F451" s="38"/>
      <c r="G451" s="38"/>
    </row>
    <row r="452" spans="1:7">
      <c r="A452" s="29" t="s">
        <v>51</v>
      </c>
      <c r="B452" s="29"/>
      <c r="C452" s="30">
        <f t="shared" si="9"/>
        <v>0</v>
      </c>
      <c r="D452" s="29"/>
      <c r="E452" s="14"/>
      <c r="F452" s="38"/>
      <c r="G452" s="38"/>
    </row>
    <row r="453" spans="1:7">
      <c r="A453" s="29" t="s">
        <v>52</v>
      </c>
      <c r="B453" s="29"/>
      <c r="D453" s="29"/>
      <c r="E453" s="14"/>
      <c r="F453" s="38"/>
      <c r="G453" s="38"/>
    </row>
    <row r="454" spans="1:7">
      <c r="A454" s="29" t="s">
        <v>53</v>
      </c>
      <c r="B454" s="29"/>
      <c r="D454" s="29"/>
      <c r="E454" s="14"/>
      <c r="F454" s="38"/>
      <c r="G454" s="38"/>
    </row>
    <row r="455" spans="1:7">
      <c r="A455" s="29" t="s">
        <v>53</v>
      </c>
      <c r="B455" s="29"/>
      <c r="D455" s="58"/>
      <c r="E455" s="11"/>
      <c r="F455" s="39"/>
      <c r="G455" s="39"/>
    </row>
    <row r="456" spans="1:7">
      <c r="A456" s="29"/>
      <c r="B456" s="29"/>
      <c r="D456" s="29"/>
      <c r="E456" s="32"/>
      <c r="F456" s="40"/>
      <c r="G456" s="40"/>
    </row>
    <row r="457" spans="1:7" ht="60">
      <c r="A457" s="33" t="s">
        <v>55</v>
      </c>
      <c r="B457" s="29"/>
      <c r="D457" s="29"/>
      <c r="E457" s="34"/>
      <c r="F457" s="41"/>
      <c r="G457" s="42"/>
    </row>
    <row r="458" spans="1:7" ht="60">
      <c r="A458" s="33" t="s">
        <v>56</v>
      </c>
      <c r="B458" s="29"/>
      <c r="D458" s="11"/>
      <c r="E458" s="11"/>
      <c r="F458" s="39"/>
      <c r="G458" s="39"/>
    </row>
    <row r="459" spans="1:7" ht="96.75">
      <c r="A459" s="35" t="s">
        <v>57</v>
      </c>
      <c r="B459" s="29"/>
      <c r="D459" s="11"/>
      <c r="E459" s="11"/>
      <c r="F459" s="39"/>
      <c r="G459" s="39"/>
    </row>
    <row r="462" spans="1:7">
      <c r="A462" s="16" t="s">
        <v>64</v>
      </c>
      <c r="B462" s="17" t="e">
        <f>AVERAGE(B410:B449)</f>
        <v>#DIV/0!</v>
      </c>
    </row>
    <row r="463" spans="1:7">
      <c r="A463" s="16" t="s">
        <v>65</v>
      </c>
      <c r="B463" s="18" t="e">
        <f>AVERAGE(B415:B444)</f>
        <v>#DIV/0!</v>
      </c>
    </row>
    <row r="464" spans="1:7">
      <c r="A464" s="16" t="s">
        <v>66</v>
      </c>
      <c r="B464" s="18" t="e">
        <f>AVERAGE(B421:B439)</f>
        <v>#DIV/0!</v>
      </c>
    </row>
  </sheetData>
  <mergeCells count="14">
    <mergeCell ref="A2:A4"/>
    <mergeCell ref="B2:D2"/>
    <mergeCell ref="A69:A71"/>
    <mergeCell ref="B69:D69"/>
    <mergeCell ref="A134:A136"/>
    <mergeCell ref="B134:D134"/>
    <mergeCell ref="A401:A403"/>
    <mergeCell ref="B401:D401"/>
    <mergeCell ref="A200:A202"/>
    <mergeCell ref="B200:D200"/>
    <mergeCell ref="A266:A268"/>
    <mergeCell ref="B266:D266"/>
    <mergeCell ref="A333:A335"/>
    <mergeCell ref="B333:D333"/>
  </mergeCells>
  <pageMargins left="0.7" right="0.7" top="0.75" bottom="0.75" header="0.3" footer="0.3"/>
  <pageSetup paperSize="9" orientation="portrait" horizontalDpi="4294967295" verticalDpi="4294967295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Лист9">
    <tabColor rgb="FF92D050"/>
  </sheetPr>
  <dimension ref="A1:G464"/>
  <sheetViews>
    <sheetView topLeftCell="A436" workbookViewId="0">
      <selection activeCell="E227" sqref="E227:I228"/>
    </sheetView>
  </sheetViews>
  <sheetFormatPr defaultColWidth="8.7109375" defaultRowHeight="15"/>
  <cols>
    <col min="5" max="5" width="9.42578125" bestFit="1" customWidth="1"/>
    <col min="6" max="6" width="8.7109375" style="36"/>
    <col min="7" max="7" width="9.42578125" style="36" bestFit="1" customWidth="1"/>
  </cols>
  <sheetData>
    <row r="1" spans="1:7" ht="15.75" thickBot="1">
      <c r="D1" s="13">
        <v>0.1</v>
      </c>
      <c r="E1" s="13">
        <v>0.4</v>
      </c>
    </row>
    <row r="2" spans="1:7" ht="23.25" customHeight="1" thickBot="1">
      <c r="A2" s="522" t="s">
        <v>0</v>
      </c>
      <c r="B2" s="467" t="s">
        <v>1</v>
      </c>
      <c r="C2" s="468"/>
      <c r="D2" s="469"/>
      <c r="E2" s="19">
        <f>(1-E57)^(1/3)-1</f>
        <v>-3.0796752496353497E-2</v>
      </c>
      <c r="F2" s="19">
        <f>(1-F57)^(1/3)-1</f>
        <v>-3.7084580132457523E-2</v>
      </c>
      <c r="G2" s="19"/>
    </row>
    <row r="3" spans="1:7" ht="72.75" thickBot="1">
      <c r="A3" s="523"/>
      <c r="B3" s="1" t="s">
        <v>4</v>
      </c>
      <c r="C3" s="1"/>
      <c r="D3" s="1" t="s">
        <v>80</v>
      </c>
      <c r="E3" s="1" t="s">
        <v>5</v>
      </c>
      <c r="F3" s="37" t="s">
        <v>5</v>
      </c>
      <c r="G3" s="37"/>
    </row>
    <row r="4" spans="1:7" ht="16.5" customHeight="1" thickBot="1">
      <c r="A4" s="524"/>
      <c r="B4" s="1" t="s">
        <v>6</v>
      </c>
      <c r="C4" s="1"/>
      <c r="D4" s="1" t="s">
        <v>7</v>
      </c>
      <c r="E4" s="1" t="s">
        <v>7</v>
      </c>
      <c r="F4" s="37" t="s">
        <v>7</v>
      </c>
      <c r="G4" s="37"/>
    </row>
    <row r="5" spans="1:7">
      <c r="A5" s="50">
        <v>1</v>
      </c>
      <c r="B5" s="158">
        <v>2</v>
      </c>
      <c r="C5" s="51"/>
      <c r="D5" s="51">
        <v>3</v>
      </c>
      <c r="E5" s="51">
        <v>4</v>
      </c>
      <c r="F5" s="52">
        <v>5</v>
      </c>
      <c r="G5" s="52"/>
    </row>
    <row r="6" spans="1:7">
      <c r="A6" s="212" t="s">
        <v>10</v>
      </c>
      <c r="B6" s="215">
        <v>0.77</v>
      </c>
      <c r="C6" s="30">
        <v>0</v>
      </c>
      <c r="D6" s="157">
        <v>0</v>
      </c>
      <c r="E6" s="14">
        <v>0</v>
      </c>
      <c r="F6" s="38">
        <v>0</v>
      </c>
      <c r="G6" s="38">
        <v>0.40000000000000008</v>
      </c>
    </row>
    <row r="7" spans="1:7">
      <c r="A7" s="212" t="s">
        <v>58</v>
      </c>
      <c r="B7" s="216">
        <v>1.69</v>
      </c>
      <c r="C7" s="30">
        <f>B6</f>
        <v>0.77</v>
      </c>
      <c r="D7" s="157">
        <v>0</v>
      </c>
      <c r="E7" s="14">
        <v>0</v>
      </c>
      <c r="F7" s="38">
        <v>0</v>
      </c>
      <c r="G7" s="38">
        <v>0.4</v>
      </c>
    </row>
    <row r="8" spans="1:7">
      <c r="A8" s="212" t="s">
        <v>59</v>
      </c>
      <c r="B8" s="216">
        <v>2.94</v>
      </c>
      <c r="C8" s="30">
        <f t="shared" ref="C8:C56" si="0">B7</f>
        <v>1.69</v>
      </c>
      <c r="D8" s="157">
        <v>0</v>
      </c>
      <c r="E8" s="14">
        <v>0</v>
      </c>
      <c r="F8" s="38">
        <v>0</v>
      </c>
      <c r="G8" s="38">
        <v>0.39999999999999997</v>
      </c>
    </row>
    <row r="9" spans="1:7">
      <c r="A9" s="212" t="s">
        <v>60</v>
      </c>
      <c r="B9" s="216">
        <v>3.86</v>
      </c>
      <c r="C9" s="30">
        <f t="shared" si="0"/>
        <v>2.94</v>
      </c>
      <c r="D9" s="157">
        <v>0</v>
      </c>
      <c r="E9" s="14">
        <v>0</v>
      </c>
      <c r="F9" s="38">
        <v>0</v>
      </c>
      <c r="G9" s="38">
        <v>0.4</v>
      </c>
    </row>
    <row r="10" spans="1:7">
      <c r="A10" s="212" t="s">
        <v>61</v>
      </c>
      <c r="B10" s="216">
        <v>4.76</v>
      </c>
      <c r="C10" s="30">
        <f t="shared" si="0"/>
        <v>3.86</v>
      </c>
      <c r="D10" s="157">
        <v>0</v>
      </c>
      <c r="E10" s="14">
        <v>0</v>
      </c>
      <c r="F10" s="38">
        <v>0</v>
      </c>
      <c r="G10" s="38">
        <v>0.4</v>
      </c>
    </row>
    <row r="11" spans="1:7">
      <c r="A11" s="212" t="s">
        <v>62</v>
      </c>
      <c r="B11" s="216">
        <v>5.54</v>
      </c>
      <c r="C11" s="30">
        <f t="shared" si="0"/>
        <v>4.76</v>
      </c>
      <c r="D11" s="157">
        <v>0</v>
      </c>
      <c r="E11" s="14">
        <v>0</v>
      </c>
      <c r="F11" s="38">
        <v>0</v>
      </c>
      <c r="G11" s="38">
        <v>0.4</v>
      </c>
    </row>
    <row r="12" spans="1:7">
      <c r="A12" s="212" t="s">
        <v>63</v>
      </c>
      <c r="B12" s="216">
        <v>6.34</v>
      </c>
      <c r="C12" s="30">
        <f t="shared" si="0"/>
        <v>5.54</v>
      </c>
      <c r="D12" s="157">
        <v>0</v>
      </c>
      <c r="E12" s="14">
        <v>0</v>
      </c>
      <c r="F12" s="38">
        <v>0</v>
      </c>
      <c r="G12" s="38">
        <v>0.4</v>
      </c>
    </row>
    <row r="13" spans="1:7">
      <c r="A13" s="213" t="s">
        <v>11</v>
      </c>
      <c r="B13" s="216">
        <v>7.24</v>
      </c>
      <c r="C13" s="30">
        <f t="shared" si="0"/>
        <v>6.34</v>
      </c>
      <c r="D13" s="157">
        <v>0</v>
      </c>
      <c r="E13" s="14">
        <v>0</v>
      </c>
      <c r="F13" s="38">
        <v>0</v>
      </c>
      <c r="G13" s="38">
        <v>0.4</v>
      </c>
    </row>
    <row r="14" spans="1:7">
      <c r="A14" s="213" t="s">
        <v>12</v>
      </c>
      <c r="B14" s="216">
        <v>7.97</v>
      </c>
      <c r="C14" s="30">
        <f t="shared" si="0"/>
        <v>7.24</v>
      </c>
      <c r="D14" s="157">
        <v>0</v>
      </c>
      <c r="E14" s="14">
        <v>0</v>
      </c>
      <c r="F14" s="38">
        <v>0</v>
      </c>
      <c r="G14" s="38">
        <v>0.4</v>
      </c>
    </row>
    <row r="15" spans="1:7">
      <c r="A15" s="213" t="s">
        <v>13</v>
      </c>
      <c r="B15" s="216">
        <v>8.49</v>
      </c>
      <c r="C15" s="30">
        <f t="shared" si="0"/>
        <v>7.97</v>
      </c>
      <c r="D15" s="157">
        <v>0</v>
      </c>
      <c r="E15" s="14">
        <v>0</v>
      </c>
      <c r="F15" s="38">
        <v>0</v>
      </c>
      <c r="G15" s="38">
        <v>0.4</v>
      </c>
    </row>
    <row r="16" spans="1:7">
      <c r="A16" s="213" t="s">
        <v>14</v>
      </c>
      <c r="B16" s="216">
        <v>9.1999999999999993</v>
      </c>
      <c r="C16" s="30">
        <f t="shared" si="0"/>
        <v>8.49</v>
      </c>
      <c r="D16" s="157">
        <v>0</v>
      </c>
      <c r="E16" s="14">
        <v>0</v>
      </c>
      <c r="F16" s="38">
        <v>0</v>
      </c>
      <c r="G16" s="38">
        <v>0.4</v>
      </c>
    </row>
    <row r="17" spans="1:7">
      <c r="A17" s="213" t="s">
        <v>15</v>
      </c>
      <c r="B17" s="216">
        <v>9.9700000000000006</v>
      </c>
      <c r="C17" s="30">
        <f t="shared" si="0"/>
        <v>9.1999999999999993</v>
      </c>
      <c r="D17" s="157">
        <v>0</v>
      </c>
      <c r="E17" s="14">
        <v>0</v>
      </c>
      <c r="F17" s="38">
        <v>0</v>
      </c>
      <c r="G17" s="38">
        <v>0.4</v>
      </c>
    </row>
    <row r="18" spans="1:7">
      <c r="A18" s="213" t="s">
        <v>16</v>
      </c>
      <c r="B18" s="216">
        <v>10.97</v>
      </c>
      <c r="C18" s="30">
        <f t="shared" si="0"/>
        <v>9.9700000000000006</v>
      </c>
      <c r="D18" s="157">
        <v>0</v>
      </c>
      <c r="E18" s="14">
        <v>0</v>
      </c>
      <c r="F18" s="38">
        <v>0</v>
      </c>
      <c r="G18" s="38">
        <v>0.4</v>
      </c>
    </row>
    <row r="19" spans="1:7">
      <c r="A19" s="213" t="s">
        <v>17</v>
      </c>
      <c r="B19" s="216">
        <v>11.84</v>
      </c>
      <c r="C19" s="30">
        <f t="shared" si="0"/>
        <v>10.97</v>
      </c>
      <c r="D19" s="157">
        <v>0</v>
      </c>
      <c r="E19" s="14">
        <v>0</v>
      </c>
      <c r="F19" s="38">
        <v>0</v>
      </c>
      <c r="G19" s="38">
        <v>0.39999999999999997</v>
      </c>
    </row>
    <row r="20" spans="1:7">
      <c r="A20" s="213" t="s">
        <v>18</v>
      </c>
      <c r="B20" s="216">
        <v>12.48</v>
      </c>
      <c r="C20" s="30">
        <f t="shared" si="0"/>
        <v>11.84</v>
      </c>
      <c r="D20" s="157">
        <v>0</v>
      </c>
      <c r="E20" s="14">
        <v>0</v>
      </c>
      <c r="F20" s="38">
        <v>0</v>
      </c>
      <c r="G20" s="38">
        <v>0.40000000000000008</v>
      </c>
    </row>
    <row r="21" spans="1:7">
      <c r="A21" s="213" t="s">
        <v>19</v>
      </c>
      <c r="B21" s="216">
        <v>13.35</v>
      </c>
      <c r="C21" s="30">
        <f t="shared" si="0"/>
        <v>12.48</v>
      </c>
      <c r="D21" s="157">
        <v>0</v>
      </c>
      <c r="E21" s="14">
        <v>0</v>
      </c>
      <c r="F21" s="38">
        <v>0</v>
      </c>
      <c r="G21" s="38">
        <v>0.4</v>
      </c>
    </row>
    <row r="22" spans="1:7">
      <c r="A22" s="213" t="s">
        <v>20</v>
      </c>
      <c r="B22" s="216">
        <v>14.07</v>
      </c>
      <c r="C22" s="30">
        <f t="shared" si="0"/>
        <v>13.35</v>
      </c>
      <c r="D22" s="157">
        <v>0</v>
      </c>
      <c r="E22" s="14">
        <v>0</v>
      </c>
      <c r="F22" s="38">
        <v>0</v>
      </c>
      <c r="G22" s="38">
        <v>0.4</v>
      </c>
    </row>
    <row r="23" spans="1:7">
      <c r="A23" s="213" t="s">
        <v>21</v>
      </c>
      <c r="B23" s="216">
        <v>15.18</v>
      </c>
      <c r="C23" s="30">
        <f t="shared" si="0"/>
        <v>14.07</v>
      </c>
      <c r="D23" s="157">
        <v>0</v>
      </c>
      <c r="E23" s="14">
        <v>0</v>
      </c>
      <c r="F23" s="38">
        <v>0</v>
      </c>
      <c r="G23" s="38">
        <v>0.4</v>
      </c>
    </row>
    <row r="24" spans="1:7">
      <c r="A24" s="213" t="s">
        <v>22</v>
      </c>
      <c r="B24" s="216">
        <v>16.11</v>
      </c>
      <c r="C24" s="30">
        <f t="shared" si="0"/>
        <v>15.18</v>
      </c>
      <c r="D24" s="157">
        <v>0</v>
      </c>
      <c r="E24" s="14">
        <v>0</v>
      </c>
      <c r="F24" s="38">
        <v>0</v>
      </c>
      <c r="G24" s="38">
        <v>0.4</v>
      </c>
    </row>
    <row r="25" spans="1:7">
      <c r="A25" s="213" t="s">
        <v>23</v>
      </c>
      <c r="B25" s="216">
        <v>16.78</v>
      </c>
      <c r="C25" s="30">
        <f t="shared" si="0"/>
        <v>16.11</v>
      </c>
      <c r="D25" s="157">
        <v>0</v>
      </c>
      <c r="E25" s="14">
        <v>0</v>
      </c>
      <c r="F25" s="38">
        <v>2.513706793802173E-3</v>
      </c>
      <c r="G25" s="38">
        <v>0.4</v>
      </c>
    </row>
    <row r="26" spans="1:7">
      <c r="A26" s="213" t="s">
        <v>24</v>
      </c>
      <c r="B26" s="216">
        <v>17.489999999999998</v>
      </c>
      <c r="C26" s="30">
        <f t="shared" si="0"/>
        <v>16.78</v>
      </c>
      <c r="D26" s="157">
        <v>0</v>
      </c>
      <c r="E26" s="14">
        <v>0</v>
      </c>
      <c r="F26" s="38">
        <v>6.4711263579188228E-3</v>
      </c>
      <c r="G26" s="38">
        <v>0.4</v>
      </c>
    </row>
    <row r="27" spans="1:7">
      <c r="A27" s="213" t="s">
        <v>25</v>
      </c>
      <c r="B27" s="216">
        <v>18.579999999999998</v>
      </c>
      <c r="C27" s="30">
        <f t="shared" si="0"/>
        <v>17.489999999999998</v>
      </c>
      <c r="D27" s="157">
        <v>0</v>
      </c>
      <c r="E27" s="14">
        <v>0</v>
      </c>
      <c r="F27" s="38">
        <v>1.1958019375672778E-2</v>
      </c>
      <c r="G27" s="38">
        <v>0.4</v>
      </c>
    </row>
    <row r="28" spans="1:7">
      <c r="A28" s="213" t="s">
        <v>26</v>
      </c>
      <c r="B28" s="216">
        <v>19.72</v>
      </c>
      <c r="C28" s="30">
        <f t="shared" si="0"/>
        <v>18.579999999999998</v>
      </c>
      <c r="D28" s="157">
        <v>0</v>
      </c>
      <c r="E28" s="14">
        <v>0</v>
      </c>
      <c r="F28" s="38">
        <v>1.7047667342799201E-2</v>
      </c>
      <c r="G28" s="38">
        <v>0.4</v>
      </c>
    </row>
    <row r="29" spans="1:7">
      <c r="A29" s="213" t="s">
        <v>27</v>
      </c>
      <c r="B29" s="216">
        <v>20.25</v>
      </c>
      <c r="C29" s="30">
        <f t="shared" si="0"/>
        <v>19.72</v>
      </c>
      <c r="D29" s="157">
        <v>0</v>
      </c>
      <c r="E29" s="14"/>
      <c r="F29" s="38"/>
      <c r="G29" s="38"/>
    </row>
    <row r="30" spans="1:7">
      <c r="A30" s="213" t="s">
        <v>28</v>
      </c>
      <c r="B30" s="216">
        <v>21.42</v>
      </c>
      <c r="C30" s="30">
        <f t="shared" si="0"/>
        <v>20.25</v>
      </c>
      <c r="D30" s="157">
        <v>4.9033613445378314E-2</v>
      </c>
      <c r="E30" s="14"/>
      <c r="F30" s="38"/>
      <c r="G30" s="38"/>
    </row>
    <row r="31" spans="1:7">
      <c r="A31" s="213" t="s">
        <v>29</v>
      </c>
      <c r="B31" s="216">
        <v>22.7</v>
      </c>
      <c r="C31" s="30">
        <f t="shared" si="0"/>
        <v>21.42</v>
      </c>
      <c r="D31" s="157">
        <v>0.10265638766519829</v>
      </c>
      <c r="E31" s="14">
        <v>1.0265638766519829E-2</v>
      </c>
      <c r="F31" s="38">
        <v>2.7937444933920717E-2</v>
      </c>
      <c r="G31" s="38">
        <v>0.4</v>
      </c>
    </row>
    <row r="32" spans="1:7">
      <c r="A32" s="213" t="s">
        <v>30</v>
      </c>
      <c r="B32" s="216">
        <v>24.14</v>
      </c>
      <c r="C32" s="30">
        <f t="shared" si="0"/>
        <v>22.7</v>
      </c>
      <c r="D32" s="157">
        <v>0.15618475559237791</v>
      </c>
      <c r="E32" s="14">
        <v>1.5618475559237789E-2</v>
      </c>
      <c r="F32" s="38">
        <v>3.2236122618061323E-2</v>
      </c>
      <c r="G32" s="38">
        <v>0.4</v>
      </c>
    </row>
    <row r="33" spans="1:7">
      <c r="A33" s="213" t="s">
        <v>31</v>
      </c>
      <c r="B33" s="216">
        <v>25.82</v>
      </c>
      <c r="C33" s="30">
        <f t="shared" si="0"/>
        <v>24.14</v>
      </c>
      <c r="D33" s="157">
        <v>0.21108830364058878</v>
      </c>
      <c r="E33" s="14">
        <v>2.1108830364058879E-2</v>
      </c>
      <c r="F33" s="38">
        <v>3.6645236250968258E-2</v>
      </c>
      <c r="G33" s="38">
        <v>0.4</v>
      </c>
    </row>
    <row r="34" spans="1:7">
      <c r="A34" s="213" t="s">
        <v>32</v>
      </c>
      <c r="B34" s="216">
        <v>27.72</v>
      </c>
      <c r="C34" s="30">
        <f t="shared" si="0"/>
        <v>25.82</v>
      </c>
      <c r="D34" s="157">
        <v>0.26516233766233771</v>
      </c>
      <c r="E34" s="14">
        <v>2.6516233766233771E-2</v>
      </c>
      <c r="F34" s="38">
        <v>4.5926406926406975E-2</v>
      </c>
      <c r="G34" s="38">
        <v>0.40000000000000008</v>
      </c>
    </row>
    <row r="35" spans="1:7">
      <c r="A35" s="213" t="s">
        <v>33</v>
      </c>
      <c r="B35" s="216">
        <v>29.64</v>
      </c>
      <c r="C35" s="30">
        <f t="shared" si="0"/>
        <v>27.72</v>
      </c>
      <c r="D35" s="157">
        <v>0.31276315789473691</v>
      </c>
      <c r="E35" s="14">
        <v>3.1276315789473694E-2</v>
      </c>
      <c r="F35" s="38">
        <v>6.8862348178137717E-2</v>
      </c>
      <c r="G35" s="38">
        <v>0.4</v>
      </c>
    </row>
    <row r="36" spans="1:7">
      <c r="A36" s="213" t="s">
        <v>34</v>
      </c>
      <c r="B36" s="216">
        <v>31.64</v>
      </c>
      <c r="C36" s="30">
        <f t="shared" si="0"/>
        <v>29.64</v>
      </c>
      <c r="D36" s="157">
        <v>0.35620417193426052</v>
      </c>
      <c r="E36" s="14">
        <v>3.5620417193426047E-2</v>
      </c>
      <c r="F36" s="38">
        <v>8.9793931731984897E-2</v>
      </c>
      <c r="G36" s="38">
        <v>0.4</v>
      </c>
    </row>
    <row r="37" spans="1:7">
      <c r="A37" s="213" t="s">
        <v>35</v>
      </c>
      <c r="B37" s="216">
        <v>34.020000000000003</v>
      </c>
      <c r="C37" s="30">
        <f t="shared" si="0"/>
        <v>31.64</v>
      </c>
      <c r="D37" s="157">
        <v>0.40124338624338635</v>
      </c>
      <c r="E37" s="14">
        <v>4.0746031746031787E-2</v>
      </c>
      <c r="F37" s="38">
        <v>0.11149559082892425</v>
      </c>
      <c r="G37" s="38">
        <v>0.4</v>
      </c>
    </row>
    <row r="38" spans="1:7">
      <c r="A38" s="213" t="s">
        <v>36</v>
      </c>
      <c r="B38" s="216">
        <v>36.65</v>
      </c>
      <c r="C38" s="30">
        <f t="shared" si="0"/>
        <v>34.020000000000003</v>
      </c>
      <c r="D38" s="157">
        <v>0.44421009549795365</v>
      </c>
      <c r="E38" s="14">
        <v>6.6526057298772173E-2</v>
      </c>
      <c r="F38" s="38">
        <v>0.13219863574351981</v>
      </c>
      <c r="G38" s="38">
        <v>0.4</v>
      </c>
    </row>
    <row r="39" spans="1:7">
      <c r="A39" s="213" t="s">
        <v>37</v>
      </c>
      <c r="B39" s="216">
        <v>39.270000000000003</v>
      </c>
      <c r="C39" s="30">
        <f t="shared" si="0"/>
        <v>36.65</v>
      </c>
      <c r="D39" s="157">
        <v>0.48129106187929727</v>
      </c>
      <c r="E39" s="14">
        <v>8.8774637127578326E-2</v>
      </c>
      <c r="F39" s="38">
        <v>0.15006569900687555</v>
      </c>
      <c r="G39" s="38">
        <v>0.4</v>
      </c>
    </row>
    <row r="40" spans="1:7">
      <c r="A40" s="213" t="s">
        <v>38</v>
      </c>
      <c r="B40" s="216">
        <v>41.89</v>
      </c>
      <c r="C40" s="30">
        <f t="shared" si="0"/>
        <v>39.270000000000003</v>
      </c>
      <c r="D40" s="157">
        <v>0.513733587968489</v>
      </c>
      <c r="E40" s="14">
        <v>0.10824015278109336</v>
      </c>
      <c r="F40" s="38">
        <v>0.16569777989973747</v>
      </c>
      <c r="G40" s="38">
        <v>0.4</v>
      </c>
    </row>
    <row r="41" spans="1:7">
      <c r="A41" s="213" t="s">
        <v>39</v>
      </c>
      <c r="B41" s="216">
        <v>46.61</v>
      </c>
      <c r="C41" s="30">
        <f t="shared" si="0"/>
        <v>41.89</v>
      </c>
      <c r="D41" s="157">
        <v>0.56297575627547736</v>
      </c>
      <c r="E41" s="14">
        <v>0.13778545376528642</v>
      </c>
      <c r="F41" s="38">
        <v>0.18942458699849821</v>
      </c>
      <c r="G41" s="38">
        <v>0.4</v>
      </c>
    </row>
    <row r="42" spans="1:7">
      <c r="A42" s="213" t="s">
        <v>40</v>
      </c>
      <c r="B42" s="216">
        <v>51.3</v>
      </c>
      <c r="C42" s="30">
        <f t="shared" si="0"/>
        <v>46.61</v>
      </c>
      <c r="D42" s="157">
        <v>0.60292982456140354</v>
      </c>
      <c r="E42" s="14">
        <v>0.16175789473684207</v>
      </c>
      <c r="F42" s="38">
        <v>0.20867602339181288</v>
      </c>
      <c r="G42" s="38">
        <v>0.4</v>
      </c>
    </row>
    <row r="43" spans="1:7">
      <c r="A43" s="213" t="s">
        <v>41</v>
      </c>
      <c r="B43" s="216">
        <v>54.75</v>
      </c>
      <c r="C43" s="30">
        <f t="shared" si="0"/>
        <v>51.3</v>
      </c>
      <c r="D43" s="157">
        <v>0.62795068493150696</v>
      </c>
      <c r="E43" s="14">
        <v>0.17677041095890414</v>
      </c>
      <c r="F43" s="38">
        <v>0.2207320547945206</v>
      </c>
      <c r="G43" s="38">
        <v>0.4</v>
      </c>
    </row>
    <row r="44" spans="1:7">
      <c r="A44" s="213" t="s">
        <v>42</v>
      </c>
      <c r="B44" s="216">
        <v>59.92</v>
      </c>
      <c r="C44" s="30">
        <f t="shared" si="0"/>
        <v>54.75</v>
      </c>
      <c r="D44" s="157">
        <v>0.66005173564753017</v>
      </c>
      <c r="E44" s="14">
        <v>0.19603104138851807</v>
      </c>
      <c r="F44" s="38">
        <v>0.23619959946595462</v>
      </c>
      <c r="G44" s="38">
        <v>0.4</v>
      </c>
    </row>
    <row r="45" spans="1:7">
      <c r="A45" s="213" t="s">
        <v>43</v>
      </c>
      <c r="B45" s="216">
        <v>64.430000000000007</v>
      </c>
      <c r="C45" s="30">
        <f t="shared" si="0"/>
        <v>59.92</v>
      </c>
      <c r="D45" s="157">
        <v>0.68384758652801503</v>
      </c>
      <c r="E45" s="14">
        <v>0.210308551916809</v>
      </c>
      <c r="F45" s="38">
        <v>0.24766537327331992</v>
      </c>
      <c r="G45" s="38">
        <v>0.4</v>
      </c>
    </row>
    <row r="46" spans="1:7">
      <c r="A46" s="213" t="s">
        <v>44</v>
      </c>
      <c r="B46" s="216">
        <v>73.42</v>
      </c>
      <c r="C46" s="30">
        <f t="shared" si="0"/>
        <v>64.430000000000007</v>
      </c>
      <c r="D46" s="157">
        <v>0.72255924816126404</v>
      </c>
      <c r="E46" s="14">
        <v>0.2335355488967584</v>
      </c>
      <c r="F46" s="38">
        <v>0.26631816943612097</v>
      </c>
      <c r="G46" s="38">
        <v>0.4</v>
      </c>
    </row>
    <row r="47" spans="1:7">
      <c r="A47" s="213" t="s">
        <v>45</v>
      </c>
      <c r="B47" s="216">
        <v>86.41</v>
      </c>
      <c r="C47" s="30">
        <f t="shared" si="0"/>
        <v>73.42</v>
      </c>
      <c r="D47" s="157">
        <v>0.76426686726073378</v>
      </c>
      <c r="E47" s="14">
        <v>0.25856012035644027</v>
      </c>
      <c r="F47" s="38">
        <v>0.28641453535470435</v>
      </c>
      <c r="G47" s="38">
        <v>0.4</v>
      </c>
    </row>
    <row r="48" spans="1:7">
      <c r="A48" s="213" t="s">
        <v>46</v>
      </c>
      <c r="B48" s="216">
        <v>99.64</v>
      </c>
      <c r="C48" s="30">
        <f t="shared" si="0"/>
        <v>86.41</v>
      </c>
      <c r="D48" s="157">
        <v>0.79556704134885592</v>
      </c>
      <c r="E48" s="14">
        <v>0.27734022480931358</v>
      </c>
      <c r="F48" s="38">
        <v>0.30149618627057406</v>
      </c>
      <c r="G48" s="38">
        <v>0.4</v>
      </c>
    </row>
    <row r="49" spans="1:7">
      <c r="A49" s="213" t="s">
        <v>47</v>
      </c>
      <c r="B49" s="216">
        <v>111.4</v>
      </c>
      <c r="C49" s="30">
        <f t="shared" si="0"/>
        <v>99.64</v>
      </c>
      <c r="D49" s="157">
        <v>0.81714811490125683</v>
      </c>
      <c r="E49" s="14">
        <v>0.29028886894075406</v>
      </c>
      <c r="F49" s="38">
        <v>0.31189479353680438</v>
      </c>
      <c r="G49" s="38">
        <v>0.4</v>
      </c>
    </row>
    <row r="50" spans="1:7">
      <c r="A50" s="213" t="s">
        <v>48</v>
      </c>
      <c r="B50" s="216">
        <v>133.62</v>
      </c>
      <c r="C50" s="30">
        <f t="shared" si="0"/>
        <v>111.4</v>
      </c>
      <c r="D50" s="157">
        <v>0.84755500673551865</v>
      </c>
      <c r="E50" s="14">
        <v>0.30853300404131118</v>
      </c>
      <c r="F50" s="38">
        <v>0.32654602604400546</v>
      </c>
      <c r="G50" s="38">
        <v>0.4</v>
      </c>
    </row>
    <row r="51" spans="1:7">
      <c r="A51" s="213" t="s">
        <v>49</v>
      </c>
      <c r="B51" s="216">
        <v>180.06</v>
      </c>
      <c r="C51" s="30">
        <f t="shared" si="0"/>
        <v>133.62</v>
      </c>
      <c r="D51" s="157">
        <v>0.88687270909696769</v>
      </c>
      <c r="E51" s="14">
        <v>0.33212362545818058</v>
      </c>
      <c r="F51" s="38">
        <v>0.34549083638787076</v>
      </c>
      <c r="G51" s="38">
        <v>0.4</v>
      </c>
    </row>
    <row r="52" spans="1:7">
      <c r="A52" s="213" t="s">
        <v>50</v>
      </c>
      <c r="B52" s="216">
        <v>221.24</v>
      </c>
      <c r="C52" s="30">
        <f t="shared" si="0"/>
        <v>180.06</v>
      </c>
      <c r="D52" s="157">
        <v>0.90792939793888994</v>
      </c>
      <c r="E52" s="14">
        <v>0.34475763876333393</v>
      </c>
      <c r="F52" s="38">
        <v>0.35563677454348219</v>
      </c>
      <c r="G52" s="38">
        <v>0.4</v>
      </c>
    </row>
    <row r="53" spans="1:7">
      <c r="A53" s="213" t="s">
        <v>51</v>
      </c>
      <c r="B53" s="216">
        <v>279.73</v>
      </c>
      <c r="C53" s="30">
        <f t="shared" si="0"/>
        <v>221.24</v>
      </c>
      <c r="D53" s="157">
        <v>0.92718085296535935</v>
      </c>
      <c r="E53" s="14">
        <v>0.35630851177921569</v>
      </c>
      <c r="F53" s="38">
        <v>0.36491288027741037</v>
      </c>
      <c r="G53" s="38">
        <v>0.4</v>
      </c>
    </row>
    <row r="54" spans="1:7">
      <c r="A54" s="213" t="s">
        <v>52</v>
      </c>
      <c r="B54" s="216">
        <v>370.99</v>
      </c>
      <c r="C54" s="30">
        <f t="shared" si="0"/>
        <v>279.73</v>
      </c>
      <c r="D54" s="157">
        <v>0.94509366829294583</v>
      </c>
      <c r="E54" s="14">
        <v>0.36705620097576758</v>
      </c>
      <c r="F54" s="38">
        <v>0.37354397692660174</v>
      </c>
      <c r="G54" s="38">
        <v>0.4</v>
      </c>
    </row>
    <row r="55" spans="1:7">
      <c r="A55" s="29" t="s">
        <v>53</v>
      </c>
      <c r="B55" s="28">
        <v>554.38</v>
      </c>
      <c r="C55" s="30">
        <f>B54</f>
        <v>370.99</v>
      </c>
      <c r="D55" s="14">
        <v>0.9632567913705401</v>
      </c>
      <c r="E55" s="14">
        <v>0.37795407482232402</v>
      </c>
      <c r="F55" s="38">
        <v>0.38229568166239764</v>
      </c>
      <c r="G55" s="38">
        <v>0.4</v>
      </c>
    </row>
    <row r="56" spans="1:7">
      <c r="A56" s="29" t="s">
        <v>53</v>
      </c>
      <c r="B56" s="31" t="s">
        <v>140</v>
      </c>
      <c r="C56" s="30">
        <f t="shared" si="0"/>
        <v>554.38</v>
      </c>
      <c r="D56" s="14" t="e">
        <v>#VALUE!</v>
      </c>
      <c r="E56" s="11"/>
      <c r="F56" s="39"/>
      <c r="G56" s="39"/>
    </row>
    <row r="57" spans="1:7">
      <c r="A57" s="29"/>
      <c r="B57" s="31"/>
      <c r="C57" s="31"/>
      <c r="D57" s="11"/>
      <c r="E57" s="32">
        <v>8.9574146466934457E-2</v>
      </c>
      <c r="F57" s="40">
        <v>0.10717894331185127</v>
      </c>
      <c r="G57" s="40">
        <v>0.39999999999999986</v>
      </c>
    </row>
    <row r="58" spans="1:7" ht="60.75" thickBot="1">
      <c r="A58" s="33" t="s">
        <v>55</v>
      </c>
      <c r="B58" s="200"/>
      <c r="C58" s="31"/>
      <c r="D58" s="11"/>
      <c r="E58" s="34">
        <v>33.9495</v>
      </c>
      <c r="F58" s="41">
        <v>27.263666666666662</v>
      </c>
      <c r="G58" s="42">
        <v>0</v>
      </c>
    </row>
    <row r="59" spans="1:7" ht="60.75" thickBot="1">
      <c r="A59" s="33" t="s">
        <v>56</v>
      </c>
      <c r="B59" s="200">
        <v>52.76</v>
      </c>
      <c r="C59" s="31"/>
      <c r="D59" s="11"/>
      <c r="E59" s="11"/>
      <c r="F59" s="39"/>
      <c r="G59" s="39"/>
    </row>
    <row r="60" spans="1:7" ht="97.5" thickBot="1">
      <c r="A60" s="35" t="s">
        <v>57</v>
      </c>
      <c r="B60" s="4">
        <v>31.655999999999999</v>
      </c>
      <c r="C60" s="29"/>
      <c r="D60" s="11"/>
      <c r="E60" s="11">
        <v>20.369699999999998</v>
      </c>
      <c r="F60" s="39">
        <v>16.358199999999997</v>
      </c>
      <c r="G60" s="39">
        <v>0</v>
      </c>
    </row>
    <row r="62" spans="1:7" ht="60.75" thickBot="1">
      <c r="A62" s="5" t="s">
        <v>56</v>
      </c>
      <c r="B62">
        <f>B59</f>
        <v>52.76</v>
      </c>
    </row>
    <row r="63" spans="1:7">
      <c r="A63" s="16" t="s">
        <v>64</v>
      </c>
      <c r="B63" s="17">
        <f>AVERAGE(B11:B50)</f>
        <v>33.9495</v>
      </c>
      <c r="C63" s="17"/>
    </row>
    <row r="64" spans="1:7">
      <c r="A64" s="16" t="s">
        <v>65</v>
      </c>
      <c r="B64" s="18">
        <f>AVERAGE(B16:B45)</f>
        <v>27.263666666666662</v>
      </c>
      <c r="C64" s="18"/>
    </row>
    <row r="65" spans="1:7">
      <c r="A65" s="16" t="s">
        <v>66</v>
      </c>
      <c r="B65" s="18">
        <f>AVERAGE(B22:B40)</f>
        <v>24.899473684210523</v>
      </c>
      <c r="C65" s="18"/>
    </row>
    <row r="69" spans="1:7" ht="15" customHeight="1">
      <c r="A69" s="473" t="s">
        <v>0</v>
      </c>
      <c r="B69" s="473" t="s">
        <v>2</v>
      </c>
      <c r="C69" s="473"/>
      <c r="D69" s="473"/>
      <c r="E69" s="49">
        <f>(1-E124)^(1/3)-1</f>
        <v>-2.6341342840996318E-2</v>
      </c>
      <c r="F69" s="49">
        <f>(1-F124)^(1/3)-1</f>
        <v>-2.8936390060009809E-2</v>
      </c>
      <c r="G69" s="49"/>
    </row>
    <row r="70" spans="1:7" ht="72">
      <c r="A70" s="473"/>
      <c r="B70" s="11" t="s">
        <v>4</v>
      </c>
      <c r="C70" s="11"/>
      <c r="D70" s="11" t="s">
        <v>80</v>
      </c>
      <c r="E70" s="11" t="s">
        <v>5</v>
      </c>
      <c r="F70" s="39" t="s">
        <v>5</v>
      </c>
      <c r="G70" s="39"/>
    </row>
    <row r="71" spans="1:7" ht="24">
      <c r="A71" s="473"/>
      <c r="B71" s="11" t="s">
        <v>8</v>
      </c>
      <c r="C71" s="11"/>
      <c r="D71" s="11" t="s">
        <v>7</v>
      </c>
      <c r="E71" s="11" t="s">
        <v>7</v>
      </c>
      <c r="F71" s="39" t="s">
        <v>7</v>
      </c>
      <c r="G71" s="39"/>
    </row>
    <row r="72" spans="1:7">
      <c r="A72" s="50">
        <v>1</v>
      </c>
      <c r="B72" s="51">
        <v>2</v>
      </c>
      <c r="C72" s="51"/>
      <c r="D72" s="51">
        <v>3</v>
      </c>
      <c r="E72" s="51">
        <v>4</v>
      </c>
      <c r="F72" s="52">
        <v>5</v>
      </c>
      <c r="G72" s="52"/>
    </row>
    <row r="73" spans="1:7">
      <c r="A73" s="27" t="s">
        <v>10</v>
      </c>
      <c r="B73" s="209">
        <v>23.59</v>
      </c>
      <c r="C73" s="253">
        <v>0</v>
      </c>
      <c r="D73" s="14">
        <v>0</v>
      </c>
      <c r="E73" s="14">
        <v>0</v>
      </c>
      <c r="F73" s="38">
        <v>0</v>
      </c>
      <c r="G73" s="38">
        <v>0.4</v>
      </c>
    </row>
    <row r="74" spans="1:7">
      <c r="A74" s="27" t="s">
        <v>58</v>
      </c>
      <c r="B74" s="209">
        <v>25.3</v>
      </c>
      <c r="C74" s="30">
        <f>B73</f>
        <v>23.59</v>
      </c>
      <c r="D74" s="14">
        <v>0</v>
      </c>
      <c r="E74" s="14">
        <v>0</v>
      </c>
      <c r="F74" s="38">
        <v>0</v>
      </c>
      <c r="G74" s="38">
        <v>0.4</v>
      </c>
    </row>
    <row r="75" spans="1:7">
      <c r="A75" s="27" t="s">
        <v>59</v>
      </c>
      <c r="B75" s="209">
        <v>26.91</v>
      </c>
      <c r="C75" s="30">
        <f t="shared" ref="C75:C123" si="1">B74</f>
        <v>25.3</v>
      </c>
      <c r="D75" s="14">
        <v>0</v>
      </c>
      <c r="E75" s="14">
        <v>0</v>
      </c>
      <c r="F75" s="38">
        <v>0</v>
      </c>
      <c r="G75" s="38">
        <v>0.4</v>
      </c>
    </row>
    <row r="76" spans="1:7">
      <c r="A76" s="27" t="s">
        <v>60</v>
      </c>
      <c r="B76" s="209">
        <v>27.7</v>
      </c>
      <c r="C76" s="30">
        <f t="shared" si="1"/>
        <v>26.91</v>
      </c>
      <c r="D76" s="14">
        <v>0</v>
      </c>
      <c r="E76" s="14">
        <v>0</v>
      </c>
      <c r="F76" s="38">
        <v>0</v>
      </c>
      <c r="G76" s="38">
        <v>0.4</v>
      </c>
    </row>
    <row r="77" spans="1:7">
      <c r="A77" s="27" t="s">
        <v>61</v>
      </c>
      <c r="B77" s="209">
        <v>28.72</v>
      </c>
      <c r="C77" s="30">
        <f t="shared" si="1"/>
        <v>27.7</v>
      </c>
      <c r="D77" s="14">
        <v>0</v>
      </c>
      <c r="E77" s="14">
        <v>0</v>
      </c>
      <c r="F77" s="38">
        <v>0</v>
      </c>
      <c r="G77" s="38">
        <v>0.4</v>
      </c>
    </row>
    <row r="78" spans="1:7">
      <c r="A78" s="27" t="s">
        <v>62</v>
      </c>
      <c r="B78" s="209">
        <v>29.71</v>
      </c>
      <c r="C78" s="30">
        <f t="shared" si="1"/>
        <v>28.72</v>
      </c>
      <c r="D78" s="14">
        <v>0</v>
      </c>
      <c r="E78" s="14">
        <v>0</v>
      </c>
      <c r="F78" s="38">
        <v>0</v>
      </c>
      <c r="G78" s="38">
        <v>0.4</v>
      </c>
    </row>
    <row r="79" spans="1:7">
      <c r="A79" s="27" t="s">
        <v>63</v>
      </c>
      <c r="B79" s="209">
        <v>30.69</v>
      </c>
      <c r="C79" s="30">
        <f t="shared" si="1"/>
        <v>29.71</v>
      </c>
      <c r="D79" s="14">
        <v>0</v>
      </c>
      <c r="E79" s="14">
        <v>0</v>
      </c>
      <c r="F79" s="38">
        <v>0</v>
      </c>
      <c r="G79" s="38">
        <v>0.4</v>
      </c>
    </row>
    <row r="80" spans="1:7">
      <c r="A80" s="29" t="s">
        <v>11</v>
      </c>
      <c r="B80" s="209">
        <v>31.69</v>
      </c>
      <c r="C80" s="30">
        <f t="shared" si="1"/>
        <v>30.69</v>
      </c>
      <c r="D80" s="14">
        <v>0</v>
      </c>
      <c r="E80" s="14">
        <v>0</v>
      </c>
      <c r="F80" s="38">
        <v>2.5269801199116516E-3</v>
      </c>
      <c r="G80" s="38">
        <v>0.4</v>
      </c>
    </row>
    <row r="81" spans="1:7">
      <c r="A81" s="29" t="s">
        <v>12</v>
      </c>
      <c r="B81" s="209">
        <v>32.380000000000003</v>
      </c>
      <c r="C81" s="30">
        <f t="shared" si="1"/>
        <v>31.69</v>
      </c>
      <c r="D81" s="14">
        <v>0</v>
      </c>
      <c r="E81" s="14"/>
      <c r="F81" s="38"/>
      <c r="G81" s="38"/>
    </row>
    <row r="82" spans="1:7">
      <c r="A82" s="29" t="s">
        <v>13</v>
      </c>
      <c r="B82" s="209">
        <v>33.04</v>
      </c>
      <c r="C82" s="30">
        <f t="shared" si="1"/>
        <v>32.380000000000003</v>
      </c>
      <c r="D82" s="14">
        <v>1.3572941888619889E-2</v>
      </c>
      <c r="E82" s="14"/>
      <c r="F82" s="38"/>
      <c r="G82" s="38"/>
    </row>
    <row r="83" spans="1:7">
      <c r="A83" s="29" t="s">
        <v>14</v>
      </c>
      <c r="B83" s="209">
        <v>33.520000000000003</v>
      </c>
      <c r="C83" s="30">
        <f t="shared" si="1"/>
        <v>33.04</v>
      </c>
      <c r="D83" s="14">
        <v>2.7698389021479863E-2</v>
      </c>
      <c r="E83" s="14"/>
      <c r="F83" s="38"/>
      <c r="G83" s="38"/>
    </row>
    <row r="84" spans="1:7">
      <c r="A84" s="29" t="s">
        <v>15</v>
      </c>
      <c r="B84" s="209">
        <v>34.74</v>
      </c>
      <c r="C84" s="30">
        <f t="shared" si="1"/>
        <v>33.520000000000003</v>
      </c>
      <c r="D84" s="14">
        <v>6.1843696027633961E-2</v>
      </c>
      <c r="E84" s="14"/>
      <c r="F84" s="38"/>
      <c r="G84" s="38"/>
    </row>
    <row r="85" spans="1:7">
      <c r="A85" s="29" t="s">
        <v>16</v>
      </c>
      <c r="B85" s="209">
        <v>36.19</v>
      </c>
      <c r="C85" s="30">
        <f t="shared" si="1"/>
        <v>34.74</v>
      </c>
      <c r="D85" s="14">
        <v>9.9432163581099756E-2</v>
      </c>
      <c r="E85" s="14">
        <v>9.9432163581099752E-3</v>
      </c>
      <c r="F85" s="38">
        <v>1.4647140093948602E-2</v>
      </c>
      <c r="G85" s="38">
        <v>0.4</v>
      </c>
    </row>
    <row r="86" spans="1:7">
      <c r="A86" s="29" t="s">
        <v>17</v>
      </c>
      <c r="B86" s="209">
        <v>37.07</v>
      </c>
      <c r="C86" s="30">
        <f t="shared" si="1"/>
        <v>36.19</v>
      </c>
      <c r="D86" s="14">
        <v>0.12081062854059893</v>
      </c>
      <c r="E86" s="14">
        <v>1.2081062854059894E-2</v>
      </c>
      <c r="F86" s="38">
        <v>1.6673320744537368E-2</v>
      </c>
      <c r="G86" s="38">
        <v>0.4</v>
      </c>
    </row>
    <row r="87" spans="1:7">
      <c r="A87" s="29" t="s">
        <v>18</v>
      </c>
      <c r="B87" s="209">
        <v>38.200000000000003</v>
      </c>
      <c r="C87" s="30">
        <f t="shared" si="1"/>
        <v>37.07</v>
      </c>
      <c r="D87" s="14">
        <v>0.14681806282722526</v>
      </c>
      <c r="E87" s="14">
        <v>1.4681806282722525E-2</v>
      </c>
      <c r="F87" s="38">
        <v>1.9138219895287967E-2</v>
      </c>
      <c r="G87" s="38">
        <v>0.4</v>
      </c>
    </row>
    <row r="88" spans="1:7">
      <c r="A88" s="29" t="s">
        <v>19</v>
      </c>
      <c r="B88" s="217">
        <v>38.57</v>
      </c>
      <c r="C88" s="30">
        <f t="shared" si="1"/>
        <v>38.200000000000003</v>
      </c>
      <c r="D88" s="14">
        <v>0.15500259268861816</v>
      </c>
      <c r="E88" s="14">
        <v>1.5500259268861817E-2</v>
      </c>
      <c r="F88" s="38">
        <v>1.9913922737879185E-2</v>
      </c>
      <c r="G88" s="38">
        <v>0.4</v>
      </c>
    </row>
    <row r="89" spans="1:7">
      <c r="A89" s="29" t="s">
        <v>20</v>
      </c>
      <c r="B89" s="209">
        <v>39.64</v>
      </c>
      <c r="C89" s="30">
        <f t="shared" si="1"/>
        <v>38.57</v>
      </c>
      <c r="D89" s="14">
        <v>0.17781155398587292</v>
      </c>
      <c r="E89" s="14">
        <v>1.7781155398587292E-2</v>
      </c>
      <c r="F89" s="38">
        <v>2.2075681130171547E-2</v>
      </c>
      <c r="G89" s="38">
        <v>0.4</v>
      </c>
    </row>
    <row r="90" spans="1:7">
      <c r="A90" s="29" t="s">
        <v>21</v>
      </c>
      <c r="B90" s="209">
        <v>40.659999999999997</v>
      </c>
      <c r="C90" s="30">
        <f t="shared" si="1"/>
        <v>39.64</v>
      </c>
      <c r="D90" s="14">
        <v>0.1984370388588293</v>
      </c>
      <c r="E90" s="14">
        <v>1.984370388588293E-2</v>
      </c>
      <c r="F90" s="38">
        <v>2.4030496802754549E-2</v>
      </c>
      <c r="G90" s="38">
        <v>0.4</v>
      </c>
    </row>
    <row r="91" spans="1:7">
      <c r="A91" s="29" t="s">
        <v>22</v>
      </c>
      <c r="B91" s="209">
        <v>41.62</v>
      </c>
      <c r="C91" s="30">
        <f t="shared" si="1"/>
        <v>40.659999999999997</v>
      </c>
      <c r="D91" s="14">
        <v>0.21692575684766938</v>
      </c>
      <c r="E91" s="14">
        <v>2.169257568476694E-2</v>
      </c>
      <c r="F91" s="38">
        <v>2.5782796732340216E-2</v>
      </c>
      <c r="G91" s="38">
        <v>0.4</v>
      </c>
    </row>
    <row r="92" spans="1:7">
      <c r="A92" s="29" t="s">
        <v>23</v>
      </c>
      <c r="B92" s="209">
        <v>42.21</v>
      </c>
      <c r="C92" s="30">
        <f t="shared" si="1"/>
        <v>41.62</v>
      </c>
      <c r="D92" s="14">
        <v>0.22787135749822324</v>
      </c>
      <c r="E92" s="14">
        <v>2.2787135749822322E-2</v>
      </c>
      <c r="F92" s="38">
        <v>2.6820184790334049E-2</v>
      </c>
      <c r="G92" s="38">
        <v>0.4</v>
      </c>
    </row>
    <row r="93" spans="1:7">
      <c r="A93" s="29" t="s">
        <v>24</v>
      </c>
      <c r="B93" s="209">
        <v>43.3</v>
      </c>
      <c r="C93" s="30">
        <f t="shared" si="1"/>
        <v>42.21</v>
      </c>
      <c r="D93" s="14">
        <v>0.2473083140877598</v>
      </c>
      <c r="E93" s="14">
        <v>2.4730831408775984E-2</v>
      </c>
      <c r="F93" s="38">
        <v>2.8662355658198614E-2</v>
      </c>
      <c r="G93" s="38">
        <v>0.4</v>
      </c>
    </row>
    <row r="94" spans="1:7">
      <c r="A94" s="29" t="s">
        <v>25</v>
      </c>
      <c r="B94" s="209">
        <v>45.3</v>
      </c>
      <c r="C94" s="30">
        <f t="shared" si="1"/>
        <v>43.3</v>
      </c>
      <c r="D94" s="14">
        <v>0.28053973509933777</v>
      </c>
      <c r="E94" s="14">
        <v>2.8053973509933775E-2</v>
      </c>
      <c r="F94" s="38">
        <v>3.1811920529801321E-2</v>
      </c>
      <c r="G94" s="38">
        <v>0.4</v>
      </c>
    </row>
    <row r="95" spans="1:7">
      <c r="A95" s="29" t="s">
        <v>26</v>
      </c>
      <c r="B95" s="209">
        <v>46.26</v>
      </c>
      <c r="C95" s="30">
        <f t="shared" si="1"/>
        <v>45.3</v>
      </c>
      <c r="D95" s="14">
        <v>0.295470168612192</v>
      </c>
      <c r="E95" s="14">
        <v>2.9547016861219199E-2</v>
      </c>
      <c r="F95" s="38">
        <v>3.322697795071336E-2</v>
      </c>
      <c r="G95" s="38">
        <v>0.4</v>
      </c>
    </row>
    <row r="96" spans="1:7">
      <c r="A96" s="29" t="s">
        <v>27</v>
      </c>
      <c r="B96" s="209">
        <v>47.35</v>
      </c>
      <c r="C96" s="30">
        <f t="shared" si="1"/>
        <v>46.26</v>
      </c>
      <c r="D96" s="14">
        <v>0.3116884899683211</v>
      </c>
      <c r="E96" s="14">
        <v>3.1168848996832112E-2</v>
      </c>
      <c r="F96" s="38">
        <v>3.476409714889124E-2</v>
      </c>
      <c r="G96" s="38">
        <v>0.4</v>
      </c>
    </row>
    <row r="97" spans="1:7">
      <c r="A97" s="29" t="s">
        <v>28</v>
      </c>
      <c r="B97" s="209">
        <v>48.81</v>
      </c>
      <c r="C97" s="30">
        <f t="shared" si="1"/>
        <v>47.35</v>
      </c>
      <c r="D97" s="14">
        <v>0.33227719729563621</v>
      </c>
      <c r="E97" s="14">
        <v>3.3227719729563621E-2</v>
      </c>
      <c r="F97" s="38">
        <v>3.6715427166564236E-2</v>
      </c>
      <c r="G97" s="38">
        <v>0.4</v>
      </c>
    </row>
    <row r="98" spans="1:7">
      <c r="A98" s="29" t="s">
        <v>29</v>
      </c>
      <c r="B98" s="209">
        <v>49.8</v>
      </c>
      <c r="C98" s="30">
        <f t="shared" si="1"/>
        <v>48.81</v>
      </c>
      <c r="D98" s="14">
        <v>0.34555120481927709</v>
      </c>
      <c r="E98" s="14">
        <v>3.4555120481927715E-2</v>
      </c>
      <c r="F98" s="38">
        <v>3.7973493975903612E-2</v>
      </c>
      <c r="G98" s="38">
        <v>0.40000000000000008</v>
      </c>
    </row>
    <row r="99" spans="1:7">
      <c r="A99" s="29" t="s">
        <v>30</v>
      </c>
      <c r="B99" s="209">
        <v>51.28</v>
      </c>
      <c r="C99" s="30">
        <f t="shared" si="1"/>
        <v>49.8</v>
      </c>
      <c r="D99" s="14">
        <v>0.36443935257410304</v>
      </c>
      <c r="E99" s="14">
        <v>3.6443935257410305E-2</v>
      </c>
      <c r="F99" s="38">
        <v>3.9763650546021843E-2</v>
      </c>
      <c r="G99" s="38">
        <v>0.4</v>
      </c>
    </row>
    <row r="100" spans="1:7">
      <c r="A100" s="29" t="s">
        <v>31</v>
      </c>
      <c r="B100" s="209">
        <v>52.46</v>
      </c>
      <c r="C100" s="30">
        <f t="shared" si="1"/>
        <v>51.28</v>
      </c>
      <c r="D100" s="14">
        <v>0.37873522683949679</v>
      </c>
      <c r="E100" s="14">
        <v>3.7873522683949681E-2</v>
      </c>
      <c r="F100" s="38">
        <v>4.6711399161265738E-2</v>
      </c>
      <c r="G100" s="38">
        <v>0.4</v>
      </c>
    </row>
    <row r="101" spans="1:7">
      <c r="A101" s="29" t="s">
        <v>32</v>
      </c>
      <c r="B101" s="209">
        <v>53.83</v>
      </c>
      <c r="C101" s="30">
        <f t="shared" si="1"/>
        <v>52.46</v>
      </c>
      <c r="D101" s="14">
        <v>0.39454672115920492</v>
      </c>
      <c r="E101" s="14">
        <v>3.9454672115920499E-2</v>
      </c>
      <c r="F101" s="38">
        <v>5.5702767973249113E-2</v>
      </c>
      <c r="G101" s="38">
        <v>0.4</v>
      </c>
    </row>
    <row r="102" spans="1:7">
      <c r="A102" s="29" t="s">
        <v>33</v>
      </c>
      <c r="B102" s="209">
        <v>54.9</v>
      </c>
      <c r="C102" s="30">
        <f t="shared" si="1"/>
        <v>53.83</v>
      </c>
      <c r="D102" s="14">
        <v>0.40634699453551915</v>
      </c>
      <c r="E102" s="14">
        <v>4.380819672131149E-2</v>
      </c>
      <c r="F102" s="38">
        <v>6.2413114754098359E-2</v>
      </c>
      <c r="G102" s="38">
        <v>0.4</v>
      </c>
    </row>
    <row r="103" spans="1:7">
      <c r="A103" s="29" t="s">
        <v>34</v>
      </c>
      <c r="B103" s="209">
        <v>56.7</v>
      </c>
      <c r="C103" s="30">
        <f t="shared" si="1"/>
        <v>54.9</v>
      </c>
      <c r="D103" s="14">
        <v>0.42519312169312173</v>
      </c>
      <c r="E103" s="14">
        <v>5.5115873015873056E-2</v>
      </c>
      <c r="F103" s="38">
        <v>7.3130158730158767E-2</v>
      </c>
      <c r="G103" s="38">
        <v>0.4</v>
      </c>
    </row>
    <row r="104" spans="1:7">
      <c r="A104" s="29" t="s">
        <v>35</v>
      </c>
      <c r="B104" s="209">
        <v>58.13</v>
      </c>
      <c r="C104" s="30">
        <f t="shared" si="1"/>
        <v>56.7</v>
      </c>
      <c r="D104" s="14">
        <v>0.43933339067607091</v>
      </c>
      <c r="E104" s="14">
        <v>6.3600034405642561E-2</v>
      </c>
      <c r="F104" s="38">
        <v>8.1171168071563757E-2</v>
      </c>
      <c r="G104" s="38">
        <v>0.4</v>
      </c>
    </row>
    <row r="105" spans="1:7">
      <c r="A105" s="29" t="s">
        <v>36</v>
      </c>
      <c r="B105" s="209">
        <v>59.46</v>
      </c>
      <c r="C105" s="30">
        <f t="shared" si="1"/>
        <v>58.13</v>
      </c>
      <c r="D105" s="14">
        <v>0.45187436932391528</v>
      </c>
      <c r="E105" s="14">
        <v>7.1124621594349166E-2</v>
      </c>
      <c r="F105" s="38">
        <v>8.8302724520686202E-2</v>
      </c>
      <c r="G105" s="38">
        <v>0.4</v>
      </c>
    </row>
    <row r="106" spans="1:7">
      <c r="A106" s="29" t="s">
        <v>37</v>
      </c>
      <c r="B106" s="209">
        <v>61.61</v>
      </c>
      <c r="C106" s="30">
        <f t="shared" si="1"/>
        <v>59.46</v>
      </c>
      <c r="D106" s="14">
        <v>0.47100227235838343</v>
      </c>
      <c r="E106" s="14">
        <v>8.2601363415030049E-2</v>
      </c>
      <c r="F106" s="38">
        <v>9.9180003246226278E-2</v>
      </c>
      <c r="G106" s="38">
        <v>0.4</v>
      </c>
    </row>
    <row r="107" spans="1:7">
      <c r="A107" s="29" t="s">
        <v>38</v>
      </c>
      <c r="B107" s="209">
        <v>64.599999999999994</v>
      </c>
      <c r="C107" s="30">
        <f t="shared" si="1"/>
        <v>61.61</v>
      </c>
      <c r="D107" s="14">
        <v>0.49548684210526317</v>
      </c>
      <c r="E107" s="14">
        <v>9.7292105263157888E-2</v>
      </c>
      <c r="F107" s="38">
        <v>0.1131034055727554</v>
      </c>
      <c r="G107" s="38">
        <v>0.4</v>
      </c>
    </row>
    <row r="108" spans="1:7">
      <c r="A108" s="29" t="s">
        <v>39</v>
      </c>
      <c r="B108" s="209">
        <v>67.97</v>
      </c>
      <c r="C108" s="30">
        <f t="shared" si="1"/>
        <v>64.599999999999994</v>
      </c>
      <c r="D108" s="14">
        <v>0.52050095630425186</v>
      </c>
      <c r="E108" s="14">
        <v>0.11230057378255114</v>
      </c>
      <c r="F108" s="38">
        <v>0.12732793879652787</v>
      </c>
      <c r="G108" s="38">
        <v>0.4</v>
      </c>
    </row>
    <row r="109" spans="1:7">
      <c r="A109" s="29" t="s">
        <v>40</v>
      </c>
      <c r="B109" s="209">
        <v>71.22</v>
      </c>
      <c r="C109" s="30">
        <f t="shared" si="1"/>
        <v>67.97</v>
      </c>
      <c r="D109" s="14">
        <v>0.54238205560235886</v>
      </c>
      <c r="E109" s="14">
        <v>0.12542923336141534</v>
      </c>
      <c r="F109" s="38">
        <v>0.13977085088458299</v>
      </c>
      <c r="G109" s="38">
        <v>0.4</v>
      </c>
    </row>
    <row r="110" spans="1:7">
      <c r="A110" s="29" t="s">
        <v>41</v>
      </c>
      <c r="B110" s="209">
        <v>73.25</v>
      </c>
      <c r="C110" s="30">
        <f t="shared" si="1"/>
        <v>71.22</v>
      </c>
      <c r="D110" s="14">
        <v>0.55506416382252566</v>
      </c>
      <c r="E110" s="14">
        <v>0.13303849829351538</v>
      </c>
      <c r="F110" s="38">
        <v>0.14698266211604097</v>
      </c>
      <c r="G110" s="38">
        <v>0.4</v>
      </c>
    </row>
    <row r="111" spans="1:7">
      <c r="A111" s="29" t="s">
        <v>42</v>
      </c>
      <c r="B111" s="209">
        <v>75.900000000000006</v>
      </c>
      <c r="C111" s="30">
        <f t="shared" si="1"/>
        <v>73.25</v>
      </c>
      <c r="D111" s="14">
        <v>0.57059881422924907</v>
      </c>
      <c r="E111" s="14">
        <v>0.14235928853754945</v>
      </c>
      <c r="F111" s="38">
        <v>0.15581660079051388</v>
      </c>
      <c r="G111" s="38">
        <v>0.4</v>
      </c>
    </row>
    <row r="112" spans="1:7">
      <c r="A112" s="29" t="s">
        <v>43</v>
      </c>
      <c r="B112" s="209">
        <v>79.91</v>
      </c>
      <c r="C112" s="30">
        <f t="shared" si="1"/>
        <v>75.900000000000006</v>
      </c>
      <c r="D112" s="14">
        <v>0.59214679013890625</v>
      </c>
      <c r="E112" s="14">
        <v>0.15528807408334377</v>
      </c>
      <c r="F112" s="38">
        <v>0.16807007883869352</v>
      </c>
      <c r="G112" s="38">
        <v>0.4</v>
      </c>
    </row>
    <row r="113" spans="1:7">
      <c r="A113" s="29" t="s">
        <v>44</v>
      </c>
      <c r="B113" s="209">
        <v>85.36</v>
      </c>
      <c r="C113" s="30">
        <f t="shared" si="1"/>
        <v>79.91</v>
      </c>
      <c r="D113" s="14">
        <v>0.61818708997188376</v>
      </c>
      <c r="E113" s="14">
        <v>0.17091225398313029</v>
      </c>
      <c r="F113" s="38">
        <v>0.1828781630740394</v>
      </c>
      <c r="G113" s="38">
        <v>0.39999999999999997</v>
      </c>
    </row>
    <row r="114" spans="1:7">
      <c r="A114" s="29" t="s">
        <v>45</v>
      </c>
      <c r="B114" s="209">
        <v>89.72</v>
      </c>
      <c r="C114" s="30">
        <f t="shared" si="1"/>
        <v>85.36</v>
      </c>
      <c r="D114" s="14">
        <v>0.6367415292019617</v>
      </c>
      <c r="E114" s="14">
        <v>0.18204491752117699</v>
      </c>
      <c r="F114" s="38">
        <v>0.19342933571110124</v>
      </c>
      <c r="G114" s="38">
        <v>0.39999999999999997</v>
      </c>
    </row>
    <row r="115" spans="1:7">
      <c r="A115" s="29" t="s">
        <v>46</v>
      </c>
      <c r="B115" s="209">
        <v>94.47</v>
      </c>
      <c r="C115" s="30">
        <f t="shared" si="1"/>
        <v>89.72</v>
      </c>
      <c r="D115" s="14">
        <v>0.65500635122261042</v>
      </c>
      <c r="E115" s="14">
        <v>0.19300381073356623</v>
      </c>
      <c r="F115" s="38">
        <v>0.20381581454429978</v>
      </c>
      <c r="G115" s="38">
        <v>0.4</v>
      </c>
    </row>
    <row r="116" spans="1:7">
      <c r="A116" s="29" t="s">
        <v>47</v>
      </c>
      <c r="B116" s="209">
        <v>98.69</v>
      </c>
      <c r="C116" s="30">
        <f t="shared" si="1"/>
        <v>94.47</v>
      </c>
      <c r="D116" s="14">
        <v>0.66975833417772823</v>
      </c>
      <c r="E116" s="14">
        <v>0.20185500050663696</v>
      </c>
      <c r="F116" s="38">
        <v>0.21220468132536224</v>
      </c>
      <c r="G116" s="38">
        <v>0.4</v>
      </c>
    </row>
    <row r="117" spans="1:7">
      <c r="A117" s="29" t="s">
        <v>48</v>
      </c>
      <c r="B117" s="209">
        <v>102.56</v>
      </c>
      <c r="C117" s="30">
        <f t="shared" si="1"/>
        <v>98.69</v>
      </c>
      <c r="D117" s="14">
        <v>0.68221967628705149</v>
      </c>
      <c r="E117" s="14">
        <v>0.2093318057722309</v>
      </c>
      <c r="F117" s="38">
        <v>0.21929095163806556</v>
      </c>
      <c r="G117" s="38">
        <v>0.4</v>
      </c>
    </row>
    <row r="118" spans="1:7">
      <c r="A118" s="29" t="s">
        <v>49</v>
      </c>
      <c r="B118" s="209">
        <v>112.09</v>
      </c>
      <c r="C118" s="30">
        <f t="shared" si="1"/>
        <v>102.56</v>
      </c>
      <c r="D118" s="14">
        <v>0.70923766616112061</v>
      </c>
      <c r="E118" s="14">
        <v>0.22554259969667234</v>
      </c>
      <c r="F118" s="38">
        <v>0.23465500936747258</v>
      </c>
      <c r="G118" s="38">
        <v>0.4</v>
      </c>
    </row>
    <row r="119" spans="1:7">
      <c r="A119" s="29" t="s">
        <v>50</v>
      </c>
      <c r="B119" s="209">
        <v>130.19999999999999</v>
      </c>
      <c r="C119" s="30">
        <f t="shared" si="1"/>
        <v>112.09</v>
      </c>
      <c r="D119" s="14">
        <v>0.74968087557603691</v>
      </c>
      <c r="E119" s="14">
        <v>0.24980852534562215</v>
      </c>
      <c r="F119" s="38">
        <v>0.25765345622119812</v>
      </c>
      <c r="G119" s="38">
        <v>0.4</v>
      </c>
    </row>
    <row r="120" spans="1:7">
      <c r="A120" s="29" t="s">
        <v>51</v>
      </c>
      <c r="B120" s="209">
        <v>153.6</v>
      </c>
      <c r="C120" s="30">
        <f t="shared" si="1"/>
        <v>130.19999999999999</v>
      </c>
      <c r="D120" s="14">
        <v>0.78781542968749996</v>
      </c>
      <c r="E120" s="14">
        <v>0.27268925781250003</v>
      </c>
      <c r="F120" s="38">
        <v>0.27933906250000001</v>
      </c>
      <c r="G120" s="38">
        <v>0.4</v>
      </c>
    </row>
    <row r="121" spans="1:7">
      <c r="A121" s="29" t="s">
        <v>52</v>
      </c>
      <c r="B121" s="209">
        <v>183.86</v>
      </c>
      <c r="C121" s="30">
        <f t="shared" si="1"/>
        <v>153.6</v>
      </c>
      <c r="D121" s="14">
        <v>0.82273713695202877</v>
      </c>
      <c r="E121" s="14">
        <v>0.29364228217121724</v>
      </c>
      <c r="F121" s="38">
        <v>0.29919765038616342</v>
      </c>
      <c r="G121" s="38">
        <v>0.4</v>
      </c>
    </row>
    <row r="122" spans="1:7">
      <c r="A122" s="29" t="s">
        <v>53</v>
      </c>
      <c r="B122" s="209">
        <v>269.98</v>
      </c>
      <c r="C122" s="30">
        <f>B121</f>
        <v>183.86</v>
      </c>
      <c r="D122" s="14">
        <v>0.87928161345284839</v>
      </c>
      <c r="E122" s="14">
        <v>0.32756896807170899</v>
      </c>
      <c r="F122" s="38">
        <v>0.33135224831469001</v>
      </c>
      <c r="G122" s="38">
        <v>0.4</v>
      </c>
    </row>
    <row r="123" spans="1:7" ht="15.75" thickBot="1">
      <c r="A123" s="29" t="s">
        <v>53</v>
      </c>
      <c r="B123" s="4" t="s">
        <v>141</v>
      </c>
      <c r="C123" s="30">
        <f t="shared" si="1"/>
        <v>269.98</v>
      </c>
      <c r="D123" s="11" t="s">
        <v>81</v>
      </c>
      <c r="E123" s="11"/>
      <c r="F123" s="39"/>
      <c r="G123" s="39"/>
    </row>
    <row r="124" spans="1:7">
      <c r="A124" s="29"/>
      <c r="B124" s="29"/>
      <c r="C124" s="29"/>
      <c r="D124" s="11"/>
      <c r="E124" s="32">
        <v>7.696070686620643E-2</v>
      </c>
      <c r="F124" s="40">
        <v>8.4321455034799972E-2</v>
      </c>
      <c r="G124" s="40">
        <v>0.39999999999999986</v>
      </c>
    </row>
    <row r="125" spans="1:7" ht="60.75" thickBot="1">
      <c r="A125" s="33" t="s">
        <v>55</v>
      </c>
      <c r="B125" s="4"/>
      <c r="C125" s="29"/>
      <c r="D125" s="11"/>
      <c r="E125" s="34">
        <v>54.319249999999997</v>
      </c>
      <c r="F125" s="41">
        <v>51.481999999999999</v>
      </c>
      <c r="G125" s="42">
        <v>0</v>
      </c>
    </row>
    <row r="126" spans="1:7" ht="60.75" thickBot="1">
      <c r="A126" s="33" t="s">
        <v>56</v>
      </c>
      <c r="B126" s="4">
        <v>60.23</v>
      </c>
      <c r="C126" s="29"/>
      <c r="D126" s="11"/>
      <c r="E126" s="11"/>
      <c r="F126" s="39"/>
      <c r="G126" s="39"/>
    </row>
    <row r="127" spans="1:7" ht="97.5" thickBot="1">
      <c r="A127" s="35" t="s">
        <v>57</v>
      </c>
      <c r="B127" s="4">
        <v>36.137999999999998</v>
      </c>
      <c r="C127" s="29"/>
      <c r="D127" s="11"/>
      <c r="E127" s="11">
        <v>32.591549999999998</v>
      </c>
      <c r="F127" s="39">
        <v>30.889199999999999</v>
      </c>
      <c r="G127" s="39">
        <v>0</v>
      </c>
    </row>
    <row r="129" spans="1:7" ht="60.75" thickBot="1">
      <c r="A129" s="5" t="s">
        <v>56</v>
      </c>
      <c r="B129">
        <f>B126</f>
        <v>60.23</v>
      </c>
    </row>
    <row r="130" spans="1:7">
      <c r="A130" s="16" t="s">
        <v>64</v>
      </c>
      <c r="B130" s="17">
        <f>AVERAGE(B78:B117)</f>
        <v>54.319249999999997</v>
      </c>
      <c r="C130" s="17"/>
    </row>
    <row r="131" spans="1:7">
      <c r="A131" s="16" t="s">
        <v>65</v>
      </c>
      <c r="B131" s="18">
        <f>AVERAGE(B83:B112)</f>
        <v>51.481999999999999</v>
      </c>
      <c r="C131" s="18"/>
    </row>
    <row r="132" spans="1:7">
      <c r="A132" s="16" t="s">
        <v>66</v>
      </c>
      <c r="B132" s="18">
        <f>AVERAGE(B89:B107)</f>
        <v>50.416842105263164</v>
      </c>
      <c r="C132" s="18"/>
    </row>
    <row r="133" spans="1:7" ht="15.75" thickBot="1"/>
    <row r="134" spans="1:7" ht="15.75" thickBot="1">
      <c r="A134" s="522" t="s">
        <v>0</v>
      </c>
      <c r="B134" s="467" t="s">
        <v>78</v>
      </c>
      <c r="C134" s="468"/>
      <c r="D134" s="469"/>
      <c r="E134" s="19">
        <f>(1-E189)^(1/3)-1</f>
        <v>0</v>
      </c>
      <c r="F134" s="19">
        <f>(1-F189)^(1/3)-1</f>
        <v>0</v>
      </c>
      <c r="G134" s="19"/>
    </row>
    <row r="135" spans="1:7" ht="72.75" thickBot="1">
      <c r="A135" s="523"/>
      <c r="B135" s="1" t="s">
        <v>4</v>
      </c>
      <c r="C135" s="254"/>
      <c r="D135" s="11" t="s">
        <v>80</v>
      </c>
      <c r="E135" s="11" t="s">
        <v>5</v>
      </c>
      <c r="F135" s="39" t="s">
        <v>5</v>
      </c>
      <c r="G135" s="39"/>
    </row>
    <row r="136" spans="1:7" ht="24.75" thickBot="1">
      <c r="A136" s="524"/>
      <c r="B136" s="1" t="s">
        <v>9</v>
      </c>
      <c r="C136" s="254"/>
      <c r="D136" s="11" t="s">
        <v>7</v>
      </c>
      <c r="E136" s="11" t="s">
        <v>7</v>
      </c>
      <c r="F136" s="39" t="s">
        <v>7</v>
      </c>
      <c r="G136" s="39"/>
    </row>
    <row r="137" spans="1:7" ht="15.75" thickBot="1">
      <c r="A137" s="50">
        <v>1</v>
      </c>
      <c r="B137" s="51">
        <v>2</v>
      </c>
      <c r="C137" s="51"/>
      <c r="D137" s="51">
        <v>3</v>
      </c>
      <c r="E137" s="51">
        <v>4</v>
      </c>
      <c r="F137" s="52">
        <v>5</v>
      </c>
      <c r="G137" s="52"/>
    </row>
    <row r="138" spans="1:7" ht="15.75" thickBot="1">
      <c r="A138" s="8" t="s">
        <v>10</v>
      </c>
      <c r="B138" s="24"/>
      <c r="C138" s="255">
        <v>0</v>
      </c>
      <c r="D138" s="14">
        <f t="shared" ref="D138:D169" si="2">IF(B138=0,0,IF(B138&lt;=E$192,0,B138-E$192)/B138)</f>
        <v>0</v>
      </c>
      <c r="E138" s="14"/>
      <c r="F138" s="38"/>
      <c r="G138" s="38"/>
    </row>
    <row r="139" spans="1:7" ht="15.75" thickBot="1">
      <c r="A139" s="8" t="s">
        <v>58</v>
      </c>
      <c r="B139" s="25"/>
      <c r="C139" s="30">
        <f>B138</f>
        <v>0</v>
      </c>
      <c r="D139" s="14">
        <f t="shared" si="2"/>
        <v>0</v>
      </c>
      <c r="E139" s="14"/>
      <c r="F139" s="38"/>
      <c r="G139" s="38"/>
    </row>
    <row r="140" spans="1:7" ht="15.75" thickBot="1">
      <c r="A140" s="8" t="s">
        <v>59</v>
      </c>
      <c r="B140" s="25"/>
      <c r="C140" s="30">
        <f t="shared" ref="C140:C188" si="3">B139</f>
        <v>0</v>
      </c>
      <c r="D140" s="14">
        <f t="shared" si="2"/>
        <v>0</v>
      </c>
      <c r="E140" s="14"/>
      <c r="F140" s="38"/>
      <c r="G140" s="38"/>
    </row>
    <row r="141" spans="1:7" ht="15.75" thickBot="1">
      <c r="A141" s="8" t="s">
        <v>60</v>
      </c>
      <c r="B141" s="25"/>
      <c r="C141" s="30">
        <f t="shared" si="3"/>
        <v>0</v>
      </c>
      <c r="D141" s="14">
        <f t="shared" si="2"/>
        <v>0</v>
      </c>
      <c r="E141" s="14"/>
      <c r="F141" s="38"/>
      <c r="G141" s="38"/>
    </row>
    <row r="142" spans="1:7" ht="15.75" thickBot="1">
      <c r="A142" s="8" t="s">
        <v>61</v>
      </c>
      <c r="B142" s="25"/>
      <c r="C142" s="30">
        <f t="shared" si="3"/>
        <v>0</v>
      </c>
      <c r="D142" s="14">
        <f t="shared" si="2"/>
        <v>0</v>
      </c>
      <c r="E142" s="14"/>
      <c r="F142" s="38"/>
      <c r="G142" s="38"/>
    </row>
    <row r="143" spans="1:7" ht="15.75" thickBot="1">
      <c r="A143" s="8" t="s">
        <v>62</v>
      </c>
      <c r="B143" s="25"/>
      <c r="C143" s="30">
        <f t="shared" si="3"/>
        <v>0</v>
      </c>
      <c r="D143" s="14">
        <f t="shared" si="2"/>
        <v>0</v>
      </c>
      <c r="E143" s="14"/>
      <c r="F143" s="38"/>
      <c r="G143" s="38"/>
    </row>
    <row r="144" spans="1:7" ht="15.75" thickBot="1">
      <c r="A144" s="8" t="s">
        <v>63</v>
      </c>
      <c r="B144" s="25"/>
      <c r="C144" s="30">
        <f t="shared" si="3"/>
        <v>0</v>
      </c>
      <c r="D144" s="14">
        <f t="shared" si="2"/>
        <v>0</v>
      </c>
      <c r="E144" s="14"/>
      <c r="F144" s="38"/>
      <c r="G144" s="38"/>
    </row>
    <row r="145" spans="1:7" ht="15.75" thickBot="1">
      <c r="A145" s="3" t="s">
        <v>11</v>
      </c>
      <c r="B145" s="25"/>
      <c r="C145" s="30">
        <f t="shared" si="3"/>
        <v>0</v>
      </c>
      <c r="D145" s="14">
        <f t="shared" si="2"/>
        <v>0</v>
      </c>
      <c r="E145" s="14"/>
      <c r="F145" s="38"/>
      <c r="G145" s="38"/>
    </row>
    <row r="146" spans="1:7" ht="15.75" thickBot="1">
      <c r="A146" s="3" t="s">
        <v>12</v>
      </c>
      <c r="B146" s="25"/>
      <c r="C146" s="30">
        <f t="shared" si="3"/>
        <v>0</v>
      </c>
      <c r="D146" s="14">
        <f t="shared" si="2"/>
        <v>0</v>
      </c>
      <c r="E146" s="14"/>
      <c r="F146" s="38"/>
      <c r="G146" s="38"/>
    </row>
    <row r="147" spans="1:7" ht="15.75" thickBot="1">
      <c r="A147" s="3" t="s">
        <v>13</v>
      </c>
      <c r="B147" s="25"/>
      <c r="C147" s="30">
        <f t="shared" si="3"/>
        <v>0</v>
      </c>
      <c r="D147" s="14">
        <f t="shared" si="2"/>
        <v>0</v>
      </c>
      <c r="E147" s="14"/>
      <c r="F147" s="38"/>
      <c r="G147" s="38"/>
    </row>
    <row r="148" spans="1:7" ht="15.75" thickBot="1">
      <c r="A148" s="3" t="s">
        <v>14</v>
      </c>
      <c r="B148" s="25"/>
      <c r="C148" s="30">
        <f t="shared" si="3"/>
        <v>0</v>
      </c>
      <c r="D148" s="14">
        <f t="shared" si="2"/>
        <v>0</v>
      </c>
      <c r="E148" s="14"/>
      <c r="F148" s="38"/>
      <c r="G148" s="38"/>
    </row>
    <row r="149" spans="1:7" ht="15.75" thickBot="1">
      <c r="A149" s="3" t="s">
        <v>15</v>
      </c>
      <c r="B149" s="25"/>
      <c r="C149" s="30">
        <f t="shared" si="3"/>
        <v>0</v>
      </c>
      <c r="D149" s="14">
        <f t="shared" si="2"/>
        <v>0</v>
      </c>
      <c r="E149" s="14"/>
      <c r="F149" s="38"/>
      <c r="G149" s="38"/>
    </row>
    <row r="150" spans="1:7" ht="15.75" thickBot="1">
      <c r="A150" s="3" t="s">
        <v>16</v>
      </c>
      <c r="B150" s="25"/>
      <c r="C150" s="30">
        <f t="shared" si="3"/>
        <v>0</v>
      </c>
      <c r="D150" s="14">
        <f t="shared" si="2"/>
        <v>0</v>
      </c>
      <c r="E150" s="14"/>
      <c r="F150" s="38"/>
      <c r="G150" s="38"/>
    </row>
    <row r="151" spans="1:7" ht="15.75" thickBot="1">
      <c r="A151" s="3" t="s">
        <v>17</v>
      </c>
      <c r="B151" s="25"/>
      <c r="C151" s="30">
        <f t="shared" si="3"/>
        <v>0</v>
      </c>
      <c r="D151" s="14">
        <f t="shared" si="2"/>
        <v>0</v>
      </c>
      <c r="E151" s="14"/>
      <c r="F151" s="38"/>
      <c r="G151" s="38"/>
    </row>
    <row r="152" spans="1:7" ht="15.75" thickBot="1">
      <c r="A152" s="3" t="s">
        <v>18</v>
      </c>
      <c r="B152" s="25"/>
      <c r="C152" s="30">
        <f t="shared" si="3"/>
        <v>0</v>
      </c>
      <c r="D152" s="14">
        <f t="shared" si="2"/>
        <v>0</v>
      </c>
      <c r="E152" s="14"/>
      <c r="F152" s="38"/>
      <c r="G152" s="38"/>
    </row>
    <row r="153" spans="1:7" ht="15.75" thickBot="1">
      <c r="A153" s="3" t="s">
        <v>19</v>
      </c>
      <c r="B153" s="25"/>
      <c r="C153" s="30">
        <f t="shared" si="3"/>
        <v>0</v>
      </c>
      <c r="D153" s="14">
        <f t="shared" si="2"/>
        <v>0</v>
      </c>
      <c r="E153" s="14"/>
      <c r="F153" s="38"/>
      <c r="G153" s="38"/>
    </row>
    <row r="154" spans="1:7" ht="15.75" thickBot="1">
      <c r="A154" s="3" t="s">
        <v>20</v>
      </c>
      <c r="B154" s="25"/>
      <c r="C154" s="30">
        <f t="shared" si="3"/>
        <v>0</v>
      </c>
      <c r="D154" s="14">
        <f t="shared" si="2"/>
        <v>0</v>
      </c>
      <c r="E154" s="14"/>
      <c r="F154" s="38"/>
      <c r="G154" s="38"/>
    </row>
    <row r="155" spans="1:7" ht="15.75" thickBot="1">
      <c r="A155" s="3" t="s">
        <v>21</v>
      </c>
      <c r="B155" s="25"/>
      <c r="C155" s="30">
        <f t="shared" si="3"/>
        <v>0</v>
      </c>
      <c r="D155" s="14">
        <f t="shared" si="2"/>
        <v>0</v>
      </c>
      <c r="E155" s="14"/>
      <c r="F155" s="38"/>
      <c r="G155" s="38"/>
    </row>
    <row r="156" spans="1:7" ht="15.75" thickBot="1">
      <c r="A156" s="3" t="s">
        <v>22</v>
      </c>
      <c r="B156" s="25"/>
      <c r="C156" s="30">
        <f t="shared" si="3"/>
        <v>0</v>
      </c>
      <c r="D156" s="14">
        <f t="shared" si="2"/>
        <v>0</v>
      </c>
      <c r="E156" s="14"/>
      <c r="F156" s="38"/>
      <c r="G156" s="38"/>
    </row>
    <row r="157" spans="1:7" ht="15.75" thickBot="1">
      <c r="A157" s="3" t="s">
        <v>23</v>
      </c>
      <c r="B157" s="25"/>
      <c r="C157" s="30">
        <f t="shared" si="3"/>
        <v>0</v>
      </c>
      <c r="D157" s="14">
        <f t="shared" si="2"/>
        <v>0</v>
      </c>
      <c r="E157" s="14"/>
      <c r="F157" s="38"/>
      <c r="G157" s="38"/>
    </row>
    <row r="158" spans="1:7" ht="15.75" thickBot="1">
      <c r="A158" s="3" t="s">
        <v>24</v>
      </c>
      <c r="B158" s="25"/>
      <c r="C158" s="30">
        <f t="shared" si="3"/>
        <v>0</v>
      </c>
      <c r="D158" s="14">
        <f t="shared" si="2"/>
        <v>0</v>
      </c>
      <c r="E158" s="14"/>
      <c r="F158" s="38"/>
      <c r="G158" s="38"/>
    </row>
    <row r="159" spans="1:7" ht="15.75" thickBot="1">
      <c r="A159" s="3" t="s">
        <v>25</v>
      </c>
      <c r="B159" s="25"/>
      <c r="C159" s="30">
        <f t="shared" si="3"/>
        <v>0</v>
      </c>
      <c r="D159" s="14">
        <f t="shared" si="2"/>
        <v>0</v>
      </c>
      <c r="E159" s="14"/>
      <c r="F159" s="38"/>
      <c r="G159" s="38"/>
    </row>
    <row r="160" spans="1:7" ht="15.75" thickBot="1">
      <c r="A160" s="3" t="s">
        <v>26</v>
      </c>
      <c r="B160" s="25"/>
      <c r="C160" s="30">
        <f t="shared" si="3"/>
        <v>0</v>
      </c>
      <c r="D160" s="14">
        <f t="shared" si="2"/>
        <v>0</v>
      </c>
      <c r="E160" s="14"/>
      <c r="F160" s="38"/>
      <c r="G160" s="38"/>
    </row>
    <row r="161" spans="1:7" ht="15.75" thickBot="1">
      <c r="A161" s="3" t="s">
        <v>27</v>
      </c>
      <c r="B161" s="25"/>
      <c r="C161" s="30">
        <f t="shared" si="3"/>
        <v>0</v>
      </c>
      <c r="D161" s="14">
        <f t="shared" si="2"/>
        <v>0</v>
      </c>
      <c r="E161" s="14"/>
      <c r="F161" s="38"/>
      <c r="G161" s="38"/>
    </row>
    <row r="162" spans="1:7" ht="15.75" thickBot="1">
      <c r="A162" s="3" t="s">
        <v>28</v>
      </c>
      <c r="B162" s="25"/>
      <c r="C162" s="30">
        <f t="shared" si="3"/>
        <v>0</v>
      </c>
      <c r="D162" s="14">
        <f t="shared" si="2"/>
        <v>0</v>
      </c>
      <c r="E162" s="14"/>
      <c r="F162" s="38"/>
      <c r="G162" s="38"/>
    </row>
    <row r="163" spans="1:7" ht="15.75" thickBot="1">
      <c r="A163" s="3" t="s">
        <v>29</v>
      </c>
      <c r="B163" s="25"/>
      <c r="C163" s="30">
        <f t="shared" si="3"/>
        <v>0</v>
      </c>
      <c r="D163" s="14">
        <f t="shared" si="2"/>
        <v>0</v>
      </c>
      <c r="E163" s="14"/>
      <c r="F163" s="38"/>
      <c r="G163" s="38"/>
    </row>
    <row r="164" spans="1:7" ht="15.75" thickBot="1">
      <c r="A164" s="3" t="s">
        <v>30</v>
      </c>
      <c r="B164" s="25"/>
      <c r="C164" s="30">
        <f t="shared" si="3"/>
        <v>0</v>
      </c>
      <c r="D164" s="14">
        <f t="shared" si="2"/>
        <v>0</v>
      </c>
      <c r="E164" s="14"/>
      <c r="F164" s="38"/>
      <c r="G164" s="38"/>
    </row>
    <row r="165" spans="1:7" ht="15.75" thickBot="1">
      <c r="A165" s="3" t="s">
        <v>31</v>
      </c>
      <c r="B165" s="25"/>
      <c r="C165" s="30">
        <f t="shared" si="3"/>
        <v>0</v>
      </c>
      <c r="D165" s="14">
        <f t="shared" si="2"/>
        <v>0</v>
      </c>
      <c r="E165" s="14"/>
      <c r="F165" s="38"/>
      <c r="G165" s="38"/>
    </row>
    <row r="166" spans="1:7" ht="15.75" thickBot="1">
      <c r="A166" s="3" t="s">
        <v>32</v>
      </c>
      <c r="B166" s="25"/>
      <c r="C166" s="30">
        <f t="shared" si="3"/>
        <v>0</v>
      </c>
      <c r="D166" s="14">
        <f t="shared" si="2"/>
        <v>0</v>
      </c>
      <c r="E166" s="14"/>
      <c r="F166" s="38"/>
      <c r="G166" s="38"/>
    </row>
    <row r="167" spans="1:7" ht="15.75" thickBot="1">
      <c r="A167" s="3" t="s">
        <v>33</v>
      </c>
      <c r="B167" s="25"/>
      <c r="C167" s="30">
        <f t="shared" si="3"/>
        <v>0</v>
      </c>
      <c r="D167" s="14">
        <f t="shared" si="2"/>
        <v>0</v>
      </c>
      <c r="E167" s="14"/>
      <c r="F167" s="38"/>
      <c r="G167" s="38"/>
    </row>
    <row r="168" spans="1:7" ht="15.75" thickBot="1">
      <c r="A168" s="3" t="s">
        <v>34</v>
      </c>
      <c r="B168" s="25"/>
      <c r="C168" s="30">
        <f t="shared" si="3"/>
        <v>0</v>
      </c>
      <c r="D168" s="14">
        <f t="shared" si="2"/>
        <v>0</v>
      </c>
      <c r="E168" s="14"/>
      <c r="F168" s="38"/>
      <c r="G168" s="38"/>
    </row>
    <row r="169" spans="1:7" ht="15.75" thickBot="1">
      <c r="A169" s="3" t="s">
        <v>35</v>
      </c>
      <c r="B169" s="25"/>
      <c r="C169" s="30">
        <f t="shared" si="3"/>
        <v>0</v>
      </c>
      <c r="D169" s="14">
        <f t="shared" si="2"/>
        <v>0</v>
      </c>
      <c r="E169" s="14"/>
      <c r="F169" s="38"/>
      <c r="G169" s="38"/>
    </row>
    <row r="170" spans="1:7" ht="15.75" thickBot="1">
      <c r="A170" s="3" t="s">
        <v>36</v>
      </c>
      <c r="B170" s="25"/>
      <c r="C170" s="30">
        <f t="shared" si="3"/>
        <v>0</v>
      </c>
      <c r="D170" s="14">
        <f t="shared" ref="D170:D187" si="4">IF(B170=0,0,IF(B170&lt;=E$192,0,B170-E$192)/B170)</f>
        <v>0</v>
      </c>
      <c r="E170" s="14"/>
      <c r="F170" s="38"/>
      <c r="G170" s="38"/>
    </row>
    <row r="171" spans="1:7" ht="15.75" thickBot="1">
      <c r="A171" s="3" t="s">
        <v>37</v>
      </c>
      <c r="B171" s="25"/>
      <c r="C171" s="30">
        <f t="shared" si="3"/>
        <v>0</v>
      </c>
      <c r="D171" s="14">
        <f t="shared" si="4"/>
        <v>0</v>
      </c>
      <c r="E171" s="14"/>
      <c r="F171" s="38"/>
      <c r="G171" s="38"/>
    </row>
    <row r="172" spans="1:7" ht="15.75" thickBot="1">
      <c r="A172" s="3" t="s">
        <v>38</v>
      </c>
      <c r="B172" s="25"/>
      <c r="C172" s="30">
        <f t="shared" si="3"/>
        <v>0</v>
      </c>
      <c r="D172" s="14">
        <f t="shared" si="4"/>
        <v>0</v>
      </c>
      <c r="E172" s="14"/>
      <c r="F172" s="38"/>
      <c r="G172" s="38"/>
    </row>
    <row r="173" spans="1:7" ht="15.75" thickBot="1">
      <c r="A173" s="3" t="s">
        <v>39</v>
      </c>
      <c r="B173" s="25"/>
      <c r="C173" s="30">
        <f t="shared" si="3"/>
        <v>0</v>
      </c>
      <c r="D173" s="14">
        <f t="shared" si="4"/>
        <v>0</v>
      </c>
      <c r="E173" s="14"/>
      <c r="F173" s="38"/>
      <c r="G173" s="38"/>
    </row>
    <row r="174" spans="1:7" ht="15.75" thickBot="1">
      <c r="A174" s="3" t="s">
        <v>40</v>
      </c>
      <c r="B174" s="25"/>
      <c r="C174" s="30">
        <f t="shared" si="3"/>
        <v>0</v>
      </c>
      <c r="D174" s="14">
        <f t="shared" si="4"/>
        <v>0</v>
      </c>
      <c r="E174" s="14"/>
      <c r="F174" s="38"/>
      <c r="G174" s="38"/>
    </row>
    <row r="175" spans="1:7" ht="15.75" thickBot="1">
      <c r="A175" s="3" t="s">
        <v>41</v>
      </c>
      <c r="B175" s="25"/>
      <c r="C175" s="30">
        <f t="shared" si="3"/>
        <v>0</v>
      </c>
      <c r="D175" s="14">
        <f t="shared" si="4"/>
        <v>0</v>
      </c>
      <c r="E175" s="14"/>
      <c r="F175" s="38"/>
      <c r="G175" s="38"/>
    </row>
    <row r="176" spans="1:7" ht="15.75" thickBot="1">
      <c r="A176" s="3" t="s">
        <v>42</v>
      </c>
      <c r="B176" s="25"/>
      <c r="C176" s="30">
        <f t="shared" si="3"/>
        <v>0</v>
      </c>
      <c r="D176" s="14">
        <f t="shared" si="4"/>
        <v>0</v>
      </c>
      <c r="E176" s="14"/>
      <c r="F176" s="38"/>
      <c r="G176" s="38"/>
    </row>
    <row r="177" spans="1:7" ht="15.75" thickBot="1">
      <c r="A177" s="3" t="s">
        <v>43</v>
      </c>
      <c r="B177" s="25"/>
      <c r="C177" s="30">
        <f t="shared" si="3"/>
        <v>0</v>
      </c>
      <c r="D177" s="14">
        <f t="shared" si="4"/>
        <v>0</v>
      </c>
      <c r="E177" s="14"/>
      <c r="F177" s="38"/>
      <c r="G177" s="38"/>
    </row>
    <row r="178" spans="1:7" ht="15.75" thickBot="1">
      <c r="A178" s="3" t="s">
        <v>44</v>
      </c>
      <c r="B178" s="25"/>
      <c r="C178" s="30">
        <f t="shared" si="3"/>
        <v>0</v>
      </c>
      <c r="D178" s="14">
        <f t="shared" si="4"/>
        <v>0</v>
      </c>
      <c r="E178" s="14"/>
      <c r="F178" s="38"/>
      <c r="G178" s="38"/>
    </row>
    <row r="179" spans="1:7" ht="15.75" thickBot="1">
      <c r="A179" s="3" t="s">
        <v>45</v>
      </c>
      <c r="B179" s="25"/>
      <c r="C179" s="30">
        <f t="shared" si="3"/>
        <v>0</v>
      </c>
      <c r="D179" s="14">
        <f t="shared" si="4"/>
        <v>0</v>
      </c>
      <c r="E179" s="14"/>
      <c r="F179" s="38"/>
      <c r="G179" s="38"/>
    </row>
    <row r="180" spans="1:7" ht="15.75" thickBot="1">
      <c r="A180" s="3" t="s">
        <v>46</v>
      </c>
      <c r="B180" s="25"/>
      <c r="C180" s="30">
        <f t="shared" si="3"/>
        <v>0</v>
      </c>
      <c r="D180" s="14">
        <f t="shared" si="4"/>
        <v>0</v>
      </c>
      <c r="E180" s="14"/>
      <c r="F180" s="38"/>
      <c r="G180" s="38"/>
    </row>
    <row r="181" spans="1:7" ht="15.75" thickBot="1">
      <c r="A181" s="3" t="s">
        <v>47</v>
      </c>
      <c r="B181" s="25"/>
      <c r="C181" s="30">
        <f t="shared" si="3"/>
        <v>0</v>
      </c>
      <c r="D181" s="14">
        <f t="shared" si="4"/>
        <v>0</v>
      </c>
      <c r="E181" s="14"/>
      <c r="F181" s="38"/>
      <c r="G181" s="38"/>
    </row>
    <row r="182" spans="1:7" ht="15.75" thickBot="1">
      <c r="A182" s="3" t="s">
        <v>48</v>
      </c>
      <c r="B182" s="25"/>
      <c r="C182" s="30">
        <f t="shared" si="3"/>
        <v>0</v>
      </c>
      <c r="D182" s="14">
        <f t="shared" si="4"/>
        <v>0</v>
      </c>
      <c r="E182" s="14"/>
      <c r="F182" s="38"/>
      <c r="G182" s="38"/>
    </row>
    <row r="183" spans="1:7" ht="15.75" thickBot="1">
      <c r="A183" s="3" t="s">
        <v>49</v>
      </c>
      <c r="B183" s="25"/>
      <c r="C183" s="30">
        <f t="shared" si="3"/>
        <v>0</v>
      </c>
      <c r="D183" s="14">
        <f t="shared" si="4"/>
        <v>0</v>
      </c>
      <c r="E183" s="14"/>
      <c r="F183" s="38"/>
      <c r="G183" s="38"/>
    </row>
    <row r="184" spans="1:7" ht="15.75" thickBot="1">
      <c r="A184" s="3" t="s">
        <v>50</v>
      </c>
      <c r="B184" s="25"/>
      <c r="C184" s="30">
        <f t="shared" si="3"/>
        <v>0</v>
      </c>
      <c r="D184" s="14">
        <f t="shared" si="4"/>
        <v>0</v>
      </c>
      <c r="E184" s="14"/>
      <c r="F184" s="38"/>
      <c r="G184" s="38"/>
    </row>
    <row r="185" spans="1:7" ht="15.75" thickBot="1">
      <c r="A185" s="3" t="s">
        <v>51</v>
      </c>
      <c r="B185" s="25"/>
      <c r="C185" s="30">
        <f t="shared" si="3"/>
        <v>0</v>
      </c>
      <c r="D185" s="14">
        <f t="shared" si="4"/>
        <v>0</v>
      </c>
      <c r="E185" s="14"/>
      <c r="F185" s="38"/>
      <c r="G185" s="38"/>
    </row>
    <row r="186" spans="1:7" ht="15.75" thickBot="1">
      <c r="A186" s="3" t="s">
        <v>52</v>
      </c>
      <c r="B186" s="25"/>
      <c r="C186" s="30">
        <f t="shared" si="3"/>
        <v>0</v>
      </c>
      <c r="D186" s="14">
        <f t="shared" si="4"/>
        <v>0</v>
      </c>
      <c r="E186" s="14"/>
      <c r="F186" s="38"/>
      <c r="G186" s="38"/>
    </row>
    <row r="187" spans="1:7" ht="15.75" thickBot="1">
      <c r="A187" s="3" t="s">
        <v>53</v>
      </c>
      <c r="B187" s="201"/>
      <c r="C187" s="30">
        <f>B186</f>
        <v>0</v>
      </c>
      <c r="D187" s="14">
        <f t="shared" si="4"/>
        <v>0</v>
      </c>
      <c r="E187" s="14"/>
      <c r="F187" s="38"/>
      <c r="G187" s="38"/>
    </row>
    <row r="188" spans="1:7" ht="15.75" thickBot="1">
      <c r="A188" s="3" t="s">
        <v>53</v>
      </c>
      <c r="B188" s="3"/>
      <c r="C188" s="30">
        <f t="shared" si="3"/>
        <v>0</v>
      </c>
      <c r="D188" s="22"/>
      <c r="E188" s="1"/>
      <c r="F188" s="37"/>
      <c r="G188" s="39"/>
    </row>
    <row r="189" spans="1:7" ht="15.75" thickBot="1">
      <c r="A189" s="3"/>
      <c r="B189" s="3"/>
      <c r="C189" s="4"/>
      <c r="D189" s="22"/>
      <c r="E189" s="15"/>
      <c r="F189" s="26"/>
      <c r="G189" s="26"/>
    </row>
    <row r="190" spans="1:7" ht="60.75" thickBot="1">
      <c r="A190" s="5" t="s">
        <v>55</v>
      </c>
      <c r="B190" s="202"/>
      <c r="C190" s="4"/>
      <c r="D190" s="22"/>
      <c r="E190" s="12"/>
      <c r="F190" s="45"/>
      <c r="G190" s="46"/>
    </row>
    <row r="191" spans="1:7" ht="60.75" thickBot="1">
      <c r="A191" s="5" t="s">
        <v>56</v>
      </c>
      <c r="B191" s="201"/>
      <c r="C191" s="4"/>
      <c r="D191" s="1"/>
      <c r="E191" s="1"/>
      <c r="F191" s="37"/>
      <c r="G191" s="37"/>
    </row>
    <row r="192" spans="1:7" ht="97.5" thickBot="1">
      <c r="A192" s="6" t="s">
        <v>57</v>
      </c>
      <c r="B192" s="4"/>
      <c r="C192" s="4"/>
      <c r="D192" s="1"/>
      <c r="E192" s="1">
        <f>0.6*E190</f>
        <v>0</v>
      </c>
      <c r="F192" s="37">
        <f>0.6*F190</f>
        <v>0</v>
      </c>
      <c r="G192" s="37"/>
    </row>
    <row r="195" spans="1:7">
      <c r="A195" s="16" t="s">
        <v>64</v>
      </c>
      <c r="B195" s="17" t="e">
        <f>AVERAGE(B143:B182)</f>
        <v>#DIV/0!</v>
      </c>
      <c r="C195" s="17"/>
    </row>
    <row r="196" spans="1:7">
      <c r="A196" s="16" t="s">
        <v>65</v>
      </c>
      <c r="B196" s="18" t="e">
        <f>AVERAGE(B148:B177)</f>
        <v>#DIV/0!</v>
      </c>
      <c r="C196" s="18"/>
    </row>
    <row r="197" spans="1:7">
      <c r="A197" s="16" t="s">
        <v>66</v>
      </c>
      <c r="B197" s="18" t="e">
        <f>AVERAGE(B154:B172)</f>
        <v>#DIV/0!</v>
      </c>
      <c r="C197" s="18"/>
    </row>
    <row r="200" spans="1:7" ht="15" customHeight="1">
      <c r="A200" s="473" t="s">
        <v>0</v>
      </c>
      <c r="B200" s="473" t="s">
        <v>3</v>
      </c>
      <c r="C200" s="473"/>
      <c r="D200" s="473"/>
      <c r="E200" s="40">
        <f>(1-E255)^(1/3)-1</f>
        <v>-3.0440203380786457E-2</v>
      </c>
      <c r="F200" s="40">
        <f>(1-F255)^(1/3)-1</f>
        <v>-3.6427954124622297E-2</v>
      </c>
      <c r="G200" s="40"/>
    </row>
    <row r="201" spans="1:7" ht="72">
      <c r="A201" s="473"/>
      <c r="B201" s="11" t="s">
        <v>4</v>
      </c>
      <c r="C201" s="11"/>
      <c r="D201" s="11" t="s">
        <v>80</v>
      </c>
      <c r="E201" s="11" t="s">
        <v>5</v>
      </c>
      <c r="F201" s="39" t="s">
        <v>5</v>
      </c>
      <c r="G201" s="39"/>
    </row>
    <row r="202" spans="1:7" ht="24">
      <c r="A202" s="473"/>
      <c r="B202" s="11" t="s">
        <v>9</v>
      </c>
      <c r="C202" s="11"/>
      <c r="D202" s="11" t="s">
        <v>7</v>
      </c>
      <c r="E202" s="55" t="s">
        <v>65</v>
      </c>
      <c r="F202" s="39"/>
      <c r="G202" s="56"/>
    </row>
    <row r="203" spans="1:7">
      <c r="A203" s="50">
        <v>1</v>
      </c>
      <c r="B203" s="51">
        <v>2</v>
      </c>
      <c r="C203" s="51"/>
      <c r="D203" s="51">
        <v>3</v>
      </c>
      <c r="E203" s="51">
        <v>4</v>
      </c>
      <c r="F203" s="52">
        <v>5</v>
      </c>
      <c r="G203" s="52"/>
    </row>
    <row r="204" spans="1:7">
      <c r="A204" s="212" t="s">
        <v>10</v>
      </c>
      <c r="B204" s="220">
        <v>0.01</v>
      </c>
      <c r="C204" s="163">
        <v>0</v>
      </c>
      <c r="D204" s="157">
        <v>0</v>
      </c>
      <c r="E204" s="14">
        <v>0</v>
      </c>
      <c r="F204" s="38">
        <v>0</v>
      </c>
      <c r="G204" s="38">
        <v>0.4</v>
      </c>
    </row>
    <row r="205" spans="1:7">
      <c r="A205" s="212" t="s">
        <v>58</v>
      </c>
      <c r="B205" s="220">
        <v>3.6999999999999998E-2</v>
      </c>
      <c r="C205" s="30">
        <f>B204</f>
        <v>0.01</v>
      </c>
      <c r="D205" s="157">
        <v>0</v>
      </c>
      <c r="E205" s="14">
        <v>0</v>
      </c>
      <c r="F205" s="38">
        <v>0</v>
      </c>
      <c r="G205" s="38">
        <v>0.4</v>
      </c>
    </row>
    <row r="206" spans="1:7">
      <c r="A206" s="212" t="s">
        <v>59</v>
      </c>
      <c r="B206" s="220">
        <v>0.14599999999999999</v>
      </c>
      <c r="C206" s="30">
        <f t="shared" ref="C206:C254" si="5">B205</f>
        <v>3.6999999999999998E-2</v>
      </c>
      <c r="D206" s="157">
        <v>0</v>
      </c>
      <c r="E206" s="14">
        <v>0</v>
      </c>
      <c r="F206" s="38">
        <v>0</v>
      </c>
      <c r="G206" s="38">
        <v>0.4</v>
      </c>
    </row>
    <row r="207" spans="1:7">
      <c r="A207" s="212" t="s">
        <v>60</v>
      </c>
      <c r="B207" s="220">
        <v>0.27400000000000002</v>
      </c>
      <c r="C207" s="30">
        <f t="shared" si="5"/>
        <v>0.14599999999999999</v>
      </c>
      <c r="D207" s="157">
        <v>0</v>
      </c>
      <c r="E207" s="14">
        <v>0</v>
      </c>
      <c r="F207" s="38">
        <v>0</v>
      </c>
      <c r="G207" s="38">
        <v>0.4</v>
      </c>
    </row>
    <row r="208" spans="1:7">
      <c r="A208" s="212" t="s">
        <v>61</v>
      </c>
      <c r="B208" s="220">
        <v>0.61</v>
      </c>
      <c r="C208" s="30">
        <f t="shared" si="5"/>
        <v>0.27400000000000002</v>
      </c>
      <c r="D208" s="157">
        <v>0</v>
      </c>
      <c r="E208" s="14">
        <v>0</v>
      </c>
      <c r="F208" s="38">
        <v>0</v>
      </c>
      <c r="G208" s="38">
        <v>0.4</v>
      </c>
    </row>
    <row r="209" spans="1:7">
      <c r="A209" s="212" t="s">
        <v>62</v>
      </c>
      <c r="B209" s="220">
        <v>0.93</v>
      </c>
      <c r="C209" s="30">
        <f t="shared" si="5"/>
        <v>0.61</v>
      </c>
      <c r="D209" s="157">
        <v>0</v>
      </c>
      <c r="E209" s="14">
        <v>0</v>
      </c>
      <c r="F209" s="38">
        <v>0</v>
      </c>
      <c r="G209" s="38">
        <v>0.4</v>
      </c>
    </row>
    <row r="210" spans="1:7">
      <c r="A210" s="212" t="s">
        <v>63</v>
      </c>
      <c r="B210" s="220">
        <v>1.07</v>
      </c>
      <c r="C210" s="30">
        <f t="shared" si="5"/>
        <v>0.93</v>
      </c>
      <c r="D210" s="157">
        <v>0</v>
      </c>
      <c r="E210" s="14">
        <v>0</v>
      </c>
      <c r="F210" s="38">
        <v>0</v>
      </c>
      <c r="G210" s="38">
        <v>0.4</v>
      </c>
    </row>
    <row r="211" spans="1:7">
      <c r="A211" s="213" t="s">
        <v>11</v>
      </c>
      <c r="B211" s="220">
        <v>1.1319999999999999</v>
      </c>
      <c r="C211" s="30">
        <f t="shared" si="5"/>
        <v>1.07</v>
      </c>
      <c r="D211" s="157">
        <v>0</v>
      </c>
      <c r="E211" s="14">
        <v>0</v>
      </c>
      <c r="F211" s="38">
        <v>0</v>
      </c>
      <c r="G211" s="38">
        <v>0.4</v>
      </c>
    </row>
    <row r="212" spans="1:7">
      <c r="A212" s="213" t="s">
        <v>12</v>
      </c>
      <c r="B212" s="220">
        <v>1.1759999999999999</v>
      </c>
      <c r="C212" s="30">
        <f t="shared" si="5"/>
        <v>1.1319999999999999</v>
      </c>
      <c r="D212" s="157">
        <v>0</v>
      </c>
      <c r="E212" s="14">
        <v>0</v>
      </c>
      <c r="F212" s="38">
        <v>0</v>
      </c>
      <c r="G212" s="38">
        <v>0.4</v>
      </c>
    </row>
    <row r="213" spans="1:7">
      <c r="A213" s="213" t="s">
        <v>13</v>
      </c>
      <c r="B213" s="220">
        <v>1.2609999999999999</v>
      </c>
      <c r="C213" s="30">
        <f t="shared" si="5"/>
        <v>1.1759999999999999</v>
      </c>
      <c r="D213" s="157">
        <v>0</v>
      </c>
      <c r="E213" s="14">
        <v>0</v>
      </c>
      <c r="F213" s="38">
        <v>0</v>
      </c>
      <c r="G213" s="38">
        <v>0.4</v>
      </c>
    </row>
    <row r="214" spans="1:7">
      <c r="A214" s="213" t="s">
        <v>14</v>
      </c>
      <c r="B214" s="220">
        <v>1.33</v>
      </c>
      <c r="C214" s="30">
        <f t="shared" si="5"/>
        <v>1.2609999999999999</v>
      </c>
      <c r="D214" s="157">
        <v>0</v>
      </c>
      <c r="E214" s="14">
        <v>0</v>
      </c>
      <c r="F214" s="38">
        <v>0</v>
      </c>
      <c r="G214" s="38">
        <v>0.4</v>
      </c>
    </row>
    <row r="215" spans="1:7">
      <c r="A215" s="213" t="s">
        <v>15</v>
      </c>
      <c r="B215" s="220">
        <v>1.383</v>
      </c>
      <c r="C215" s="30">
        <f t="shared" si="5"/>
        <v>1.33</v>
      </c>
      <c r="D215" s="157">
        <v>0</v>
      </c>
      <c r="E215" s="14">
        <v>0</v>
      </c>
      <c r="F215" s="38">
        <v>0</v>
      </c>
      <c r="G215" s="38">
        <v>0.4</v>
      </c>
    </row>
    <row r="216" spans="1:7">
      <c r="A216" s="213" t="s">
        <v>16</v>
      </c>
      <c r="B216" s="220">
        <v>1.47</v>
      </c>
      <c r="C216" s="30">
        <f t="shared" si="5"/>
        <v>1.383</v>
      </c>
      <c r="D216" s="157">
        <v>0</v>
      </c>
      <c r="E216" s="14">
        <v>0</v>
      </c>
      <c r="F216" s="38">
        <v>0</v>
      </c>
      <c r="G216" s="38">
        <v>0.39999999999999997</v>
      </c>
    </row>
    <row r="217" spans="1:7">
      <c r="A217" s="213" t="s">
        <v>17</v>
      </c>
      <c r="B217" s="220">
        <v>1.5249999999999999</v>
      </c>
      <c r="C217" s="30">
        <f t="shared" si="5"/>
        <v>1.47</v>
      </c>
      <c r="D217" s="157">
        <v>0</v>
      </c>
      <c r="E217" s="14">
        <v>0</v>
      </c>
      <c r="F217" s="38">
        <v>0</v>
      </c>
      <c r="G217" s="38">
        <v>0.4</v>
      </c>
    </row>
    <row r="218" spans="1:7">
      <c r="A218" s="213" t="s">
        <v>18</v>
      </c>
      <c r="B218" s="220">
        <v>1.593</v>
      </c>
      <c r="C218" s="30">
        <f t="shared" si="5"/>
        <v>1.5249999999999999</v>
      </c>
      <c r="D218" s="157">
        <v>0</v>
      </c>
      <c r="E218" s="14">
        <v>0</v>
      </c>
      <c r="F218" s="38">
        <v>0</v>
      </c>
      <c r="G218" s="38">
        <v>0.4</v>
      </c>
    </row>
    <row r="219" spans="1:7">
      <c r="A219" s="213" t="s">
        <v>19</v>
      </c>
      <c r="B219" s="220">
        <v>1.718</v>
      </c>
      <c r="C219" s="30">
        <f t="shared" si="5"/>
        <v>1.593</v>
      </c>
      <c r="D219" s="157">
        <v>0</v>
      </c>
      <c r="E219" s="14">
        <v>0</v>
      </c>
      <c r="F219" s="38">
        <v>0</v>
      </c>
      <c r="G219" s="38">
        <v>0.4</v>
      </c>
    </row>
    <row r="220" spans="1:7">
      <c r="A220" s="213" t="s">
        <v>20</v>
      </c>
      <c r="B220" s="220">
        <v>1.81</v>
      </c>
      <c r="C220" s="30">
        <f t="shared" si="5"/>
        <v>1.718</v>
      </c>
      <c r="D220" s="157">
        <v>0</v>
      </c>
      <c r="E220" s="14">
        <v>0</v>
      </c>
      <c r="F220" s="38">
        <v>0</v>
      </c>
      <c r="G220" s="38">
        <v>0.4</v>
      </c>
    </row>
    <row r="221" spans="1:7">
      <c r="A221" s="213" t="s">
        <v>21</v>
      </c>
      <c r="B221" s="220">
        <v>1.9450000000000001</v>
      </c>
      <c r="C221" s="30">
        <f t="shared" si="5"/>
        <v>1.81</v>
      </c>
      <c r="D221" s="157">
        <v>0</v>
      </c>
      <c r="E221" s="14">
        <v>0</v>
      </c>
      <c r="F221" s="38">
        <v>0</v>
      </c>
      <c r="G221" s="38">
        <v>0.4</v>
      </c>
    </row>
    <row r="222" spans="1:7">
      <c r="A222" s="213" t="s">
        <v>22</v>
      </c>
      <c r="B222" s="220">
        <v>2.04</v>
      </c>
      <c r="C222" s="30">
        <f t="shared" si="5"/>
        <v>1.9450000000000001</v>
      </c>
      <c r="D222" s="157">
        <v>0</v>
      </c>
      <c r="E222" s="14">
        <v>0</v>
      </c>
      <c r="F222" s="38">
        <v>0</v>
      </c>
      <c r="G222" s="38">
        <v>0.4</v>
      </c>
    </row>
    <row r="223" spans="1:7">
      <c r="A223" s="213" t="s">
        <v>23</v>
      </c>
      <c r="B223" s="220">
        <v>2.1720000000000002</v>
      </c>
      <c r="C223" s="30">
        <f t="shared" si="5"/>
        <v>2.04</v>
      </c>
      <c r="D223" s="157">
        <v>0</v>
      </c>
      <c r="E223" s="14">
        <v>0</v>
      </c>
      <c r="F223" s="38">
        <v>7.0718232044200105E-4</v>
      </c>
      <c r="G223" s="38">
        <v>0.4</v>
      </c>
    </row>
    <row r="224" spans="1:7">
      <c r="A224" s="213" t="s">
        <v>24</v>
      </c>
      <c r="B224" s="220">
        <v>2.38</v>
      </c>
      <c r="C224" s="30">
        <f t="shared" si="5"/>
        <v>2.1720000000000002</v>
      </c>
      <c r="D224" s="157">
        <v>0</v>
      </c>
      <c r="E224" s="14">
        <v>0</v>
      </c>
      <c r="F224" s="38">
        <v>9.3848739495798333E-3</v>
      </c>
      <c r="G224" s="38">
        <v>0.4</v>
      </c>
    </row>
    <row r="225" spans="1:7">
      <c r="A225" s="213" t="s">
        <v>25</v>
      </c>
      <c r="B225" s="220">
        <v>2.375</v>
      </c>
      <c r="C225" s="30">
        <f t="shared" si="5"/>
        <v>2.38</v>
      </c>
      <c r="D225" s="157">
        <v>0</v>
      </c>
      <c r="E225" s="14">
        <v>0</v>
      </c>
      <c r="F225" s="38">
        <v>9.1941052631578993E-3</v>
      </c>
      <c r="G225" s="38">
        <v>0.4</v>
      </c>
    </row>
    <row r="226" spans="1:7">
      <c r="A226" s="213" t="s">
        <v>26</v>
      </c>
      <c r="B226" s="220">
        <v>2.5</v>
      </c>
      <c r="C226" s="30">
        <f t="shared" si="5"/>
        <v>2.375</v>
      </c>
      <c r="D226" s="157">
        <v>0</v>
      </c>
      <c r="E226" s="14">
        <v>0</v>
      </c>
      <c r="F226" s="38">
        <v>1.3734400000000004E-2</v>
      </c>
      <c r="G226" s="38">
        <v>0.4</v>
      </c>
    </row>
    <row r="227" spans="1:7">
      <c r="A227" s="213" t="s">
        <v>27</v>
      </c>
      <c r="B227" s="220">
        <v>2.66</v>
      </c>
      <c r="C227" s="30">
        <f t="shared" si="5"/>
        <v>2.5</v>
      </c>
      <c r="D227" s="157">
        <v>8.6522556390979145E-3</v>
      </c>
      <c r="E227" s="14"/>
      <c r="F227" s="38"/>
      <c r="G227" s="38"/>
    </row>
    <row r="228" spans="1:7">
      <c r="A228" s="213" t="s">
        <v>28</v>
      </c>
      <c r="B228" s="220">
        <v>2.839</v>
      </c>
      <c r="C228" s="30">
        <f t="shared" si="5"/>
        <v>2.66</v>
      </c>
      <c r="D228" s="157">
        <v>7.1157097569566841E-2</v>
      </c>
      <c r="E228" s="14"/>
      <c r="F228" s="38"/>
      <c r="G228" s="38"/>
    </row>
    <row r="229" spans="1:7">
      <c r="A229" s="213" t="s">
        <v>29</v>
      </c>
      <c r="B229" s="220">
        <v>2.9990000000000001</v>
      </c>
      <c r="C229" s="30">
        <f t="shared" si="5"/>
        <v>2.839</v>
      </c>
      <c r="D229" s="157">
        <v>0.12071190396798946</v>
      </c>
      <c r="E229" s="14">
        <v>1.2071190396798949E-2</v>
      </c>
      <c r="F229" s="38">
        <v>2.8088029343114381E-2</v>
      </c>
      <c r="G229" s="38">
        <v>0.40000000000000008</v>
      </c>
    </row>
    <row r="230" spans="1:7">
      <c r="A230" s="213" t="s">
        <v>30</v>
      </c>
      <c r="B230" s="220">
        <v>3.29</v>
      </c>
      <c r="C230" s="30">
        <f t="shared" si="5"/>
        <v>2.9990000000000001</v>
      </c>
      <c r="D230" s="157">
        <v>0.19848480243161104</v>
      </c>
      <c r="E230" s="14">
        <v>1.9848480243161108E-2</v>
      </c>
      <c r="F230" s="38">
        <v>3.4448632218844991E-2</v>
      </c>
      <c r="G230" s="38">
        <v>0.4</v>
      </c>
    </row>
    <row r="231" spans="1:7">
      <c r="A231" s="213" t="s">
        <v>31</v>
      </c>
      <c r="B231" s="220">
        <v>3.5249999999999999</v>
      </c>
      <c r="C231" s="30">
        <f t="shared" si="5"/>
        <v>3.29</v>
      </c>
      <c r="D231" s="157">
        <v>0.25191914893617029</v>
      </c>
      <c r="E231" s="14">
        <v>2.519191489361703E-2</v>
      </c>
      <c r="F231" s="38">
        <v>3.8818723404255323E-2</v>
      </c>
      <c r="G231" s="38">
        <v>0.40000000000000008</v>
      </c>
    </row>
    <row r="232" spans="1:7">
      <c r="A232" s="213" t="s">
        <v>32</v>
      </c>
      <c r="B232" s="220">
        <v>3.74</v>
      </c>
      <c r="C232" s="30">
        <f t="shared" si="5"/>
        <v>3.5249999999999999</v>
      </c>
      <c r="D232" s="157">
        <v>0.29492379679144398</v>
      </c>
      <c r="E232" s="14">
        <v>2.9492379679144396E-2</v>
      </c>
      <c r="F232" s="38">
        <v>5.4014973262032119E-2</v>
      </c>
      <c r="G232" s="38">
        <v>0.4</v>
      </c>
    </row>
    <row r="233" spans="1:7">
      <c r="A233" s="213" t="s">
        <v>33</v>
      </c>
      <c r="B233" s="220">
        <v>3.9329999999999998</v>
      </c>
      <c r="C233" s="30">
        <f t="shared" si="5"/>
        <v>3.74</v>
      </c>
      <c r="D233" s="157">
        <v>0.32952326468344778</v>
      </c>
      <c r="E233" s="14">
        <v>3.2952326468344777E-2</v>
      </c>
      <c r="F233" s="38">
        <v>7.0993135011441652E-2</v>
      </c>
      <c r="G233" s="38">
        <v>0.4</v>
      </c>
    </row>
    <row r="234" spans="1:7">
      <c r="A234" s="213" t="s">
        <v>34</v>
      </c>
      <c r="B234" s="220">
        <v>4.2309999999999999</v>
      </c>
      <c r="C234" s="30">
        <f t="shared" si="5"/>
        <v>3.9329999999999998</v>
      </c>
      <c r="D234" s="157">
        <v>0.37674663200189085</v>
      </c>
      <c r="E234" s="14">
        <v>3.7674663200189092E-2</v>
      </c>
      <c r="F234" s="38">
        <v>9.4165918222642406E-2</v>
      </c>
      <c r="G234" s="38">
        <v>0.4</v>
      </c>
    </row>
    <row r="235" spans="1:7">
      <c r="A235" s="213" t="s">
        <v>35</v>
      </c>
      <c r="B235" s="220">
        <v>4.5010000000000003</v>
      </c>
      <c r="C235" s="30">
        <f t="shared" si="5"/>
        <v>4.2309999999999999</v>
      </c>
      <c r="D235" s="157">
        <v>0.41413352588313718</v>
      </c>
      <c r="E235" s="14">
        <v>4.8480115529882309E-2</v>
      </c>
      <c r="F235" s="38">
        <v>0.11251188624750059</v>
      </c>
      <c r="G235" s="38">
        <v>0.4</v>
      </c>
    </row>
    <row r="236" spans="1:7">
      <c r="A236" s="213" t="s">
        <v>36</v>
      </c>
      <c r="B236" s="220">
        <v>4.9000000000000004</v>
      </c>
      <c r="C236" s="30">
        <f t="shared" si="5"/>
        <v>4.5010000000000003</v>
      </c>
      <c r="D236" s="157">
        <v>0.46183979591836744</v>
      </c>
      <c r="E236" s="14">
        <v>7.7103877551020467E-2</v>
      </c>
      <c r="F236" s="38">
        <v>0.13592163265306126</v>
      </c>
      <c r="G236" s="38">
        <v>0.4</v>
      </c>
    </row>
    <row r="237" spans="1:7">
      <c r="A237" s="213" t="s">
        <v>37</v>
      </c>
      <c r="B237" s="220">
        <v>5.2350000000000003</v>
      </c>
      <c r="C237" s="30">
        <f t="shared" si="5"/>
        <v>4.9000000000000004</v>
      </c>
      <c r="D237" s="157">
        <v>0.4962779369627508</v>
      </c>
      <c r="E237" s="14">
        <v>9.7766762177650485E-2</v>
      </c>
      <c r="F237" s="38">
        <v>0.15282063037249288</v>
      </c>
      <c r="G237" s="38">
        <v>0.4</v>
      </c>
    </row>
    <row r="238" spans="1:7">
      <c r="A238" s="213" t="s">
        <v>38</v>
      </c>
      <c r="B238" s="220">
        <v>5.71</v>
      </c>
      <c r="C238" s="30">
        <f t="shared" si="5"/>
        <v>5.2350000000000003</v>
      </c>
      <c r="D238" s="157">
        <v>0.53818126094570928</v>
      </c>
      <c r="E238" s="14">
        <v>0.12290875656742561</v>
      </c>
      <c r="F238" s="38">
        <v>0.17338283712784591</v>
      </c>
      <c r="G238" s="38">
        <v>0.4</v>
      </c>
    </row>
    <row r="239" spans="1:7">
      <c r="A239" s="213" t="s">
        <v>39</v>
      </c>
      <c r="B239" s="220">
        <v>6.1740000000000004</v>
      </c>
      <c r="C239" s="30">
        <f t="shared" si="5"/>
        <v>5.71</v>
      </c>
      <c r="D239" s="157">
        <v>0.57288872691933923</v>
      </c>
      <c r="E239" s="14">
        <v>0.14373323615160355</v>
      </c>
      <c r="F239" s="38">
        <v>0.19041399416909624</v>
      </c>
      <c r="G239" s="38">
        <v>0.4</v>
      </c>
    </row>
    <row r="240" spans="1:7">
      <c r="A240" s="213" t="s">
        <v>40</v>
      </c>
      <c r="B240" s="220">
        <v>6.67</v>
      </c>
      <c r="C240" s="30">
        <f t="shared" si="5"/>
        <v>6.1740000000000004</v>
      </c>
      <c r="D240" s="157">
        <v>0.60464992503748138</v>
      </c>
      <c r="E240" s="14">
        <v>0.1627899550224888</v>
      </c>
      <c r="F240" s="38">
        <v>0.20599940029985009</v>
      </c>
      <c r="G240" s="38">
        <v>0.4</v>
      </c>
    </row>
    <row r="241" spans="1:7">
      <c r="A241" s="213" t="s">
        <v>41</v>
      </c>
      <c r="B241" s="220">
        <v>6.95</v>
      </c>
      <c r="C241" s="30">
        <f t="shared" si="5"/>
        <v>6.67</v>
      </c>
      <c r="D241" s="157">
        <v>0.62057769784172656</v>
      </c>
      <c r="E241" s="14">
        <v>0.17234661870503601</v>
      </c>
      <c r="F241" s="38">
        <v>0.21381525179856117</v>
      </c>
      <c r="G241" s="38">
        <v>0.4</v>
      </c>
    </row>
    <row r="242" spans="1:7">
      <c r="A242" s="213" t="s">
        <v>42</v>
      </c>
      <c r="B242" s="220">
        <v>7.41</v>
      </c>
      <c r="C242" s="30">
        <f t="shared" si="5"/>
        <v>6.95</v>
      </c>
      <c r="D242" s="157">
        <v>0.6441315789473685</v>
      </c>
      <c r="E242" s="14">
        <v>0.18647894736842108</v>
      </c>
      <c r="F242" s="38">
        <v>0.22537327935222673</v>
      </c>
      <c r="G242" s="38">
        <v>0.4</v>
      </c>
    </row>
    <row r="243" spans="1:7">
      <c r="A243" s="213" t="s">
        <v>43</v>
      </c>
      <c r="B243" s="220">
        <v>8.8239999999999998</v>
      </c>
      <c r="C243" s="30">
        <f t="shared" si="5"/>
        <v>7.41</v>
      </c>
      <c r="D243" s="157">
        <v>0.70115763825929289</v>
      </c>
      <c r="E243" s="14">
        <v>0.22069458295557573</v>
      </c>
      <c r="F243" s="38">
        <v>0.25335630099728013</v>
      </c>
      <c r="G243" s="38">
        <v>0.4</v>
      </c>
    </row>
    <row r="244" spans="1:7">
      <c r="A244" s="213" t="s">
        <v>44</v>
      </c>
      <c r="B244" s="220">
        <v>10.119999999999999</v>
      </c>
      <c r="C244" s="30">
        <f t="shared" si="5"/>
        <v>8.8239999999999998</v>
      </c>
      <c r="D244" s="157">
        <v>0.7394283596837945</v>
      </c>
      <c r="E244" s="14">
        <v>0.24365701581027671</v>
      </c>
      <c r="F244" s="38">
        <v>0.27213596837944665</v>
      </c>
      <c r="G244" s="38">
        <v>0.4</v>
      </c>
    </row>
    <row r="245" spans="1:7">
      <c r="A245" s="213" t="s">
        <v>45</v>
      </c>
      <c r="B245" s="220">
        <v>10.991</v>
      </c>
      <c r="C245" s="30">
        <f t="shared" si="5"/>
        <v>10.119999999999999</v>
      </c>
      <c r="D245" s="157">
        <v>0.76007779091984362</v>
      </c>
      <c r="E245" s="14">
        <v>0.25604667455190616</v>
      </c>
      <c r="F245" s="38">
        <v>0.28226876535347101</v>
      </c>
      <c r="G245" s="38">
        <v>0.4</v>
      </c>
    </row>
    <row r="246" spans="1:7">
      <c r="A246" s="213" t="s">
        <v>46</v>
      </c>
      <c r="B246" s="220">
        <v>12.54</v>
      </c>
      <c r="C246" s="30">
        <f t="shared" si="5"/>
        <v>10.991</v>
      </c>
      <c r="D246" s="157">
        <v>0.78971411483253595</v>
      </c>
      <c r="E246" s="14">
        <v>0.27382846889952162</v>
      </c>
      <c r="F246" s="38">
        <v>0.29681148325358853</v>
      </c>
      <c r="G246" s="38">
        <v>0.4</v>
      </c>
    </row>
    <row r="247" spans="1:7">
      <c r="A247" s="213" t="s">
        <v>47</v>
      </c>
      <c r="B247" s="220">
        <v>13.776999999999999</v>
      </c>
      <c r="C247" s="30">
        <f t="shared" si="5"/>
        <v>12.54</v>
      </c>
      <c r="D247" s="157">
        <v>0.80859512230529151</v>
      </c>
      <c r="E247" s="14">
        <v>0.28515707338317486</v>
      </c>
      <c r="F247" s="38">
        <v>0.30607650431879219</v>
      </c>
      <c r="G247" s="38">
        <v>0.4</v>
      </c>
    </row>
    <row r="248" spans="1:7">
      <c r="A248" s="213" t="s">
        <v>48</v>
      </c>
      <c r="B248" s="220">
        <v>14.97</v>
      </c>
      <c r="C248" s="30">
        <f t="shared" si="5"/>
        <v>13.776999999999999</v>
      </c>
      <c r="D248" s="157">
        <v>0.82384869739478961</v>
      </c>
      <c r="E248" s="14">
        <v>0.29430921843687369</v>
      </c>
      <c r="F248" s="38">
        <v>0.31356152304609219</v>
      </c>
      <c r="G248" s="38">
        <v>0.4</v>
      </c>
    </row>
    <row r="249" spans="1:7">
      <c r="A249" s="213" t="s">
        <v>49</v>
      </c>
      <c r="B249" s="220">
        <v>17.113</v>
      </c>
      <c r="C249" s="30">
        <f t="shared" si="5"/>
        <v>14.97</v>
      </c>
      <c r="D249" s="157">
        <v>0.84590749722433245</v>
      </c>
      <c r="E249" s="14">
        <v>0.30754449833459946</v>
      </c>
      <c r="F249" s="38">
        <v>0.32438590545199558</v>
      </c>
      <c r="G249" s="38">
        <v>0.4</v>
      </c>
    </row>
    <row r="250" spans="1:7">
      <c r="A250" s="213" t="s">
        <v>50</v>
      </c>
      <c r="B250" s="220">
        <v>20.39</v>
      </c>
      <c r="C250" s="30">
        <f t="shared" si="5"/>
        <v>17.113</v>
      </c>
      <c r="D250" s="157">
        <v>0.87067263364394309</v>
      </c>
      <c r="E250" s="14">
        <v>0.32240358018636589</v>
      </c>
      <c r="F250" s="38">
        <v>0.33653830308974991</v>
      </c>
      <c r="G250" s="38">
        <v>0.4</v>
      </c>
    </row>
    <row r="251" spans="1:7">
      <c r="A251" s="213" t="s">
        <v>51</v>
      </c>
      <c r="B251" s="220">
        <v>24.02</v>
      </c>
      <c r="C251" s="30">
        <f t="shared" si="5"/>
        <v>20.39</v>
      </c>
      <c r="D251" s="157">
        <v>0.89021711074104914</v>
      </c>
      <c r="E251" s="14">
        <v>0.33413026644462951</v>
      </c>
      <c r="F251" s="38">
        <v>0.3461288925895088</v>
      </c>
      <c r="G251" s="38">
        <v>0.4</v>
      </c>
    </row>
    <row r="252" spans="1:7">
      <c r="A252" s="213" t="s">
        <v>52</v>
      </c>
      <c r="B252" s="220">
        <v>31.26</v>
      </c>
      <c r="C252" s="30">
        <f t="shared" si="5"/>
        <v>24.02</v>
      </c>
      <c r="D252" s="157">
        <v>0.91564347408829172</v>
      </c>
      <c r="E252" s="14">
        <v>0.34938608445297509</v>
      </c>
      <c r="F252" s="38">
        <v>0.35860575815738965</v>
      </c>
      <c r="G252" s="38">
        <v>0.4</v>
      </c>
    </row>
    <row r="253" spans="1:7">
      <c r="A253" s="213" t="s">
        <v>53</v>
      </c>
      <c r="B253" s="220">
        <v>44.533999999999999</v>
      </c>
      <c r="C253" s="30">
        <f>B252</f>
        <v>31.26</v>
      </c>
      <c r="D253" s="157">
        <v>0.94078715138994917</v>
      </c>
      <c r="E253" s="14">
        <v>0.36447229083396954</v>
      </c>
      <c r="F253" s="38">
        <v>0.37094390802532895</v>
      </c>
      <c r="G253" s="38">
        <v>0.4</v>
      </c>
    </row>
    <row r="254" spans="1:7">
      <c r="A254" s="213" t="s">
        <v>53</v>
      </c>
      <c r="B254" s="214" t="s">
        <v>142</v>
      </c>
      <c r="C254" s="30">
        <f t="shared" si="5"/>
        <v>44.533999999999999</v>
      </c>
      <c r="D254" s="218"/>
      <c r="E254" s="11"/>
      <c r="F254" s="39"/>
      <c r="G254" s="39"/>
    </row>
    <row r="255" spans="1:7">
      <c r="A255" s="29"/>
      <c r="B255" s="219"/>
      <c r="C255" s="29"/>
      <c r="D255" s="58"/>
      <c r="E255" s="32">
        <v>8.8568998271310373E-2</v>
      </c>
      <c r="F255" s="40">
        <v>0.10535121459239546</v>
      </c>
      <c r="G255" s="40">
        <v>0.39999999999999986</v>
      </c>
    </row>
    <row r="256" spans="1:7" ht="60.75" thickBot="1">
      <c r="A256" s="33" t="s">
        <v>55</v>
      </c>
      <c r="B256" s="3"/>
      <c r="C256" s="29"/>
      <c r="D256" s="58"/>
      <c r="E256" s="34">
        <v>4.3949749999999996</v>
      </c>
      <c r="F256" s="41">
        <v>3.5943999999999998</v>
      </c>
      <c r="G256" s="42">
        <v>0</v>
      </c>
    </row>
    <row r="257" spans="1:7" ht="60.75" thickBot="1">
      <c r="A257" s="33" t="s">
        <v>56</v>
      </c>
      <c r="B257" s="4">
        <v>8.7899999999999991</v>
      </c>
      <c r="C257" s="29"/>
      <c r="D257" s="11"/>
      <c r="E257" s="11"/>
      <c r="F257" s="39"/>
      <c r="G257" s="39"/>
    </row>
    <row r="258" spans="1:7" ht="97.5" thickBot="1">
      <c r="A258" s="35" t="s">
        <v>57</v>
      </c>
      <c r="B258" s="4">
        <v>5.2739999999999991</v>
      </c>
      <c r="C258" s="29"/>
      <c r="D258" s="11"/>
      <c r="E258" s="11">
        <v>2.6369849999999997</v>
      </c>
      <c r="F258" s="39">
        <v>2.1566399999999999</v>
      </c>
      <c r="G258" s="39">
        <v>0</v>
      </c>
    </row>
    <row r="261" spans="1:7">
      <c r="A261" s="16" t="s">
        <v>64</v>
      </c>
      <c r="B261" s="17">
        <f>AVERAGE(B209:B248)</f>
        <v>4.3949749999999996</v>
      </c>
      <c r="C261" s="17"/>
    </row>
    <row r="262" spans="1:7">
      <c r="A262" s="16" t="s">
        <v>65</v>
      </c>
      <c r="B262" s="18">
        <f>AVERAGE(B214:B243)</f>
        <v>3.5943999999999998</v>
      </c>
      <c r="C262" s="18"/>
    </row>
    <row r="263" spans="1:7">
      <c r="A263" s="16" t="s">
        <v>66</v>
      </c>
      <c r="B263" s="18">
        <f>AVERAGE(B220:B238)</f>
        <v>3.3044736842105262</v>
      </c>
      <c r="C263" s="18"/>
    </row>
    <row r="265" spans="1:7" ht="15.75" thickBot="1"/>
    <row r="266" spans="1:7" ht="15" customHeight="1" thickBot="1">
      <c r="A266" s="522" t="s">
        <v>0</v>
      </c>
      <c r="B266" s="525" t="s">
        <v>67</v>
      </c>
      <c r="C266" s="526"/>
      <c r="D266" s="527"/>
      <c r="E266" s="19" t="e">
        <f>(1-E321)^(1/3)-1</f>
        <v>#DIV/0!</v>
      </c>
      <c r="F266" s="19" t="e">
        <f>(1-F321)^(1/3)-1</f>
        <v>#DIV/0!</v>
      </c>
      <c r="G266" s="19"/>
    </row>
    <row r="267" spans="1:7" ht="72.75" thickBot="1">
      <c r="A267" s="523"/>
      <c r="B267" s="11" t="s">
        <v>4</v>
      </c>
      <c r="C267" s="65"/>
      <c r="D267" s="11" t="s">
        <v>80</v>
      </c>
      <c r="E267" s="11" t="s">
        <v>5</v>
      </c>
      <c r="F267" s="39" t="s">
        <v>5</v>
      </c>
      <c r="G267" s="39"/>
    </row>
    <row r="268" spans="1:7" ht="25.5" thickBot="1">
      <c r="A268" s="524"/>
      <c r="B268" s="3" t="s">
        <v>68</v>
      </c>
      <c r="D268" s="20" t="s">
        <v>7</v>
      </c>
      <c r="E268" s="20" t="s">
        <v>7</v>
      </c>
      <c r="F268" s="20" t="s">
        <v>7</v>
      </c>
      <c r="G268" s="20"/>
    </row>
    <row r="269" spans="1:7" ht="15.75" thickBot="1">
      <c r="A269" s="50">
        <v>1</v>
      </c>
      <c r="B269" s="51">
        <v>2</v>
      </c>
      <c r="D269" s="51">
        <v>3</v>
      </c>
      <c r="E269" s="51">
        <v>4</v>
      </c>
      <c r="F269" s="52">
        <v>5</v>
      </c>
      <c r="G269" s="52"/>
    </row>
    <row r="270" spans="1:7" ht="15.75" thickBot="1">
      <c r="A270" s="8" t="s">
        <v>10</v>
      </c>
      <c r="B270" s="24"/>
      <c r="C270">
        <v>0</v>
      </c>
      <c r="D270" s="14">
        <f t="shared" ref="D270:D301" si="6">IF(B270=0,0,IF(B270&lt;=E$324,0,B270-E$324)/B270)</f>
        <v>0</v>
      </c>
      <c r="E270" s="14"/>
      <c r="F270" s="38"/>
      <c r="G270" s="38"/>
    </row>
    <row r="271" spans="1:7" ht="15.75" thickBot="1">
      <c r="A271" s="8" t="s">
        <v>58</v>
      </c>
      <c r="B271" s="25"/>
      <c r="C271" s="30">
        <f>B270</f>
        <v>0</v>
      </c>
      <c r="D271" s="14">
        <f t="shared" si="6"/>
        <v>0</v>
      </c>
      <c r="E271" s="14"/>
      <c r="F271" s="38"/>
      <c r="G271" s="38"/>
    </row>
    <row r="272" spans="1:7" ht="15.75" thickBot="1">
      <c r="A272" s="8" t="s">
        <v>59</v>
      </c>
      <c r="B272" s="25"/>
      <c r="C272" s="30">
        <f t="shared" ref="C272:C320" si="7">B271</f>
        <v>0</v>
      </c>
      <c r="D272" s="14">
        <f t="shared" si="6"/>
        <v>0</v>
      </c>
      <c r="E272" s="14"/>
      <c r="F272" s="38"/>
      <c r="G272" s="38"/>
    </row>
    <row r="273" spans="1:7" ht="15.75" thickBot="1">
      <c r="A273" s="8" t="s">
        <v>60</v>
      </c>
      <c r="B273" s="25"/>
      <c r="C273" s="30">
        <f t="shared" si="7"/>
        <v>0</v>
      </c>
      <c r="D273" s="14">
        <f t="shared" si="6"/>
        <v>0</v>
      </c>
      <c r="E273" s="14"/>
      <c r="F273" s="38"/>
      <c r="G273" s="38"/>
    </row>
    <row r="274" spans="1:7" ht="15.75" thickBot="1">
      <c r="A274" s="8" t="s">
        <v>61</v>
      </c>
      <c r="B274" s="25"/>
      <c r="C274" s="30">
        <f t="shared" si="7"/>
        <v>0</v>
      </c>
      <c r="D274" s="14">
        <f t="shared" si="6"/>
        <v>0</v>
      </c>
      <c r="E274" s="14"/>
      <c r="F274" s="38"/>
      <c r="G274" s="38"/>
    </row>
    <row r="275" spans="1:7" ht="15.75" thickBot="1">
      <c r="A275" s="8" t="s">
        <v>62</v>
      </c>
      <c r="B275" s="25"/>
      <c r="C275" s="30">
        <f t="shared" si="7"/>
        <v>0</v>
      </c>
      <c r="D275" s="14">
        <f t="shared" si="6"/>
        <v>0</v>
      </c>
      <c r="E275" s="14"/>
      <c r="F275" s="38"/>
      <c r="G275" s="38"/>
    </row>
    <row r="276" spans="1:7" ht="15.75" thickBot="1">
      <c r="A276" s="8" t="s">
        <v>63</v>
      </c>
      <c r="B276" s="25"/>
      <c r="C276" s="30">
        <f t="shared" si="7"/>
        <v>0</v>
      </c>
      <c r="D276" s="14">
        <f t="shared" si="6"/>
        <v>0</v>
      </c>
      <c r="E276" s="14"/>
      <c r="F276" s="38"/>
      <c r="G276" s="38"/>
    </row>
    <row r="277" spans="1:7" ht="15.75" thickBot="1">
      <c r="A277" s="3" t="s">
        <v>11</v>
      </c>
      <c r="B277" s="25"/>
      <c r="C277" s="30">
        <f t="shared" si="7"/>
        <v>0</v>
      </c>
      <c r="D277" s="14">
        <f t="shared" si="6"/>
        <v>0</v>
      </c>
      <c r="E277" s="14"/>
      <c r="F277" s="38"/>
      <c r="G277" s="38"/>
    </row>
    <row r="278" spans="1:7" ht="15.75" thickBot="1">
      <c r="A278" s="3" t="s">
        <v>12</v>
      </c>
      <c r="B278" s="25"/>
      <c r="C278" s="30">
        <f t="shared" si="7"/>
        <v>0</v>
      </c>
      <c r="D278" s="14">
        <f t="shared" si="6"/>
        <v>0</v>
      </c>
      <c r="E278" s="14"/>
      <c r="F278" s="38"/>
      <c r="G278" s="38"/>
    </row>
    <row r="279" spans="1:7" ht="15.75" thickBot="1">
      <c r="A279" s="3" t="s">
        <v>13</v>
      </c>
      <c r="B279" s="25"/>
      <c r="C279" s="30">
        <f t="shared" si="7"/>
        <v>0</v>
      </c>
      <c r="D279" s="14">
        <f t="shared" si="6"/>
        <v>0</v>
      </c>
      <c r="E279" s="14"/>
      <c r="F279" s="38"/>
      <c r="G279" s="38"/>
    </row>
    <row r="280" spans="1:7" ht="15.75" thickBot="1">
      <c r="A280" s="3" t="s">
        <v>14</v>
      </c>
      <c r="B280" s="25"/>
      <c r="C280" s="30">
        <f t="shared" si="7"/>
        <v>0</v>
      </c>
      <c r="D280" s="14">
        <f t="shared" si="6"/>
        <v>0</v>
      </c>
      <c r="E280" s="14"/>
      <c r="F280" s="38"/>
      <c r="G280" s="38"/>
    </row>
    <row r="281" spans="1:7" ht="15.75" thickBot="1">
      <c r="A281" s="3" t="s">
        <v>15</v>
      </c>
      <c r="B281" s="25"/>
      <c r="C281" s="30">
        <f t="shared" si="7"/>
        <v>0</v>
      </c>
      <c r="D281" s="14">
        <f t="shared" si="6"/>
        <v>0</v>
      </c>
      <c r="E281" s="14"/>
      <c r="F281" s="38"/>
      <c r="G281" s="38"/>
    </row>
    <row r="282" spans="1:7" ht="15.75" thickBot="1">
      <c r="A282" s="3" t="s">
        <v>16</v>
      </c>
      <c r="B282" s="25"/>
      <c r="C282" s="30">
        <f t="shared" si="7"/>
        <v>0</v>
      </c>
      <c r="D282" s="14">
        <f t="shared" si="6"/>
        <v>0</v>
      </c>
      <c r="E282" s="14"/>
      <c r="F282" s="38"/>
      <c r="G282" s="38"/>
    </row>
    <row r="283" spans="1:7" ht="15.75" thickBot="1">
      <c r="A283" s="3" t="s">
        <v>17</v>
      </c>
      <c r="B283" s="25"/>
      <c r="C283" s="30">
        <f t="shared" si="7"/>
        <v>0</v>
      </c>
      <c r="D283" s="14">
        <f t="shared" si="6"/>
        <v>0</v>
      </c>
      <c r="E283" s="14"/>
      <c r="F283" s="38"/>
      <c r="G283" s="38"/>
    </row>
    <row r="284" spans="1:7" ht="15.75" thickBot="1">
      <c r="A284" s="3" t="s">
        <v>18</v>
      </c>
      <c r="B284" s="25"/>
      <c r="C284" s="30">
        <f t="shared" si="7"/>
        <v>0</v>
      </c>
      <c r="D284" s="14">
        <f t="shared" si="6"/>
        <v>0</v>
      </c>
      <c r="E284" s="14"/>
      <c r="F284" s="38"/>
      <c r="G284" s="38"/>
    </row>
    <row r="285" spans="1:7" ht="15.75" thickBot="1">
      <c r="A285" s="3" t="s">
        <v>19</v>
      </c>
      <c r="B285" s="25"/>
      <c r="C285" s="30">
        <f t="shared" si="7"/>
        <v>0</v>
      </c>
      <c r="D285" s="14">
        <f t="shared" si="6"/>
        <v>0</v>
      </c>
      <c r="E285" s="14"/>
      <c r="F285" s="38"/>
      <c r="G285" s="38"/>
    </row>
    <row r="286" spans="1:7" ht="15.75" thickBot="1">
      <c r="A286" s="3" t="s">
        <v>20</v>
      </c>
      <c r="B286" s="25"/>
      <c r="C286" s="30">
        <f t="shared" si="7"/>
        <v>0</v>
      </c>
      <c r="D286" s="14">
        <f t="shared" si="6"/>
        <v>0</v>
      </c>
      <c r="E286" s="14"/>
      <c r="F286" s="38"/>
      <c r="G286" s="38"/>
    </row>
    <row r="287" spans="1:7" ht="15.75" thickBot="1">
      <c r="A287" s="3" t="s">
        <v>21</v>
      </c>
      <c r="B287" s="25"/>
      <c r="C287" s="30">
        <f t="shared" si="7"/>
        <v>0</v>
      </c>
      <c r="D287" s="14">
        <f t="shared" si="6"/>
        <v>0</v>
      </c>
      <c r="E287" s="14"/>
      <c r="F287" s="38"/>
      <c r="G287" s="38"/>
    </row>
    <row r="288" spans="1:7" ht="15.75" thickBot="1">
      <c r="A288" s="3" t="s">
        <v>22</v>
      </c>
      <c r="B288" s="25"/>
      <c r="C288" s="30">
        <f t="shared" si="7"/>
        <v>0</v>
      </c>
      <c r="D288" s="14">
        <f t="shared" si="6"/>
        <v>0</v>
      </c>
      <c r="E288" s="14"/>
      <c r="F288" s="38"/>
      <c r="G288" s="38"/>
    </row>
    <row r="289" spans="1:7" ht="15.75" thickBot="1">
      <c r="A289" s="3" t="s">
        <v>23</v>
      </c>
      <c r="B289" s="25"/>
      <c r="C289" s="30">
        <f t="shared" si="7"/>
        <v>0</v>
      </c>
      <c r="D289" s="14">
        <f t="shared" si="6"/>
        <v>0</v>
      </c>
      <c r="E289" s="14"/>
      <c r="F289" s="38"/>
      <c r="G289" s="38"/>
    </row>
    <row r="290" spans="1:7" ht="15.75" thickBot="1">
      <c r="A290" s="3" t="s">
        <v>24</v>
      </c>
      <c r="B290" s="25"/>
      <c r="C290" s="30">
        <f t="shared" si="7"/>
        <v>0</v>
      </c>
      <c r="D290" s="14">
        <f t="shared" si="6"/>
        <v>0</v>
      </c>
      <c r="E290" s="14"/>
      <c r="F290" s="38"/>
      <c r="G290" s="38"/>
    </row>
    <row r="291" spans="1:7" ht="15.75" thickBot="1">
      <c r="A291" s="3" t="s">
        <v>25</v>
      </c>
      <c r="B291" s="25"/>
      <c r="C291" s="30">
        <f t="shared" si="7"/>
        <v>0</v>
      </c>
      <c r="D291" s="14">
        <f t="shared" si="6"/>
        <v>0</v>
      </c>
      <c r="E291" s="14"/>
      <c r="F291" s="38"/>
      <c r="G291" s="38"/>
    </row>
    <row r="292" spans="1:7" ht="15.75" thickBot="1">
      <c r="A292" s="3" t="s">
        <v>26</v>
      </c>
      <c r="B292" s="25"/>
      <c r="C292" s="30">
        <f t="shared" si="7"/>
        <v>0</v>
      </c>
      <c r="D292" s="14">
        <f t="shared" si="6"/>
        <v>0</v>
      </c>
      <c r="E292" s="14"/>
      <c r="F292" s="38"/>
      <c r="G292" s="38"/>
    </row>
    <row r="293" spans="1:7" ht="15.75" thickBot="1">
      <c r="A293" s="3" t="s">
        <v>27</v>
      </c>
      <c r="B293" s="25"/>
      <c r="C293" s="30">
        <f t="shared" si="7"/>
        <v>0</v>
      </c>
      <c r="D293" s="14">
        <f t="shared" si="6"/>
        <v>0</v>
      </c>
      <c r="E293" s="14"/>
      <c r="F293" s="38"/>
      <c r="G293" s="38"/>
    </row>
    <row r="294" spans="1:7" ht="15.75" thickBot="1">
      <c r="A294" s="3" t="s">
        <v>28</v>
      </c>
      <c r="B294" s="25"/>
      <c r="C294" s="30">
        <f t="shared" si="7"/>
        <v>0</v>
      </c>
      <c r="D294" s="14">
        <f t="shared" si="6"/>
        <v>0</v>
      </c>
      <c r="E294" s="14"/>
      <c r="F294" s="38"/>
      <c r="G294" s="38"/>
    </row>
    <row r="295" spans="1:7" ht="15.75" thickBot="1">
      <c r="A295" s="3" t="s">
        <v>29</v>
      </c>
      <c r="B295" s="25"/>
      <c r="C295" s="30">
        <f t="shared" si="7"/>
        <v>0</v>
      </c>
      <c r="D295" s="14">
        <f t="shared" si="6"/>
        <v>0</v>
      </c>
      <c r="E295" s="14"/>
      <c r="F295" s="38"/>
      <c r="G295" s="38"/>
    </row>
    <row r="296" spans="1:7" ht="15.75" thickBot="1">
      <c r="A296" s="3" t="s">
        <v>30</v>
      </c>
      <c r="B296" s="25"/>
      <c r="C296" s="30">
        <f t="shared" si="7"/>
        <v>0</v>
      </c>
      <c r="D296" s="14">
        <f t="shared" si="6"/>
        <v>0</v>
      </c>
      <c r="E296" s="14"/>
      <c r="F296" s="38"/>
      <c r="G296" s="38"/>
    </row>
    <row r="297" spans="1:7" ht="15.75" thickBot="1">
      <c r="A297" s="3" t="s">
        <v>31</v>
      </c>
      <c r="B297" s="25"/>
      <c r="C297" s="30">
        <f t="shared" si="7"/>
        <v>0</v>
      </c>
      <c r="D297" s="14">
        <f t="shared" si="6"/>
        <v>0</v>
      </c>
      <c r="E297" s="14"/>
      <c r="F297" s="38"/>
      <c r="G297" s="38"/>
    </row>
    <row r="298" spans="1:7" ht="15.75" thickBot="1">
      <c r="A298" s="3" t="s">
        <v>32</v>
      </c>
      <c r="B298" s="25"/>
      <c r="C298" s="30">
        <f t="shared" si="7"/>
        <v>0</v>
      </c>
      <c r="D298" s="14">
        <f t="shared" si="6"/>
        <v>0</v>
      </c>
      <c r="E298" s="14"/>
      <c r="F298" s="38"/>
      <c r="G298" s="38"/>
    </row>
    <row r="299" spans="1:7" ht="15.75" thickBot="1">
      <c r="A299" s="3" t="s">
        <v>33</v>
      </c>
      <c r="B299" s="25"/>
      <c r="C299" s="30">
        <f t="shared" si="7"/>
        <v>0</v>
      </c>
      <c r="D299" s="14">
        <f t="shared" si="6"/>
        <v>0</v>
      </c>
      <c r="E299" s="14"/>
      <c r="F299" s="38"/>
      <c r="G299" s="38"/>
    </row>
    <row r="300" spans="1:7" ht="15.75" thickBot="1">
      <c r="A300" s="3" t="s">
        <v>34</v>
      </c>
      <c r="B300" s="25"/>
      <c r="C300" s="30">
        <f t="shared" si="7"/>
        <v>0</v>
      </c>
      <c r="D300" s="14">
        <f t="shared" si="6"/>
        <v>0</v>
      </c>
      <c r="E300" s="14"/>
      <c r="F300" s="38"/>
      <c r="G300" s="38"/>
    </row>
    <row r="301" spans="1:7" ht="15.75" thickBot="1">
      <c r="A301" s="3" t="s">
        <v>35</v>
      </c>
      <c r="B301" s="25"/>
      <c r="C301" s="30">
        <f t="shared" si="7"/>
        <v>0</v>
      </c>
      <c r="D301" s="14">
        <f t="shared" si="6"/>
        <v>0</v>
      </c>
      <c r="E301" s="14"/>
      <c r="F301" s="38"/>
      <c r="G301" s="38"/>
    </row>
    <row r="302" spans="1:7" ht="15.75" thickBot="1">
      <c r="A302" s="3" t="s">
        <v>36</v>
      </c>
      <c r="B302" s="25"/>
      <c r="C302" s="30">
        <f t="shared" si="7"/>
        <v>0</v>
      </c>
      <c r="D302" s="14">
        <f t="shared" ref="D302:D319" si="8">IF(B302=0,0,IF(B302&lt;=E$324,0,B302-E$324)/B302)</f>
        <v>0</v>
      </c>
      <c r="E302" s="14"/>
      <c r="F302" s="38"/>
      <c r="G302" s="38"/>
    </row>
    <row r="303" spans="1:7" ht="15.75" thickBot="1">
      <c r="A303" s="3" t="s">
        <v>37</v>
      </c>
      <c r="B303" s="25"/>
      <c r="C303" s="30">
        <f t="shared" si="7"/>
        <v>0</v>
      </c>
      <c r="D303" s="14">
        <f t="shared" si="8"/>
        <v>0</v>
      </c>
      <c r="E303" s="14"/>
      <c r="F303" s="38"/>
      <c r="G303" s="38"/>
    </row>
    <row r="304" spans="1:7" ht="15.75" thickBot="1">
      <c r="A304" s="3" t="s">
        <v>38</v>
      </c>
      <c r="B304" s="25"/>
      <c r="C304" s="30">
        <f t="shared" si="7"/>
        <v>0</v>
      </c>
      <c r="D304" s="14">
        <f t="shared" si="8"/>
        <v>0</v>
      </c>
      <c r="E304" s="14"/>
      <c r="F304" s="38"/>
      <c r="G304" s="38"/>
    </row>
    <row r="305" spans="1:7" ht="15.75" thickBot="1">
      <c r="A305" s="3" t="s">
        <v>39</v>
      </c>
      <c r="B305" s="25"/>
      <c r="C305" s="30">
        <f t="shared" si="7"/>
        <v>0</v>
      </c>
      <c r="D305" s="14">
        <f t="shared" si="8"/>
        <v>0</v>
      </c>
      <c r="E305" s="14"/>
      <c r="F305" s="38"/>
      <c r="G305" s="38"/>
    </row>
    <row r="306" spans="1:7" ht="15.75" thickBot="1">
      <c r="A306" s="3" t="s">
        <v>40</v>
      </c>
      <c r="B306" s="25"/>
      <c r="C306" s="30">
        <f t="shared" si="7"/>
        <v>0</v>
      </c>
      <c r="D306" s="14">
        <f t="shared" si="8"/>
        <v>0</v>
      </c>
      <c r="E306" s="14"/>
      <c r="F306" s="38"/>
      <c r="G306" s="38"/>
    </row>
    <row r="307" spans="1:7" ht="15.75" thickBot="1">
      <c r="A307" s="3" t="s">
        <v>41</v>
      </c>
      <c r="B307" s="25"/>
      <c r="C307" s="30">
        <f t="shared" si="7"/>
        <v>0</v>
      </c>
      <c r="D307" s="14">
        <f t="shared" si="8"/>
        <v>0</v>
      </c>
      <c r="E307" s="14"/>
      <c r="F307" s="38"/>
      <c r="G307" s="38"/>
    </row>
    <row r="308" spans="1:7" ht="15.75" thickBot="1">
      <c r="A308" s="3" t="s">
        <v>42</v>
      </c>
      <c r="B308" s="25"/>
      <c r="C308" s="30">
        <f t="shared" si="7"/>
        <v>0</v>
      </c>
      <c r="D308" s="14">
        <f t="shared" si="8"/>
        <v>0</v>
      </c>
      <c r="E308" s="14"/>
      <c r="F308" s="38"/>
      <c r="G308" s="38"/>
    </row>
    <row r="309" spans="1:7" ht="15.75" thickBot="1">
      <c r="A309" s="3" t="s">
        <v>43</v>
      </c>
      <c r="B309" s="25"/>
      <c r="C309" s="30">
        <f t="shared" si="7"/>
        <v>0</v>
      </c>
      <c r="D309" s="14">
        <f t="shared" si="8"/>
        <v>0</v>
      </c>
      <c r="E309" s="14"/>
      <c r="F309" s="38"/>
      <c r="G309" s="38"/>
    </row>
    <row r="310" spans="1:7" ht="15.75" thickBot="1">
      <c r="A310" s="3" t="s">
        <v>44</v>
      </c>
      <c r="B310" s="25"/>
      <c r="C310" s="30">
        <f t="shared" si="7"/>
        <v>0</v>
      </c>
      <c r="D310" s="14">
        <f t="shared" si="8"/>
        <v>0</v>
      </c>
      <c r="E310" s="14"/>
      <c r="F310" s="38"/>
      <c r="G310" s="38"/>
    </row>
    <row r="311" spans="1:7" ht="15.75" thickBot="1">
      <c r="A311" s="3" t="s">
        <v>45</v>
      </c>
      <c r="B311" s="25"/>
      <c r="C311" s="30">
        <f t="shared" si="7"/>
        <v>0</v>
      </c>
      <c r="D311" s="14">
        <f t="shared" si="8"/>
        <v>0</v>
      </c>
      <c r="E311" s="14"/>
      <c r="F311" s="38"/>
      <c r="G311" s="38"/>
    </row>
    <row r="312" spans="1:7" ht="15.75" thickBot="1">
      <c r="A312" s="3" t="s">
        <v>46</v>
      </c>
      <c r="B312" s="25"/>
      <c r="C312" s="30">
        <f t="shared" si="7"/>
        <v>0</v>
      </c>
      <c r="D312" s="14">
        <f t="shared" si="8"/>
        <v>0</v>
      </c>
      <c r="E312" s="14"/>
      <c r="F312" s="38"/>
      <c r="G312" s="38"/>
    </row>
    <row r="313" spans="1:7" ht="15.75" thickBot="1">
      <c r="A313" s="3" t="s">
        <v>47</v>
      </c>
      <c r="B313" s="25"/>
      <c r="C313" s="30">
        <f t="shared" si="7"/>
        <v>0</v>
      </c>
      <c r="D313" s="14">
        <f t="shared" si="8"/>
        <v>0</v>
      </c>
      <c r="E313" s="14"/>
      <c r="F313" s="38"/>
      <c r="G313" s="38"/>
    </row>
    <row r="314" spans="1:7" ht="15.75" thickBot="1">
      <c r="A314" s="3" t="s">
        <v>48</v>
      </c>
      <c r="B314" s="25"/>
      <c r="C314" s="30">
        <f t="shared" si="7"/>
        <v>0</v>
      </c>
      <c r="D314" s="14">
        <f t="shared" si="8"/>
        <v>0</v>
      </c>
      <c r="E314" s="14"/>
      <c r="F314" s="38"/>
      <c r="G314" s="38"/>
    </row>
    <row r="315" spans="1:7" ht="15.75" thickBot="1">
      <c r="A315" s="3" t="s">
        <v>49</v>
      </c>
      <c r="B315" s="25"/>
      <c r="C315" s="30">
        <f t="shared" si="7"/>
        <v>0</v>
      </c>
      <c r="D315" s="14">
        <f t="shared" si="8"/>
        <v>0</v>
      </c>
      <c r="E315" s="14"/>
      <c r="F315" s="38"/>
      <c r="G315" s="38"/>
    </row>
    <row r="316" spans="1:7" ht="15.75" thickBot="1">
      <c r="A316" s="3" t="s">
        <v>50</v>
      </c>
      <c r="B316" s="25"/>
      <c r="C316" s="30">
        <f t="shared" si="7"/>
        <v>0</v>
      </c>
      <c r="D316" s="14">
        <f t="shared" si="8"/>
        <v>0</v>
      </c>
      <c r="E316" s="14"/>
      <c r="F316" s="38"/>
      <c r="G316" s="38"/>
    </row>
    <row r="317" spans="1:7" ht="15.75" thickBot="1">
      <c r="A317" s="3" t="s">
        <v>51</v>
      </c>
      <c r="B317" s="25"/>
      <c r="C317" s="30">
        <f t="shared" si="7"/>
        <v>0</v>
      </c>
      <c r="D317" s="14">
        <f t="shared" si="8"/>
        <v>0</v>
      </c>
      <c r="E317" s="14"/>
      <c r="F317" s="38"/>
      <c r="G317" s="38"/>
    </row>
    <row r="318" spans="1:7" ht="15.75" thickBot="1">
      <c r="A318" s="3" t="s">
        <v>52</v>
      </c>
      <c r="B318" s="25"/>
      <c r="C318" s="30">
        <f t="shared" si="7"/>
        <v>0</v>
      </c>
      <c r="D318" s="14">
        <f t="shared" si="8"/>
        <v>0</v>
      </c>
      <c r="E318" s="14"/>
      <c r="F318" s="38"/>
      <c r="G318" s="38"/>
    </row>
    <row r="319" spans="1:7" ht="15.75" thickBot="1">
      <c r="A319" s="3" t="s">
        <v>53</v>
      </c>
      <c r="B319" s="25"/>
      <c r="C319" s="30">
        <f>B318</f>
        <v>0</v>
      </c>
      <c r="D319" s="14">
        <f t="shared" si="8"/>
        <v>0</v>
      </c>
      <c r="E319" s="14"/>
      <c r="F319" s="38"/>
      <c r="G319" s="38"/>
    </row>
    <row r="320" spans="1:7" ht="15.75" thickBot="1">
      <c r="A320" s="3" t="s">
        <v>53</v>
      </c>
      <c r="B320" s="3"/>
      <c r="C320" s="30">
        <f t="shared" si="7"/>
        <v>0</v>
      </c>
      <c r="D320" s="22"/>
      <c r="E320" s="1"/>
      <c r="F320" s="37"/>
      <c r="G320" s="39"/>
    </row>
    <row r="321" spans="1:7" ht="15.75" thickBot="1">
      <c r="A321" s="3"/>
      <c r="B321" s="3"/>
      <c r="D321" s="4"/>
      <c r="E321" s="15" t="e">
        <f>AVERAGE(E270:E319)</f>
        <v>#DIV/0!</v>
      </c>
      <c r="F321" s="26" t="e">
        <f>AVERAGE(F270:F319)</f>
        <v>#DIV/0!</v>
      </c>
      <c r="G321" s="26"/>
    </row>
    <row r="322" spans="1:7" ht="60.75" thickBot="1">
      <c r="A322" s="5" t="s">
        <v>55</v>
      </c>
      <c r="B322" s="3"/>
      <c r="D322" s="4"/>
      <c r="E322" s="12" t="e">
        <f>B327</f>
        <v>#DIV/0!</v>
      </c>
      <c r="F322" s="45" t="e">
        <f>B328</f>
        <v>#DIV/0!</v>
      </c>
      <c r="G322" s="46"/>
    </row>
    <row r="323" spans="1:7" ht="60.75" thickBot="1">
      <c r="A323" s="5" t="s">
        <v>56</v>
      </c>
      <c r="B323" s="4"/>
      <c r="D323" s="1"/>
      <c r="E323" s="1"/>
      <c r="F323" s="37"/>
      <c r="G323" s="37"/>
    </row>
    <row r="324" spans="1:7" ht="97.5" thickBot="1">
      <c r="A324" s="6" t="s">
        <v>57</v>
      </c>
      <c r="B324" s="4"/>
      <c r="D324" s="1"/>
      <c r="E324" s="1" t="e">
        <f>0.6*E322</f>
        <v>#DIV/0!</v>
      </c>
      <c r="F324" s="37" t="e">
        <f>0.6*F322</f>
        <v>#DIV/0!</v>
      </c>
      <c r="G324" s="37"/>
    </row>
    <row r="327" spans="1:7">
      <c r="A327" s="16" t="s">
        <v>64</v>
      </c>
      <c r="B327" s="17" t="e">
        <f>AVERAGE(B275:B314)</f>
        <v>#DIV/0!</v>
      </c>
    </row>
    <row r="328" spans="1:7">
      <c r="A328" s="16" t="s">
        <v>65</v>
      </c>
      <c r="B328" s="18" t="e">
        <f>AVERAGE(B280:B309)</f>
        <v>#DIV/0!</v>
      </c>
    </row>
    <row r="329" spans="1:7">
      <c r="A329" s="16" t="s">
        <v>66</v>
      </c>
      <c r="B329" s="18" t="e">
        <f>AVERAGE(B286:B304)</f>
        <v>#DIV/0!</v>
      </c>
    </row>
    <row r="332" spans="1:7" ht="15.75" thickBot="1"/>
    <row r="333" spans="1:7" ht="15" customHeight="1" thickBot="1">
      <c r="A333" s="522" t="s">
        <v>0</v>
      </c>
      <c r="B333" s="525" t="s">
        <v>70</v>
      </c>
      <c r="C333" s="526"/>
      <c r="D333" s="527"/>
      <c r="E333" s="19">
        <f>(1-E388)^(1/3)-1</f>
        <v>0</v>
      </c>
      <c r="F333" s="19">
        <f>(1-F388)^(1/3)-1</f>
        <v>0</v>
      </c>
      <c r="G333" s="19"/>
    </row>
    <row r="334" spans="1:7" ht="72.75" thickBot="1">
      <c r="A334" s="523"/>
      <c r="B334" s="7" t="s">
        <v>4</v>
      </c>
      <c r="D334" s="11" t="s">
        <v>80</v>
      </c>
      <c r="E334" s="11" t="s">
        <v>5</v>
      </c>
      <c r="F334" s="39" t="s">
        <v>5</v>
      </c>
      <c r="G334" s="39"/>
    </row>
    <row r="335" spans="1:7" ht="25.5" thickBot="1">
      <c r="A335" s="524"/>
      <c r="B335" s="3" t="s">
        <v>72</v>
      </c>
      <c r="D335" s="20" t="s">
        <v>7</v>
      </c>
      <c r="E335" s="20" t="s">
        <v>7</v>
      </c>
      <c r="F335" s="20" t="s">
        <v>7</v>
      </c>
      <c r="G335" s="20"/>
    </row>
    <row r="336" spans="1:7" ht="15.75" thickBot="1">
      <c r="A336" s="50">
        <v>1</v>
      </c>
      <c r="B336" s="51">
        <v>2</v>
      </c>
      <c r="C336" s="117"/>
      <c r="D336" s="51">
        <v>3</v>
      </c>
      <c r="E336" s="51">
        <v>4</v>
      </c>
      <c r="F336" s="52">
        <v>5</v>
      </c>
      <c r="G336" s="52"/>
    </row>
    <row r="337" spans="1:7" ht="15.75" thickBot="1">
      <c r="A337" s="8" t="s">
        <v>10</v>
      </c>
      <c r="B337" s="24"/>
      <c r="C337">
        <v>0</v>
      </c>
      <c r="D337" s="14">
        <f t="shared" ref="D337:D368" si="9">IF(B337=0,0,IF(B337&lt;=E$391,0,B337-E$391)/B337)</f>
        <v>0</v>
      </c>
      <c r="E337" s="14"/>
      <c r="F337" s="38"/>
      <c r="G337" s="38"/>
    </row>
    <row r="338" spans="1:7" ht="15.75" thickBot="1">
      <c r="A338" s="8" t="s">
        <v>58</v>
      </c>
      <c r="B338" s="25"/>
      <c r="C338" s="30">
        <f>B337</f>
        <v>0</v>
      </c>
      <c r="D338" s="14">
        <f t="shared" si="9"/>
        <v>0</v>
      </c>
      <c r="E338" s="14"/>
      <c r="F338" s="38"/>
      <c r="G338" s="38"/>
    </row>
    <row r="339" spans="1:7" ht="15.75" thickBot="1">
      <c r="A339" s="8" t="s">
        <v>59</v>
      </c>
      <c r="B339" s="25"/>
      <c r="C339" s="30">
        <f t="shared" ref="C339:C387" si="10">B338</f>
        <v>0</v>
      </c>
      <c r="D339" s="14">
        <f t="shared" si="9"/>
        <v>0</v>
      </c>
      <c r="E339" s="14"/>
      <c r="F339" s="38"/>
      <c r="G339" s="38"/>
    </row>
    <row r="340" spans="1:7" ht="15.75" thickBot="1">
      <c r="A340" s="8" t="s">
        <v>60</v>
      </c>
      <c r="B340" s="25"/>
      <c r="C340" s="30">
        <f t="shared" si="10"/>
        <v>0</v>
      </c>
      <c r="D340" s="14">
        <f t="shared" si="9"/>
        <v>0</v>
      </c>
      <c r="E340" s="14"/>
      <c r="F340" s="38"/>
      <c r="G340" s="38"/>
    </row>
    <row r="341" spans="1:7" ht="15.75" thickBot="1">
      <c r="A341" s="8" t="s">
        <v>61</v>
      </c>
      <c r="B341" s="25"/>
      <c r="C341" s="30">
        <f t="shared" si="10"/>
        <v>0</v>
      </c>
      <c r="D341" s="14">
        <f t="shared" si="9"/>
        <v>0</v>
      </c>
      <c r="E341" s="14"/>
      <c r="F341" s="38"/>
      <c r="G341" s="38"/>
    </row>
    <row r="342" spans="1:7" ht="15.75" thickBot="1">
      <c r="A342" s="8" t="s">
        <v>62</v>
      </c>
      <c r="B342" s="25"/>
      <c r="C342" s="30">
        <f t="shared" si="10"/>
        <v>0</v>
      </c>
      <c r="D342" s="14">
        <f t="shared" si="9"/>
        <v>0</v>
      </c>
      <c r="E342" s="14"/>
      <c r="F342" s="38"/>
      <c r="G342" s="38"/>
    </row>
    <row r="343" spans="1:7" ht="15.75" thickBot="1">
      <c r="A343" s="8" t="s">
        <v>63</v>
      </c>
      <c r="B343" s="25"/>
      <c r="C343" s="30">
        <f t="shared" si="10"/>
        <v>0</v>
      </c>
      <c r="D343" s="14">
        <f t="shared" si="9"/>
        <v>0</v>
      </c>
      <c r="E343" s="14"/>
      <c r="F343" s="38"/>
      <c r="G343" s="38"/>
    </row>
    <row r="344" spans="1:7" ht="15.75" thickBot="1">
      <c r="A344" s="3" t="s">
        <v>11</v>
      </c>
      <c r="B344" s="25"/>
      <c r="C344" s="30">
        <f t="shared" si="10"/>
        <v>0</v>
      </c>
      <c r="D344" s="14">
        <f t="shared" si="9"/>
        <v>0</v>
      </c>
      <c r="E344" s="14"/>
      <c r="F344" s="38"/>
      <c r="G344" s="38"/>
    </row>
    <row r="345" spans="1:7" ht="15.75" thickBot="1">
      <c r="A345" s="3" t="s">
        <v>12</v>
      </c>
      <c r="B345" s="25"/>
      <c r="C345" s="30">
        <f t="shared" si="10"/>
        <v>0</v>
      </c>
      <c r="D345" s="14">
        <f t="shared" si="9"/>
        <v>0</v>
      </c>
      <c r="E345" s="14"/>
      <c r="F345" s="38"/>
      <c r="G345" s="38"/>
    </row>
    <row r="346" spans="1:7" ht="15.75" thickBot="1">
      <c r="A346" s="3" t="s">
        <v>13</v>
      </c>
      <c r="B346" s="25"/>
      <c r="C346" s="30">
        <f t="shared" si="10"/>
        <v>0</v>
      </c>
      <c r="D346" s="14">
        <f t="shared" si="9"/>
        <v>0</v>
      </c>
      <c r="E346" s="14"/>
      <c r="F346" s="38"/>
      <c r="G346" s="38"/>
    </row>
    <row r="347" spans="1:7" ht="15.75" thickBot="1">
      <c r="A347" s="3" t="s">
        <v>14</v>
      </c>
      <c r="B347" s="25"/>
      <c r="C347" s="30">
        <f t="shared" si="10"/>
        <v>0</v>
      </c>
      <c r="D347" s="14">
        <f t="shared" si="9"/>
        <v>0</v>
      </c>
      <c r="E347" s="14"/>
      <c r="F347" s="38"/>
      <c r="G347" s="38"/>
    </row>
    <row r="348" spans="1:7" ht="15.75" thickBot="1">
      <c r="A348" s="3" t="s">
        <v>15</v>
      </c>
      <c r="B348" s="25"/>
      <c r="C348" s="30">
        <f t="shared" si="10"/>
        <v>0</v>
      </c>
      <c r="D348" s="14">
        <f t="shared" si="9"/>
        <v>0</v>
      </c>
      <c r="E348" s="14"/>
      <c r="F348" s="38"/>
      <c r="G348" s="38"/>
    </row>
    <row r="349" spans="1:7" ht="15.75" thickBot="1">
      <c r="A349" s="3" t="s">
        <v>16</v>
      </c>
      <c r="B349" s="25"/>
      <c r="C349" s="30">
        <f t="shared" si="10"/>
        <v>0</v>
      </c>
      <c r="D349" s="14">
        <f t="shared" si="9"/>
        <v>0</v>
      </c>
      <c r="E349" s="14"/>
      <c r="F349" s="38"/>
      <c r="G349" s="38"/>
    </row>
    <row r="350" spans="1:7" ht="15.75" thickBot="1">
      <c r="A350" s="3" t="s">
        <v>17</v>
      </c>
      <c r="B350" s="25"/>
      <c r="C350" s="30">
        <f t="shared" si="10"/>
        <v>0</v>
      </c>
      <c r="D350" s="14">
        <f t="shared" si="9"/>
        <v>0</v>
      </c>
      <c r="E350" s="14"/>
      <c r="F350" s="38"/>
      <c r="G350" s="38"/>
    </row>
    <row r="351" spans="1:7" ht="15.75" thickBot="1">
      <c r="A351" s="3" t="s">
        <v>18</v>
      </c>
      <c r="B351" s="25"/>
      <c r="C351" s="30">
        <f t="shared" si="10"/>
        <v>0</v>
      </c>
      <c r="D351" s="14">
        <f t="shared" si="9"/>
        <v>0</v>
      </c>
      <c r="E351" s="14"/>
      <c r="F351" s="38"/>
      <c r="G351" s="38"/>
    </row>
    <row r="352" spans="1:7" ht="15.75" thickBot="1">
      <c r="A352" s="3" t="s">
        <v>19</v>
      </c>
      <c r="B352" s="25"/>
      <c r="C352" s="30">
        <f t="shared" si="10"/>
        <v>0</v>
      </c>
      <c r="D352" s="14">
        <f t="shared" si="9"/>
        <v>0</v>
      </c>
      <c r="E352" s="14"/>
      <c r="F352" s="38"/>
      <c r="G352" s="38"/>
    </row>
    <row r="353" spans="1:7" ht="15.75" thickBot="1">
      <c r="A353" s="3" t="s">
        <v>20</v>
      </c>
      <c r="B353" s="25"/>
      <c r="C353" s="30">
        <f t="shared" si="10"/>
        <v>0</v>
      </c>
      <c r="D353" s="14">
        <f t="shared" si="9"/>
        <v>0</v>
      </c>
      <c r="E353" s="14"/>
      <c r="F353" s="38"/>
      <c r="G353" s="38"/>
    </row>
    <row r="354" spans="1:7" ht="15.75" thickBot="1">
      <c r="A354" s="3" t="s">
        <v>21</v>
      </c>
      <c r="B354" s="25"/>
      <c r="C354" s="30">
        <f t="shared" si="10"/>
        <v>0</v>
      </c>
      <c r="D354" s="14">
        <f t="shared" si="9"/>
        <v>0</v>
      </c>
      <c r="E354" s="14"/>
      <c r="F354" s="38"/>
      <c r="G354" s="38"/>
    </row>
    <row r="355" spans="1:7" ht="15.75" thickBot="1">
      <c r="A355" s="3" t="s">
        <v>22</v>
      </c>
      <c r="B355" s="25"/>
      <c r="C355" s="30">
        <f t="shared" si="10"/>
        <v>0</v>
      </c>
      <c r="D355" s="14">
        <f t="shared" si="9"/>
        <v>0</v>
      </c>
      <c r="E355" s="14"/>
      <c r="F355" s="38"/>
      <c r="G355" s="38"/>
    </row>
    <row r="356" spans="1:7" ht="15.75" thickBot="1">
      <c r="A356" s="3" t="s">
        <v>23</v>
      </c>
      <c r="B356" s="25"/>
      <c r="C356" s="30">
        <f t="shared" si="10"/>
        <v>0</v>
      </c>
      <c r="D356" s="14">
        <f t="shared" si="9"/>
        <v>0</v>
      </c>
      <c r="E356" s="14"/>
      <c r="F356" s="38"/>
      <c r="G356" s="38"/>
    </row>
    <row r="357" spans="1:7" ht="15.75" thickBot="1">
      <c r="A357" s="3" t="s">
        <v>24</v>
      </c>
      <c r="B357" s="25"/>
      <c r="C357" s="30">
        <f t="shared" si="10"/>
        <v>0</v>
      </c>
      <c r="D357" s="14">
        <f t="shared" si="9"/>
        <v>0</v>
      </c>
      <c r="E357" s="14"/>
      <c r="F357" s="38"/>
      <c r="G357" s="38"/>
    </row>
    <row r="358" spans="1:7" ht="15.75" thickBot="1">
      <c r="A358" s="3" t="s">
        <v>25</v>
      </c>
      <c r="B358" s="25"/>
      <c r="C358" s="30">
        <f t="shared" si="10"/>
        <v>0</v>
      </c>
      <c r="D358" s="14">
        <f t="shared" si="9"/>
        <v>0</v>
      </c>
      <c r="E358" s="14"/>
      <c r="F358" s="38"/>
      <c r="G358" s="38"/>
    </row>
    <row r="359" spans="1:7" ht="15.75" thickBot="1">
      <c r="A359" s="3" t="s">
        <v>26</v>
      </c>
      <c r="B359" s="25"/>
      <c r="C359" s="30">
        <f t="shared" si="10"/>
        <v>0</v>
      </c>
      <c r="D359" s="14">
        <f t="shared" si="9"/>
        <v>0</v>
      </c>
      <c r="E359" s="14"/>
      <c r="F359" s="38"/>
      <c r="G359" s="38"/>
    </row>
    <row r="360" spans="1:7" ht="15.75" thickBot="1">
      <c r="A360" s="3" t="s">
        <v>27</v>
      </c>
      <c r="B360" s="25"/>
      <c r="C360" s="30">
        <f t="shared" si="10"/>
        <v>0</v>
      </c>
      <c r="D360" s="14">
        <f t="shared" si="9"/>
        <v>0</v>
      </c>
      <c r="E360" s="14"/>
      <c r="F360" s="38"/>
      <c r="G360" s="38"/>
    </row>
    <row r="361" spans="1:7" ht="15.75" thickBot="1">
      <c r="A361" s="3" t="s">
        <v>28</v>
      </c>
      <c r="B361" s="25"/>
      <c r="C361" s="30">
        <f t="shared" si="10"/>
        <v>0</v>
      </c>
      <c r="D361" s="14">
        <f t="shared" si="9"/>
        <v>0</v>
      </c>
      <c r="E361" s="14"/>
      <c r="F361" s="38"/>
      <c r="G361" s="38"/>
    </row>
    <row r="362" spans="1:7" ht="15.75" thickBot="1">
      <c r="A362" s="3" t="s">
        <v>29</v>
      </c>
      <c r="B362" s="25"/>
      <c r="C362" s="30">
        <f t="shared" si="10"/>
        <v>0</v>
      </c>
      <c r="D362" s="14">
        <f t="shared" si="9"/>
        <v>0</v>
      </c>
      <c r="E362" s="14"/>
      <c r="F362" s="38"/>
      <c r="G362" s="38"/>
    </row>
    <row r="363" spans="1:7" ht="15.75" thickBot="1">
      <c r="A363" s="3" t="s">
        <v>30</v>
      </c>
      <c r="B363" s="25"/>
      <c r="C363" s="30">
        <f t="shared" si="10"/>
        <v>0</v>
      </c>
      <c r="D363" s="14">
        <f t="shared" si="9"/>
        <v>0</v>
      </c>
      <c r="E363" s="14"/>
      <c r="F363" s="38"/>
      <c r="G363" s="38"/>
    </row>
    <row r="364" spans="1:7" ht="15.75" thickBot="1">
      <c r="A364" s="3" t="s">
        <v>31</v>
      </c>
      <c r="B364" s="25"/>
      <c r="C364" s="30">
        <f t="shared" si="10"/>
        <v>0</v>
      </c>
      <c r="D364" s="14">
        <f t="shared" si="9"/>
        <v>0</v>
      </c>
      <c r="E364" s="14"/>
      <c r="F364" s="38"/>
      <c r="G364" s="38"/>
    </row>
    <row r="365" spans="1:7" ht="15.75" thickBot="1">
      <c r="A365" s="3" t="s">
        <v>32</v>
      </c>
      <c r="B365" s="25"/>
      <c r="C365" s="30">
        <f t="shared" si="10"/>
        <v>0</v>
      </c>
      <c r="D365" s="14">
        <f t="shared" si="9"/>
        <v>0</v>
      </c>
      <c r="E365" s="14"/>
      <c r="F365" s="38"/>
      <c r="G365" s="38"/>
    </row>
    <row r="366" spans="1:7" ht="15.75" thickBot="1">
      <c r="A366" s="3" t="s">
        <v>33</v>
      </c>
      <c r="B366" s="25"/>
      <c r="C366" s="30">
        <f t="shared" si="10"/>
        <v>0</v>
      </c>
      <c r="D366" s="14">
        <f t="shared" si="9"/>
        <v>0</v>
      </c>
      <c r="E366" s="14"/>
      <c r="F366" s="38"/>
      <c r="G366" s="38"/>
    </row>
    <row r="367" spans="1:7" ht="15.75" thickBot="1">
      <c r="A367" s="3" t="s">
        <v>34</v>
      </c>
      <c r="B367" s="25"/>
      <c r="C367" s="30">
        <f t="shared" si="10"/>
        <v>0</v>
      </c>
      <c r="D367" s="14">
        <f t="shared" si="9"/>
        <v>0</v>
      </c>
      <c r="E367" s="14"/>
      <c r="F367" s="38"/>
      <c r="G367" s="38"/>
    </row>
    <row r="368" spans="1:7" ht="15.75" thickBot="1">
      <c r="A368" s="3" t="s">
        <v>35</v>
      </c>
      <c r="B368" s="25"/>
      <c r="C368" s="30">
        <f t="shared" si="10"/>
        <v>0</v>
      </c>
      <c r="D368" s="14">
        <f t="shared" si="9"/>
        <v>0</v>
      </c>
      <c r="E368" s="14"/>
      <c r="F368" s="38"/>
      <c r="G368" s="38"/>
    </row>
    <row r="369" spans="1:7" ht="15.75" thickBot="1">
      <c r="A369" s="3" t="s">
        <v>36</v>
      </c>
      <c r="B369" s="25"/>
      <c r="C369" s="30">
        <f t="shared" si="10"/>
        <v>0</v>
      </c>
      <c r="D369" s="14">
        <f t="shared" ref="D369:D386" si="11">IF(B369=0,0,IF(B369&lt;=E$391,0,B369-E$391)/B369)</f>
        <v>0</v>
      </c>
      <c r="E369" s="14"/>
      <c r="F369" s="38"/>
      <c r="G369" s="38"/>
    </row>
    <row r="370" spans="1:7" ht="15.75" thickBot="1">
      <c r="A370" s="3" t="s">
        <v>37</v>
      </c>
      <c r="B370" s="25"/>
      <c r="C370" s="30">
        <f t="shared" si="10"/>
        <v>0</v>
      </c>
      <c r="D370" s="14">
        <f t="shared" si="11"/>
        <v>0</v>
      </c>
      <c r="E370" s="14"/>
      <c r="F370" s="38"/>
      <c r="G370" s="38"/>
    </row>
    <row r="371" spans="1:7" ht="15.75" thickBot="1">
      <c r="A371" s="3" t="s">
        <v>38</v>
      </c>
      <c r="B371" s="25"/>
      <c r="C371" s="30">
        <f t="shared" si="10"/>
        <v>0</v>
      </c>
      <c r="D371" s="14">
        <f t="shared" si="11"/>
        <v>0</v>
      </c>
      <c r="E371" s="14"/>
      <c r="F371" s="38"/>
      <c r="G371" s="38"/>
    </row>
    <row r="372" spans="1:7" ht="15.75" thickBot="1">
      <c r="A372" s="3" t="s">
        <v>39</v>
      </c>
      <c r="B372" s="25"/>
      <c r="C372" s="30">
        <f t="shared" si="10"/>
        <v>0</v>
      </c>
      <c r="D372" s="14">
        <f t="shared" si="11"/>
        <v>0</v>
      </c>
      <c r="E372" s="14"/>
      <c r="F372" s="38"/>
      <c r="G372" s="38"/>
    </row>
    <row r="373" spans="1:7" ht="15.75" thickBot="1">
      <c r="A373" s="3" t="s">
        <v>40</v>
      </c>
      <c r="B373" s="25"/>
      <c r="C373" s="30">
        <f t="shared" si="10"/>
        <v>0</v>
      </c>
      <c r="D373" s="14">
        <f t="shared" si="11"/>
        <v>0</v>
      </c>
      <c r="E373" s="14"/>
      <c r="F373" s="38"/>
      <c r="G373" s="38"/>
    </row>
    <row r="374" spans="1:7" ht="15.75" thickBot="1">
      <c r="A374" s="3" t="s">
        <v>41</v>
      </c>
      <c r="B374" s="25"/>
      <c r="C374" s="30">
        <f t="shared" si="10"/>
        <v>0</v>
      </c>
      <c r="D374" s="14">
        <f t="shared" si="11"/>
        <v>0</v>
      </c>
      <c r="E374" s="14"/>
      <c r="F374" s="38"/>
      <c r="G374" s="38"/>
    </row>
    <row r="375" spans="1:7" ht="15.75" thickBot="1">
      <c r="A375" s="3" t="s">
        <v>42</v>
      </c>
      <c r="B375" s="25"/>
      <c r="C375" s="30">
        <f t="shared" si="10"/>
        <v>0</v>
      </c>
      <c r="D375" s="14">
        <f t="shared" si="11"/>
        <v>0</v>
      </c>
      <c r="E375" s="14"/>
      <c r="F375" s="38"/>
      <c r="G375" s="38"/>
    </row>
    <row r="376" spans="1:7" ht="15.75" thickBot="1">
      <c r="A376" s="3" t="s">
        <v>43</v>
      </c>
      <c r="B376" s="25"/>
      <c r="C376" s="30">
        <f t="shared" si="10"/>
        <v>0</v>
      </c>
      <c r="D376" s="14">
        <f t="shared" si="11"/>
        <v>0</v>
      </c>
      <c r="E376" s="14"/>
      <c r="F376" s="38"/>
      <c r="G376" s="38"/>
    </row>
    <row r="377" spans="1:7" ht="15.75" thickBot="1">
      <c r="A377" s="3" t="s">
        <v>44</v>
      </c>
      <c r="B377" s="25"/>
      <c r="C377" s="30">
        <f t="shared" si="10"/>
        <v>0</v>
      </c>
      <c r="D377" s="14">
        <f t="shared" si="11"/>
        <v>0</v>
      </c>
      <c r="E377" s="14"/>
      <c r="F377" s="38"/>
      <c r="G377" s="38"/>
    </row>
    <row r="378" spans="1:7" ht="15.75" thickBot="1">
      <c r="A378" s="3" t="s">
        <v>45</v>
      </c>
      <c r="B378" s="25"/>
      <c r="C378" s="30">
        <f t="shared" si="10"/>
        <v>0</v>
      </c>
      <c r="D378" s="14">
        <f t="shared" si="11"/>
        <v>0</v>
      </c>
      <c r="E378" s="14"/>
      <c r="F378" s="38"/>
      <c r="G378" s="38"/>
    </row>
    <row r="379" spans="1:7" ht="15.75" thickBot="1">
      <c r="A379" s="3" t="s">
        <v>46</v>
      </c>
      <c r="B379" s="25"/>
      <c r="C379" s="30">
        <f t="shared" si="10"/>
        <v>0</v>
      </c>
      <c r="D379" s="14">
        <f t="shared" si="11"/>
        <v>0</v>
      </c>
      <c r="E379" s="14"/>
      <c r="F379" s="38"/>
      <c r="G379" s="38"/>
    </row>
    <row r="380" spans="1:7" ht="15.75" thickBot="1">
      <c r="A380" s="3" t="s">
        <v>47</v>
      </c>
      <c r="B380" s="25"/>
      <c r="C380" s="30">
        <f t="shared" si="10"/>
        <v>0</v>
      </c>
      <c r="D380" s="14">
        <f t="shared" si="11"/>
        <v>0</v>
      </c>
      <c r="E380" s="14"/>
      <c r="F380" s="38"/>
      <c r="G380" s="38"/>
    </row>
    <row r="381" spans="1:7" ht="15.75" thickBot="1">
      <c r="A381" s="3" t="s">
        <v>48</v>
      </c>
      <c r="B381" s="25"/>
      <c r="C381" s="30">
        <f t="shared" si="10"/>
        <v>0</v>
      </c>
      <c r="D381" s="14">
        <f t="shared" si="11"/>
        <v>0</v>
      </c>
      <c r="E381" s="14"/>
      <c r="F381" s="38"/>
      <c r="G381" s="38"/>
    </row>
    <row r="382" spans="1:7" ht="15.75" thickBot="1">
      <c r="A382" s="3" t="s">
        <v>49</v>
      </c>
      <c r="B382" s="25"/>
      <c r="C382" s="30">
        <f t="shared" si="10"/>
        <v>0</v>
      </c>
      <c r="D382" s="14">
        <f t="shared" si="11"/>
        <v>0</v>
      </c>
      <c r="E382" s="14"/>
      <c r="F382" s="38"/>
      <c r="G382" s="38"/>
    </row>
    <row r="383" spans="1:7" ht="15.75" thickBot="1">
      <c r="A383" s="3" t="s">
        <v>50</v>
      </c>
      <c r="B383" s="25"/>
      <c r="C383" s="30">
        <f t="shared" si="10"/>
        <v>0</v>
      </c>
      <c r="D383" s="14">
        <f t="shared" si="11"/>
        <v>0</v>
      </c>
      <c r="E383" s="14"/>
      <c r="F383" s="38"/>
      <c r="G383" s="38"/>
    </row>
    <row r="384" spans="1:7" ht="15.75" thickBot="1">
      <c r="A384" s="3" t="s">
        <v>51</v>
      </c>
      <c r="B384" s="25"/>
      <c r="C384" s="30">
        <f t="shared" si="10"/>
        <v>0</v>
      </c>
      <c r="D384" s="14">
        <f t="shared" si="11"/>
        <v>0</v>
      </c>
      <c r="E384" s="14"/>
      <c r="F384" s="38"/>
      <c r="G384" s="38"/>
    </row>
    <row r="385" spans="1:7" ht="15.75" thickBot="1">
      <c r="A385" s="3" t="s">
        <v>52</v>
      </c>
      <c r="B385" s="25"/>
      <c r="C385" s="30">
        <f t="shared" si="10"/>
        <v>0</v>
      </c>
      <c r="D385" s="14">
        <f t="shared" si="11"/>
        <v>0</v>
      </c>
      <c r="E385" s="14"/>
      <c r="F385" s="38"/>
      <c r="G385" s="38"/>
    </row>
    <row r="386" spans="1:7" ht="15.75" thickBot="1">
      <c r="A386" s="3" t="s">
        <v>53</v>
      </c>
      <c r="B386" s="23"/>
      <c r="C386" s="30">
        <f>B385</f>
        <v>0</v>
      </c>
      <c r="D386" s="14">
        <f t="shared" si="11"/>
        <v>0</v>
      </c>
      <c r="E386" s="14"/>
      <c r="F386" s="38"/>
      <c r="G386" s="38"/>
    </row>
    <row r="387" spans="1:7" ht="15.75" thickBot="1">
      <c r="A387" s="3" t="s">
        <v>53</v>
      </c>
      <c r="B387" s="3"/>
      <c r="C387" s="30">
        <f t="shared" si="10"/>
        <v>0</v>
      </c>
      <c r="D387" s="22" t="s">
        <v>69</v>
      </c>
      <c r="E387" s="1"/>
      <c r="F387" s="37"/>
      <c r="G387" s="39"/>
    </row>
    <row r="388" spans="1:7" ht="15.75" thickBot="1">
      <c r="A388" s="3"/>
      <c r="B388" s="3"/>
      <c r="D388" s="4" t="s">
        <v>69</v>
      </c>
      <c r="E388" s="15"/>
      <c r="F388" s="26"/>
      <c r="G388" s="26"/>
    </row>
    <row r="389" spans="1:7" ht="60.75" thickBot="1">
      <c r="A389" s="5" t="s">
        <v>55</v>
      </c>
      <c r="B389" s="3"/>
      <c r="D389" s="4" t="s">
        <v>69</v>
      </c>
      <c r="E389" s="12"/>
      <c r="F389" s="45"/>
      <c r="G389" s="46"/>
    </row>
    <row r="390" spans="1:7" ht="60.75" thickBot="1">
      <c r="A390" s="5" t="s">
        <v>56</v>
      </c>
      <c r="B390" s="4"/>
      <c r="D390" s="1"/>
      <c r="E390" s="1"/>
      <c r="F390" s="37"/>
      <c r="G390" s="37"/>
    </row>
    <row r="391" spans="1:7" ht="97.5" thickBot="1">
      <c r="A391" s="6" t="s">
        <v>57</v>
      </c>
      <c r="B391" s="4"/>
      <c r="D391" s="1"/>
      <c r="E391" s="1">
        <f>0.6*E389</f>
        <v>0</v>
      </c>
      <c r="F391" s="37">
        <f>0.6*F389</f>
        <v>0</v>
      </c>
      <c r="G391" s="37"/>
    </row>
    <row r="394" spans="1:7">
      <c r="A394" s="16" t="s">
        <v>64</v>
      </c>
      <c r="B394" s="17" t="e">
        <f>AVERAGE(B342:B381)</f>
        <v>#DIV/0!</v>
      </c>
    </row>
    <row r="395" spans="1:7">
      <c r="A395" s="16" t="s">
        <v>65</v>
      </c>
      <c r="B395" s="18" t="e">
        <f>AVERAGE(B347:B376)</f>
        <v>#DIV/0!</v>
      </c>
    </row>
    <row r="396" spans="1:7">
      <c r="A396" s="16" t="s">
        <v>66</v>
      </c>
      <c r="B396" s="18" t="e">
        <f>AVERAGE(B353:B371)</f>
        <v>#DIV/0!</v>
      </c>
    </row>
    <row r="400" spans="1:7" ht="15.75" thickBot="1"/>
    <row r="401" spans="1:7" ht="15.75" thickBot="1">
      <c r="A401" s="522" t="s">
        <v>0</v>
      </c>
      <c r="B401" s="532" t="s">
        <v>71</v>
      </c>
      <c r="C401" s="533"/>
      <c r="D401" s="534"/>
      <c r="E401" s="19">
        <f>(1-E456)^(1/3)-1</f>
        <v>0</v>
      </c>
      <c r="F401" s="19">
        <f>(1-F456)^(1/3)-1</f>
        <v>0</v>
      </c>
      <c r="G401" s="19"/>
    </row>
    <row r="402" spans="1:7" ht="72.75" thickBot="1">
      <c r="A402" s="523"/>
      <c r="B402" s="7" t="s">
        <v>4</v>
      </c>
      <c r="C402">
        <v>0</v>
      </c>
      <c r="D402" s="1" t="s">
        <v>5</v>
      </c>
      <c r="E402" s="1" t="s">
        <v>5</v>
      </c>
      <c r="F402" s="37" t="s">
        <v>5</v>
      </c>
      <c r="G402" s="37"/>
    </row>
    <row r="403" spans="1:7" ht="73.5" thickBot="1">
      <c r="A403" s="524"/>
      <c r="B403" s="4" t="s">
        <v>73</v>
      </c>
      <c r="C403" s="30" t="str">
        <f>B402</f>
        <v>Фактическое удельное годовое потребление</v>
      </c>
      <c r="D403" s="20" t="s">
        <v>7</v>
      </c>
      <c r="E403" s="9" t="s">
        <v>65</v>
      </c>
      <c r="F403" s="47"/>
      <c r="G403" s="48"/>
    </row>
    <row r="404" spans="1:7" ht="25.5" thickBot="1">
      <c r="A404" s="2">
        <v>1</v>
      </c>
      <c r="B404" s="2"/>
      <c r="C404" s="30" t="str">
        <f t="shared" ref="C404:C452" si="12">B403</f>
        <v>кгут / кв. м</v>
      </c>
      <c r="D404" s="4" t="s">
        <v>73</v>
      </c>
      <c r="E404" s="10">
        <v>5</v>
      </c>
      <c r="F404" s="43">
        <v>6</v>
      </c>
      <c r="G404" s="44"/>
    </row>
    <row r="405" spans="1:7" ht="15.75" thickBot="1">
      <c r="A405" s="8" t="s">
        <v>10</v>
      </c>
      <c r="B405" s="3"/>
      <c r="C405" s="30">
        <f t="shared" si="12"/>
        <v>0</v>
      </c>
      <c r="D405" s="21"/>
      <c r="E405" s="14"/>
      <c r="F405" s="38"/>
      <c r="G405" s="38"/>
    </row>
    <row r="406" spans="1:7" ht="15.75" thickBot="1">
      <c r="A406" s="8" t="s">
        <v>58</v>
      </c>
      <c r="B406" s="3"/>
      <c r="C406" s="30">
        <f t="shared" si="12"/>
        <v>0</v>
      </c>
      <c r="D406" s="4"/>
      <c r="E406" s="14"/>
      <c r="F406" s="38"/>
      <c r="G406" s="38"/>
    </row>
    <row r="407" spans="1:7" ht="15.75" thickBot="1">
      <c r="A407" s="8" t="s">
        <v>59</v>
      </c>
      <c r="B407" s="3"/>
      <c r="C407" s="30">
        <f t="shared" si="12"/>
        <v>0</v>
      </c>
      <c r="D407" s="4"/>
      <c r="E407" s="14"/>
      <c r="F407" s="38"/>
      <c r="G407" s="38"/>
    </row>
    <row r="408" spans="1:7" ht="15.75" thickBot="1">
      <c r="A408" s="8" t="s">
        <v>60</v>
      </c>
      <c r="B408" s="3"/>
      <c r="C408" s="30">
        <f t="shared" si="12"/>
        <v>0</v>
      </c>
      <c r="D408" s="4"/>
      <c r="E408" s="14"/>
      <c r="F408" s="38"/>
      <c r="G408" s="38"/>
    </row>
    <row r="409" spans="1:7" ht="15.75" thickBot="1">
      <c r="A409" s="8" t="s">
        <v>61</v>
      </c>
      <c r="B409" s="3"/>
      <c r="C409" s="30">
        <f t="shared" si="12"/>
        <v>0</v>
      </c>
      <c r="D409" s="4"/>
      <c r="E409" s="14"/>
      <c r="F409" s="38"/>
      <c r="G409" s="38"/>
    </row>
    <row r="410" spans="1:7" ht="15.75" thickBot="1">
      <c r="A410" s="8" t="s">
        <v>62</v>
      </c>
      <c r="B410" s="3"/>
      <c r="C410" s="30">
        <f t="shared" si="12"/>
        <v>0</v>
      </c>
      <c r="D410" s="4"/>
      <c r="E410" s="14"/>
      <c r="F410" s="38"/>
      <c r="G410" s="38"/>
    </row>
    <row r="411" spans="1:7" ht="15.75" thickBot="1">
      <c r="A411" s="8" t="s">
        <v>63</v>
      </c>
      <c r="B411" s="3"/>
      <c r="C411" s="30">
        <f t="shared" si="12"/>
        <v>0</v>
      </c>
      <c r="D411" s="4"/>
      <c r="E411" s="14"/>
      <c r="F411" s="38"/>
      <c r="G411" s="38"/>
    </row>
    <row r="412" spans="1:7" ht="15.75" thickBot="1">
      <c r="A412" s="3" t="s">
        <v>11</v>
      </c>
      <c r="B412" s="3"/>
      <c r="C412" s="30">
        <f t="shared" si="12"/>
        <v>0</v>
      </c>
      <c r="D412" s="4"/>
      <c r="E412" s="14"/>
      <c r="F412" s="38"/>
      <c r="G412" s="38"/>
    </row>
    <row r="413" spans="1:7" ht="15.75" thickBot="1">
      <c r="A413" s="3" t="s">
        <v>12</v>
      </c>
      <c r="B413" s="3"/>
      <c r="C413" s="30">
        <f t="shared" si="12"/>
        <v>0</v>
      </c>
      <c r="D413" s="4"/>
      <c r="E413" s="14"/>
      <c r="F413" s="38"/>
      <c r="G413" s="38"/>
    </row>
    <row r="414" spans="1:7" ht="15.75" thickBot="1">
      <c r="A414" s="3" t="s">
        <v>13</v>
      </c>
      <c r="B414" s="3"/>
      <c r="C414" s="30">
        <f t="shared" si="12"/>
        <v>0</v>
      </c>
      <c r="D414" s="4"/>
      <c r="E414" s="14"/>
      <c r="F414" s="38"/>
      <c r="G414" s="38"/>
    </row>
    <row r="415" spans="1:7" ht="15.75" thickBot="1">
      <c r="A415" s="3" t="s">
        <v>14</v>
      </c>
      <c r="B415" s="3"/>
      <c r="C415" s="30">
        <f t="shared" si="12"/>
        <v>0</v>
      </c>
      <c r="D415" s="4"/>
      <c r="E415" s="14"/>
      <c r="F415" s="38"/>
      <c r="G415" s="38"/>
    </row>
    <row r="416" spans="1:7" ht="15.75" thickBot="1">
      <c r="A416" s="3" t="s">
        <v>15</v>
      </c>
      <c r="B416" s="3"/>
      <c r="C416" s="30">
        <f t="shared" si="12"/>
        <v>0</v>
      </c>
      <c r="D416" s="4"/>
      <c r="E416" s="14"/>
      <c r="F416" s="38"/>
      <c r="G416" s="38"/>
    </row>
    <row r="417" spans="1:7" ht="15.75" thickBot="1">
      <c r="A417" s="3" t="s">
        <v>16</v>
      </c>
      <c r="B417" s="3"/>
      <c r="C417" s="30">
        <f t="shared" si="12"/>
        <v>0</v>
      </c>
      <c r="D417" s="4"/>
      <c r="E417" s="14"/>
      <c r="F417" s="38"/>
      <c r="G417" s="38"/>
    </row>
    <row r="418" spans="1:7" ht="15.75" thickBot="1">
      <c r="A418" s="3" t="s">
        <v>17</v>
      </c>
      <c r="B418" s="3"/>
      <c r="C418" s="30">
        <f t="shared" si="12"/>
        <v>0</v>
      </c>
      <c r="D418" s="4"/>
      <c r="E418" s="14"/>
      <c r="F418" s="38"/>
      <c r="G418" s="38"/>
    </row>
    <row r="419" spans="1:7" ht="15.75" thickBot="1">
      <c r="A419" s="3" t="s">
        <v>18</v>
      </c>
      <c r="B419" s="3"/>
      <c r="C419" s="30">
        <f t="shared" si="12"/>
        <v>0</v>
      </c>
      <c r="D419" s="4"/>
      <c r="E419" s="14"/>
      <c r="F419" s="38"/>
      <c r="G419" s="38"/>
    </row>
    <row r="420" spans="1:7" ht="15.75" thickBot="1">
      <c r="A420" s="3" t="s">
        <v>19</v>
      </c>
      <c r="B420" s="3"/>
      <c r="C420" s="30">
        <f t="shared" si="12"/>
        <v>0</v>
      </c>
      <c r="D420" s="4"/>
      <c r="E420" s="14"/>
      <c r="F420" s="38"/>
      <c r="G420" s="38"/>
    </row>
    <row r="421" spans="1:7" ht="15.75" thickBot="1">
      <c r="A421" s="3" t="s">
        <v>20</v>
      </c>
      <c r="B421" s="3"/>
      <c r="C421" s="30">
        <f t="shared" si="12"/>
        <v>0</v>
      </c>
      <c r="D421" s="4"/>
      <c r="E421" s="14"/>
      <c r="F421" s="38"/>
      <c r="G421" s="38"/>
    </row>
    <row r="422" spans="1:7" ht="15.75" thickBot="1">
      <c r="A422" s="3" t="s">
        <v>21</v>
      </c>
      <c r="B422" s="3"/>
      <c r="C422" s="30">
        <f t="shared" si="12"/>
        <v>0</v>
      </c>
      <c r="D422" s="4"/>
      <c r="E422" s="14"/>
      <c r="F422" s="38"/>
      <c r="G422" s="38"/>
    </row>
    <row r="423" spans="1:7" ht="15.75" thickBot="1">
      <c r="A423" s="3" t="s">
        <v>22</v>
      </c>
      <c r="B423" s="3"/>
      <c r="C423" s="30">
        <f t="shared" si="12"/>
        <v>0</v>
      </c>
      <c r="D423" s="4"/>
      <c r="E423" s="14"/>
      <c r="F423" s="38"/>
      <c r="G423" s="38"/>
    </row>
    <row r="424" spans="1:7" ht="15.75" thickBot="1">
      <c r="A424" s="3" t="s">
        <v>23</v>
      </c>
      <c r="B424" s="3"/>
      <c r="C424" s="30">
        <f t="shared" si="12"/>
        <v>0</v>
      </c>
      <c r="D424" s="4"/>
      <c r="E424" s="14"/>
      <c r="F424" s="38"/>
      <c r="G424" s="38"/>
    </row>
    <row r="425" spans="1:7" ht="15.75" thickBot="1">
      <c r="A425" s="3" t="s">
        <v>24</v>
      </c>
      <c r="B425" s="3"/>
      <c r="C425" s="30">
        <f t="shared" si="12"/>
        <v>0</v>
      </c>
      <c r="D425" s="4"/>
      <c r="E425" s="14"/>
      <c r="F425" s="38"/>
      <c r="G425" s="38"/>
    </row>
    <row r="426" spans="1:7" ht="15.75" thickBot="1">
      <c r="A426" s="3" t="s">
        <v>25</v>
      </c>
      <c r="B426" s="3"/>
      <c r="C426" s="30">
        <f t="shared" si="12"/>
        <v>0</v>
      </c>
      <c r="D426" s="4"/>
      <c r="E426" s="14"/>
      <c r="F426" s="38"/>
      <c r="G426" s="38"/>
    </row>
    <row r="427" spans="1:7" ht="15.75" thickBot="1">
      <c r="A427" s="3" t="s">
        <v>26</v>
      </c>
      <c r="B427" s="3"/>
      <c r="C427" s="30">
        <f t="shared" si="12"/>
        <v>0</v>
      </c>
      <c r="D427" s="4"/>
      <c r="E427" s="14"/>
      <c r="F427" s="38"/>
      <c r="G427" s="38"/>
    </row>
    <row r="428" spans="1:7" ht="15.75" thickBot="1">
      <c r="A428" s="3" t="s">
        <v>27</v>
      </c>
      <c r="B428" s="3"/>
      <c r="C428" s="30">
        <f t="shared" si="12"/>
        <v>0</v>
      </c>
      <c r="D428" s="4"/>
      <c r="E428" s="14"/>
      <c r="F428" s="38"/>
      <c r="G428" s="38"/>
    </row>
    <row r="429" spans="1:7" ht="15.75" thickBot="1">
      <c r="A429" s="3" t="s">
        <v>28</v>
      </c>
      <c r="B429" s="3"/>
      <c r="C429" s="30">
        <f t="shared" si="12"/>
        <v>0</v>
      </c>
      <c r="D429" s="4"/>
      <c r="E429" s="14"/>
      <c r="F429" s="38"/>
      <c r="G429" s="38"/>
    </row>
    <row r="430" spans="1:7" ht="15.75" thickBot="1">
      <c r="A430" s="3" t="s">
        <v>29</v>
      </c>
      <c r="B430" s="3"/>
      <c r="C430" s="30">
        <f t="shared" si="12"/>
        <v>0</v>
      </c>
      <c r="D430" s="4"/>
      <c r="E430" s="14"/>
      <c r="F430" s="38"/>
      <c r="G430" s="38"/>
    </row>
    <row r="431" spans="1:7" ht="15.75" thickBot="1">
      <c r="A431" s="3" t="s">
        <v>30</v>
      </c>
      <c r="B431" s="3"/>
      <c r="C431" s="30">
        <f t="shared" si="12"/>
        <v>0</v>
      </c>
      <c r="D431" s="4"/>
      <c r="E431" s="14"/>
      <c r="F431" s="38"/>
      <c r="G431" s="38"/>
    </row>
    <row r="432" spans="1:7" ht="15.75" thickBot="1">
      <c r="A432" s="3" t="s">
        <v>31</v>
      </c>
      <c r="B432" s="3"/>
      <c r="C432" s="30">
        <f t="shared" si="12"/>
        <v>0</v>
      </c>
      <c r="D432" s="4"/>
      <c r="E432" s="14"/>
      <c r="F432" s="38"/>
      <c r="G432" s="38"/>
    </row>
    <row r="433" spans="1:7" ht="15.75" thickBot="1">
      <c r="A433" s="3" t="s">
        <v>32</v>
      </c>
      <c r="B433" s="3"/>
      <c r="C433" s="30">
        <f t="shared" si="12"/>
        <v>0</v>
      </c>
      <c r="D433" s="4"/>
      <c r="E433" s="14"/>
      <c r="F433" s="38"/>
      <c r="G433" s="38"/>
    </row>
    <row r="434" spans="1:7" ht="15.75" thickBot="1">
      <c r="A434" s="3" t="s">
        <v>33</v>
      </c>
      <c r="B434" s="3"/>
      <c r="C434" s="30">
        <f t="shared" si="12"/>
        <v>0</v>
      </c>
      <c r="D434" s="4"/>
      <c r="E434" s="14"/>
      <c r="F434" s="38"/>
      <c r="G434" s="38"/>
    </row>
    <row r="435" spans="1:7" ht="15.75" thickBot="1">
      <c r="A435" s="3" t="s">
        <v>34</v>
      </c>
      <c r="B435" s="3"/>
      <c r="C435" s="30">
        <f t="shared" si="12"/>
        <v>0</v>
      </c>
      <c r="D435" s="4"/>
      <c r="E435" s="14"/>
      <c r="F435" s="38"/>
      <c r="G435" s="38"/>
    </row>
    <row r="436" spans="1:7" ht="15.75" thickBot="1">
      <c r="A436" s="3" t="s">
        <v>35</v>
      </c>
      <c r="B436" s="3"/>
      <c r="C436" s="30">
        <f t="shared" si="12"/>
        <v>0</v>
      </c>
      <c r="D436" s="4"/>
      <c r="E436" s="14"/>
      <c r="F436" s="38"/>
      <c r="G436" s="38"/>
    </row>
    <row r="437" spans="1:7" ht="15.75" thickBot="1">
      <c r="A437" s="3" t="s">
        <v>36</v>
      </c>
      <c r="B437" s="3"/>
      <c r="C437" s="30">
        <f t="shared" si="12"/>
        <v>0</v>
      </c>
      <c r="D437" s="4"/>
      <c r="E437" s="14"/>
      <c r="F437" s="38"/>
      <c r="G437" s="38"/>
    </row>
    <row r="438" spans="1:7" ht="15.75" thickBot="1">
      <c r="A438" s="3" t="s">
        <v>37</v>
      </c>
      <c r="B438" s="3"/>
      <c r="C438" s="30">
        <f t="shared" si="12"/>
        <v>0</v>
      </c>
      <c r="D438" s="4"/>
      <c r="E438" s="14"/>
      <c r="F438" s="38"/>
      <c r="G438" s="38"/>
    </row>
    <row r="439" spans="1:7" ht="15.75" thickBot="1">
      <c r="A439" s="3" t="s">
        <v>38</v>
      </c>
      <c r="B439" s="3"/>
      <c r="C439" s="30">
        <f t="shared" si="12"/>
        <v>0</v>
      </c>
      <c r="D439" s="4"/>
      <c r="E439" s="14"/>
      <c r="F439" s="38"/>
      <c r="G439" s="38"/>
    </row>
    <row r="440" spans="1:7" ht="15.75" thickBot="1">
      <c r="A440" s="3" t="s">
        <v>39</v>
      </c>
      <c r="B440" s="3"/>
      <c r="C440" s="30">
        <f t="shared" si="12"/>
        <v>0</v>
      </c>
      <c r="D440" s="4"/>
      <c r="E440" s="14"/>
      <c r="F440" s="38"/>
      <c r="G440" s="38"/>
    </row>
    <row r="441" spans="1:7" ht="15.75" thickBot="1">
      <c r="A441" s="3" t="s">
        <v>40</v>
      </c>
      <c r="B441" s="3"/>
      <c r="C441" s="30">
        <f t="shared" si="12"/>
        <v>0</v>
      </c>
      <c r="D441" s="4"/>
      <c r="E441" s="14"/>
      <c r="F441" s="38"/>
      <c r="G441" s="38"/>
    </row>
    <row r="442" spans="1:7" ht="15.75" thickBot="1">
      <c r="A442" s="3" t="s">
        <v>41</v>
      </c>
      <c r="B442" s="3"/>
      <c r="C442" s="30">
        <f t="shared" si="12"/>
        <v>0</v>
      </c>
      <c r="D442" s="4"/>
      <c r="E442" s="14"/>
      <c r="F442" s="38"/>
      <c r="G442" s="38"/>
    </row>
    <row r="443" spans="1:7" ht="15.75" thickBot="1">
      <c r="A443" s="3" t="s">
        <v>42</v>
      </c>
      <c r="B443" s="3"/>
      <c r="C443" s="30">
        <f t="shared" si="12"/>
        <v>0</v>
      </c>
      <c r="D443" s="4"/>
      <c r="E443" s="14"/>
      <c r="F443" s="38"/>
      <c r="G443" s="38"/>
    </row>
    <row r="444" spans="1:7" ht="15.75" thickBot="1">
      <c r="A444" s="3" t="s">
        <v>43</v>
      </c>
      <c r="B444" s="3"/>
      <c r="C444" s="30">
        <f t="shared" si="12"/>
        <v>0</v>
      </c>
      <c r="D444" s="4"/>
      <c r="E444" s="14"/>
      <c r="F444" s="38"/>
      <c r="G444" s="38"/>
    </row>
    <row r="445" spans="1:7" ht="15.75" thickBot="1">
      <c r="A445" s="3" t="s">
        <v>44</v>
      </c>
      <c r="B445" s="3"/>
      <c r="C445" s="30">
        <f t="shared" si="12"/>
        <v>0</v>
      </c>
      <c r="D445" s="4"/>
      <c r="E445" s="14"/>
      <c r="F445" s="38"/>
      <c r="G445" s="38"/>
    </row>
    <row r="446" spans="1:7" ht="15.75" thickBot="1">
      <c r="A446" s="3" t="s">
        <v>45</v>
      </c>
      <c r="B446" s="3"/>
      <c r="C446" s="30">
        <f t="shared" si="12"/>
        <v>0</v>
      </c>
      <c r="D446" s="4"/>
      <c r="E446" s="14"/>
      <c r="F446" s="38"/>
      <c r="G446" s="38"/>
    </row>
    <row r="447" spans="1:7" ht="15.75" thickBot="1">
      <c r="A447" s="3" t="s">
        <v>46</v>
      </c>
      <c r="B447" s="3"/>
      <c r="C447" s="30">
        <f t="shared" si="12"/>
        <v>0</v>
      </c>
      <c r="D447" s="4"/>
      <c r="E447" s="14"/>
      <c r="F447" s="38"/>
      <c r="G447" s="38"/>
    </row>
    <row r="448" spans="1:7" ht="15.75" thickBot="1">
      <c r="A448" s="3" t="s">
        <v>47</v>
      </c>
      <c r="B448" s="3"/>
      <c r="C448" s="30">
        <f t="shared" si="12"/>
        <v>0</v>
      </c>
      <c r="D448" s="4"/>
      <c r="E448" s="14"/>
      <c r="F448" s="38"/>
      <c r="G448" s="38"/>
    </row>
    <row r="449" spans="1:7" ht="15.75" thickBot="1">
      <c r="A449" s="3" t="s">
        <v>48</v>
      </c>
      <c r="B449" s="3"/>
      <c r="C449" s="30">
        <f t="shared" si="12"/>
        <v>0</v>
      </c>
      <c r="D449" s="4"/>
      <c r="E449" s="14"/>
      <c r="F449" s="38"/>
      <c r="G449" s="38"/>
    </row>
    <row r="450" spans="1:7" ht="15.75" thickBot="1">
      <c r="A450" s="3" t="s">
        <v>49</v>
      </c>
      <c r="B450" s="3"/>
      <c r="C450" s="30">
        <f t="shared" si="12"/>
        <v>0</v>
      </c>
      <c r="D450" s="4"/>
      <c r="E450" s="14"/>
      <c r="F450" s="38"/>
      <c r="G450" s="38"/>
    </row>
    <row r="451" spans="1:7" ht="15.75" thickBot="1">
      <c r="A451" s="3" t="s">
        <v>50</v>
      </c>
      <c r="B451" s="3"/>
      <c r="C451" s="30">
        <f>B450</f>
        <v>0</v>
      </c>
      <c r="D451" s="4"/>
      <c r="E451" s="14"/>
      <c r="F451" s="38"/>
      <c r="G451" s="38"/>
    </row>
    <row r="452" spans="1:7" ht="15.75" thickBot="1">
      <c r="A452" s="3" t="s">
        <v>51</v>
      </c>
      <c r="B452" s="3"/>
      <c r="C452" s="30">
        <f t="shared" si="12"/>
        <v>0</v>
      </c>
      <c r="D452" s="4"/>
      <c r="E452" s="14"/>
      <c r="F452" s="38"/>
      <c r="G452" s="38"/>
    </row>
    <row r="453" spans="1:7" ht="15.75" thickBot="1">
      <c r="A453" s="3" t="s">
        <v>52</v>
      </c>
      <c r="B453" s="3"/>
      <c r="D453" s="4"/>
      <c r="E453" s="14"/>
      <c r="F453" s="38"/>
      <c r="G453" s="38"/>
    </row>
    <row r="454" spans="1:7" ht="15.75" thickBot="1">
      <c r="A454" s="3" t="s">
        <v>53</v>
      </c>
      <c r="B454" s="3"/>
      <c r="D454" s="4"/>
      <c r="E454" s="14"/>
      <c r="F454" s="38"/>
      <c r="G454" s="38"/>
    </row>
    <row r="455" spans="1:7" ht="15.75" thickBot="1">
      <c r="A455" s="3" t="s">
        <v>53</v>
      </c>
      <c r="B455" s="3"/>
      <c r="D455" s="22"/>
      <c r="E455" s="1"/>
      <c r="F455" s="37"/>
      <c r="G455" s="39"/>
    </row>
    <row r="456" spans="1:7" ht="15.75" thickBot="1">
      <c r="A456" s="3"/>
      <c r="B456" s="3"/>
      <c r="D456" s="4"/>
      <c r="E456" s="15"/>
      <c r="F456" s="26"/>
      <c r="G456" s="26"/>
    </row>
    <row r="457" spans="1:7" ht="60.75" thickBot="1">
      <c r="A457" s="5" t="s">
        <v>55</v>
      </c>
      <c r="B457" s="3"/>
      <c r="D457" s="4"/>
      <c r="E457" s="12"/>
      <c r="F457" s="45"/>
      <c r="G457" s="46"/>
    </row>
    <row r="458" spans="1:7" ht="60.75" thickBot="1">
      <c r="A458" s="5" t="s">
        <v>56</v>
      </c>
      <c r="B458" s="4"/>
      <c r="D458" s="1"/>
      <c r="E458" s="1"/>
      <c r="F458" s="37"/>
      <c r="G458" s="37"/>
    </row>
    <row r="459" spans="1:7" ht="97.5" thickBot="1">
      <c r="A459" s="6" t="s">
        <v>57</v>
      </c>
      <c r="B459" s="4"/>
      <c r="D459" s="1"/>
      <c r="E459" s="1">
        <f>0.6*E457</f>
        <v>0</v>
      </c>
      <c r="F459" s="37">
        <f>0.6*F457</f>
        <v>0</v>
      </c>
      <c r="G459" s="37"/>
    </row>
    <row r="462" spans="1:7">
      <c r="A462" s="16" t="s">
        <v>64</v>
      </c>
      <c r="B462" s="17" t="e">
        <f>AVERAGE(B410:B449)</f>
        <v>#DIV/0!</v>
      </c>
    </row>
    <row r="463" spans="1:7">
      <c r="A463" s="16" t="s">
        <v>65</v>
      </c>
      <c r="B463" s="18" t="e">
        <f>AVERAGE(B415:B444)</f>
        <v>#DIV/0!</v>
      </c>
    </row>
    <row r="464" spans="1:7">
      <c r="A464" s="16" t="s">
        <v>66</v>
      </c>
      <c r="B464" s="18" t="e">
        <f>AVERAGE(B421:B439)</f>
        <v>#DIV/0!</v>
      </c>
    </row>
  </sheetData>
  <mergeCells count="14">
    <mergeCell ref="A401:A403"/>
    <mergeCell ref="B401:D401"/>
    <mergeCell ref="A200:A202"/>
    <mergeCell ref="B200:D200"/>
    <mergeCell ref="A266:A268"/>
    <mergeCell ref="B266:D266"/>
    <mergeCell ref="A333:A335"/>
    <mergeCell ref="B333:D333"/>
    <mergeCell ref="A2:A4"/>
    <mergeCell ref="B2:D2"/>
    <mergeCell ref="A69:A71"/>
    <mergeCell ref="B69:D69"/>
    <mergeCell ref="A134:A136"/>
    <mergeCell ref="B134:D134"/>
  </mergeCells>
  <pageMargins left="0.7" right="0.7" top="0.75" bottom="0.75" header="0.3" footer="0.3"/>
  <pageSetup paperSize="9" orientation="portrait" horizontalDpi="4294967295" verticalDpi="4294967295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Лист10">
    <tabColor rgb="FF92D050"/>
  </sheetPr>
  <dimension ref="A1:J464"/>
  <sheetViews>
    <sheetView topLeftCell="A451" workbookViewId="0">
      <selection activeCell="E293" sqref="E293"/>
    </sheetView>
  </sheetViews>
  <sheetFormatPr defaultColWidth="8.7109375" defaultRowHeight="15"/>
  <cols>
    <col min="3" max="3" width="9.140625"/>
    <col min="5" max="5" width="9.42578125" bestFit="1" customWidth="1"/>
    <col min="6" max="6" width="8.7109375" style="36"/>
    <col min="7" max="7" width="9.42578125" style="36" bestFit="1" customWidth="1"/>
  </cols>
  <sheetData>
    <row r="1" spans="1:7" ht="15.75" thickBot="1">
      <c r="D1" s="13">
        <v>0.1</v>
      </c>
      <c r="E1" s="13">
        <v>0.4</v>
      </c>
      <c r="F1" s="19"/>
    </row>
    <row r="2" spans="1:7" ht="23.25" customHeight="1" thickBot="1">
      <c r="A2" s="522" t="s">
        <v>0</v>
      </c>
      <c r="B2" s="467" t="s">
        <v>1</v>
      </c>
      <c r="C2" s="468"/>
      <c r="D2" s="469"/>
      <c r="F2" s="19"/>
      <c r="G2" s="19"/>
    </row>
    <row r="3" spans="1:7" ht="72.75" thickBot="1">
      <c r="A3" s="523"/>
      <c r="B3" s="1" t="s">
        <v>4</v>
      </c>
      <c r="C3" s="1"/>
      <c r="D3" s="1" t="s">
        <v>80</v>
      </c>
      <c r="E3" s="1" t="s">
        <v>5</v>
      </c>
      <c r="F3" s="37" t="s">
        <v>5</v>
      </c>
      <c r="G3" s="37"/>
    </row>
    <row r="4" spans="1:7" ht="16.5" customHeight="1" thickBot="1">
      <c r="A4" s="524"/>
      <c r="B4" s="1" t="s">
        <v>6</v>
      </c>
      <c r="C4" s="1"/>
      <c r="D4" s="1" t="s">
        <v>7</v>
      </c>
      <c r="E4" s="1" t="s">
        <v>7</v>
      </c>
      <c r="F4" s="37" t="s">
        <v>7</v>
      </c>
      <c r="G4" s="37"/>
    </row>
    <row r="5" spans="1:7">
      <c r="A5" s="50">
        <v>1</v>
      </c>
      <c r="B5" s="51">
        <v>2</v>
      </c>
      <c r="C5" s="51"/>
      <c r="D5" s="51">
        <v>3</v>
      </c>
      <c r="E5" s="51">
        <v>4</v>
      </c>
      <c r="F5" s="52">
        <v>5</v>
      </c>
      <c r="G5" s="52"/>
    </row>
    <row r="6" spans="1:7">
      <c r="A6" s="27" t="s">
        <v>10</v>
      </c>
      <c r="B6" s="28">
        <v>3.06</v>
      </c>
      <c r="C6" s="30">
        <v>0</v>
      </c>
      <c r="D6" s="14">
        <v>0</v>
      </c>
      <c r="E6" s="14">
        <v>0</v>
      </c>
      <c r="F6" s="38">
        <v>0</v>
      </c>
      <c r="G6" s="38">
        <v>0</v>
      </c>
    </row>
    <row r="7" spans="1:7">
      <c r="A7" s="27" t="s">
        <v>58</v>
      </c>
      <c r="B7" s="205">
        <v>5.16</v>
      </c>
      <c r="C7" s="30">
        <f>B6</f>
        <v>3.06</v>
      </c>
      <c r="D7" s="14">
        <v>0</v>
      </c>
      <c r="E7" s="14">
        <v>0</v>
      </c>
      <c r="F7" s="38">
        <v>0</v>
      </c>
      <c r="G7" s="38">
        <v>0</v>
      </c>
    </row>
    <row r="8" spans="1:7">
      <c r="A8" s="27" t="s">
        <v>59</v>
      </c>
      <c r="B8" s="206">
        <v>7.11</v>
      </c>
      <c r="C8" s="30">
        <f t="shared" ref="C8:C56" si="0">B7</f>
        <v>5.16</v>
      </c>
      <c r="D8" s="14">
        <v>0</v>
      </c>
      <c r="E8" s="14">
        <v>0</v>
      </c>
      <c r="F8" s="38">
        <v>0</v>
      </c>
      <c r="G8" s="38">
        <v>1.5611814345991567E-2</v>
      </c>
    </row>
    <row r="9" spans="1:7">
      <c r="A9" s="27" t="s">
        <v>60</v>
      </c>
      <c r="B9" s="206">
        <v>8.9499999999999993</v>
      </c>
      <c r="C9" s="30">
        <f t="shared" si="0"/>
        <v>7.11</v>
      </c>
      <c r="D9" s="14">
        <v>0</v>
      </c>
      <c r="E9" s="14">
        <v>0</v>
      </c>
      <c r="F9" s="38">
        <v>0</v>
      </c>
      <c r="G9" s="38">
        <v>3.2960893854748596E-2</v>
      </c>
    </row>
    <row r="10" spans="1:7">
      <c r="A10" s="27" t="s">
        <v>61</v>
      </c>
      <c r="B10" s="206">
        <v>10.95</v>
      </c>
      <c r="C10" s="30">
        <f t="shared" si="0"/>
        <v>8.9499999999999993</v>
      </c>
      <c r="D10" s="14">
        <v>0</v>
      </c>
      <c r="E10" s="14">
        <v>0</v>
      </c>
      <c r="F10" s="38">
        <v>0</v>
      </c>
      <c r="G10" s="38">
        <v>7.1232876712328752E-2</v>
      </c>
    </row>
    <row r="11" spans="1:7">
      <c r="A11" s="27" t="s">
        <v>62</v>
      </c>
      <c r="B11" s="206">
        <v>12.95</v>
      </c>
      <c r="C11" s="30">
        <f t="shared" si="0"/>
        <v>10.95</v>
      </c>
      <c r="D11" s="14">
        <v>0</v>
      </c>
      <c r="E11" s="14">
        <v>0</v>
      </c>
      <c r="F11" s="38">
        <v>0</v>
      </c>
      <c r="G11" s="38">
        <v>0.12200772200772199</v>
      </c>
    </row>
    <row r="12" spans="1:7">
      <c r="A12" s="27" t="s">
        <v>63</v>
      </c>
      <c r="B12" s="206">
        <v>14.81</v>
      </c>
      <c r="C12" s="30">
        <f t="shared" si="0"/>
        <v>12.95</v>
      </c>
      <c r="D12" s="14">
        <v>0</v>
      </c>
      <c r="E12" s="14">
        <v>0</v>
      </c>
      <c r="F12" s="38">
        <v>0</v>
      </c>
      <c r="G12" s="38">
        <v>0.15692099932478057</v>
      </c>
    </row>
    <row r="13" spans="1:7">
      <c r="A13" s="29" t="s">
        <v>11</v>
      </c>
      <c r="B13" s="206">
        <v>16.68</v>
      </c>
      <c r="C13" s="30">
        <f t="shared" si="0"/>
        <v>14.81</v>
      </c>
      <c r="D13" s="14">
        <v>0</v>
      </c>
      <c r="E13" s="14">
        <v>0</v>
      </c>
      <c r="F13" s="38">
        <v>0</v>
      </c>
      <c r="G13" s="38">
        <v>0.1841726618705036</v>
      </c>
    </row>
    <row r="14" spans="1:7">
      <c r="A14" s="29" t="s">
        <v>12</v>
      </c>
      <c r="B14" s="206">
        <v>18.61</v>
      </c>
      <c r="C14" s="30">
        <f t="shared" si="0"/>
        <v>16.68</v>
      </c>
      <c r="D14" s="14">
        <v>0</v>
      </c>
      <c r="E14" s="14">
        <v>0</v>
      </c>
      <c r="F14" s="38">
        <v>0</v>
      </c>
      <c r="G14" s="38">
        <v>0.20655561526061259</v>
      </c>
    </row>
    <row r="15" spans="1:7">
      <c r="A15" s="29" t="s">
        <v>13</v>
      </c>
      <c r="B15" s="206">
        <v>20.45</v>
      </c>
      <c r="C15" s="30">
        <f t="shared" si="0"/>
        <v>18.61</v>
      </c>
      <c r="D15" s="14">
        <v>0</v>
      </c>
      <c r="E15" s="14">
        <v>0</v>
      </c>
      <c r="F15" s="38">
        <v>0</v>
      </c>
      <c r="G15" s="38">
        <v>0.22396088019559904</v>
      </c>
    </row>
    <row r="16" spans="1:7">
      <c r="A16" s="29" t="s">
        <v>14</v>
      </c>
      <c r="B16" s="206">
        <v>22.29</v>
      </c>
      <c r="C16" s="30">
        <f t="shared" si="0"/>
        <v>20.45</v>
      </c>
      <c r="D16" s="14">
        <v>0</v>
      </c>
      <c r="E16" s="14">
        <v>0</v>
      </c>
      <c r="F16" s="38">
        <v>0</v>
      </c>
      <c r="G16" s="38">
        <v>0.238492597577389</v>
      </c>
    </row>
    <row r="17" spans="1:7">
      <c r="A17" s="29" t="s">
        <v>15</v>
      </c>
      <c r="B17" s="206">
        <v>23.96</v>
      </c>
      <c r="C17" s="30">
        <f t="shared" si="0"/>
        <v>22.29</v>
      </c>
      <c r="D17" s="14">
        <v>0</v>
      </c>
      <c r="E17" s="14">
        <v>0</v>
      </c>
      <c r="F17" s="38">
        <v>0</v>
      </c>
      <c r="G17" s="38">
        <v>0.24974958263772959</v>
      </c>
    </row>
    <row r="18" spans="1:7">
      <c r="A18" s="29" t="s">
        <v>16</v>
      </c>
      <c r="B18" s="206">
        <v>25.94</v>
      </c>
      <c r="C18" s="30">
        <f t="shared" si="0"/>
        <v>23.96</v>
      </c>
      <c r="D18" s="14">
        <v>0</v>
      </c>
      <c r="E18" s="14">
        <v>0</v>
      </c>
      <c r="F18" s="38">
        <v>0</v>
      </c>
      <c r="G18" s="38">
        <v>0.26121819583654593</v>
      </c>
    </row>
    <row r="19" spans="1:7">
      <c r="A19" s="29" t="s">
        <v>17</v>
      </c>
      <c r="B19" s="206">
        <v>27.77</v>
      </c>
      <c r="C19" s="30">
        <f t="shared" si="0"/>
        <v>25.94</v>
      </c>
      <c r="D19" s="14">
        <v>0</v>
      </c>
      <c r="E19" s="14">
        <v>0</v>
      </c>
      <c r="F19" s="38">
        <v>0</v>
      </c>
      <c r="G19" s="38">
        <v>0.27036370183651426</v>
      </c>
    </row>
    <row r="20" spans="1:7">
      <c r="A20" s="29" t="s">
        <v>18</v>
      </c>
      <c r="B20" s="206">
        <v>29.26</v>
      </c>
      <c r="C20" s="30">
        <f t="shared" si="0"/>
        <v>27.77</v>
      </c>
      <c r="D20" s="14">
        <v>0</v>
      </c>
      <c r="E20" s="14">
        <v>0</v>
      </c>
      <c r="F20" s="38">
        <v>0</v>
      </c>
      <c r="G20" s="38">
        <v>0.27696514012303486</v>
      </c>
    </row>
    <row r="21" spans="1:7">
      <c r="A21" s="29" t="s">
        <v>19</v>
      </c>
      <c r="B21" s="206">
        <v>30.88</v>
      </c>
      <c r="C21" s="30">
        <f t="shared" si="0"/>
        <v>29.26</v>
      </c>
      <c r="D21" s="14">
        <v>0</v>
      </c>
      <c r="E21" s="14">
        <v>0</v>
      </c>
      <c r="F21" s="38">
        <v>0</v>
      </c>
      <c r="G21" s="38">
        <v>0.28341968911917104</v>
      </c>
    </row>
    <row r="22" spans="1:7">
      <c r="A22" s="29" t="s">
        <v>20</v>
      </c>
      <c r="B22" s="206">
        <v>32.65</v>
      </c>
      <c r="C22" s="30">
        <f t="shared" si="0"/>
        <v>30.88</v>
      </c>
      <c r="D22" s="14">
        <v>0</v>
      </c>
      <c r="E22" s="14">
        <v>0</v>
      </c>
      <c r="F22" s="38">
        <v>0</v>
      </c>
      <c r="G22" s="38">
        <v>0.28973966309341503</v>
      </c>
    </row>
    <row r="23" spans="1:7">
      <c r="A23" s="29" t="s">
        <v>21</v>
      </c>
      <c r="B23" s="206">
        <v>34.46</v>
      </c>
      <c r="C23" s="30">
        <f t="shared" si="0"/>
        <v>32.65</v>
      </c>
      <c r="D23" s="14">
        <v>0</v>
      </c>
      <c r="E23" s="14">
        <v>0</v>
      </c>
      <c r="F23" s="38">
        <v>3.601276842716192E-3</v>
      </c>
      <c r="G23" s="38">
        <v>0.29553105049332562</v>
      </c>
    </row>
    <row r="24" spans="1:7">
      <c r="A24" s="29" t="s">
        <v>22</v>
      </c>
      <c r="B24" s="206">
        <v>36.51</v>
      </c>
      <c r="C24" s="30">
        <f t="shared" si="0"/>
        <v>34.46</v>
      </c>
      <c r="D24" s="14">
        <v>0</v>
      </c>
      <c r="E24" s="14">
        <v>0</v>
      </c>
      <c r="F24" s="38">
        <v>9.0139687756778889E-3</v>
      </c>
      <c r="G24" s="38">
        <v>0.30139687756778966</v>
      </c>
    </row>
    <row r="25" spans="1:7">
      <c r="A25" s="29" t="s">
        <v>23</v>
      </c>
      <c r="B25" s="206">
        <v>38.619999999999997</v>
      </c>
      <c r="C25" s="30">
        <f t="shared" si="0"/>
        <v>36.51</v>
      </c>
      <c r="D25" s="14">
        <v>1.1957534955981087E-2</v>
      </c>
      <c r="E25" s="14"/>
      <c r="F25" s="38"/>
      <c r="G25" s="38"/>
    </row>
    <row r="26" spans="1:7">
      <c r="A26" s="29" t="s">
        <v>24</v>
      </c>
      <c r="B26" s="206">
        <v>40.61</v>
      </c>
      <c r="C26" s="30">
        <f t="shared" si="0"/>
        <v>38.619999999999997</v>
      </c>
      <c r="D26" s="14">
        <v>6.0374292046293812E-2</v>
      </c>
      <c r="E26" s="14"/>
      <c r="F26" s="38"/>
      <c r="G26" s="38"/>
    </row>
    <row r="27" spans="1:7">
      <c r="A27" s="29" t="s">
        <v>25</v>
      </c>
      <c r="B27" s="206">
        <v>42.7</v>
      </c>
      <c r="C27" s="30">
        <f t="shared" si="0"/>
        <v>40.61</v>
      </c>
      <c r="D27" s="14">
        <v>0.1063653395784542</v>
      </c>
      <c r="E27" s="14">
        <v>1.0636533957845421E-2</v>
      </c>
      <c r="F27" s="38">
        <v>2.2203747072599533E-2</v>
      </c>
      <c r="G27" s="38">
        <v>0.31569086651053868</v>
      </c>
    </row>
    <row r="28" spans="1:7">
      <c r="A28" s="29" t="s">
        <v>26</v>
      </c>
      <c r="B28" s="206">
        <v>44.79</v>
      </c>
      <c r="C28" s="30">
        <f t="shared" si="0"/>
        <v>42.7</v>
      </c>
      <c r="D28" s="14">
        <v>0.14806430006697904</v>
      </c>
      <c r="E28" s="14">
        <v>1.4806430006697907E-2</v>
      </c>
      <c r="F28" s="38">
        <v>2.5833891493636969E-2</v>
      </c>
      <c r="G28" s="38">
        <v>0.31962491627595446</v>
      </c>
    </row>
    <row r="29" spans="1:7">
      <c r="A29" s="29" t="s">
        <v>27</v>
      </c>
      <c r="B29" s="206">
        <v>46.71</v>
      </c>
      <c r="C29" s="30">
        <f t="shared" si="0"/>
        <v>44.79</v>
      </c>
      <c r="D29" s="14">
        <v>0.18308285163776478</v>
      </c>
      <c r="E29" s="14">
        <v>1.8308285163776479E-2</v>
      </c>
      <c r="F29" s="38">
        <v>2.888246628131021E-2</v>
      </c>
      <c r="G29" s="38">
        <v>0.32292870905587673</v>
      </c>
    </row>
    <row r="30" spans="1:7">
      <c r="A30" s="29" t="s">
        <v>28</v>
      </c>
      <c r="B30" s="206">
        <v>48.85</v>
      </c>
      <c r="C30" s="30">
        <f t="shared" si="0"/>
        <v>46.71</v>
      </c>
      <c r="D30" s="14">
        <v>0.21887001023541439</v>
      </c>
      <c r="E30" s="14">
        <v>2.1887001023541439E-2</v>
      </c>
      <c r="F30" s="38">
        <v>3.1997952917093148E-2</v>
      </c>
      <c r="G30" s="38">
        <v>0.32630501535312184</v>
      </c>
    </row>
    <row r="31" spans="1:7">
      <c r="A31" s="29" t="s">
        <v>29</v>
      </c>
      <c r="B31" s="206">
        <v>51.06</v>
      </c>
      <c r="C31" s="30">
        <f t="shared" si="0"/>
        <v>48.85</v>
      </c>
      <c r="D31" s="14">
        <v>0.2526792009400704</v>
      </c>
      <c r="E31" s="14">
        <v>2.5267920094007038E-2</v>
      </c>
      <c r="F31" s="38">
        <v>3.4941245593419511E-2</v>
      </c>
      <c r="G31" s="38">
        <v>0.32949471210340775</v>
      </c>
    </row>
    <row r="32" spans="1:7">
      <c r="A32" s="29" t="s">
        <v>30</v>
      </c>
      <c r="B32" s="206">
        <v>53.36</v>
      </c>
      <c r="C32" s="30">
        <f t="shared" si="0"/>
        <v>51.06</v>
      </c>
      <c r="D32" s="14">
        <v>0.28489130434782595</v>
      </c>
      <c r="E32" s="14">
        <v>2.8489130434782593E-2</v>
      </c>
      <c r="F32" s="38">
        <v>3.7745502248875559E-2</v>
      </c>
      <c r="G32" s="38">
        <v>0.33253373313343326</v>
      </c>
    </row>
    <row r="33" spans="1:7">
      <c r="A33" s="29" t="s">
        <v>31</v>
      </c>
      <c r="B33" s="206">
        <v>55.7</v>
      </c>
      <c r="C33" s="30">
        <f t="shared" si="0"/>
        <v>53.36</v>
      </c>
      <c r="D33" s="14">
        <v>0.3149335727109514</v>
      </c>
      <c r="E33" s="14">
        <v>3.1493357271095146E-2</v>
      </c>
      <c r="F33" s="38">
        <v>4.2165170556552972E-2</v>
      </c>
      <c r="G33" s="38">
        <v>0.33536804308797125</v>
      </c>
    </row>
    <row r="34" spans="1:7">
      <c r="A34" s="29" t="s">
        <v>32</v>
      </c>
      <c r="B34" s="206">
        <v>58.57</v>
      </c>
      <c r="C34" s="30">
        <f t="shared" si="0"/>
        <v>55.7</v>
      </c>
      <c r="D34" s="14">
        <v>0.34850264640600975</v>
      </c>
      <c r="E34" s="14">
        <v>3.4850264640600981E-2</v>
      </c>
      <c r="F34" s="38">
        <v>5.9699504865972336E-2</v>
      </c>
      <c r="G34" s="38">
        <v>0.33853508622161516</v>
      </c>
    </row>
    <row r="35" spans="1:7">
      <c r="A35" s="29" t="s">
        <v>33</v>
      </c>
      <c r="B35" s="206">
        <v>61.4</v>
      </c>
      <c r="C35" s="30">
        <f t="shared" si="0"/>
        <v>58.57</v>
      </c>
      <c r="D35" s="14">
        <v>0.37853094462540704</v>
      </c>
      <c r="E35" s="14">
        <v>3.7853094462540704E-2</v>
      </c>
      <c r="F35" s="38">
        <v>7.5384364820846886E-2</v>
      </c>
      <c r="G35" s="38">
        <v>0.34136807817589576</v>
      </c>
    </row>
    <row r="36" spans="1:7">
      <c r="A36" s="29" t="s">
        <v>34</v>
      </c>
      <c r="B36" s="206">
        <v>64.17</v>
      </c>
      <c r="C36" s="30">
        <f t="shared" si="0"/>
        <v>61.4</v>
      </c>
      <c r="D36" s="14">
        <v>0.40535764375876565</v>
      </c>
      <c r="E36" s="14">
        <v>4.3214586255259396E-2</v>
      </c>
      <c r="F36" s="38">
        <v>8.9396914446002812E-2</v>
      </c>
      <c r="G36" s="38">
        <v>0.3438990182328191</v>
      </c>
    </row>
    <row r="37" spans="1:7">
      <c r="A37" s="29" t="s">
        <v>35</v>
      </c>
      <c r="B37" s="206">
        <v>67.73</v>
      </c>
      <c r="C37" s="30">
        <f t="shared" si="0"/>
        <v>64.17</v>
      </c>
      <c r="D37" s="14">
        <v>0.43661302229440418</v>
      </c>
      <c r="E37" s="14">
        <v>6.1967813376642492E-2</v>
      </c>
      <c r="F37" s="38">
        <v>0.1057227225749299</v>
      </c>
      <c r="G37" s="38">
        <v>0.34684777794182786</v>
      </c>
    </row>
    <row r="38" spans="1:7">
      <c r="A38" s="29" t="s">
        <v>36</v>
      </c>
      <c r="B38" s="206">
        <v>71.489999999999995</v>
      </c>
      <c r="C38" s="30">
        <f t="shared" si="0"/>
        <v>67.73</v>
      </c>
      <c r="D38" s="14">
        <v>0.4662442299622323</v>
      </c>
      <c r="E38" s="14">
        <v>7.9746537977339396E-2</v>
      </c>
      <c r="F38" s="38">
        <v>0.12120016785564414</v>
      </c>
      <c r="G38" s="38">
        <v>0.34964330675618971</v>
      </c>
    </row>
    <row r="39" spans="1:7">
      <c r="A39" s="29" t="s">
        <v>37</v>
      </c>
      <c r="B39" s="206">
        <v>75.86</v>
      </c>
      <c r="C39" s="30">
        <f t="shared" si="0"/>
        <v>71.489999999999995</v>
      </c>
      <c r="D39" s="14">
        <v>0.49699182704982853</v>
      </c>
      <c r="E39" s="14">
        <v>9.8195096229897111E-2</v>
      </c>
      <c r="F39" s="38">
        <v>0.13726074347482203</v>
      </c>
      <c r="G39" s="38">
        <v>0.3525441602952808</v>
      </c>
    </row>
    <row r="40" spans="1:7">
      <c r="A40" s="29" t="s">
        <v>38</v>
      </c>
      <c r="B40" s="206">
        <v>80.25</v>
      </c>
      <c r="C40" s="30">
        <f t="shared" si="0"/>
        <v>75.86</v>
      </c>
      <c r="D40" s="14">
        <v>0.52450841121495317</v>
      </c>
      <c r="E40" s="14">
        <v>0.1147050467289719</v>
      </c>
      <c r="F40" s="38">
        <v>0.15163364485981309</v>
      </c>
      <c r="G40" s="38">
        <v>0.35514018691588783</v>
      </c>
    </row>
    <row r="41" spans="1:7">
      <c r="A41" s="29" t="s">
        <v>39</v>
      </c>
      <c r="B41" s="206">
        <v>84.92</v>
      </c>
      <c r="C41" s="30">
        <f t="shared" si="0"/>
        <v>80.25</v>
      </c>
      <c r="D41" s="14">
        <v>0.55065708902496457</v>
      </c>
      <c r="E41" s="14">
        <v>0.13039425341497876</v>
      </c>
      <c r="F41" s="38">
        <v>0.16529203956665098</v>
      </c>
      <c r="G41" s="38">
        <v>0.35760715967969858</v>
      </c>
    </row>
    <row r="42" spans="1:7">
      <c r="A42" s="29" t="s">
        <v>40</v>
      </c>
      <c r="B42" s="206">
        <v>91.2</v>
      </c>
      <c r="C42" s="30">
        <f t="shared" si="0"/>
        <v>84.92</v>
      </c>
      <c r="D42" s="14">
        <v>0.5815986842105263</v>
      </c>
      <c r="E42" s="14">
        <v>0.14895921052631575</v>
      </c>
      <c r="F42" s="38">
        <v>0.18145394736842105</v>
      </c>
      <c r="G42" s="38">
        <v>0.36052631578947369</v>
      </c>
    </row>
    <row r="43" spans="1:7">
      <c r="A43" s="29" t="s">
        <v>41</v>
      </c>
      <c r="B43" s="206">
        <v>98.61</v>
      </c>
      <c r="C43" s="30">
        <f t="shared" si="0"/>
        <v>91.2</v>
      </c>
      <c r="D43" s="14">
        <v>0.61303924551262545</v>
      </c>
      <c r="E43" s="14">
        <v>0.16782354730757526</v>
      </c>
      <c r="F43" s="38">
        <v>0.1978764831153027</v>
      </c>
      <c r="G43" s="38">
        <v>0.36349254639488898</v>
      </c>
    </row>
    <row r="44" spans="1:7">
      <c r="A44" s="29" t="s">
        <v>42</v>
      </c>
      <c r="B44" s="206">
        <v>105.67</v>
      </c>
      <c r="C44" s="30">
        <f t="shared" si="0"/>
        <v>98.61</v>
      </c>
      <c r="D44" s="14">
        <v>0.63889277940758959</v>
      </c>
      <c r="E44" s="14">
        <v>0.18333566764455378</v>
      </c>
      <c r="F44" s="38">
        <v>0.21138071354215957</v>
      </c>
      <c r="G44" s="38">
        <v>0.36593167407968202</v>
      </c>
    </row>
    <row r="45" spans="1:7">
      <c r="A45" s="29" t="s">
        <v>43</v>
      </c>
      <c r="B45" s="206">
        <v>114.96</v>
      </c>
      <c r="C45" s="30">
        <f t="shared" si="0"/>
        <v>105.67</v>
      </c>
      <c r="D45" s="14">
        <v>0.66807411273486417</v>
      </c>
      <c r="E45" s="14">
        <v>0.20084446764091857</v>
      </c>
      <c r="F45" s="38">
        <v>0.22662317327766179</v>
      </c>
      <c r="G45" s="38">
        <v>0.36868475991649274</v>
      </c>
    </row>
    <row r="46" spans="1:7">
      <c r="A46" s="29" t="s">
        <v>44</v>
      </c>
      <c r="B46" s="206">
        <v>124.4</v>
      </c>
      <c r="C46" s="30">
        <f t="shared" si="0"/>
        <v>114.96</v>
      </c>
      <c r="D46" s="14">
        <v>0.69326205787781348</v>
      </c>
      <c r="E46" s="14">
        <v>0.2159572347266881</v>
      </c>
      <c r="F46" s="38">
        <v>0.23977974276527331</v>
      </c>
      <c r="G46" s="38">
        <v>0.37106109324758846</v>
      </c>
    </row>
    <row r="47" spans="1:7">
      <c r="A47" s="29" t="s">
        <v>45</v>
      </c>
      <c r="B47" s="206">
        <v>136.87</v>
      </c>
      <c r="C47" s="30">
        <f t="shared" si="0"/>
        <v>124.4</v>
      </c>
      <c r="D47" s="14">
        <v>0.72120844597062905</v>
      </c>
      <c r="E47" s="14">
        <v>0.23272506758237746</v>
      </c>
      <c r="F47" s="38">
        <v>0.25437714619712132</v>
      </c>
      <c r="G47" s="38">
        <v>0.37369766932125376</v>
      </c>
    </row>
    <row r="48" spans="1:7">
      <c r="A48" s="29" t="s">
        <v>46</v>
      </c>
      <c r="B48" s="206">
        <v>153.72999999999999</v>
      </c>
      <c r="C48" s="30">
        <f t="shared" si="0"/>
        <v>136.87</v>
      </c>
      <c r="D48" s="14">
        <v>0.75178429714434392</v>
      </c>
      <c r="E48" s="14">
        <v>0.25107057828660639</v>
      </c>
      <c r="F48" s="38">
        <v>0.27034801274962594</v>
      </c>
      <c r="G48" s="38">
        <v>0.37658231965133676</v>
      </c>
    </row>
    <row r="49" spans="1:10">
      <c r="A49" s="29" t="s">
        <v>47</v>
      </c>
      <c r="B49" s="206">
        <v>176.78</v>
      </c>
      <c r="C49" s="30">
        <f t="shared" si="0"/>
        <v>153.72999999999999</v>
      </c>
      <c r="D49" s="14">
        <v>0.78414865935060529</v>
      </c>
      <c r="E49" s="14">
        <v>0.27048919561036316</v>
      </c>
      <c r="F49" s="38">
        <v>0.287253082927933</v>
      </c>
      <c r="G49" s="38">
        <v>0.37963570539653813</v>
      </c>
    </row>
    <row r="50" spans="1:10">
      <c r="A50" s="29" t="s">
        <v>48</v>
      </c>
      <c r="B50" s="206">
        <v>207.65</v>
      </c>
      <c r="C50" s="30">
        <f t="shared" si="0"/>
        <v>176.78</v>
      </c>
      <c r="D50" s="14">
        <v>0.81623790031302679</v>
      </c>
      <c r="E50" s="14">
        <v>0.28974274018781604</v>
      </c>
      <c r="F50" s="38">
        <v>0.30401444738743078</v>
      </c>
      <c r="G50" s="38">
        <v>0.38266313508307248</v>
      </c>
    </row>
    <row r="51" spans="1:10">
      <c r="A51" s="29" t="s">
        <v>49</v>
      </c>
      <c r="B51" s="206">
        <v>251.97</v>
      </c>
      <c r="C51" s="30">
        <f t="shared" si="0"/>
        <v>207.65</v>
      </c>
      <c r="D51" s="14">
        <v>0.84856054292177641</v>
      </c>
      <c r="E51" s="14">
        <v>0.30913632575306582</v>
      </c>
      <c r="F51" s="38">
        <v>0.32089772591975235</v>
      </c>
      <c r="G51" s="38">
        <v>0.38571258483152765</v>
      </c>
    </row>
    <row r="52" spans="1:10">
      <c r="A52" s="29" t="s">
        <v>50</v>
      </c>
      <c r="B52" s="206">
        <v>314.93</v>
      </c>
      <c r="C52" s="30">
        <f t="shared" si="0"/>
        <v>251.97</v>
      </c>
      <c r="D52" s="14">
        <v>0.87883593179436692</v>
      </c>
      <c r="E52" s="14">
        <v>0.32730155907662023</v>
      </c>
      <c r="F52" s="38">
        <v>0.33671165020798277</v>
      </c>
      <c r="G52" s="38">
        <v>0.38856888832438957</v>
      </c>
    </row>
    <row r="53" spans="1:10">
      <c r="A53" s="29" t="s">
        <v>51</v>
      </c>
      <c r="B53" s="206">
        <v>413.09</v>
      </c>
      <c r="C53" s="30">
        <f t="shared" si="0"/>
        <v>314.93</v>
      </c>
      <c r="D53" s="14">
        <v>0.90762739354620048</v>
      </c>
      <c r="E53" s="14">
        <v>0.34457643612772032</v>
      </c>
      <c r="F53" s="38">
        <v>0.35175046600014526</v>
      </c>
      <c r="G53" s="38">
        <v>0.39128519208889107</v>
      </c>
    </row>
    <row r="54" spans="1:10">
      <c r="A54" s="29" t="s">
        <v>52</v>
      </c>
      <c r="B54" s="206">
        <v>723.84</v>
      </c>
      <c r="C54" s="30">
        <f t="shared" si="0"/>
        <v>413.09</v>
      </c>
      <c r="D54" s="14">
        <v>0.94728365384615387</v>
      </c>
      <c r="E54" s="14">
        <v>0.36837019230769236</v>
      </c>
      <c r="F54" s="38">
        <v>0.37246435676392581</v>
      </c>
      <c r="G54" s="38">
        <v>0.39502652519893894</v>
      </c>
    </row>
    <row r="55" spans="1:10">
      <c r="A55" s="29" t="s">
        <v>53</v>
      </c>
      <c r="B55" s="207">
        <v>1391.35</v>
      </c>
      <c r="C55" s="30">
        <f>B54</f>
        <v>723.84</v>
      </c>
      <c r="D55" s="14">
        <v>0.97257469364286475</v>
      </c>
      <c r="E55" s="14">
        <v>0.38354481618571884</v>
      </c>
      <c r="F55" s="38">
        <v>0.38567477629640284</v>
      </c>
      <c r="G55" s="38">
        <v>0.39741258489955794</v>
      </c>
    </row>
    <row r="56" spans="1:10">
      <c r="A56" s="29" t="s">
        <v>53</v>
      </c>
      <c r="B56" s="162" t="s">
        <v>135</v>
      </c>
      <c r="C56" s="30">
        <f t="shared" si="0"/>
        <v>1391.35</v>
      </c>
      <c r="D56" s="11"/>
      <c r="E56" s="11"/>
      <c r="F56" s="39"/>
      <c r="G56" s="39"/>
    </row>
    <row r="57" spans="1:10">
      <c r="A57" s="29"/>
      <c r="B57" s="257">
        <v>83</v>
      </c>
      <c r="C57" s="31"/>
      <c r="D57" s="11"/>
      <c r="E57" s="11">
        <v>63.597000000000016</v>
      </c>
      <c r="F57" s="39">
        <v>55.365000000000002</v>
      </c>
      <c r="G57" s="39">
        <v>10</v>
      </c>
    </row>
    <row r="58" spans="1:10">
      <c r="A58" s="29"/>
      <c r="B58" s="257">
        <v>49.8</v>
      </c>
      <c r="C58" s="31"/>
      <c r="D58" s="11"/>
      <c r="E58" s="11">
        <v>38.158200000000008</v>
      </c>
      <c r="F58" s="39">
        <v>33.219000000000001</v>
      </c>
      <c r="G58" s="39">
        <v>6</v>
      </c>
    </row>
    <row r="59" spans="1:10" ht="60">
      <c r="A59" s="33" t="s">
        <v>56</v>
      </c>
      <c r="B59" s="203">
        <v>83</v>
      </c>
      <c r="C59" s="31"/>
      <c r="D59" s="11"/>
      <c r="E59" s="159">
        <f>B63</f>
        <v>63.597000000000016</v>
      </c>
      <c r="F59" s="41">
        <f>B64</f>
        <v>55.365000000000002</v>
      </c>
      <c r="G59" s="42"/>
      <c r="I59" s="31"/>
      <c r="J59" s="31"/>
    </row>
    <row r="60" spans="1:10" ht="96.75">
      <c r="A60" s="35" t="s">
        <v>57</v>
      </c>
      <c r="B60" s="29">
        <f>B59*0.6</f>
        <v>49.8</v>
      </c>
      <c r="C60" s="29"/>
      <c r="D60" s="11"/>
      <c r="E60" s="159">
        <f>0.6*E59</f>
        <v>38.158200000000008</v>
      </c>
      <c r="F60" s="39">
        <f>0.6*F59</f>
        <v>33.219000000000001</v>
      </c>
      <c r="G60" s="39"/>
      <c r="I60" s="29"/>
    </row>
    <row r="61" spans="1:10">
      <c r="A61" s="258"/>
      <c r="B61" s="256"/>
      <c r="D61" s="254"/>
      <c r="E61" s="259"/>
      <c r="F61" s="260"/>
      <c r="G61" s="260"/>
      <c r="I61" s="256"/>
    </row>
    <row r="62" spans="1:10" ht="60.75" thickBot="1">
      <c r="A62" s="5" t="s">
        <v>56</v>
      </c>
      <c r="B62">
        <f>J59</f>
        <v>0</v>
      </c>
    </row>
    <row r="63" spans="1:10">
      <c r="A63" s="16" t="s">
        <v>64</v>
      </c>
      <c r="B63" s="17">
        <f>AVERAGE(B11:B50)</f>
        <v>63.597000000000016</v>
      </c>
      <c r="C63" s="17"/>
    </row>
    <row r="64" spans="1:10">
      <c r="A64" s="16" t="s">
        <v>65</v>
      </c>
      <c r="B64" s="18">
        <f>AVERAGE(B16:B45)</f>
        <v>55.365000000000002</v>
      </c>
      <c r="C64" s="18"/>
    </row>
    <row r="65" spans="1:7">
      <c r="A65" s="16" t="s">
        <v>66</v>
      </c>
      <c r="B65" s="18">
        <f>AVERAGE(B22:B40)</f>
        <v>52.920526315789481</v>
      </c>
      <c r="C65" s="18"/>
    </row>
    <row r="69" spans="1:7" ht="15" customHeight="1">
      <c r="A69" s="473" t="s">
        <v>0</v>
      </c>
      <c r="B69" s="473" t="s">
        <v>2</v>
      </c>
      <c r="C69" s="473"/>
      <c r="D69" s="473"/>
      <c r="E69" s="49">
        <f>(1-E124)^(1/3)-1</f>
        <v>-2.704284283173175E-2</v>
      </c>
      <c r="F69" s="49">
        <f>(1-F124)^(1/3)-1</f>
        <v>-2.9272949298035922E-2</v>
      </c>
      <c r="G69" s="49"/>
    </row>
    <row r="70" spans="1:7" ht="72">
      <c r="A70" s="473"/>
      <c r="B70" s="11" t="s">
        <v>4</v>
      </c>
      <c r="C70" s="11"/>
      <c r="D70" s="11" t="s">
        <v>80</v>
      </c>
      <c r="E70" s="11" t="s">
        <v>5</v>
      </c>
      <c r="F70" s="39" t="s">
        <v>5</v>
      </c>
      <c r="G70" s="39"/>
    </row>
    <row r="71" spans="1:7" ht="24">
      <c r="A71" s="473"/>
      <c r="B71" s="11" t="s">
        <v>8</v>
      </c>
      <c r="C71" s="11"/>
      <c r="D71" s="11" t="s">
        <v>7</v>
      </c>
      <c r="E71" s="11" t="s">
        <v>7</v>
      </c>
      <c r="F71" s="39" t="s">
        <v>7</v>
      </c>
      <c r="G71" s="39"/>
    </row>
    <row r="72" spans="1:7">
      <c r="A72" s="50">
        <v>1</v>
      </c>
      <c r="B72" s="51">
        <v>2</v>
      </c>
      <c r="C72" s="51"/>
      <c r="D72" s="51">
        <v>3</v>
      </c>
      <c r="E72" s="51">
        <v>4</v>
      </c>
      <c r="F72" s="52">
        <v>5</v>
      </c>
      <c r="G72" s="52"/>
    </row>
    <row r="73" spans="1:7">
      <c r="A73" s="27" t="s">
        <v>10</v>
      </c>
      <c r="B73" s="209">
        <v>18.98</v>
      </c>
      <c r="C73" s="253">
        <v>0</v>
      </c>
      <c r="D73" s="14">
        <v>0</v>
      </c>
      <c r="E73" s="14">
        <v>0</v>
      </c>
      <c r="F73" s="38">
        <v>0</v>
      </c>
      <c r="G73" s="38">
        <v>0</v>
      </c>
    </row>
    <row r="74" spans="1:7">
      <c r="A74" s="27" t="s">
        <v>58</v>
      </c>
      <c r="B74" s="209">
        <v>21.46</v>
      </c>
      <c r="C74" s="30">
        <f>B73</f>
        <v>18.98</v>
      </c>
      <c r="D74" s="14">
        <v>0</v>
      </c>
      <c r="E74" s="14">
        <v>0</v>
      </c>
      <c r="F74" s="38">
        <v>0</v>
      </c>
      <c r="G74" s="38">
        <v>5.4986020503262033E-3</v>
      </c>
    </row>
    <row r="75" spans="1:7">
      <c r="A75" s="27" t="s">
        <v>59</v>
      </c>
      <c r="B75" s="209">
        <v>23.28</v>
      </c>
      <c r="C75" s="30">
        <f t="shared" ref="C75:C123" si="1">B74</f>
        <v>21.46</v>
      </c>
      <c r="D75" s="14">
        <v>0</v>
      </c>
      <c r="E75" s="14">
        <v>0</v>
      </c>
      <c r="F75" s="38">
        <v>0</v>
      </c>
      <c r="G75" s="38">
        <v>1.2886597938144345E-2</v>
      </c>
    </row>
    <row r="76" spans="1:7">
      <c r="A76" s="27" t="s">
        <v>60</v>
      </c>
      <c r="B76" s="209">
        <v>24.96</v>
      </c>
      <c r="C76" s="30">
        <f t="shared" si="1"/>
        <v>23.28</v>
      </c>
      <c r="D76" s="14">
        <v>0</v>
      </c>
      <c r="E76" s="14">
        <v>0</v>
      </c>
      <c r="F76" s="38">
        <v>0</v>
      </c>
      <c r="G76" s="38">
        <v>1.8750000000000013E-2</v>
      </c>
    </row>
    <row r="77" spans="1:7">
      <c r="A77" s="27" t="s">
        <v>61</v>
      </c>
      <c r="B77" s="209">
        <v>26.47</v>
      </c>
      <c r="C77" s="30">
        <f t="shared" si="1"/>
        <v>24.96</v>
      </c>
      <c r="D77" s="14">
        <v>0</v>
      </c>
      <c r="E77" s="14">
        <v>0</v>
      </c>
      <c r="F77" s="38">
        <v>0</v>
      </c>
      <c r="G77" s="38">
        <v>2.3384964110313572E-2</v>
      </c>
    </row>
    <row r="78" spans="1:7">
      <c r="A78" s="27" t="s">
        <v>62</v>
      </c>
      <c r="B78" s="209">
        <v>27.83</v>
      </c>
      <c r="C78" s="30">
        <f t="shared" si="1"/>
        <v>26.47</v>
      </c>
      <c r="D78" s="14">
        <v>0</v>
      </c>
      <c r="E78" s="14">
        <v>0</v>
      </c>
      <c r="F78" s="38">
        <v>0</v>
      </c>
      <c r="G78" s="38">
        <v>2.7128997484728717E-2</v>
      </c>
    </row>
    <row r="79" spans="1:7">
      <c r="A79" s="27" t="s">
        <v>63</v>
      </c>
      <c r="B79" s="209">
        <v>29.31</v>
      </c>
      <c r="C79" s="30">
        <f t="shared" si="1"/>
        <v>27.83</v>
      </c>
      <c r="D79" s="14">
        <v>0</v>
      </c>
      <c r="E79" s="14">
        <v>0</v>
      </c>
      <c r="F79" s="38">
        <v>0</v>
      </c>
      <c r="G79" s="38">
        <v>3.0808597748208807E-2</v>
      </c>
    </row>
    <row r="80" spans="1:7">
      <c r="A80" s="29" t="s">
        <v>11</v>
      </c>
      <c r="B80" s="209">
        <v>30.63</v>
      </c>
      <c r="C80" s="30">
        <f t="shared" si="1"/>
        <v>29.31</v>
      </c>
      <c r="D80" s="14">
        <v>0</v>
      </c>
      <c r="E80" s="14">
        <v>0</v>
      </c>
      <c r="F80" s="38">
        <v>2.0372184133202703E-3</v>
      </c>
      <c r="G80" s="38">
        <v>3.3790401567091094E-2</v>
      </c>
    </row>
    <row r="81" spans="1:7">
      <c r="A81" s="29" t="s">
        <v>12</v>
      </c>
      <c r="B81" s="209">
        <v>31.86</v>
      </c>
      <c r="C81" s="30">
        <f t="shared" si="1"/>
        <v>30.63</v>
      </c>
      <c r="D81" s="14">
        <v>1.3837099811676004E-2</v>
      </c>
      <c r="E81" s="14"/>
      <c r="F81" s="38"/>
      <c r="G81" s="38"/>
    </row>
    <row r="82" spans="1:7">
      <c r="A82" s="29" t="s">
        <v>13</v>
      </c>
      <c r="B82" s="209">
        <v>33.11</v>
      </c>
      <c r="C82" s="30">
        <f t="shared" si="1"/>
        <v>31.86</v>
      </c>
      <c r="D82" s="14">
        <v>5.1067653276955526E-2</v>
      </c>
      <c r="E82" s="14"/>
      <c r="F82" s="38"/>
      <c r="G82" s="38"/>
    </row>
    <row r="83" spans="1:7">
      <c r="A83" s="29" t="s">
        <v>14</v>
      </c>
      <c r="B83" s="209">
        <v>34.1</v>
      </c>
      <c r="C83" s="30">
        <f t="shared" si="1"/>
        <v>33.11</v>
      </c>
      <c r="D83" s="14">
        <v>7.8617302052785901E-2</v>
      </c>
      <c r="E83" s="14"/>
      <c r="F83" s="38"/>
      <c r="G83" s="38"/>
    </row>
    <row r="84" spans="1:7">
      <c r="A84" s="29" t="s">
        <v>15</v>
      </c>
      <c r="B84" s="209">
        <v>35.119999999999997</v>
      </c>
      <c r="C84" s="30">
        <f t="shared" si="1"/>
        <v>34.1</v>
      </c>
      <c r="D84" s="14">
        <v>0.1053772779043279</v>
      </c>
      <c r="E84" s="14">
        <v>1.0537727790432791E-2</v>
      </c>
      <c r="F84" s="38">
        <v>1.4561503416856485E-2</v>
      </c>
      <c r="G84" s="38">
        <v>5.3530751708428262E-2</v>
      </c>
    </row>
    <row r="85" spans="1:7">
      <c r="A85" s="29" t="s">
        <v>16</v>
      </c>
      <c r="B85" s="209">
        <v>36.020000000000003</v>
      </c>
      <c r="C85" s="30">
        <f t="shared" si="1"/>
        <v>35.119999999999997</v>
      </c>
      <c r="D85" s="14">
        <v>0.12773042754025543</v>
      </c>
      <c r="E85" s="14">
        <v>1.2773042754025543E-2</v>
      </c>
      <c r="F85" s="38">
        <v>1.6696279844530825E-2</v>
      </c>
      <c r="G85" s="38">
        <v>6.218767351471411E-2</v>
      </c>
    </row>
    <row r="86" spans="1:7">
      <c r="A86" s="29" t="s">
        <v>17</v>
      </c>
      <c r="B86" s="209">
        <v>37.03</v>
      </c>
      <c r="C86" s="30">
        <f t="shared" si="1"/>
        <v>36.020000000000003</v>
      </c>
      <c r="D86" s="14">
        <v>0.15152173913043476</v>
      </c>
      <c r="E86" s="14">
        <v>1.5152173913043476E-2</v>
      </c>
      <c r="F86" s="38">
        <v>1.8968403996759389E-2</v>
      </c>
      <c r="G86" s="38">
        <v>7.1401566297596586E-2</v>
      </c>
    </row>
    <row r="87" spans="1:7">
      <c r="A87" s="29" t="s">
        <v>18</v>
      </c>
      <c r="B87" s="209">
        <v>37.9</v>
      </c>
      <c r="C87" s="30">
        <f t="shared" si="1"/>
        <v>37.03</v>
      </c>
      <c r="D87" s="14">
        <v>0.17099868073878619</v>
      </c>
      <c r="E87" s="14">
        <v>1.7099868073878619E-2</v>
      </c>
      <c r="F87" s="38">
        <v>2.0828496042216357E-2</v>
      </c>
      <c r="G87" s="38">
        <v>7.8944591029023778E-2</v>
      </c>
    </row>
    <row r="88" spans="1:7">
      <c r="A88" s="29" t="s">
        <v>19</v>
      </c>
      <c r="B88" s="209">
        <v>38.729999999999997</v>
      </c>
      <c r="C88" s="30">
        <f t="shared" si="1"/>
        <v>37.9</v>
      </c>
      <c r="D88" s="14">
        <v>0.18876452362509671</v>
      </c>
      <c r="E88" s="14">
        <v>1.8876452362509673E-2</v>
      </c>
      <c r="F88" s="38">
        <v>2.2525174283501155E-2</v>
      </c>
      <c r="G88" s="38">
        <v>8.5824941905499622E-2</v>
      </c>
    </row>
    <row r="89" spans="1:7">
      <c r="A89" s="29" t="s">
        <v>20</v>
      </c>
      <c r="B89" s="209">
        <v>39.74</v>
      </c>
      <c r="C89" s="30">
        <f t="shared" si="1"/>
        <v>38.729999999999997</v>
      </c>
      <c r="D89" s="14">
        <v>0.20938223452440866</v>
      </c>
      <c r="E89" s="14">
        <v>2.0938223452440865E-2</v>
      </c>
      <c r="F89" s="38">
        <v>2.4494212380473081E-2</v>
      </c>
      <c r="G89" s="38">
        <v>9.3809763462506343E-2</v>
      </c>
    </row>
    <row r="90" spans="1:7">
      <c r="A90" s="29" t="s">
        <v>21</v>
      </c>
      <c r="B90" s="209">
        <v>40.56</v>
      </c>
      <c r="C90" s="30">
        <f t="shared" si="1"/>
        <v>39.74</v>
      </c>
      <c r="D90" s="14">
        <v>0.22536612426035502</v>
      </c>
      <c r="E90" s="14">
        <v>2.2536612426035503E-2</v>
      </c>
      <c r="F90" s="38">
        <v>2.6020710059171604E-2</v>
      </c>
      <c r="G90" s="38">
        <v>0.10000000000000006</v>
      </c>
    </row>
    <row r="91" spans="1:7">
      <c r="A91" s="29" t="s">
        <v>22</v>
      </c>
      <c r="B91" s="209">
        <v>41.58</v>
      </c>
      <c r="C91" s="30">
        <f t="shared" si="1"/>
        <v>40.56</v>
      </c>
      <c r="D91" s="14">
        <v>0.24436868686868679</v>
      </c>
      <c r="E91" s="14">
        <v>2.443686868686868E-2</v>
      </c>
      <c r="F91" s="38">
        <v>2.7835497835497831E-2</v>
      </c>
      <c r="G91" s="38">
        <v>0.10735930735930738</v>
      </c>
    </row>
    <row r="92" spans="1:7">
      <c r="A92" s="29" t="s">
        <v>23</v>
      </c>
      <c r="B92" s="209">
        <v>42.6</v>
      </c>
      <c r="C92" s="30">
        <f t="shared" si="1"/>
        <v>41.58</v>
      </c>
      <c r="D92" s="14">
        <v>0.26246126760563376</v>
      </c>
      <c r="E92" s="14">
        <v>2.6246126760563378E-2</v>
      </c>
      <c r="F92" s="38">
        <v>2.9563380281690147E-2</v>
      </c>
      <c r="G92" s="38">
        <v>0.11436619718309862</v>
      </c>
    </row>
    <row r="93" spans="1:7">
      <c r="A93" s="29" t="s">
        <v>24</v>
      </c>
      <c r="B93" s="209">
        <v>43.53</v>
      </c>
      <c r="C93" s="30">
        <f t="shared" si="1"/>
        <v>42.6</v>
      </c>
      <c r="D93" s="14">
        <v>0.27821847002067535</v>
      </c>
      <c r="E93" s="14">
        <v>2.7821847002067537E-2</v>
      </c>
      <c r="F93" s="38">
        <v>3.1068228807718819E-2</v>
      </c>
      <c r="G93" s="38">
        <v>0.12046864231564441</v>
      </c>
    </row>
    <row r="94" spans="1:7">
      <c r="A94" s="29" t="s">
        <v>25</v>
      </c>
      <c r="B94" s="209">
        <v>44.46</v>
      </c>
      <c r="C94" s="30">
        <f t="shared" si="1"/>
        <v>43.53</v>
      </c>
      <c r="D94" s="14">
        <v>0.29331646423751684</v>
      </c>
      <c r="E94" s="14">
        <v>2.9331646423751686E-2</v>
      </c>
      <c r="F94" s="38">
        <v>3.2510121457489882E-2</v>
      </c>
      <c r="G94" s="38">
        <v>0.12631578947368427</v>
      </c>
    </row>
    <row r="95" spans="1:7">
      <c r="A95" s="29" t="s">
        <v>26</v>
      </c>
      <c r="B95" s="209">
        <v>45.43</v>
      </c>
      <c r="C95" s="30">
        <f t="shared" si="1"/>
        <v>44.46</v>
      </c>
      <c r="D95" s="14">
        <v>0.30840523882896759</v>
      </c>
      <c r="E95" s="14">
        <v>3.0840523882896764E-2</v>
      </c>
      <c r="F95" s="38">
        <v>3.3951133612150561E-2</v>
      </c>
      <c r="G95" s="38">
        <v>0.13215936605767117</v>
      </c>
    </row>
    <row r="96" spans="1:7">
      <c r="A96" s="29" t="s">
        <v>27</v>
      </c>
      <c r="B96" s="209">
        <v>46.36</v>
      </c>
      <c r="C96" s="30">
        <f t="shared" si="1"/>
        <v>45.43</v>
      </c>
      <c r="D96" s="14">
        <v>0.32227890422778255</v>
      </c>
      <c r="E96" s="14">
        <v>3.2227890422778252E-2</v>
      </c>
      <c r="F96" s="38">
        <v>3.5276100086281278E-2</v>
      </c>
      <c r="G96" s="38">
        <v>0.13753235547886111</v>
      </c>
    </row>
    <row r="97" spans="1:7">
      <c r="A97" s="29" t="s">
        <v>28</v>
      </c>
      <c r="B97" s="209">
        <v>47.47</v>
      </c>
      <c r="C97" s="30">
        <f t="shared" si="1"/>
        <v>46.36</v>
      </c>
      <c r="D97" s="14">
        <v>0.33812618495892138</v>
      </c>
      <c r="E97" s="14">
        <v>3.3812618495892142E-2</v>
      </c>
      <c r="F97" s="38">
        <v>3.6789551295555084E-2</v>
      </c>
      <c r="G97" s="38">
        <v>0.14366968611754796</v>
      </c>
    </row>
    <row r="98" spans="1:7">
      <c r="A98" s="29" t="s">
        <v>29</v>
      </c>
      <c r="B98" s="209">
        <v>48.66</v>
      </c>
      <c r="C98" s="30">
        <f t="shared" si="1"/>
        <v>47.47</v>
      </c>
      <c r="D98" s="14">
        <v>0.35431257706535135</v>
      </c>
      <c r="E98" s="14">
        <v>3.5431257706535137E-2</v>
      </c>
      <c r="F98" s="38">
        <v>3.8335388409371146E-2</v>
      </c>
      <c r="G98" s="38">
        <v>0.14993834771886561</v>
      </c>
    </row>
    <row r="99" spans="1:7">
      <c r="A99" s="29" t="s">
        <v>30</v>
      </c>
      <c r="B99" s="209">
        <v>49.75</v>
      </c>
      <c r="C99" s="30">
        <f t="shared" si="1"/>
        <v>48.66</v>
      </c>
      <c r="D99" s="14">
        <v>0.36845929648241205</v>
      </c>
      <c r="E99" s="14">
        <v>3.6845929648241203E-2</v>
      </c>
      <c r="F99" s="38">
        <v>3.9686432160804024E-2</v>
      </c>
      <c r="G99" s="38">
        <v>0.15541708542713573</v>
      </c>
    </row>
    <row r="100" spans="1:7">
      <c r="A100" s="29" t="s">
        <v>31</v>
      </c>
      <c r="B100" s="209">
        <v>50.98</v>
      </c>
      <c r="C100" s="30">
        <f t="shared" si="1"/>
        <v>49.75</v>
      </c>
      <c r="D100" s="14">
        <v>0.38369654766575118</v>
      </c>
      <c r="E100" s="14">
        <v>3.8369654766575126E-2</v>
      </c>
      <c r="F100" s="38">
        <v>4.6849744998038394E-2</v>
      </c>
      <c r="G100" s="38">
        <v>0.16131816398587684</v>
      </c>
    </row>
    <row r="101" spans="1:7">
      <c r="A101" s="29" t="s">
        <v>32</v>
      </c>
      <c r="B101" s="209">
        <v>52.41</v>
      </c>
      <c r="C101" s="30">
        <f t="shared" si="1"/>
        <v>50.98</v>
      </c>
      <c r="D101" s="14">
        <v>0.4005123068116771</v>
      </c>
      <c r="E101" s="14">
        <v>4.0307384087006258E-2</v>
      </c>
      <c r="F101" s="38">
        <v>5.6485403548940993E-2</v>
      </c>
      <c r="G101" s="38">
        <v>0.167830566685747</v>
      </c>
    </row>
    <row r="102" spans="1:7">
      <c r="A102" s="29" t="s">
        <v>33</v>
      </c>
      <c r="B102" s="209">
        <v>53.9</v>
      </c>
      <c r="C102" s="30">
        <f t="shared" si="1"/>
        <v>52.41</v>
      </c>
      <c r="D102" s="14">
        <v>0.41708441558441556</v>
      </c>
      <c r="E102" s="14">
        <v>5.0250649350649323E-2</v>
      </c>
      <c r="F102" s="38">
        <v>6.5981447124304232E-2</v>
      </c>
      <c r="G102" s="38">
        <v>0.17424860853432284</v>
      </c>
    </row>
    <row r="103" spans="1:7">
      <c r="A103" s="29" t="s">
        <v>34</v>
      </c>
      <c r="B103" s="209">
        <v>55.35</v>
      </c>
      <c r="C103" s="30">
        <f t="shared" si="1"/>
        <v>53.9</v>
      </c>
      <c r="D103" s="14">
        <v>0.4323550135501355</v>
      </c>
      <c r="E103" s="14">
        <v>5.9413008130081289E-2</v>
      </c>
      <c r="F103" s="38">
        <v>7.4731707317073154E-2</v>
      </c>
      <c r="G103" s="38">
        <v>0.1801626016260163</v>
      </c>
    </row>
    <row r="104" spans="1:7">
      <c r="A104" s="29" t="s">
        <v>35</v>
      </c>
      <c r="B104" s="209">
        <v>56.92</v>
      </c>
      <c r="C104" s="30">
        <f t="shared" si="1"/>
        <v>55.35</v>
      </c>
      <c r="D104" s="14">
        <v>0.44801212227687981</v>
      </c>
      <c r="E104" s="14">
        <v>6.8807273366127894E-2</v>
      </c>
      <c r="F104" s="38">
        <v>8.3703443429374552E-2</v>
      </c>
      <c r="G104" s="38">
        <v>0.18622628250175691</v>
      </c>
    </row>
    <row r="105" spans="1:7">
      <c r="A105" s="29" t="s">
        <v>36</v>
      </c>
      <c r="B105" s="209">
        <v>58.7</v>
      </c>
      <c r="C105" s="30">
        <f t="shared" si="1"/>
        <v>56.92</v>
      </c>
      <c r="D105" s="14">
        <v>0.46475042589437821</v>
      </c>
      <c r="E105" s="14">
        <v>7.8850255536626918E-2</v>
      </c>
      <c r="F105" s="38">
        <v>9.3294718909710389E-2</v>
      </c>
      <c r="G105" s="38">
        <v>0.1927086882453152</v>
      </c>
    </row>
    <row r="106" spans="1:7">
      <c r="A106" s="29" t="s">
        <v>37</v>
      </c>
      <c r="B106" s="209">
        <v>60.2</v>
      </c>
      <c r="C106" s="30">
        <f t="shared" si="1"/>
        <v>58.7</v>
      </c>
      <c r="D106" s="14">
        <v>0.47808720930232557</v>
      </c>
      <c r="E106" s="14">
        <v>8.6852325581395343E-2</v>
      </c>
      <c r="F106" s="38">
        <v>0.10093687707641195</v>
      </c>
      <c r="G106" s="38">
        <v>0.19787375415282396</v>
      </c>
    </row>
    <row r="107" spans="1:7">
      <c r="A107" s="29" t="s">
        <v>38</v>
      </c>
      <c r="B107" s="209">
        <v>61.71</v>
      </c>
      <c r="C107" s="30">
        <f t="shared" si="1"/>
        <v>60.2</v>
      </c>
      <c r="D107" s="14">
        <v>0.49085804569761787</v>
      </c>
      <c r="E107" s="14">
        <v>9.4514827418570715E-2</v>
      </c>
      <c r="F107" s="38">
        <v>0.1082547399124939</v>
      </c>
      <c r="G107" s="38">
        <v>0.20281964025279536</v>
      </c>
    </row>
    <row r="108" spans="1:7">
      <c r="A108" s="29" t="s">
        <v>39</v>
      </c>
      <c r="B108" s="209">
        <v>63.4</v>
      </c>
      <c r="C108" s="30">
        <f t="shared" si="1"/>
        <v>61.71</v>
      </c>
      <c r="D108" s="14">
        <v>0.50442981072555204</v>
      </c>
      <c r="E108" s="14">
        <v>0.10265788643533121</v>
      </c>
      <c r="F108" s="38">
        <v>0.1160315457413249</v>
      </c>
      <c r="G108" s="38">
        <v>0.20807570977917986</v>
      </c>
    </row>
    <row r="109" spans="1:7">
      <c r="A109" s="29" t="s">
        <v>40</v>
      </c>
      <c r="B109" s="209">
        <v>65.290000000000006</v>
      </c>
      <c r="C109" s="30">
        <f t="shared" si="1"/>
        <v>63.4</v>
      </c>
      <c r="D109" s="14">
        <v>0.51877546331750657</v>
      </c>
      <c r="E109" s="14">
        <v>0.11126527799050392</v>
      </c>
      <c r="F109" s="38">
        <v>0.12425179966304181</v>
      </c>
      <c r="G109" s="38">
        <v>0.21363149027416148</v>
      </c>
    </row>
    <row r="110" spans="1:7">
      <c r="A110" s="29" t="s">
        <v>41</v>
      </c>
      <c r="B110" s="209">
        <v>67.69</v>
      </c>
      <c r="C110" s="30">
        <f t="shared" si="1"/>
        <v>65.290000000000006</v>
      </c>
      <c r="D110" s="14">
        <v>0.53583764219234742</v>
      </c>
      <c r="E110" s="14">
        <v>0.12150258531540846</v>
      </c>
      <c r="F110" s="38">
        <v>0.13402866006795683</v>
      </c>
      <c r="G110" s="38">
        <v>0.22023932634067073</v>
      </c>
    </row>
    <row r="111" spans="1:7">
      <c r="A111" s="29" t="s">
        <v>42</v>
      </c>
      <c r="B111" s="209">
        <v>70.8</v>
      </c>
      <c r="C111" s="30">
        <f t="shared" si="1"/>
        <v>67.69</v>
      </c>
      <c r="D111" s="14">
        <v>0.55622669491525423</v>
      </c>
      <c r="E111" s="14">
        <v>0.13373601694915252</v>
      </c>
      <c r="F111" s="38">
        <v>0.14571186440677963</v>
      </c>
      <c r="G111" s="38">
        <v>0.22813559322033899</v>
      </c>
    </row>
    <row r="112" spans="1:7">
      <c r="A112" s="29" t="s">
        <v>43</v>
      </c>
      <c r="B112" s="209">
        <v>73.91</v>
      </c>
      <c r="C112" s="30">
        <f t="shared" si="1"/>
        <v>70.8</v>
      </c>
      <c r="D112" s="14">
        <v>0.57489987823027999</v>
      </c>
      <c r="E112" s="14">
        <v>0.14493992693816801</v>
      </c>
      <c r="F112" s="38">
        <v>0.15641185225273979</v>
      </c>
      <c r="G112" s="38">
        <v>0.23536733865512111</v>
      </c>
    </row>
    <row r="113" spans="1:7">
      <c r="A113" s="29" t="s">
        <v>44</v>
      </c>
      <c r="B113" s="209">
        <v>77.53</v>
      </c>
      <c r="C113" s="30">
        <f t="shared" si="1"/>
        <v>73.91</v>
      </c>
      <c r="D113" s="14">
        <v>0.59474848445762929</v>
      </c>
      <c r="E113" s="14">
        <v>0.15684909067457756</v>
      </c>
      <c r="F113" s="38">
        <v>0.16778537340384367</v>
      </c>
      <c r="G113" s="38">
        <v>0.24305430156068619</v>
      </c>
    </row>
    <row r="114" spans="1:7">
      <c r="A114" s="29" t="s">
        <v>45</v>
      </c>
      <c r="B114" s="209">
        <v>82.02</v>
      </c>
      <c r="C114" s="30">
        <f t="shared" si="1"/>
        <v>77.53</v>
      </c>
      <c r="D114" s="14">
        <v>0.6169330651060716</v>
      </c>
      <c r="E114" s="14">
        <v>0.17015983906364299</v>
      </c>
      <c r="F114" s="38">
        <v>0.18049743964886611</v>
      </c>
      <c r="G114" s="38">
        <v>0.25164594001463059</v>
      </c>
    </row>
    <row r="115" spans="1:7">
      <c r="A115" s="29" t="s">
        <v>46</v>
      </c>
      <c r="B115" s="209">
        <v>87.29</v>
      </c>
      <c r="C115" s="30">
        <f t="shared" si="1"/>
        <v>82.02</v>
      </c>
      <c r="D115" s="14">
        <v>0.64006014434643144</v>
      </c>
      <c r="E115" s="14">
        <v>0.18403608660785886</v>
      </c>
      <c r="F115" s="38">
        <v>0.19374957039752549</v>
      </c>
      <c r="G115" s="38">
        <v>0.2606025890709131</v>
      </c>
    </row>
    <row r="116" spans="1:7">
      <c r="A116" s="29" t="s">
        <v>47</v>
      </c>
      <c r="B116" s="209">
        <v>92.91</v>
      </c>
      <c r="C116" s="30">
        <f t="shared" si="1"/>
        <v>87.29</v>
      </c>
      <c r="D116" s="14">
        <v>0.66183241846948659</v>
      </c>
      <c r="E116" s="14">
        <v>0.19709945108169191</v>
      </c>
      <c r="F116" s="38">
        <v>0.20622537939941876</v>
      </c>
      <c r="G116" s="38">
        <v>0.26903454956409434</v>
      </c>
    </row>
    <row r="117" spans="1:7">
      <c r="A117" s="29" t="s">
        <v>48</v>
      </c>
      <c r="B117" s="209">
        <v>101.82</v>
      </c>
      <c r="C117" s="30">
        <f t="shared" si="1"/>
        <v>92.91</v>
      </c>
      <c r="D117" s="14">
        <v>0.69142457277548608</v>
      </c>
      <c r="E117" s="14">
        <v>0.21485474366529167</v>
      </c>
      <c r="F117" s="38">
        <v>0.22318208603417794</v>
      </c>
      <c r="G117" s="38">
        <v>0.28049499116087212</v>
      </c>
    </row>
    <row r="118" spans="1:7">
      <c r="A118" s="29" t="s">
        <v>49</v>
      </c>
      <c r="B118" s="209">
        <v>113.85</v>
      </c>
      <c r="C118" s="30">
        <f t="shared" si="1"/>
        <v>101.82</v>
      </c>
      <c r="D118" s="14">
        <v>0.72403030303030302</v>
      </c>
      <c r="E118" s="14">
        <v>0.2344181818181818</v>
      </c>
      <c r="F118" s="38">
        <v>0.24186561264822132</v>
      </c>
      <c r="G118" s="38">
        <v>0.29312252964426877</v>
      </c>
    </row>
    <row r="119" spans="1:7">
      <c r="A119" s="29" t="s">
        <v>50</v>
      </c>
      <c r="B119" s="209">
        <v>132.97</v>
      </c>
      <c r="C119" s="30">
        <f t="shared" si="1"/>
        <v>113.85</v>
      </c>
      <c r="D119" s="14">
        <v>0.76371249153944498</v>
      </c>
      <c r="E119" s="14">
        <v>0.25822749492366703</v>
      </c>
      <c r="F119" s="38">
        <v>0.26460404602541926</v>
      </c>
      <c r="G119" s="38">
        <v>0.30849063698578627</v>
      </c>
    </row>
    <row r="120" spans="1:7">
      <c r="A120" s="29" t="s">
        <v>51</v>
      </c>
      <c r="B120" s="209">
        <v>172.75</v>
      </c>
      <c r="C120" s="30">
        <f t="shared" si="1"/>
        <v>132.97</v>
      </c>
      <c r="D120" s="14">
        <v>0.81812358900144722</v>
      </c>
      <c r="E120" s="14">
        <v>0.29087415340086831</v>
      </c>
      <c r="F120" s="38">
        <v>0.29578234442836471</v>
      </c>
      <c r="G120" s="38">
        <v>0.32956295224312587</v>
      </c>
    </row>
    <row r="121" spans="1:7">
      <c r="A121" s="29" t="s">
        <v>52</v>
      </c>
      <c r="B121" s="208">
        <v>321.39999999999998</v>
      </c>
      <c r="C121" s="30">
        <f t="shared" si="1"/>
        <v>172.75</v>
      </c>
      <c r="D121" s="14">
        <v>0.90224284380833852</v>
      </c>
      <c r="E121" s="14">
        <v>0.34134570628500316</v>
      </c>
      <c r="F121" s="38">
        <v>0.34398382078406969</v>
      </c>
      <c r="G121" s="38">
        <v>0.3621406347230865</v>
      </c>
    </row>
    <row r="122" spans="1:7">
      <c r="A122" s="29" t="s">
        <v>53</v>
      </c>
      <c r="B122" s="208">
        <v>461.2</v>
      </c>
      <c r="C122" s="30">
        <f>B121</f>
        <v>321.39999999999998</v>
      </c>
      <c r="D122" s="14">
        <v>0.9318752168256722</v>
      </c>
      <c r="E122" s="14">
        <v>0.35912513009540331</v>
      </c>
      <c r="F122" s="38">
        <v>0.36096357328707723</v>
      </c>
      <c r="G122" s="38">
        <v>0.37361665221162188</v>
      </c>
    </row>
    <row r="123" spans="1:7">
      <c r="A123" s="29" t="s">
        <v>53</v>
      </c>
      <c r="B123" s="29" t="s">
        <v>136</v>
      </c>
      <c r="C123" s="30">
        <f t="shared" si="1"/>
        <v>461.2</v>
      </c>
      <c r="D123" s="11" t="s">
        <v>81</v>
      </c>
      <c r="E123" s="11"/>
      <c r="F123" s="39"/>
      <c r="G123" s="39"/>
    </row>
    <row r="124" spans="1:7">
      <c r="A124" s="29"/>
      <c r="B124" s="29"/>
      <c r="C124" s="29"/>
      <c r="D124" s="11"/>
      <c r="E124" s="32">
        <v>7.895435929595776E-2</v>
      </c>
      <c r="F124" s="40">
        <v>8.5273215365320551E-2</v>
      </c>
      <c r="G124" s="40">
        <v>0.15087682122569834</v>
      </c>
    </row>
    <row r="125" spans="1:7" ht="60">
      <c r="A125" s="33" t="s">
        <v>55</v>
      </c>
      <c r="B125" s="29">
        <v>33.799999999999997</v>
      </c>
      <c r="C125" s="29"/>
      <c r="D125" s="11"/>
      <c r="E125" s="34">
        <v>52.365250000000003</v>
      </c>
      <c r="F125" s="41">
        <v>50.010000000000005</v>
      </c>
      <c r="G125" s="42">
        <v>33.799999999999997</v>
      </c>
    </row>
    <row r="126" spans="1:7" ht="60">
      <c r="A126" s="33" t="s">
        <v>56</v>
      </c>
      <c r="B126" s="29">
        <v>62.9</v>
      </c>
      <c r="C126" s="29"/>
      <c r="D126" s="11"/>
      <c r="E126" s="11"/>
      <c r="F126" s="39"/>
      <c r="G126" s="39"/>
    </row>
    <row r="127" spans="1:7" ht="96.75">
      <c r="A127" s="35" t="s">
        <v>57</v>
      </c>
      <c r="B127" s="29">
        <v>37.739999999999995</v>
      </c>
      <c r="C127" s="29"/>
      <c r="D127" s="11"/>
      <c r="E127" s="11">
        <v>31.419150000000002</v>
      </c>
      <c r="F127" s="39">
        <v>30.006</v>
      </c>
      <c r="G127" s="39">
        <v>20.279999999999998</v>
      </c>
    </row>
    <row r="129" spans="1:7" ht="60.75" thickBot="1">
      <c r="A129" s="5" t="s">
        <v>56</v>
      </c>
      <c r="B129">
        <f>B126</f>
        <v>62.9</v>
      </c>
    </row>
    <row r="130" spans="1:7">
      <c r="A130" s="16" t="s">
        <v>64</v>
      </c>
      <c r="B130" s="17">
        <f>AVERAGE(B78:B117)</f>
        <v>52.365250000000003</v>
      </c>
      <c r="C130" s="17"/>
    </row>
    <row r="131" spans="1:7">
      <c r="A131" s="16" t="s">
        <v>65</v>
      </c>
      <c r="B131" s="18">
        <f>AVERAGE(B83:B112)</f>
        <v>50.010000000000005</v>
      </c>
      <c r="C131" s="18"/>
    </row>
    <row r="132" spans="1:7">
      <c r="A132" s="16" t="s">
        <v>66</v>
      </c>
      <c r="B132" s="18">
        <f>AVERAGE(B89:B107)</f>
        <v>49.49</v>
      </c>
      <c r="C132" s="18"/>
    </row>
    <row r="133" spans="1:7" ht="15.75" thickBot="1"/>
    <row r="134" spans="1:7" ht="15.75" thickBot="1">
      <c r="A134" s="522" t="s">
        <v>0</v>
      </c>
      <c r="B134" s="467" t="s">
        <v>78</v>
      </c>
      <c r="C134" s="468"/>
      <c r="D134" s="469"/>
      <c r="E134" s="19">
        <f>(1-E189)^(1/3)-1</f>
        <v>-3.3028084165870331E-2</v>
      </c>
      <c r="F134" s="19">
        <f>(1-F189)^(1/3)-1</f>
        <v>-4.0897483823456482E-2</v>
      </c>
      <c r="G134" s="19"/>
    </row>
    <row r="135" spans="1:7" ht="72.75" thickBot="1">
      <c r="A135" s="523"/>
      <c r="B135" s="1" t="s">
        <v>4</v>
      </c>
      <c r="C135" s="254"/>
      <c r="D135" s="11" t="s">
        <v>80</v>
      </c>
      <c r="E135" s="11" t="s">
        <v>5</v>
      </c>
      <c r="F135" s="39" t="s">
        <v>5</v>
      </c>
      <c r="G135" s="39"/>
    </row>
    <row r="136" spans="1:7" ht="24.75" thickBot="1">
      <c r="A136" s="524"/>
      <c r="B136" s="1" t="s">
        <v>9</v>
      </c>
      <c r="C136" s="254"/>
      <c r="D136" s="11" t="s">
        <v>7</v>
      </c>
      <c r="E136" s="11" t="s">
        <v>7</v>
      </c>
      <c r="F136" s="39" t="s">
        <v>7</v>
      </c>
      <c r="G136" s="39"/>
    </row>
    <row r="137" spans="1:7">
      <c r="A137" s="50">
        <v>1</v>
      </c>
      <c r="B137" s="51">
        <v>2</v>
      </c>
      <c r="C137" s="51"/>
      <c r="D137" s="51">
        <v>3</v>
      </c>
      <c r="E137" s="51">
        <v>4</v>
      </c>
      <c r="F137" s="52">
        <v>5</v>
      </c>
      <c r="G137" s="52"/>
    </row>
    <row r="138" spans="1:7" ht="15.75" thickBot="1">
      <c r="A138" s="155" t="s">
        <v>10</v>
      </c>
      <c r="B138" s="204">
        <v>1E-3</v>
      </c>
      <c r="C138" s="255">
        <v>0</v>
      </c>
      <c r="D138" s="157">
        <v>0</v>
      </c>
      <c r="E138" s="14">
        <v>0</v>
      </c>
      <c r="F138" s="38">
        <v>0</v>
      </c>
      <c r="G138" s="38">
        <v>0</v>
      </c>
    </row>
    <row r="139" spans="1:7" ht="15.75" thickBot="1">
      <c r="A139" s="155" t="s">
        <v>58</v>
      </c>
      <c r="B139" s="204">
        <v>1E-3</v>
      </c>
      <c r="C139" s="30">
        <f>B138</f>
        <v>1E-3</v>
      </c>
      <c r="D139" s="157">
        <v>0</v>
      </c>
      <c r="E139" s="14">
        <v>0</v>
      </c>
      <c r="F139" s="38">
        <v>0</v>
      </c>
      <c r="G139" s="38">
        <v>0</v>
      </c>
    </row>
    <row r="140" spans="1:7" ht="15.75" thickBot="1">
      <c r="A140" s="155" t="s">
        <v>59</v>
      </c>
      <c r="B140" s="204">
        <v>2E-3</v>
      </c>
      <c r="C140" s="30">
        <f t="shared" ref="C140:C188" si="2">B139</f>
        <v>1E-3</v>
      </c>
      <c r="D140" s="157">
        <v>0</v>
      </c>
      <c r="E140" s="14">
        <v>0</v>
      </c>
      <c r="F140" s="38">
        <v>0</v>
      </c>
      <c r="G140" s="38">
        <v>0</v>
      </c>
    </row>
    <row r="141" spans="1:7" ht="15.75" thickBot="1">
      <c r="A141" s="155" t="s">
        <v>60</v>
      </c>
      <c r="B141" s="204">
        <v>3.0000000000000001E-3</v>
      </c>
      <c r="C141" s="30">
        <f t="shared" si="2"/>
        <v>2E-3</v>
      </c>
      <c r="D141" s="157">
        <v>0</v>
      </c>
      <c r="E141" s="14">
        <v>0</v>
      </c>
      <c r="F141" s="38">
        <v>0</v>
      </c>
      <c r="G141" s="38">
        <v>0</v>
      </c>
    </row>
    <row r="142" spans="1:7" ht="15.75" thickBot="1">
      <c r="A142" s="155" t="s">
        <v>61</v>
      </c>
      <c r="B142" s="204">
        <v>4.0000000000000001E-3</v>
      </c>
      <c r="C142" s="30">
        <f t="shared" si="2"/>
        <v>3.0000000000000001E-3</v>
      </c>
      <c r="D142" s="157">
        <v>0</v>
      </c>
      <c r="E142" s="14">
        <v>0</v>
      </c>
      <c r="F142" s="38">
        <v>0</v>
      </c>
      <c r="G142" s="38">
        <v>0</v>
      </c>
    </row>
    <row r="143" spans="1:7" ht="15.75" thickBot="1">
      <c r="A143" s="155" t="s">
        <v>62</v>
      </c>
      <c r="B143" s="204">
        <v>5.0000000000000001E-3</v>
      </c>
      <c r="C143" s="30">
        <f t="shared" si="2"/>
        <v>4.0000000000000001E-3</v>
      </c>
      <c r="D143" s="157">
        <v>0</v>
      </c>
      <c r="E143" s="14">
        <v>0</v>
      </c>
      <c r="F143" s="38">
        <v>0</v>
      </c>
      <c r="G143" s="38">
        <v>0</v>
      </c>
    </row>
    <row r="144" spans="1:7" ht="15.75" thickBot="1">
      <c r="A144" s="155" t="s">
        <v>63</v>
      </c>
      <c r="B144" s="204">
        <v>7.0000000000000001E-3</v>
      </c>
      <c r="C144" s="30">
        <f t="shared" si="2"/>
        <v>5.0000000000000001E-3</v>
      </c>
      <c r="D144" s="157">
        <v>0</v>
      </c>
      <c r="E144" s="14">
        <v>0</v>
      </c>
      <c r="F144" s="38">
        <v>0</v>
      </c>
      <c r="G144" s="38">
        <v>0</v>
      </c>
    </row>
    <row r="145" spans="1:7" ht="15.75" thickBot="1">
      <c r="A145" s="156" t="s">
        <v>11</v>
      </c>
      <c r="B145" s="204">
        <v>0.01</v>
      </c>
      <c r="C145" s="30">
        <f t="shared" si="2"/>
        <v>7.0000000000000001E-3</v>
      </c>
      <c r="D145" s="157">
        <v>0</v>
      </c>
      <c r="E145" s="14">
        <v>0</v>
      </c>
      <c r="F145" s="38">
        <v>0</v>
      </c>
      <c r="G145" s="38">
        <v>0</v>
      </c>
    </row>
    <row r="146" spans="1:7" ht="15.75" thickBot="1">
      <c r="A146" s="156" t="s">
        <v>12</v>
      </c>
      <c r="B146" s="204">
        <v>1.2999999999999999E-2</v>
      </c>
      <c r="C146" s="30">
        <f t="shared" si="2"/>
        <v>0.01</v>
      </c>
      <c r="D146" s="157">
        <v>0</v>
      </c>
      <c r="E146" s="14">
        <v>0</v>
      </c>
      <c r="F146" s="38">
        <v>0</v>
      </c>
      <c r="G146" s="38">
        <v>0</v>
      </c>
    </row>
    <row r="147" spans="1:7" ht="15.75" thickBot="1">
      <c r="A147" s="156" t="s">
        <v>13</v>
      </c>
      <c r="B147" s="204">
        <v>1.7999999999999999E-2</v>
      </c>
      <c r="C147" s="30">
        <f t="shared" si="2"/>
        <v>1.2999999999999999E-2</v>
      </c>
      <c r="D147" s="157">
        <v>0</v>
      </c>
      <c r="E147" s="14">
        <v>0</v>
      </c>
      <c r="F147" s="38">
        <v>0</v>
      </c>
      <c r="G147" s="38">
        <v>0</v>
      </c>
    </row>
    <row r="148" spans="1:7" ht="15.75" thickBot="1">
      <c r="A148" s="156" t="s">
        <v>14</v>
      </c>
      <c r="B148" s="204">
        <v>2.4E-2</v>
      </c>
      <c r="C148" s="30">
        <f t="shared" si="2"/>
        <v>1.7999999999999999E-2</v>
      </c>
      <c r="D148" s="157">
        <v>0</v>
      </c>
      <c r="E148" s="14">
        <v>0</v>
      </c>
      <c r="F148" s="38">
        <v>0</v>
      </c>
      <c r="G148" s="38">
        <v>0</v>
      </c>
    </row>
    <row r="149" spans="1:7" ht="15.75" thickBot="1">
      <c r="A149" s="156" t="s">
        <v>15</v>
      </c>
      <c r="B149" s="204">
        <v>3.7999999999999999E-2</v>
      </c>
      <c r="C149" s="30">
        <f t="shared" si="2"/>
        <v>2.4E-2</v>
      </c>
      <c r="D149" s="157">
        <v>0</v>
      </c>
      <c r="E149" s="14">
        <v>0</v>
      </c>
      <c r="F149" s="38">
        <v>0</v>
      </c>
      <c r="G149" s="38">
        <v>0</v>
      </c>
    </row>
    <row r="150" spans="1:7" ht="15.75" thickBot="1">
      <c r="A150" s="156" t="s">
        <v>16</v>
      </c>
      <c r="B150" s="204">
        <v>5.2999999999999999E-2</v>
      </c>
      <c r="C150" s="30">
        <f t="shared" si="2"/>
        <v>3.7999999999999999E-2</v>
      </c>
      <c r="D150" s="157">
        <v>0</v>
      </c>
      <c r="E150" s="14">
        <v>0</v>
      </c>
      <c r="F150" s="38">
        <v>0</v>
      </c>
      <c r="G150" s="38">
        <v>0</v>
      </c>
    </row>
    <row r="151" spans="1:7" ht="15.75" thickBot="1">
      <c r="A151" s="156" t="s">
        <v>17</v>
      </c>
      <c r="B151" s="204">
        <v>7.2999999999999995E-2</v>
      </c>
      <c r="C151" s="30">
        <f t="shared" si="2"/>
        <v>5.2999999999999999E-2</v>
      </c>
      <c r="D151" s="157">
        <v>0</v>
      </c>
      <c r="E151" s="14">
        <v>0</v>
      </c>
      <c r="F151" s="38">
        <v>0</v>
      </c>
      <c r="G151" s="38">
        <v>0</v>
      </c>
    </row>
    <row r="152" spans="1:7" ht="15.75" thickBot="1">
      <c r="A152" s="156" t="s">
        <v>18</v>
      </c>
      <c r="B152" s="204">
        <v>9.8000000000000004E-2</v>
      </c>
      <c r="C152" s="30">
        <f t="shared" si="2"/>
        <v>7.2999999999999995E-2</v>
      </c>
      <c r="D152" s="157">
        <v>0</v>
      </c>
      <c r="E152" s="14">
        <v>0</v>
      </c>
      <c r="F152" s="38">
        <v>0</v>
      </c>
      <c r="G152" s="38">
        <v>0</v>
      </c>
    </row>
    <row r="153" spans="1:7" ht="15.75" thickBot="1">
      <c r="A153" s="156" t="s">
        <v>19</v>
      </c>
      <c r="B153" s="204">
        <v>0.14000000000000001</v>
      </c>
      <c r="C153" s="30">
        <f t="shared" si="2"/>
        <v>9.8000000000000004E-2</v>
      </c>
      <c r="D153" s="157">
        <v>0</v>
      </c>
      <c r="E153" s="14">
        <v>0</v>
      </c>
      <c r="F153" s="38">
        <v>0</v>
      </c>
      <c r="G153" s="38">
        <v>0</v>
      </c>
    </row>
    <row r="154" spans="1:7" ht="15.75" thickBot="1">
      <c r="A154" s="156" t="s">
        <v>20</v>
      </c>
      <c r="B154" s="204">
        <v>0.187</v>
      </c>
      <c r="C154" s="30">
        <f t="shared" si="2"/>
        <v>0.14000000000000001</v>
      </c>
      <c r="D154" s="157">
        <v>0</v>
      </c>
      <c r="E154" s="14">
        <v>0</v>
      </c>
      <c r="F154" s="38">
        <v>0</v>
      </c>
      <c r="G154" s="38">
        <v>0</v>
      </c>
    </row>
    <row r="155" spans="1:7" ht="15.75" thickBot="1">
      <c r="A155" s="156" t="s">
        <v>21</v>
      </c>
      <c r="B155" s="204">
        <v>0.23799999999999999</v>
      </c>
      <c r="C155" s="30">
        <f t="shared" si="2"/>
        <v>0.187</v>
      </c>
      <c r="D155" s="157">
        <v>0</v>
      </c>
      <c r="E155" s="14">
        <v>0</v>
      </c>
      <c r="F155" s="38">
        <v>0</v>
      </c>
      <c r="G155" s="38">
        <v>0</v>
      </c>
    </row>
    <row r="156" spans="1:7" ht="15.75" thickBot="1">
      <c r="A156" s="156" t="s">
        <v>22</v>
      </c>
      <c r="B156" s="204">
        <v>0.30599999999999999</v>
      </c>
      <c r="C156" s="30">
        <f t="shared" si="2"/>
        <v>0.23799999999999999</v>
      </c>
      <c r="D156" s="157">
        <v>0</v>
      </c>
      <c r="E156" s="14">
        <v>0</v>
      </c>
      <c r="F156" s="38">
        <v>0</v>
      </c>
      <c r="G156" s="38">
        <v>0</v>
      </c>
    </row>
    <row r="157" spans="1:7" ht="15.75" thickBot="1">
      <c r="A157" s="156" t="s">
        <v>23</v>
      </c>
      <c r="B157" s="204">
        <v>0.38200000000000001</v>
      </c>
      <c r="C157" s="30">
        <f t="shared" si="2"/>
        <v>0.30599999999999999</v>
      </c>
      <c r="D157" s="157">
        <v>0</v>
      </c>
      <c r="E157" s="14">
        <v>0</v>
      </c>
      <c r="F157" s="38">
        <v>0</v>
      </c>
      <c r="G157" s="38">
        <v>0</v>
      </c>
    </row>
    <row r="158" spans="1:7" ht="15.75" thickBot="1">
      <c r="A158" s="156" t="s">
        <v>24</v>
      </c>
      <c r="B158" s="204">
        <v>0.46</v>
      </c>
      <c r="C158" s="30">
        <f t="shared" si="2"/>
        <v>0.38200000000000001</v>
      </c>
      <c r="D158" s="157">
        <v>0</v>
      </c>
      <c r="E158" s="14">
        <v>0</v>
      </c>
      <c r="F158" s="38">
        <v>0</v>
      </c>
      <c r="G158" s="38">
        <v>0</v>
      </c>
    </row>
    <row r="159" spans="1:7" ht="15.75" thickBot="1">
      <c r="A159" s="156" t="s">
        <v>25</v>
      </c>
      <c r="B159" s="204">
        <v>0.56000000000000005</v>
      </c>
      <c r="C159" s="30">
        <f t="shared" si="2"/>
        <v>0.46</v>
      </c>
      <c r="D159" s="157">
        <v>0</v>
      </c>
      <c r="E159" s="14">
        <v>0</v>
      </c>
      <c r="F159" s="38">
        <v>0</v>
      </c>
      <c r="G159" s="38">
        <v>0</v>
      </c>
    </row>
    <row r="160" spans="1:7" ht="15.75" thickBot="1">
      <c r="A160" s="156" t="s">
        <v>26</v>
      </c>
      <c r="B160" s="204">
        <v>0.66100000000000003</v>
      </c>
      <c r="C160" s="30">
        <f t="shared" si="2"/>
        <v>0.56000000000000005</v>
      </c>
      <c r="D160" s="157">
        <v>0</v>
      </c>
      <c r="E160" s="14">
        <v>0</v>
      </c>
      <c r="F160" s="38">
        <v>0</v>
      </c>
      <c r="G160" s="38">
        <v>0</v>
      </c>
    </row>
    <row r="161" spans="1:7" ht="15.75" thickBot="1">
      <c r="A161" s="156" t="s">
        <v>27</v>
      </c>
      <c r="B161" s="204">
        <v>0.77700000000000002</v>
      </c>
      <c r="C161" s="30">
        <f t="shared" si="2"/>
        <v>0.66100000000000003</v>
      </c>
      <c r="D161" s="157">
        <v>0</v>
      </c>
      <c r="E161" s="14">
        <v>0</v>
      </c>
      <c r="F161" s="38">
        <v>0</v>
      </c>
      <c r="G161" s="38">
        <v>0</v>
      </c>
    </row>
    <row r="162" spans="1:7" ht="15.75" thickBot="1">
      <c r="A162" s="156" t="s">
        <v>28</v>
      </c>
      <c r="B162" s="204">
        <v>0.91400000000000003</v>
      </c>
      <c r="C162" s="30">
        <f t="shared" si="2"/>
        <v>0.77700000000000002</v>
      </c>
      <c r="D162" s="157">
        <v>0</v>
      </c>
      <c r="E162" s="14">
        <v>0</v>
      </c>
      <c r="F162" s="38">
        <v>0</v>
      </c>
      <c r="G162" s="38">
        <v>0</v>
      </c>
    </row>
    <row r="163" spans="1:7" ht="15.75" thickBot="1">
      <c r="A163" s="156" t="s">
        <v>29</v>
      </c>
      <c r="B163" s="204">
        <v>1.0680000000000001</v>
      </c>
      <c r="C163" s="30">
        <f t="shared" si="2"/>
        <v>0.91400000000000003</v>
      </c>
      <c r="D163" s="157">
        <v>0</v>
      </c>
      <c r="E163" s="14">
        <v>0</v>
      </c>
      <c r="F163" s="38">
        <v>0</v>
      </c>
      <c r="G163" s="38">
        <v>0</v>
      </c>
    </row>
    <row r="164" spans="1:7" ht="15.75" thickBot="1">
      <c r="A164" s="156" t="s">
        <v>30</v>
      </c>
      <c r="B164" s="204">
        <v>1.2509999999999999</v>
      </c>
      <c r="C164" s="30">
        <f t="shared" si="2"/>
        <v>1.0680000000000001</v>
      </c>
      <c r="D164" s="157">
        <v>0</v>
      </c>
      <c r="E164" s="14">
        <v>0</v>
      </c>
      <c r="F164" s="38">
        <v>0</v>
      </c>
      <c r="G164" s="38">
        <v>0</v>
      </c>
    </row>
    <row r="165" spans="1:7" ht="15.75" thickBot="1">
      <c r="A165" s="156" t="s">
        <v>31</v>
      </c>
      <c r="B165" s="204">
        <v>1.466</v>
      </c>
      <c r="C165" s="30">
        <f t="shared" si="2"/>
        <v>1.2509999999999999</v>
      </c>
      <c r="D165" s="157">
        <v>0</v>
      </c>
      <c r="E165" s="14">
        <v>0</v>
      </c>
      <c r="F165" s="38">
        <v>1.1221009549795354E-2</v>
      </c>
      <c r="G165" s="38">
        <v>0</v>
      </c>
    </row>
    <row r="166" spans="1:7" ht="15.75" thickBot="1">
      <c r="A166" s="156" t="s">
        <v>32</v>
      </c>
      <c r="B166" s="204">
        <v>1.7190000000000001</v>
      </c>
      <c r="C166" s="30">
        <f t="shared" si="2"/>
        <v>1.466</v>
      </c>
      <c r="D166" s="157">
        <v>0</v>
      </c>
      <c r="E166" s="14">
        <v>0</v>
      </c>
      <c r="F166" s="38">
        <v>2.428737638161722E-2</v>
      </c>
      <c r="G166" s="38">
        <v>0</v>
      </c>
    </row>
    <row r="167" spans="1:7" ht="15.75" thickBot="1">
      <c r="A167" s="156" t="s">
        <v>33</v>
      </c>
      <c r="B167" s="204">
        <v>1.98</v>
      </c>
      <c r="C167" s="30">
        <f t="shared" si="2"/>
        <v>1.7190000000000001</v>
      </c>
      <c r="D167" s="157">
        <v>0</v>
      </c>
      <c r="E167" s="14">
        <v>0</v>
      </c>
      <c r="F167" s="38">
        <v>3.4267676767676766E-2</v>
      </c>
      <c r="G167" s="38">
        <v>0</v>
      </c>
    </row>
    <row r="168" spans="1:7" ht="15.75" thickBot="1">
      <c r="A168" s="156" t="s">
        <v>34</v>
      </c>
      <c r="B168" s="204">
        <v>2.3730000000000002</v>
      </c>
      <c r="C168" s="30">
        <f t="shared" si="2"/>
        <v>1.98</v>
      </c>
      <c r="D168" s="157">
        <v>0.14905815423514546</v>
      </c>
      <c r="E168" s="14">
        <v>1.4905815423514546E-2</v>
      </c>
      <c r="F168" s="38">
        <v>7.0922882427307196E-2</v>
      </c>
      <c r="G168" s="38">
        <v>0</v>
      </c>
    </row>
    <row r="169" spans="1:7" ht="15.75" thickBot="1">
      <c r="A169" s="156" t="s">
        <v>35</v>
      </c>
      <c r="B169" s="204">
        <v>2.8580000000000001</v>
      </c>
      <c r="C169" s="30">
        <f t="shared" si="2"/>
        <v>2.3730000000000002</v>
      </c>
      <c r="D169" s="157">
        <v>0.29346221133659905</v>
      </c>
      <c r="E169" s="14">
        <v>2.9346221133659905E-2</v>
      </c>
      <c r="F169" s="38">
        <v>0.12676696990902728</v>
      </c>
      <c r="G169" s="38">
        <v>0</v>
      </c>
    </row>
    <row r="170" spans="1:7" ht="15.75" thickBot="1">
      <c r="A170" s="156" t="s">
        <v>36</v>
      </c>
      <c r="B170" s="204">
        <v>3.4249999999999998</v>
      </c>
      <c r="C170" s="30">
        <f t="shared" si="2"/>
        <v>2.8580000000000001</v>
      </c>
      <c r="D170" s="157">
        <v>0.41042773722627734</v>
      </c>
      <c r="E170" s="14">
        <v>4.6256642335766415E-2</v>
      </c>
      <c r="F170" s="38">
        <v>0.17199999999999996</v>
      </c>
      <c r="G170" s="38">
        <v>0</v>
      </c>
    </row>
    <row r="171" spans="1:7" ht="15.75" thickBot="1">
      <c r="A171" s="156" t="s">
        <v>37</v>
      </c>
      <c r="B171" s="204">
        <v>3.99</v>
      </c>
      <c r="C171" s="30">
        <f t="shared" si="2"/>
        <v>3.4249999999999998</v>
      </c>
      <c r="D171" s="157">
        <v>0.49391353383458647</v>
      </c>
      <c r="E171" s="14">
        <v>9.6348120300751905E-2</v>
      </c>
      <c r="F171" s="38">
        <v>0.20428571428571429</v>
      </c>
      <c r="G171" s="38">
        <v>0</v>
      </c>
    </row>
    <row r="172" spans="1:7" ht="15.75" thickBot="1">
      <c r="A172" s="156" t="s">
        <v>38</v>
      </c>
      <c r="B172" s="204">
        <v>4.7640000000000002</v>
      </c>
      <c r="C172" s="30">
        <f t="shared" si="2"/>
        <v>3.99</v>
      </c>
      <c r="D172" s="157">
        <v>0.57613664987405544</v>
      </c>
      <c r="E172" s="14">
        <v>0.14568198992443326</v>
      </c>
      <c r="F172" s="38">
        <v>0.23608312342569268</v>
      </c>
      <c r="G172" s="38">
        <v>0</v>
      </c>
    </row>
    <row r="173" spans="1:7" ht="15.75" thickBot="1">
      <c r="A173" s="156" t="s">
        <v>39</v>
      </c>
      <c r="B173" s="204">
        <v>5.5019999999999998</v>
      </c>
      <c r="C173" s="30">
        <f t="shared" si="2"/>
        <v>4.7640000000000002</v>
      </c>
      <c r="D173" s="157">
        <v>0.63299073064340239</v>
      </c>
      <c r="E173" s="14">
        <v>0.17979443838604145</v>
      </c>
      <c r="F173" s="38">
        <v>0.25806979280261721</v>
      </c>
      <c r="G173" s="38">
        <v>0</v>
      </c>
    </row>
    <row r="174" spans="1:7" ht="15.75" thickBot="1">
      <c r="A174" s="156" t="s">
        <v>40</v>
      </c>
      <c r="B174" s="204">
        <v>6.0860000000000003</v>
      </c>
      <c r="C174" s="30">
        <f t="shared" si="2"/>
        <v>5.5019999999999998</v>
      </c>
      <c r="D174" s="157">
        <v>0.66820818271442661</v>
      </c>
      <c r="E174" s="14">
        <v>0.20092490962865595</v>
      </c>
      <c r="F174" s="38">
        <v>0.27168912257640487</v>
      </c>
      <c r="G174" s="38">
        <v>0</v>
      </c>
    </row>
    <row r="175" spans="1:7" ht="15.75" thickBot="1">
      <c r="A175" s="156" t="s">
        <v>41</v>
      </c>
      <c r="B175" s="204">
        <v>6.9859999999999998</v>
      </c>
      <c r="C175" s="30">
        <f t="shared" si="2"/>
        <v>6.0860000000000003</v>
      </c>
      <c r="D175" s="157">
        <v>0.71095261952476385</v>
      </c>
      <c r="E175" s="14">
        <v>0.22657157171485831</v>
      </c>
      <c r="F175" s="38">
        <v>0.28821929573432581</v>
      </c>
      <c r="G175" s="38">
        <v>0</v>
      </c>
    </row>
    <row r="176" spans="1:7" ht="15.75" thickBot="1">
      <c r="A176" s="156" t="s">
        <v>42</v>
      </c>
      <c r="B176" s="204">
        <v>7.8929999999999998</v>
      </c>
      <c r="C176" s="30">
        <f t="shared" si="2"/>
        <v>6.9859999999999998</v>
      </c>
      <c r="D176" s="157">
        <v>0.74416761687571265</v>
      </c>
      <c r="E176" s="14">
        <v>0.24650057012542761</v>
      </c>
      <c r="F176" s="38">
        <v>0.30106423413150896</v>
      </c>
      <c r="G176" s="38">
        <v>0</v>
      </c>
    </row>
    <row r="177" spans="1:7" ht="15.75" thickBot="1">
      <c r="A177" s="156" t="s">
        <v>43</v>
      </c>
      <c r="B177" s="204">
        <v>8.8030000000000008</v>
      </c>
      <c r="C177" s="30">
        <f t="shared" si="2"/>
        <v>7.8929999999999998</v>
      </c>
      <c r="D177" s="157">
        <v>0.77061399522889928</v>
      </c>
      <c r="E177" s="14">
        <v>0.26236839713733956</v>
      </c>
      <c r="F177" s="38">
        <v>0.31129160513461324</v>
      </c>
      <c r="G177" s="38">
        <v>0</v>
      </c>
    </row>
    <row r="178" spans="1:7" ht="15.75" thickBot="1">
      <c r="A178" s="156" t="s">
        <v>44</v>
      </c>
      <c r="B178" s="204">
        <v>10.053000000000001</v>
      </c>
      <c r="C178" s="30">
        <f t="shared" si="2"/>
        <v>8.8030000000000008</v>
      </c>
      <c r="D178" s="157">
        <v>0.79913607878245296</v>
      </c>
      <c r="E178" s="14">
        <v>0.27948164726947178</v>
      </c>
      <c r="F178" s="38">
        <v>0.322321695016413</v>
      </c>
      <c r="G178" s="38">
        <v>0</v>
      </c>
    </row>
    <row r="179" spans="1:7" ht="15.75" thickBot="1">
      <c r="A179" s="156" t="s">
        <v>45</v>
      </c>
      <c r="B179" s="204">
        <v>11.569000000000001</v>
      </c>
      <c r="C179" s="30">
        <f t="shared" si="2"/>
        <v>10.053000000000001</v>
      </c>
      <c r="D179" s="157">
        <v>0.82545725646123258</v>
      </c>
      <c r="E179" s="14">
        <v>0.29527435387673956</v>
      </c>
      <c r="F179" s="38">
        <v>0.33250064828420778</v>
      </c>
      <c r="G179" s="38">
        <v>0</v>
      </c>
    </row>
    <row r="180" spans="1:7" ht="15.75" thickBot="1">
      <c r="A180" s="156" t="s">
        <v>46</v>
      </c>
      <c r="B180" s="204">
        <v>13.763999999999999</v>
      </c>
      <c r="C180" s="30">
        <f t="shared" si="2"/>
        <v>11.569000000000001</v>
      </c>
      <c r="D180" s="157">
        <v>0.8532922842197036</v>
      </c>
      <c r="E180" s="14">
        <v>0.31197537053182217</v>
      </c>
      <c r="F180" s="38">
        <v>0.34326503923278112</v>
      </c>
      <c r="G180" s="38">
        <v>1.0636442894507415E-2</v>
      </c>
    </row>
    <row r="181" spans="1:7" ht="15.75" thickBot="1">
      <c r="A181" s="156" t="s">
        <v>47</v>
      </c>
      <c r="B181" s="204">
        <v>15.763</v>
      </c>
      <c r="C181" s="30">
        <f t="shared" si="2"/>
        <v>13.763999999999999</v>
      </c>
      <c r="D181" s="157">
        <v>0.87189716424538477</v>
      </c>
      <c r="E181" s="14">
        <v>0.32313829854723086</v>
      </c>
      <c r="F181" s="38">
        <v>0.35045993782909346</v>
      </c>
      <c r="G181" s="38">
        <v>2.1969168305525606E-2</v>
      </c>
    </row>
    <row r="182" spans="1:7" ht="15.75" thickBot="1">
      <c r="A182" s="156" t="s">
        <v>48</v>
      </c>
      <c r="B182" s="204">
        <v>18.341999999999999</v>
      </c>
      <c r="C182" s="30">
        <f t="shared" si="2"/>
        <v>15.763</v>
      </c>
      <c r="D182" s="157">
        <v>0.88990922473012757</v>
      </c>
      <c r="E182" s="14">
        <v>0.3339455348380766</v>
      </c>
      <c r="F182" s="38">
        <v>0.35742558063460911</v>
      </c>
      <c r="G182" s="38">
        <v>3.2940791625776913E-2</v>
      </c>
    </row>
    <row r="183" spans="1:7" ht="15.75" thickBot="1">
      <c r="A183" s="156" t="s">
        <v>49</v>
      </c>
      <c r="B183" s="204">
        <v>21.11</v>
      </c>
      <c r="C183" s="30">
        <f t="shared" si="2"/>
        <v>18.341999999999999</v>
      </c>
      <c r="D183" s="157">
        <v>0.90434462340123167</v>
      </c>
      <c r="E183" s="14">
        <v>0.34260677404073897</v>
      </c>
      <c r="F183" s="38">
        <v>0.363008053055424</v>
      </c>
      <c r="G183" s="38">
        <v>5.0402652771198486E-2</v>
      </c>
    </row>
    <row r="184" spans="1:7" ht="15.75" thickBot="1">
      <c r="A184" s="156" t="s">
        <v>50</v>
      </c>
      <c r="B184" s="204">
        <v>25.236000000000001</v>
      </c>
      <c r="C184" s="30">
        <f t="shared" si="2"/>
        <v>21.11</v>
      </c>
      <c r="D184" s="157">
        <v>0.91998395149786016</v>
      </c>
      <c r="E184" s="14">
        <v>0.35199037089871615</v>
      </c>
      <c r="F184" s="38">
        <v>0.36905611031859253</v>
      </c>
      <c r="G184" s="38">
        <v>0.10756062767475037</v>
      </c>
    </row>
    <row r="185" spans="1:7" ht="15.75" thickBot="1">
      <c r="A185" s="156" t="s">
        <v>51</v>
      </c>
      <c r="B185" s="204">
        <v>30.574000000000002</v>
      </c>
      <c r="C185" s="30">
        <f t="shared" si="2"/>
        <v>25.236000000000001</v>
      </c>
      <c r="D185" s="157">
        <v>0.93395417675148817</v>
      </c>
      <c r="E185" s="14">
        <v>0.36037250605089294</v>
      </c>
      <c r="F185" s="38">
        <v>0.37445869039052798</v>
      </c>
      <c r="G185" s="38">
        <v>0.15861843396349842</v>
      </c>
    </row>
    <row r="186" spans="1:7" ht="15.75" thickBot="1">
      <c r="A186" s="156" t="s">
        <v>52</v>
      </c>
      <c r="B186" s="204">
        <v>38.439</v>
      </c>
      <c r="C186" s="30">
        <f t="shared" si="2"/>
        <v>30.574000000000002</v>
      </c>
      <c r="D186" s="157">
        <v>0.94746780613439463</v>
      </c>
      <c r="E186" s="14">
        <v>0.36848068368063691</v>
      </c>
      <c r="F186" s="38">
        <v>0.37968469523140563</v>
      </c>
      <c r="G186" s="38">
        <v>0.20800749239054087</v>
      </c>
    </row>
    <row r="187" spans="1:7" ht="15.75" thickBot="1">
      <c r="A187" s="156" t="s">
        <v>53</v>
      </c>
      <c r="B187" s="204">
        <v>51.384999999999998</v>
      </c>
      <c r="C187" s="30">
        <f>B186</f>
        <v>38.439</v>
      </c>
      <c r="D187" s="157">
        <v>0.96070283156563197</v>
      </c>
      <c r="E187" s="14">
        <v>0.37642169893937927</v>
      </c>
      <c r="F187" s="38">
        <v>0.38480295806169118</v>
      </c>
      <c r="G187" s="38">
        <v>0.25637832052155296</v>
      </c>
    </row>
    <row r="188" spans="1:7" ht="15.75" thickBot="1">
      <c r="A188" s="156" t="s">
        <v>53</v>
      </c>
      <c r="B188" s="57" t="s">
        <v>137</v>
      </c>
      <c r="C188" s="30">
        <f t="shared" si="2"/>
        <v>51.384999999999998</v>
      </c>
      <c r="D188" s="22"/>
      <c r="E188" s="1"/>
      <c r="F188" s="37"/>
      <c r="G188" s="39"/>
    </row>
    <row r="189" spans="1:7" ht="15.75" thickBot="1">
      <c r="A189" s="3"/>
      <c r="B189" s="3">
        <v>5.4</v>
      </c>
      <c r="C189" s="4"/>
      <c r="D189" s="22"/>
      <c r="E189" s="15">
        <v>9.584771829568306E-2</v>
      </c>
      <c r="F189" s="26">
        <v>0.11774304422362093</v>
      </c>
      <c r="G189" s="26">
        <v>1.6930278602947019E-2</v>
      </c>
    </row>
    <row r="190" spans="1:7" ht="60.75" thickBot="1">
      <c r="A190" s="5" t="s">
        <v>55</v>
      </c>
      <c r="B190" s="3">
        <v>22.3</v>
      </c>
      <c r="C190" s="4"/>
      <c r="D190" s="22"/>
      <c r="E190" s="12">
        <v>3.365475</v>
      </c>
      <c r="F190" s="45">
        <v>2.1691666666666669</v>
      </c>
      <c r="G190" s="46">
        <v>22.3</v>
      </c>
    </row>
    <row r="191" spans="1:7" ht="60.75" thickBot="1">
      <c r="A191" s="5" t="s">
        <v>56</v>
      </c>
      <c r="B191" s="4">
        <v>9.3800000000000008</v>
      </c>
      <c r="C191" s="4"/>
      <c r="D191" s="1"/>
      <c r="E191" s="1"/>
      <c r="F191" s="37"/>
      <c r="G191" s="37"/>
    </row>
    <row r="192" spans="1:7" ht="97.5" thickBot="1">
      <c r="A192" s="6" t="s">
        <v>57</v>
      </c>
      <c r="B192" s="29">
        <v>5.6280000000000001</v>
      </c>
      <c r="C192" s="4"/>
      <c r="D192" s="1"/>
      <c r="E192" s="1">
        <v>2.019285</v>
      </c>
      <c r="F192" s="37">
        <v>1.3015000000000001</v>
      </c>
      <c r="G192" s="37">
        <v>13.38</v>
      </c>
    </row>
    <row r="195" spans="1:7">
      <c r="A195" s="16" t="s">
        <v>64</v>
      </c>
      <c r="B195" s="17">
        <f>AVERAGE(B143:B182)</f>
        <v>3.365475</v>
      </c>
      <c r="C195" s="17"/>
    </row>
    <row r="196" spans="1:7">
      <c r="A196" s="16" t="s">
        <v>65</v>
      </c>
      <c r="B196" s="18">
        <f>AVERAGE(B148:B177)</f>
        <v>2.1691666666666669</v>
      </c>
      <c r="C196" s="18"/>
    </row>
    <row r="197" spans="1:7">
      <c r="A197" s="16" t="s">
        <v>66</v>
      </c>
      <c r="B197" s="18">
        <f>AVERAGE(B154:B172)</f>
        <v>1.546263157894737</v>
      </c>
      <c r="C197" s="18"/>
    </row>
    <row r="200" spans="1:7" ht="15" customHeight="1">
      <c r="A200" s="473" t="s">
        <v>0</v>
      </c>
      <c r="B200" s="473" t="s">
        <v>3</v>
      </c>
      <c r="C200" s="473"/>
      <c r="D200" s="473"/>
      <c r="E200" s="40">
        <f>(1-E255)^(1/3)-1</f>
        <v>-3.2883105355828945E-2</v>
      </c>
      <c r="F200" s="40">
        <f>(1-F255)^(1/3)-1</f>
        <v>-4.1220064950668434E-2</v>
      </c>
      <c r="G200" s="40"/>
    </row>
    <row r="201" spans="1:7" ht="72">
      <c r="A201" s="473"/>
      <c r="B201" s="11" t="s">
        <v>4</v>
      </c>
      <c r="C201" s="11"/>
      <c r="D201" s="11" t="s">
        <v>80</v>
      </c>
      <c r="E201" s="11" t="s">
        <v>5</v>
      </c>
      <c r="F201" s="39" t="s">
        <v>5</v>
      </c>
      <c r="G201" s="39"/>
    </row>
    <row r="202" spans="1:7" ht="24">
      <c r="A202" s="473"/>
      <c r="B202" s="11" t="s">
        <v>9</v>
      </c>
      <c r="C202" s="11"/>
      <c r="D202" s="11" t="s">
        <v>7</v>
      </c>
      <c r="E202" s="55" t="s">
        <v>65</v>
      </c>
      <c r="F202" s="39"/>
      <c r="G202" s="56"/>
    </row>
    <row r="203" spans="1:7">
      <c r="A203" s="50">
        <v>1</v>
      </c>
      <c r="B203" s="51">
        <v>2</v>
      </c>
      <c r="C203" s="51"/>
      <c r="D203" s="51">
        <v>3</v>
      </c>
      <c r="E203" s="51">
        <v>4</v>
      </c>
      <c r="F203" s="52">
        <v>5</v>
      </c>
      <c r="G203" s="52"/>
    </row>
    <row r="204" spans="1:7">
      <c r="A204" s="27" t="s">
        <v>10</v>
      </c>
      <c r="B204" s="204">
        <v>4.0000000000000001E-3</v>
      </c>
      <c r="C204" s="163">
        <v>0</v>
      </c>
      <c r="D204" s="14">
        <v>0</v>
      </c>
      <c r="E204" s="14">
        <v>0</v>
      </c>
      <c r="F204" s="38">
        <v>0</v>
      </c>
      <c r="G204" s="38">
        <v>0</v>
      </c>
    </row>
    <row r="205" spans="1:7">
      <c r="A205" s="27" t="s">
        <v>58</v>
      </c>
      <c r="B205" s="204">
        <v>4.0000000000000001E-3</v>
      </c>
      <c r="C205" s="30">
        <f>B204</f>
        <v>4.0000000000000001E-3</v>
      </c>
      <c r="D205" s="14">
        <v>0</v>
      </c>
      <c r="E205" s="14">
        <v>0</v>
      </c>
      <c r="F205" s="38">
        <v>0</v>
      </c>
      <c r="G205" s="38">
        <v>0</v>
      </c>
    </row>
    <row r="206" spans="1:7">
      <c r="A206" s="27" t="s">
        <v>59</v>
      </c>
      <c r="B206" s="204">
        <v>6.0000000000000001E-3</v>
      </c>
      <c r="C206" s="30">
        <f t="shared" ref="C206:C254" si="3">B205</f>
        <v>4.0000000000000001E-3</v>
      </c>
      <c r="D206" s="14">
        <v>0</v>
      </c>
      <c r="E206" s="14">
        <v>0</v>
      </c>
      <c r="F206" s="38">
        <v>0</v>
      </c>
      <c r="G206" s="38">
        <v>0</v>
      </c>
    </row>
    <row r="207" spans="1:7">
      <c r="A207" s="27" t="s">
        <v>60</v>
      </c>
      <c r="B207" s="204">
        <v>8.0000000000000002E-3</v>
      </c>
      <c r="C207" s="30">
        <f t="shared" si="3"/>
        <v>6.0000000000000001E-3</v>
      </c>
      <c r="D207" s="14">
        <v>0</v>
      </c>
      <c r="E207" s="14">
        <v>0</v>
      </c>
      <c r="F207" s="38">
        <v>0</v>
      </c>
      <c r="G207" s="38">
        <v>0</v>
      </c>
    </row>
    <row r="208" spans="1:7">
      <c r="A208" s="27" t="s">
        <v>61</v>
      </c>
      <c r="B208" s="204">
        <v>0.01</v>
      </c>
      <c r="C208" s="30">
        <f t="shared" si="3"/>
        <v>8.0000000000000002E-3</v>
      </c>
      <c r="D208" s="14">
        <v>0</v>
      </c>
      <c r="E208" s="14">
        <v>0</v>
      </c>
      <c r="F208" s="38">
        <v>0</v>
      </c>
      <c r="G208" s="38">
        <v>0</v>
      </c>
    </row>
    <row r="209" spans="1:7">
      <c r="A209" s="27" t="s">
        <v>62</v>
      </c>
      <c r="B209" s="204">
        <v>1.2999999999999999E-2</v>
      </c>
      <c r="C209" s="30">
        <f t="shared" si="3"/>
        <v>0.01</v>
      </c>
      <c r="D209" s="14">
        <v>0</v>
      </c>
      <c r="E209" s="14">
        <v>0</v>
      </c>
      <c r="F209" s="38">
        <v>0</v>
      </c>
      <c r="G209" s="38">
        <v>0</v>
      </c>
    </row>
    <row r="210" spans="1:7">
      <c r="A210" s="27" t="s">
        <v>63</v>
      </c>
      <c r="B210" s="204">
        <v>1.7000000000000001E-2</v>
      </c>
      <c r="C210" s="30">
        <f t="shared" si="3"/>
        <v>1.2999999999999999E-2</v>
      </c>
      <c r="D210" s="14">
        <v>0</v>
      </c>
      <c r="E210" s="14">
        <v>0</v>
      </c>
      <c r="F210" s="38">
        <v>0</v>
      </c>
      <c r="G210" s="38">
        <v>0</v>
      </c>
    </row>
    <row r="211" spans="1:7">
      <c r="A211" s="29" t="s">
        <v>11</v>
      </c>
      <c r="B211" s="204">
        <v>2.3E-2</v>
      </c>
      <c r="C211" s="30">
        <f t="shared" si="3"/>
        <v>1.7000000000000001E-2</v>
      </c>
      <c r="D211" s="14">
        <v>0</v>
      </c>
      <c r="E211" s="14">
        <v>0</v>
      </c>
      <c r="F211" s="38">
        <v>0</v>
      </c>
      <c r="G211" s="38">
        <v>0</v>
      </c>
    </row>
    <row r="212" spans="1:7">
      <c r="A212" s="29" t="s">
        <v>12</v>
      </c>
      <c r="B212" s="204">
        <v>2.9000000000000001E-2</v>
      </c>
      <c r="C212" s="30">
        <f t="shared" si="3"/>
        <v>2.3E-2</v>
      </c>
      <c r="D212" s="14">
        <v>0</v>
      </c>
      <c r="E212" s="14">
        <v>0</v>
      </c>
      <c r="F212" s="38">
        <v>0</v>
      </c>
      <c r="G212" s="38">
        <v>0</v>
      </c>
    </row>
    <row r="213" spans="1:7">
      <c r="A213" s="29" t="s">
        <v>13</v>
      </c>
      <c r="B213" s="204">
        <v>3.7999999999999999E-2</v>
      </c>
      <c r="C213" s="30">
        <f t="shared" si="3"/>
        <v>2.9000000000000001E-2</v>
      </c>
      <c r="D213" s="14">
        <v>0</v>
      </c>
      <c r="E213" s="14">
        <v>0</v>
      </c>
      <c r="F213" s="38">
        <v>0</v>
      </c>
      <c r="G213" s="38">
        <v>0</v>
      </c>
    </row>
    <row r="214" spans="1:7">
      <c r="A214" s="29" t="s">
        <v>14</v>
      </c>
      <c r="B214" s="204">
        <v>4.9000000000000002E-2</v>
      </c>
      <c r="C214" s="30">
        <f t="shared" si="3"/>
        <v>3.7999999999999999E-2</v>
      </c>
      <c r="D214" s="14">
        <v>0</v>
      </c>
      <c r="E214" s="14">
        <v>0</v>
      </c>
      <c r="F214" s="38">
        <v>0</v>
      </c>
      <c r="G214" s="38">
        <v>0</v>
      </c>
    </row>
    <row r="215" spans="1:7">
      <c r="A215" s="29" t="s">
        <v>15</v>
      </c>
      <c r="B215" s="204">
        <v>7.0000000000000007E-2</v>
      </c>
      <c r="C215" s="30">
        <f t="shared" si="3"/>
        <v>4.9000000000000002E-2</v>
      </c>
      <c r="D215" s="14">
        <v>0</v>
      </c>
      <c r="E215" s="14">
        <v>0</v>
      </c>
      <c r="F215" s="38">
        <v>0</v>
      </c>
      <c r="G215" s="38">
        <v>0</v>
      </c>
    </row>
    <row r="216" spans="1:7">
      <c r="A216" s="29" t="s">
        <v>16</v>
      </c>
      <c r="B216" s="204">
        <v>9.8000000000000004E-2</v>
      </c>
      <c r="C216" s="30">
        <f t="shared" si="3"/>
        <v>7.0000000000000007E-2</v>
      </c>
      <c r="D216" s="14">
        <v>0</v>
      </c>
      <c r="E216" s="14">
        <v>0</v>
      </c>
      <c r="F216" s="38">
        <v>0</v>
      </c>
      <c r="G216" s="38">
        <v>0</v>
      </c>
    </row>
    <row r="217" spans="1:7">
      <c r="A217" s="29" t="s">
        <v>17</v>
      </c>
      <c r="B217" s="204">
        <v>0.13100000000000001</v>
      </c>
      <c r="C217" s="30">
        <f t="shared" si="3"/>
        <v>9.8000000000000004E-2</v>
      </c>
      <c r="D217" s="14">
        <v>0</v>
      </c>
      <c r="E217" s="14">
        <v>0</v>
      </c>
      <c r="F217" s="38">
        <v>0</v>
      </c>
      <c r="G217" s="38">
        <v>0</v>
      </c>
    </row>
    <row r="218" spans="1:7">
      <c r="A218" s="29" t="s">
        <v>18</v>
      </c>
      <c r="B218" s="204">
        <v>0.18</v>
      </c>
      <c r="C218" s="30">
        <f t="shared" si="3"/>
        <v>0.13100000000000001</v>
      </c>
      <c r="D218" s="14">
        <v>0</v>
      </c>
      <c r="E218" s="14">
        <v>0</v>
      </c>
      <c r="F218" s="38">
        <v>0</v>
      </c>
      <c r="G218" s="38">
        <v>0</v>
      </c>
    </row>
    <row r="219" spans="1:7">
      <c r="A219" s="29" t="s">
        <v>19</v>
      </c>
      <c r="B219" s="204">
        <v>0.26400000000000001</v>
      </c>
      <c r="C219" s="30">
        <f t="shared" si="3"/>
        <v>0.18</v>
      </c>
      <c r="D219" s="14">
        <v>0</v>
      </c>
      <c r="E219" s="14">
        <v>0</v>
      </c>
      <c r="F219" s="38">
        <v>0</v>
      </c>
      <c r="G219" s="38">
        <v>0</v>
      </c>
    </row>
    <row r="220" spans="1:7">
      <c r="A220" s="29" t="s">
        <v>20</v>
      </c>
      <c r="B220" s="204">
        <v>0.37</v>
      </c>
      <c r="C220" s="30">
        <f t="shared" si="3"/>
        <v>0.26400000000000001</v>
      </c>
      <c r="D220" s="14">
        <v>0</v>
      </c>
      <c r="E220" s="14">
        <v>0</v>
      </c>
      <c r="F220" s="38">
        <v>0</v>
      </c>
      <c r="G220" s="38">
        <v>0</v>
      </c>
    </row>
    <row r="221" spans="1:7">
      <c r="A221" s="29" t="s">
        <v>21</v>
      </c>
      <c r="B221" s="204">
        <v>0.505</v>
      </c>
      <c r="C221" s="30">
        <f t="shared" si="3"/>
        <v>0.37</v>
      </c>
      <c r="D221" s="14">
        <v>0</v>
      </c>
      <c r="E221" s="14">
        <v>0</v>
      </c>
      <c r="F221" s="38">
        <v>0</v>
      </c>
      <c r="G221" s="38">
        <v>0</v>
      </c>
    </row>
    <row r="222" spans="1:7">
      <c r="A222" s="29" t="s">
        <v>22</v>
      </c>
      <c r="B222" s="204">
        <v>0.65100000000000002</v>
      </c>
      <c r="C222" s="30">
        <f t="shared" si="3"/>
        <v>0.505</v>
      </c>
      <c r="D222" s="14">
        <v>0</v>
      </c>
      <c r="E222" s="14">
        <v>0</v>
      </c>
      <c r="F222" s="38">
        <v>0</v>
      </c>
      <c r="G222" s="38">
        <v>0</v>
      </c>
    </row>
    <row r="223" spans="1:7">
      <c r="A223" s="29" t="s">
        <v>23</v>
      </c>
      <c r="B223" s="204">
        <v>0.83</v>
      </c>
      <c r="C223" s="30">
        <f t="shared" si="3"/>
        <v>0.65100000000000002</v>
      </c>
      <c r="D223" s="14">
        <v>0</v>
      </c>
      <c r="E223" s="14">
        <v>0</v>
      </c>
      <c r="F223" s="38">
        <v>0</v>
      </c>
      <c r="G223" s="38">
        <v>0</v>
      </c>
    </row>
    <row r="224" spans="1:7">
      <c r="A224" s="29" t="s">
        <v>24</v>
      </c>
      <c r="B224" s="204">
        <v>1.0309999999999999</v>
      </c>
      <c r="C224" s="30">
        <f t="shared" si="3"/>
        <v>0.83</v>
      </c>
      <c r="D224" s="14">
        <v>0</v>
      </c>
      <c r="E224" s="14">
        <v>0</v>
      </c>
      <c r="F224" s="38">
        <v>0</v>
      </c>
      <c r="G224" s="38">
        <v>0</v>
      </c>
    </row>
    <row r="225" spans="1:7">
      <c r="A225" s="29" t="s">
        <v>25</v>
      </c>
      <c r="B225" s="204">
        <v>1.238</v>
      </c>
      <c r="C225" s="30">
        <f t="shared" si="3"/>
        <v>1.0309999999999999</v>
      </c>
      <c r="D225" s="14">
        <v>0</v>
      </c>
      <c r="E225" s="14">
        <v>0</v>
      </c>
      <c r="F225" s="38">
        <v>0</v>
      </c>
      <c r="G225" s="38">
        <v>0</v>
      </c>
    </row>
    <row r="226" spans="1:7">
      <c r="A226" s="29" t="s">
        <v>26</v>
      </c>
      <c r="B226" s="204">
        <v>1.448</v>
      </c>
      <c r="C226" s="30">
        <f t="shared" si="3"/>
        <v>1.238</v>
      </c>
      <c r="D226" s="14">
        <v>0</v>
      </c>
      <c r="E226" s="14">
        <v>0</v>
      </c>
      <c r="F226" s="38">
        <v>0</v>
      </c>
      <c r="G226" s="38">
        <v>0</v>
      </c>
    </row>
    <row r="227" spans="1:7">
      <c r="A227" s="29" t="s">
        <v>27</v>
      </c>
      <c r="B227" s="204">
        <v>1.6819999999999999</v>
      </c>
      <c r="C227" s="30">
        <f t="shared" si="3"/>
        <v>1.448</v>
      </c>
      <c r="D227" s="14">
        <v>0</v>
      </c>
      <c r="E227" s="14">
        <v>0</v>
      </c>
      <c r="F227" s="38">
        <v>0</v>
      </c>
      <c r="G227" s="38">
        <v>0</v>
      </c>
    </row>
    <row r="228" spans="1:7">
      <c r="A228" s="29" t="s">
        <v>28</v>
      </c>
      <c r="B228" s="204">
        <v>1.958</v>
      </c>
      <c r="C228" s="30">
        <f t="shared" si="3"/>
        <v>1.6819999999999999</v>
      </c>
      <c r="D228" s="14">
        <v>0</v>
      </c>
      <c r="E228" s="14">
        <v>0</v>
      </c>
      <c r="F228" s="38">
        <v>0</v>
      </c>
      <c r="G228" s="38">
        <v>0</v>
      </c>
    </row>
    <row r="229" spans="1:7">
      <c r="A229" s="29" t="s">
        <v>29</v>
      </c>
      <c r="B229" s="204">
        <v>2.2869999999999999</v>
      </c>
      <c r="C229" s="30">
        <f t="shared" si="3"/>
        <v>1.958</v>
      </c>
      <c r="D229" s="14">
        <v>0</v>
      </c>
      <c r="E229" s="14">
        <v>0</v>
      </c>
      <c r="F229" s="38">
        <v>0</v>
      </c>
      <c r="G229" s="38">
        <v>0</v>
      </c>
    </row>
    <row r="230" spans="1:7">
      <c r="A230" s="29" t="s">
        <v>30</v>
      </c>
      <c r="B230" s="204">
        <v>2.6989999999999998</v>
      </c>
      <c r="C230" s="30">
        <f t="shared" si="3"/>
        <v>2.2869999999999999</v>
      </c>
      <c r="D230" s="14">
        <v>0</v>
      </c>
      <c r="E230" s="14">
        <v>0</v>
      </c>
      <c r="F230" s="38">
        <v>3.2575027788069653E-3</v>
      </c>
      <c r="G230" s="38">
        <v>0</v>
      </c>
    </row>
    <row r="231" spans="1:7">
      <c r="A231" s="29" t="s">
        <v>31</v>
      </c>
      <c r="B231" s="204">
        <v>3.0910000000000002</v>
      </c>
      <c r="C231" s="30">
        <f t="shared" si="3"/>
        <v>2.6989999999999998</v>
      </c>
      <c r="D231" s="14">
        <v>0</v>
      </c>
      <c r="E231" s="14">
        <v>0</v>
      </c>
      <c r="F231" s="38">
        <v>1.5526366871562612E-2</v>
      </c>
      <c r="G231" s="38">
        <v>0</v>
      </c>
    </row>
    <row r="232" spans="1:7">
      <c r="A232" s="29" t="s">
        <v>32</v>
      </c>
      <c r="B232" s="204">
        <v>3.5619999999999998</v>
      </c>
      <c r="C232" s="30">
        <f t="shared" si="3"/>
        <v>3.0910000000000002</v>
      </c>
      <c r="D232" s="14">
        <v>0</v>
      </c>
      <c r="E232" s="14">
        <v>0</v>
      </c>
      <c r="F232" s="38">
        <v>2.6696238068500848E-2</v>
      </c>
      <c r="G232" s="38">
        <v>0</v>
      </c>
    </row>
    <row r="233" spans="1:7">
      <c r="A233" s="29" t="s">
        <v>33</v>
      </c>
      <c r="B233" s="204">
        <v>4.24</v>
      </c>
      <c r="C233" s="30">
        <f t="shared" si="3"/>
        <v>3.5619999999999998</v>
      </c>
      <c r="D233" s="14">
        <v>2.3025943396226545E-2</v>
      </c>
      <c r="E233" s="14"/>
      <c r="F233" s="38"/>
      <c r="G233" s="38"/>
    </row>
    <row r="234" spans="1:7">
      <c r="A234" s="29" t="s">
        <v>34</v>
      </c>
      <c r="B234" s="204">
        <v>4.9649999999999999</v>
      </c>
      <c r="C234" s="30">
        <f t="shared" si="3"/>
        <v>4.24</v>
      </c>
      <c r="D234" s="14">
        <v>0.16568580060422966</v>
      </c>
      <c r="E234" s="14">
        <v>1.6568580060422968E-2</v>
      </c>
      <c r="F234" s="38">
        <v>8.4461631419939578E-2</v>
      </c>
      <c r="G234" s="38">
        <v>0</v>
      </c>
    </row>
    <row r="235" spans="1:7">
      <c r="A235" s="29" t="s">
        <v>35</v>
      </c>
      <c r="B235" s="204">
        <v>5.7720000000000002</v>
      </c>
      <c r="C235" s="30">
        <f t="shared" si="3"/>
        <v>4.9649999999999999</v>
      </c>
      <c r="D235" s="14">
        <v>0.28233367983367991</v>
      </c>
      <c r="E235" s="14">
        <v>2.8233367983367997E-2</v>
      </c>
      <c r="F235" s="38">
        <v>0.12857796257796258</v>
      </c>
      <c r="G235" s="38">
        <v>0</v>
      </c>
    </row>
    <row r="236" spans="1:7">
      <c r="A236" s="29" t="s">
        <v>36</v>
      </c>
      <c r="B236" s="204">
        <v>6.72</v>
      </c>
      <c r="C236" s="30">
        <f t="shared" si="3"/>
        <v>5.7720000000000002</v>
      </c>
      <c r="D236" s="14">
        <v>0.38357589285714289</v>
      </c>
      <c r="E236" s="14">
        <v>3.835758928571429E-2</v>
      </c>
      <c r="F236" s="38">
        <v>0.16686785714285712</v>
      </c>
      <c r="G236" s="38">
        <v>0</v>
      </c>
    </row>
    <row r="237" spans="1:7">
      <c r="A237" s="29" t="s">
        <v>37</v>
      </c>
      <c r="B237" s="204">
        <v>7.7050000000000001</v>
      </c>
      <c r="C237" s="30">
        <f t="shared" si="3"/>
        <v>6.72</v>
      </c>
      <c r="D237" s="14">
        <v>0.46237897469175865</v>
      </c>
      <c r="E237" s="14">
        <v>7.7427384815055164E-2</v>
      </c>
      <c r="F237" s="38">
        <v>0.19667125243348479</v>
      </c>
      <c r="G237" s="38">
        <v>0</v>
      </c>
    </row>
    <row r="238" spans="1:7">
      <c r="A238" s="29" t="s">
        <v>38</v>
      </c>
      <c r="B238" s="204">
        <v>8.8710000000000004</v>
      </c>
      <c r="C238" s="30">
        <f t="shared" si="3"/>
        <v>7.7050000000000001</v>
      </c>
      <c r="D238" s="14">
        <v>0.5330436252959081</v>
      </c>
      <c r="E238" s="14">
        <v>0.11982617517754482</v>
      </c>
      <c r="F238" s="38">
        <v>0.22339668583023337</v>
      </c>
      <c r="G238" s="38">
        <v>0</v>
      </c>
    </row>
    <row r="239" spans="1:7">
      <c r="A239" s="29" t="s">
        <v>39</v>
      </c>
      <c r="B239" s="204">
        <v>10.246</v>
      </c>
      <c r="C239" s="30">
        <f t="shared" si="3"/>
        <v>8.8710000000000004</v>
      </c>
      <c r="D239" s="14">
        <v>0.59570856919773574</v>
      </c>
      <c r="E239" s="14">
        <v>0.15742514151864145</v>
      </c>
      <c r="F239" s="38">
        <v>0.2470966230724185</v>
      </c>
      <c r="G239" s="38">
        <v>0</v>
      </c>
    </row>
    <row r="240" spans="1:7">
      <c r="A240" s="29" t="s">
        <v>40</v>
      </c>
      <c r="B240" s="204">
        <v>11.846</v>
      </c>
      <c r="C240" s="30">
        <f t="shared" si="3"/>
        <v>10.246</v>
      </c>
      <c r="D240" s="14">
        <v>0.65031487421914569</v>
      </c>
      <c r="E240" s="14">
        <v>0.19018892453148745</v>
      </c>
      <c r="F240" s="38">
        <v>0.26774877595812935</v>
      </c>
      <c r="G240" s="38">
        <v>0</v>
      </c>
    </row>
    <row r="241" spans="1:7">
      <c r="A241" s="29" t="s">
        <v>41</v>
      </c>
      <c r="B241" s="204">
        <v>13.81</v>
      </c>
      <c r="C241" s="30">
        <f t="shared" si="3"/>
        <v>11.846</v>
      </c>
      <c r="D241" s="14">
        <v>0.70004561911658225</v>
      </c>
      <c r="E241" s="14">
        <v>0.22002737146994936</v>
      </c>
      <c r="F241" s="38">
        <v>0.2865569876900797</v>
      </c>
      <c r="G241" s="38">
        <v>1.0934105720492408E-2</v>
      </c>
    </row>
    <row r="242" spans="1:7">
      <c r="A242" s="29" t="s">
        <v>42</v>
      </c>
      <c r="B242" s="204">
        <v>15.891999999999999</v>
      </c>
      <c r="C242" s="30">
        <f t="shared" si="3"/>
        <v>13.81</v>
      </c>
      <c r="D242" s="14">
        <v>0.73934243644601061</v>
      </c>
      <c r="E242" s="14">
        <v>0.24360546186760634</v>
      </c>
      <c r="F242" s="38">
        <v>0.30141907878177693</v>
      </c>
      <c r="G242" s="38">
        <v>2.2602567329473956E-2</v>
      </c>
    </row>
    <row r="243" spans="1:7">
      <c r="A243" s="29" t="s">
        <v>43</v>
      </c>
      <c r="B243" s="204">
        <v>18.343</v>
      </c>
      <c r="C243" s="30">
        <f t="shared" si="3"/>
        <v>15.891999999999999</v>
      </c>
      <c r="D243" s="14">
        <v>0.77417161860110129</v>
      </c>
      <c r="E243" s="14">
        <v>0.26450297116066074</v>
      </c>
      <c r="F243" s="38">
        <v>0.31459150629667992</v>
      </c>
      <c r="G243" s="38">
        <v>3.2944447473150527E-2</v>
      </c>
    </row>
    <row r="244" spans="1:7">
      <c r="A244" s="29" t="s">
        <v>44</v>
      </c>
      <c r="B244" s="204">
        <v>21.315999999999999</v>
      </c>
      <c r="C244" s="30">
        <f t="shared" si="3"/>
        <v>18.343</v>
      </c>
      <c r="D244" s="14">
        <v>0.8056685119159317</v>
      </c>
      <c r="E244" s="14">
        <v>0.28340110714955902</v>
      </c>
      <c r="F244" s="38">
        <v>0.32650365922311875</v>
      </c>
      <c r="G244" s="38">
        <v>5.3781197222743472E-2</v>
      </c>
    </row>
    <row r="245" spans="1:7">
      <c r="A245" s="29" t="s">
        <v>45</v>
      </c>
      <c r="B245" s="204">
        <v>24.54</v>
      </c>
      <c r="C245" s="30">
        <f t="shared" si="3"/>
        <v>21.315999999999999</v>
      </c>
      <c r="D245" s="14">
        <v>0.83119926650366749</v>
      </c>
      <c r="E245" s="14">
        <v>0.29871955990220045</v>
      </c>
      <c r="F245" s="38">
        <v>0.33615941320293402</v>
      </c>
      <c r="G245" s="38">
        <v>9.9266503667481659E-2</v>
      </c>
    </row>
    <row r="246" spans="1:7">
      <c r="A246" s="29" t="s">
        <v>46</v>
      </c>
      <c r="B246" s="204">
        <v>27.841999999999999</v>
      </c>
      <c r="C246" s="30">
        <f t="shared" si="3"/>
        <v>24.54</v>
      </c>
      <c r="D246" s="14">
        <v>0.85121866245241007</v>
      </c>
      <c r="E246" s="14">
        <v>0.31073119747144601</v>
      </c>
      <c r="F246" s="38">
        <v>0.34373076646792616</v>
      </c>
      <c r="G246" s="38">
        <v>0.1349328352848215</v>
      </c>
    </row>
    <row r="247" spans="1:7">
      <c r="A247" s="29" t="s">
        <v>47</v>
      </c>
      <c r="B247" s="204">
        <v>32.661000000000001</v>
      </c>
      <c r="C247" s="30">
        <f t="shared" si="3"/>
        <v>27.841999999999999</v>
      </c>
      <c r="D247" s="14">
        <v>0.8731707541104069</v>
      </c>
      <c r="E247" s="14">
        <v>0.32390245246624416</v>
      </c>
      <c r="F247" s="38">
        <v>0.35203306696059528</v>
      </c>
      <c r="G247" s="38">
        <v>0.17404243593276386</v>
      </c>
    </row>
    <row r="248" spans="1:7">
      <c r="A248" s="29" t="s">
        <v>48</v>
      </c>
      <c r="B248" s="204">
        <v>39.125</v>
      </c>
      <c r="C248" s="30">
        <f t="shared" si="3"/>
        <v>32.661000000000001</v>
      </c>
      <c r="D248" s="14">
        <v>0.89412472843450486</v>
      </c>
      <c r="E248" s="14">
        <v>0.33647483706070291</v>
      </c>
      <c r="F248" s="38">
        <v>0.35995787859424927</v>
      </c>
      <c r="G248" s="38">
        <v>0.21137380191693289</v>
      </c>
    </row>
    <row r="249" spans="1:7">
      <c r="A249" s="29" t="s">
        <v>49</v>
      </c>
      <c r="B249" s="204">
        <v>48.35</v>
      </c>
      <c r="C249" s="30">
        <f t="shared" si="3"/>
        <v>39.125</v>
      </c>
      <c r="D249" s="14">
        <v>0.91432533609100308</v>
      </c>
      <c r="E249" s="14">
        <v>0.34859520165460184</v>
      </c>
      <c r="F249" s="38">
        <v>0.36759776628748714</v>
      </c>
      <c r="G249" s="38">
        <v>0.24736297828335058</v>
      </c>
    </row>
    <row r="250" spans="1:7">
      <c r="A250" s="29" t="s">
        <v>50</v>
      </c>
      <c r="B250" s="204">
        <v>62.789000000000001</v>
      </c>
      <c r="C250" s="30">
        <f t="shared" si="3"/>
        <v>48.35</v>
      </c>
      <c r="D250" s="14">
        <v>0.93402713851152275</v>
      </c>
      <c r="E250" s="14">
        <v>0.36041628310691365</v>
      </c>
      <c r="F250" s="38">
        <v>0.37504900539903491</v>
      </c>
      <c r="G250" s="38">
        <v>0.28246348882766092</v>
      </c>
    </row>
    <row r="251" spans="1:7">
      <c r="A251" s="29" t="s">
        <v>51</v>
      </c>
      <c r="B251" s="204">
        <v>87.924000000000007</v>
      </c>
      <c r="C251" s="30">
        <f t="shared" si="3"/>
        <v>62.789000000000001</v>
      </c>
      <c r="D251" s="14">
        <v>0.95288692507165285</v>
      </c>
      <c r="E251" s="14">
        <v>0.37173215504299179</v>
      </c>
      <c r="F251" s="38">
        <v>0.38218179336699887</v>
      </c>
      <c r="G251" s="38">
        <v>0.31606387334516173</v>
      </c>
    </row>
    <row r="252" spans="1:7">
      <c r="A252" s="29" t="s">
        <v>52</v>
      </c>
      <c r="B252" s="204">
        <v>151.78100000000001</v>
      </c>
      <c r="C252" s="30">
        <f t="shared" si="3"/>
        <v>87.924000000000007</v>
      </c>
      <c r="D252" s="14">
        <v>0.972708244114876</v>
      </c>
      <c r="E252" s="14">
        <v>0.38362494646892564</v>
      </c>
      <c r="F252" s="38">
        <v>0.3896782337710254</v>
      </c>
      <c r="G252" s="38">
        <v>0.35137731336596811</v>
      </c>
    </row>
    <row r="253" spans="1:7">
      <c r="A253" s="29" t="s">
        <v>53</v>
      </c>
      <c r="B253" s="204">
        <v>619.11599999999999</v>
      </c>
      <c r="C253" s="30">
        <f>B252</f>
        <v>151.78100000000001</v>
      </c>
      <c r="D253" s="14">
        <v>0.99330921830480878</v>
      </c>
      <c r="E253" s="14">
        <v>0.3959855309828853</v>
      </c>
      <c r="F253" s="38">
        <v>0.39746954044153276</v>
      </c>
      <c r="G253" s="38">
        <v>0.38807977826449325</v>
      </c>
    </row>
    <row r="254" spans="1:7">
      <c r="A254" s="29" t="s">
        <v>53</v>
      </c>
      <c r="B254" s="57" t="s">
        <v>138</v>
      </c>
      <c r="C254" s="30">
        <f t="shared" si="3"/>
        <v>619.11599999999999</v>
      </c>
      <c r="D254" s="58"/>
      <c r="E254" s="11"/>
      <c r="F254" s="39"/>
      <c r="G254" s="39"/>
    </row>
    <row r="255" spans="1:7">
      <c r="A255" s="29"/>
      <c r="B255" s="29"/>
      <c r="C255" s="29"/>
      <c r="D255" s="58"/>
      <c r="E255" s="32">
        <v>9.5440976670330885E-2</v>
      </c>
      <c r="F255" s="40">
        <v>0.11863295034331273</v>
      </c>
      <c r="G255" s="40">
        <v>4.65045065326899E-2</v>
      </c>
    </row>
    <row r="256" spans="1:7" ht="60">
      <c r="A256" s="33" t="s">
        <v>55</v>
      </c>
      <c r="B256" s="29">
        <v>20.5</v>
      </c>
      <c r="C256" s="29"/>
      <c r="D256" s="58"/>
      <c r="E256" s="34">
        <v>6.90395</v>
      </c>
      <c r="F256" s="41">
        <v>4.3517999999999999</v>
      </c>
      <c r="G256" s="42">
        <v>20.5</v>
      </c>
    </row>
    <row r="257" spans="1:7" ht="60">
      <c r="A257" s="33" t="s">
        <v>56</v>
      </c>
      <c r="B257" s="29">
        <v>30.25</v>
      </c>
      <c r="C257" s="29"/>
      <c r="D257" s="11"/>
      <c r="E257" s="11"/>
      <c r="F257" s="39"/>
      <c r="G257" s="39"/>
    </row>
    <row r="258" spans="1:7" ht="96.75">
      <c r="A258" s="35" t="s">
        <v>57</v>
      </c>
      <c r="B258" s="29">
        <v>18.149999999999999</v>
      </c>
      <c r="C258" s="29"/>
      <c r="D258" s="11"/>
      <c r="E258" s="11">
        <v>4.1423699999999997</v>
      </c>
      <c r="F258" s="39">
        <v>2.6110799999999998</v>
      </c>
      <c r="G258" s="39">
        <v>12.299999999999999</v>
      </c>
    </row>
    <row r="261" spans="1:7">
      <c r="A261" s="16" t="s">
        <v>64</v>
      </c>
      <c r="B261" s="17">
        <f>AVERAGE(B209:B248)</f>
        <v>6.90395</v>
      </c>
      <c r="C261" s="17"/>
    </row>
    <row r="262" spans="1:7">
      <c r="A262" s="16" t="s">
        <v>65</v>
      </c>
      <c r="B262" s="18">
        <f>AVERAGE(B214:B243)</f>
        <v>4.3517999999999999</v>
      </c>
      <c r="C262" s="18"/>
    </row>
    <row r="263" spans="1:7">
      <c r="A263" s="16" t="s">
        <v>66</v>
      </c>
      <c r="B263" s="18">
        <f>AVERAGE(B220:B238)</f>
        <v>3.138157894736842</v>
      </c>
      <c r="C263" s="18"/>
    </row>
    <row r="265" spans="1:7" ht="15.75" thickBot="1"/>
    <row r="266" spans="1:7" ht="15" customHeight="1" thickBot="1">
      <c r="A266" s="522" t="s">
        <v>0</v>
      </c>
      <c r="B266" s="525" t="s">
        <v>67</v>
      </c>
      <c r="C266" s="526"/>
      <c r="D266" s="527"/>
      <c r="E266" s="19">
        <f>(1-E321)^(1/3)-1</f>
        <v>-3.2362346545210752E-2</v>
      </c>
      <c r="F266" s="19">
        <f>(1-F321)^(1/3)-1</f>
        <v>-3.9437114710246135E-2</v>
      </c>
      <c r="G266" s="19"/>
    </row>
    <row r="267" spans="1:7" ht="72.75" thickBot="1">
      <c r="A267" s="523"/>
      <c r="B267" s="11" t="s">
        <v>4</v>
      </c>
      <c r="C267" s="65"/>
      <c r="D267" s="11" t="s">
        <v>80</v>
      </c>
      <c r="E267" s="11" t="s">
        <v>5</v>
      </c>
      <c r="F267" s="39" t="s">
        <v>5</v>
      </c>
      <c r="G267" s="39"/>
    </row>
    <row r="268" spans="1:7" ht="25.5" thickBot="1">
      <c r="A268" s="524"/>
      <c r="B268" s="3" t="s">
        <v>68</v>
      </c>
      <c r="D268" s="20" t="s">
        <v>7</v>
      </c>
      <c r="E268" s="20" t="s">
        <v>7</v>
      </c>
      <c r="F268" s="20" t="s">
        <v>7</v>
      </c>
      <c r="G268" s="20"/>
    </row>
    <row r="269" spans="1:7">
      <c r="A269" s="50">
        <v>1</v>
      </c>
      <c r="B269" s="51">
        <v>2</v>
      </c>
      <c r="D269" s="51">
        <v>3</v>
      </c>
      <c r="E269" s="51">
        <v>4</v>
      </c>
      <c r="F269" s="52">
        <v>5</v>
      </c>
      <c r="G269" s="52"/>
    </row>
    <row r="270" spans="1:7" ht="15.75" thickBot="1">
      <c r="A270" s="155" t="s">
        <v>10</v>
      </c>
      <c r="B270" s="211">
        <v>0.01</v>
      </c>
      <c r="C270">
        <v>0</v>
      </c>
      <c r="D270" s="210">
        <v>0</v>
      </c>
      <c r="E270" s="210">
        <v>0</v>
      </c>
      <c r="F270" s="38">
        <v>0</v>
      </c>
      <c r="G270" s="38">
        <v>0.4</v>
      </c>
    </row>
    <row r="271" spans="1:7" ht="15.75" thickBot="1">
      <c r="A271" s="155" t="s">
        <v>58</v>
      </c>
      <c r="B271" s="211">
        <v>0.01</v>
      </c>
      <c r="C271" s="30">
        <f>B270</f>
        <v>0.01</v>
      </c>
      <c r="D271" s="210">
        <v>0</v>
      </c>
      <c r="E271" s="210">
        <v>0</v>
      </c>
      <c r="F271" s="38">
        <v>0</v>
      </c>
      <c r="G271" s="38">
        <v>0.4</v>
      </c>
    </row>
    <row r="272" spans="1:7" ht="15.75" thickBot="1">
      <c r="A272" s="155" t="s">
        <v>59</v>
      </c>
      <c r="B272" s="211">
        <v>0.01</v>
      </c>
      <c r="C272" s="30">
        <f t="shared" ref="C272:C320" si="4">B271</f>
        <v>0.01</v>
      </c>
      <c r="D272" s="210">
        <v>0</v>
      </c>
      <c r="E272" s="210">
        <v>0</v>
      </c>
      <c r="F272" s="38">
        <v>0</v>
      </c>
      <c r="G272" s="38">
        <v>0.4</v>
      </c>
    </row>
    <row r="273" spans="1:7" ht="15.75" thickBot="1">
      <c r="A273" s="155" t="s">
        <v>60</v>
      </c>
      <c r="B273" s="211">
        <v>0.02</v>
      </c>
      <c r="C273" s="30">
        <f t="shared" si="4"/>
        <v>0.01</v>
      </c>
      <c r="D273" s="210">
        <v>0</v>
      </c>
      <c r="E273" s="210">
        <v>0</v>
      </c>
      <c r="F273" s="38">
        <v>0</v>
      </c>
      <c r="G273" s="38">
        <v>0.4</v>
      </c>
    </row>
    <row r="274" spans="1:7" ht="15.75" thickBot="1">
      <c r="A274" s="155" t="s">
        <v>61</v>
      </c>
      <c r="B274" s="211">
        <v>0.02</v>
      </c>
      <c r="C274" s="30">
        <f t="shared" si="4"/>
        <v>0.02</v>
      </c>
      <c r="D274" s="210">
        <v>0</v>
      </c>
      <c r="E274" s="210">
        <v>0</v>
      </c>
      <c r="F274" s="38">
        <v>0</v>
      </c>
      <c r="G274" s="38">
        <v>0.4</v>
      </c>
    </row>
    <row r="275" spans="1:7" ht="15.75" thickBot="1">
      <c r="A275" s="155" t="s">
        <v>62</v>
      </c>
      <c r="B275" s="211">
        <v>0.02</v>
      </c>
      <c r="C275" s="30">
        <f t="shared" si="4"/>
        <v>0.02</v>
      </c>
      <c r="D275" s="210">
        <v>0</v>
      </c>
      <c r="E275" s="210">
        <v>0</v>
      </c>
      <c r="F275" s="38">
        <v>0</v>
      </c>
      <c r="G275" s="38">
        <v>0.4</v>
      </c>
    </row>
    <row r="276" spans="1:7" ht="15.75" thickBot="1">
      <c r="A276" s="155" t="s">
        <v>63</v>
      </c>
      <c r="B276" s="211">
        <v>0.03</v>
      </c>
      <c r="C276" s="30">
        <f t="shared" si="4"/>
        <v>0.02</v>
      </c>
      <c r="D276" s="210">
        <v>0</v>
      </c>
      <c r="E276" s="210">
        <v>0</v>
      </c>
      <c r="F276" s="38">
        <v>0</v>
      </c>
      <c r="G276" s="38">
        <v>0.4</v>
      </c>
    </row>
    <row r="277" spans="1:7" ht="15.75" thickBot="1">
      <c r="A277" s="156" t="s">
        <v>11</v>
      </c>
      <c r="B277" s="211">
        <v>0.03</v>
      </c>
      <c r="C277" s="30">
        <f t="shared" si="4"/>
        <v>0.03</v>
      </c>
      <c r="D277" s="210">
        <v>0</v>
      </c>
      <c r="E277" s="210">
        <v>0</v>
      </c>
      <c r="F277" s="38">
        <v>0</v>
      </c>
      <c r="G277" s="38">
        <v>0.4</v>
      </c>
    </row>
    <row r="278" spans="1:7" ht="15.75" thickBot="1">
      <c r="A278" s="156" t="s">
        <v>12</v>
      </c>
      <c r="B278" s="211">
        <v>0.03</v>
      </c>
      <c r="C278" s="30">
        <f t="shared" si="4"/>
        <v>0.03</v>
      </c>
      <c r="D278" s="210">
        <v>0</v>
      </c>
      <c r="E278" s="210">
        <v>0</v>
      </c>
      <c r="F278" s="38">
        <v>0</v>
      </c>
      <c r="G278" s="38">
        <v>0.4</v>
      </c>
    </row>
    <row r="279" spans="1:7" ht="15.75" thickBot="1">
      <c r="A279" s="156" t="s">
        <v>13</v>
      </c>
      <c r="B279" s="211">
        <v>0.04</v>
      </c>
      <c r="C279" s="30">
        <f t="shared" si="4"/>
        <v>0.03</v>
      </c>
      <c r="D279" s="210">
        <v>0</v>
      </c>
      <c r="E279" s="210">
        <v>0</v>
      </c>
      <c r="F279" s="38">
        <v>0</v>
      </c>
      <c r="G279" s="38">
        <v>0.4</v>
      </c>
    </row>
    <row r="280" spans="1:7" ht="15.75" thickBot="1">
      <c r="A280" s="156" t="s">
        <v>14</v>
      </c>
      <c r="B280" s="211">
        <v>0.04</v>
      </c>
      <c r="C280" s="30">
        <f t="shared" si="4"/>
        <v>0.04</v>
      </c>
      <c r="D280" s="210">
        <v>0</v>
      </c>
      <c r="E280" s="210">
        <v>0</v>
      </c>
      <c r="F280" s="38">
        <v>0</v>
      </c>
      <c r="G280" s="38">
        <v>0.4</v>
      </c>
    </row>
    <row r="281" spans="1:7" ht="15.75" thickBot="1">
      <c r="A281" s="156" t="s">
        <v>15</v>
      </c>
      <c r="B281" s="211">
        <v>0.05</v>
      </c>
      <c r="C281" s="30">
        <f t="shared" si="4"/>
        <v>0.04</v>
      </c>
      <c r="D281" s="210">
        <v>0</v>
      </c>
      <c r="E281" s="210">
        <v>0</v>
      </c>
      <c r="F281" s="38">
        <v>0</v>
      </c>
      <c r="G281" s="38">
        <v>0.40000000000000008</v>
      </c>
    </row>
    <row r="282" spans="1:7" ht="15.75" thickBot="1">
      <c r="A282" s="156" t="s">
        <v>16</v>
      </c>
      <c r="B282" s="211">
        <v>0.06</v>
      </c>
      <c r="C282" s="30">
        <f t="shared" si="4"/>
        <v>0.05</v>
      </c>
      <c r="D282" s="210">
        <v>0</v>
      </c>
      <c r="E282" s="210">
        <v>0</v>
      </c>
      <c r="F282" s="38">
        <v>0</v>
      </c>
      <c r="G282" s="38">
        <v>0.4</v>
      </c>
    </row>
    <row r="283" spans="1:7" ht="15.75" thickBot="1">
      <c r="A283" s="156" t="s">
        <v>17</v>
      </c>
      <c r="B283" s="211">
        <v>7.0000000000000007E-2</v>
      </c>
      <c r="C283" s="30">
        <f t="shared" si="4"/>
        <v>0.06</v>
      </c>
      <c r="D283" s="210">
        <v>0</v>
      </c>
      <c r="E283" s="210">
        <v>0</v>
      </c>
      <c r="F283" s="38">
        <v>0</v>
      </c>
      <c r="G283" s="38">
        <v>0.4</v>
      </c>
    </row>
    <row r="284" spans="1:7" ht="15.75" thickBot="1">
      <c r="A284" s="156" t="s">
        <v>18</v>
      </c>
      <c r="B284" s="211">
        <v>0.08</v>
      </c>
      <c r="C284" s="30">
        <f t="shared" si="4"/>
        <v>7.0000000000000007E-2</v>
      </c>
      <c r="D284" s="210">
        <v>0</v>
      </c>
      <c r="E284" s="210">
        <v>0</v>
      </c>
      <c r="F284" s="38">
        <v>0</v>
      </c>
      <c r="G284" s="38">
        <v>0.4</v>
      </c>
    </row>
    <row r="285" spans="1:7" ht="15.75" thickBot="1">
      <c r="A285" s="156" t="s">
        <v>19</v>
      </c>
      <c r="B285" s="211">
        <v>0.09</v>
      </c>
      <c r="C285" s="30">
        <f t="shared" si="4"/>
        <v>0.08</v>
      </c>
      <c r="D285" s="210">
        <v>0</v>
      </c>
      <c r="E285" s="210">
        <v>0</v>
      </c>
      <c r="F285" s="38">
        <v>0</v>
      </c>
      <c r="G285" s="38">
        <v>0.39999999999999997</v>
      </c>
    </row>
    <row r="286" spans="1:7" ht="15.75" thickBot="1">
      <c r="A286" s="156" t="s">
        <v>20</v>
      </c>
      <c r="B286" s="211">
        <v>0.1</v>
      </c>
      <c r="C286" s="30">
        <f t="shared" si="4"/>
        <v>0.09</v>
      </c>
      <c r="D286" s="210">
        <v>0</v>
      </c>
      <c r="E286" s="210">
        <v>0</v>
      </c>
      <c r="F286" s="38">
        <v>0</v>
      </c>
      <c r="G286" s="38">
        <v>0.40000000000000008</v>
      </c>
    </row>
    <row r="287" spans="1:7" ht="15.75" thickBot="1">
      <c r="A287" s="156" t="s">
        <v>21</v>
      </c>
      <c r="B287" s="211">
        <v>0.11</v>
      </c>
      <c r="C287" s="30">
        <f t="shared" si="4"/>
        <v>0.1</v>
      </c>
      <c r="D287" s="210">
        <v>0</v>
      </c>
      <c r="E287" s="210">
        <v>0</v>
      </c>
      <c r="F287" s="38">
        <v>0</v>
      </c>
      <c r="G287" s="38">
        <v>0.4</v>
      </c>
    </row>
    <row r="288" spans="1:7" ht="15.75" thickBot="1">
      <c r="A288" s="156" t="s">
        <v>22</v>
      </c>
      <c r="B288" s="211">
        <v>0.13</v>
      </c>
      <c r="C288" s="30">
        <f t="shared" si="4"/>
        <v>0.11</v>
      </c>
      <c r="D288" s="210">
        <v>0</v>
      </c>
      <c r="E288" s="210">
        <v>0</v>
      </c>
      <c r="F288" s="38">
        <v>0</v>
      </c>
      <c r="G288" s="38">
        <v>0.4</v>
      </c>
    </row>
    <row r="289" spans="1:7" ht="15.75" thickBot="1">
      <c r="A289" s="156" t="s">
        <v>23</v>
      </c>
      <c r="B289" s="211">
        <v>0.15</v>
      </c>
      <c r="C289" s="30">
        <f t="shared" si="4"/>
        <v>0.13</v>
      </c>
      <c r="D289" s="210">
        <v>0</v>
      </c>
      <c r="E289" s="210">
        <v>0</v>
      </c>
      <c r="F289" s="38">
        <v>0</v>
      </c>
      <c r="G289" s="38">
        <v>0.4</v>
      </c>
    </row>
    <row r="290" spans="1:7" ht="15.75" thickBot="1">
      <c r="A290" s="156" t="s">
        <v>24</v>
      </c>
      <c r="B290" s="211">
        <v>0.17</v>
      </c>
      <c r="C290" s="30">
        <f t="shared" si="4"/>
        <v>0.15</v>
      </c>
      <c r="D290" s="210">
        <v>0</v>
      </c>
      <c r="E290" s="210">
        <v>0</v>
      </c>
      <c r="F290" s="38">
        <v>5.0588235294117623E-3</v>
      </c>
      <c r="G290" s="38">
        <v>0.4</v>
      </c>
    </row>
    <row r="291" spans="1:7" ht="15.75" thickBot="1">
      <c r="A291" s="156" t="s">
        <v>25</v>
      </c>
      <c r="B291" s="211">
        <v>0.18</v>
      </c>
      <c r="C291" s="30">
        <f t="shared" si="4"/>
        <v>0.17</v>
      </c>
      <c r="D291" s="210">
        <v>0</v>
      </c>
      <c r="E291" s="210">
        <v>0</v>
      </c>
      <c r="F291" s="38">
        <v>1.0333333333333323E-2</v>
      </c>
      <c r="G291" s="38">
        <v>0.39999999999999997</v>
      </c>
    </row>
    <row r="292" spans="1:7" ht="15.75" thickBot="1">
      <c r="A292" s="156" t="s">
        <v>26</v>
      </c>
      <c r="B292" s="211">
        <v>0.19</v>
      </c>
      <c r="C292" s="30">
        <f t="shared" si="4"/>
        <v>0.18</v>
      </c>
      <c r="D292" s="210">
        <v>0</v>
      </c>
      <c r="E292" s="210">
        <v>0</v>
      </c>
      <c r="F292" s="38">
        <v>1.5052631578947363E-2</v>
      </c>
      <c r="G292" s="38">
        <v>0.40000000000000008</v>
      </c>
    </row>
    <row r="293" spans="1:7" ht="15.75" thickBot="1">
      <c r="A293" s="156" t="s">
        <v>27</v>
      </c>
      <c r="B293" s="211">
        <v>0.22</v>
      </c>
      <c r="C293" s="30">
        <f t="shared" si="4"/>
        <v>0.19</v>
      </c>
      <c r="D293" s="210">
        <v>6.3181818181818158E-2</v>
      </c>
      <c r="E293" s="210"/>
      <c r="F293" s="38">
        <v>2.6636363636363632E-2</v>
      </c>
      <c r="G293" s="38">
        <v>0.4</v>
      </c>
    </row>
    <row r="294" spans="1:7" ht="15.75" thickBot="1">
      <c r="A294" s="156" t="s">
        <v>28</v>
      </c>
      <c r="B294" s="211">
        <v>0.23</v>
      </c>
      <c r="C294" s="30">
        <f t="shared" si="4"/>
        <v>0.22</v>
      </c>
      <c r="D294" s="210">
        <v>0.10391304347826089</v>
      </c>
      <c r="E294" s="210">
        <v>1.039130434782609E-2</v>
      </c>
      <c r="F294" s="38">
        <v>2.9826086956521738E-2</v>
      </c>
      <c r="G294" s="38">
        <v>0.4</v>
      </c>
    </row>
    <row r="295" spans="1:7" ht="15.75" thickBot="1">
      <c r="A295" s="156" t="s">
        <v>29</v>
      </c>
      <c r="B295" s="211">
        <v>0.24</v>
      </c>
      <c r="C295" s="30">
        <f t="shared" si="4"/>
        <v>0.23</v>
      </c>
      <c r="D295" s="210">
        <v>0.14124999999999996</v>
      </c>
      <c r="E295" s="210">
        <v>1.4124999999999995E-2</v>
      </c>
      <c r="F295" s="38">
        <v>3.2749999999999987E-2</v>
      </c>
      <c r="G295" s="38">
        <v>0.4</v>
      </c>
    </row>
    <row r="296" spans="1:7" ht="15.75" thickBot="1">
      <c r="A296" s="156" t="s">
        <v>30</v>
      </c>
      <c r="B296" s="211">
        <v>0.26</v>
      </c>
      <c r="C296" s="30">
        <f t="shared" si="4"/>
        <v>0.24</v>
      </c>
      <c r="D296" s="210">
        <v>0.2073076923076923</v>
      </c>
      <c r="E296" s="210">
        <v>2.0730769230769233E-2</v>
      </c>
      <c r="F296" s="38">
        <v>3.7923076923076927E-2</v>
      </c>
      <c r="G296" s="38">
        <v>0.4</v>
      </c>
    </row>
    <row r="297" spans="1:7" ht="15.75" thickBot="1">
      <c r="A297" s="156" t="s">
        <v>31</v>
      </c>
      <c r="B297" s="211">
        <v>0.28000000000000003</v>
      </c>
      <c r="C297" s="30">
        <f t="shared" si="4"/>
        <v>0.26</v>
      </c>
      <c r="D297" s="210">
        <v>0.26392857142857146</v>
      </c>
      <c r="E297" s="210">
        <v>2.6392857142857148E-2</v>
      </c>
      <c r="F297" s="38">
        <v>5.4142857142857152E-2</v>
      </c>
      <c r="G297" s="38">
        <v>0.4</v>
      </c>
    </row>
    <row r="298" spans="1:7" ht="15.75" thickBot="1">
      <c r="A298" s="156" t="s">
        <v>32</v>
      </c>
      <c r="B298" s="211">
        <v>0.3</v>
      </c>
      <c r="C298" s="30">
        <f t="shared" si="4"/>
        <v>0.28000000000000003</v>
      </c>
      <c r="D298" s="210">
        <v>0.31299999999999994</v>
      </c>
      <c r="E298" s="210">
        <v>3.1300000000000001E-2</v>
      </c>
      <c r="F298" s="38">
        <v>7.7199999999999963E-2</v>
      </c>
      <c r="G298" s="38">
        <v>0.4</v>
      </c>
    </row>
    <row r="299" spans="1:7" ht="15.75" thickBot="1">
      <c r="A299" s="156" t="s">
        <v>33</v>
      </c>
      <c r="B299" s="211">
        <v>0.32</v>
      </c>
      <c r="C299" s="30">
        <f t="shared" si="4"/>
        <v>0.3</v>
      </c>
      <c r="D299" s="210">
        <v>0.35593750000000002</v>
      </c>
      <c r="E299" s="210">
        <v>3.559375E-2</v>
      </c>
      <c r="F299" s="38">
        <v>9.7375000000000003E-2</v>
      </c>
      <c r="G299" s="38">
        <v>0.4</v>
      </c>
    </row>
    <row r="300" spans="1:7" ht="15.75" thickBot="1">
      <c r="A300" s="156" t="s">
        <v>34</v>
      </c>
      <c r="B300" s="211">
        <v>0.34</v>
      </c>
      <c r="C300" s="30">
        <f t="shared" si="4"/>
        <v>0.32</v>
      </c>
      <c r="D300" s="210">
        <v>0.39382352941176474</v>
      </c>
      <c r="E300" s="210">
        <v>3.9382352941176473E-2</v>
      </c>
      <c r="F300" s="38">
        <v>0.11517647058823531</v>
      </c>
      <c r="G300" s="38">
        <v>0.4</v>
      </c>
    </row>
    <row r="301" spans="1:7" ht="15.75" thickBot="1">
      <c r="A301" s="156" t="s">
        <v>35</v>
      </c>
      <c r="B301" s="211">
        <v>0.36</v>
      </c>
      <c r="C301" s="30">
        <f t="shared" si="4"/>
        <v>0.34</v>
      </c>
      <c r="D301" s="210">
        <v>0.42749999999999999</v>
      </c>
      <c r="E301" s="210">
        <v>5.6499999999999967E-2</v>
      </c>
      <c r="F301" s="38">
        <v>0.13099999999999998</v>
      </c>
      <c r="G301" s="38">
        <v>0.39999999999999997</v>
      </c>
    </row>
    <row r="302" spans="1:7" ht="15.75" thickBot="1">
      <c r="A302" s="156" t="s">
        <v>36</v>
      </c>
      <c r="B302" s="211">
        <v>0.38</v>
      </c>
      <c r="C302" s="30">
        <f t="shared" si="4"/>
        <v>0.36</v>
      </c>
      <c r="D302" s="210">
        <v>0.45763157894736839</v>
      </c>
      <c r="E302" s="210">
        <v>7.4578947368421036E-2</v>
      </c>
      <c r="F302" s="38">
        <v>0.1451578947368421</v>
      </c>
      <c r="G302" s="38">
        <v>0.40000000000000008</v>
      </c>
    </row>
    <row r="303" spans="1:7" ht="15.75" thickBot="1">
      <c r="A303" s="156" t="s">
        <v>37</v>
      </c>
      <c r="B303" s="211">
        <v>0.42</v>
      </c>
      <c r="C303" s="30">
        <f t="shared" si="4"/>
        <v>0.38</v>
      </c>
      <c r="D303" s="210">
        <v>0.50928571428571423</v>
      </c>
      <c r="E303" s="210">
        <v>0.10557142857142855</v>
      </c>
      <c r="F303" s="38">
        <v>0.1694285714285714</v>
      </c>
      <c r="G303" s="38">
        <v>0.4</v>
      </c>
    </row>
    <row r="304" spans="1:7" ht="15.75" thickBot="1">
      <c r="A304" s="156" t="s">
        <v>38</v>
      </c>
      <c r="B304" s="211">
        <v>0.45</v>
      </c>
      <c r="C304" s="30">
        <f t="shared" si="4"/>
        <v>0.42</v>
      </c>
      <c r="D304" s="210">
        <v>0.54200000000000004</v>
      </c>
      <c r="E304" s="210">
        <v>0.12520000000000001</v>
      </c>
      <c r="F304" s="38">
        <v>0.18480000000000002</v>
      </c>
      <c r="G304" s="38">
        <v>0.4</v>
      </c>
    </row>
    <row r="305" spans="1:7" ht="15.75" thickBot="1">
      <c r="A305" s="156" t="s">
        <v>39</v>
      </c>
      <c r="B305" s="211">
        <v>0.48</v>
      </c>
      <c r="C305" s="30">
        <f t="shared" si="4"/>
        <v>0.45</v>
      </c>
      <c r="D305" s="210">
        <v>0.57062499999999994</v>
      </c>
      <c r="E305" s="210">
        <v>0.14237499999999997</v>
      </c>
      <c r="F305" s="38">
        <v>0.19825000000000001</v>
      </c>
      <c r="G305" s="38">
        <v>0.4</v>
      </c>
    </row>
    <row r="306" spans="1:7" ht="15.75" thickBot="1">
      <c r="A306" s="156" t="s">
        <v>40</v>
      </c>
      <c r="B306" s="211">
        <v>0.51</v>
      </c>
      <c r="C306" s="30">
        <f t="shared" si="4"/>
        <v>0.48</v>
      </c>
      <c r="D306" s="210">
        <v>0.59588235294117642</v>
      </c>
      <c r="E306" s="210">
        <v>0.15752941176470586</v>
      </c>
      <c r="F306" s="38">
        <v>0.21011764705882355</v>
      </c>
      <c r="G306" s="38">
        <v>0.4</v>
      </c>
    </row>
    <row r="307" spans="1:7" ht="15.75" thickBot="1">
      <c r="A307" s="156" t="s">
        <v>41</v>
      </c>
      <c r="B307" s="211">
        <v>0.56000000000000005</v>
      </c>
      <c r="C307" s="30">
        <f t="shared" si="4"/>
        <v>0.51</v>
      </c>
      <c r="D307" s="210">
        <v>0.63196428571428576</v>
      </c>
      <c r="E307" s="210">
        <v>0.17917857142857144</v>
      </c>
      <c r="F307" s="38">
        <v>0.22707142857142859</v>
      </c>
      <c r="G307" s="38">
        <v>0.4</v>
      </c>
    </row>
    <row r="308" spans="1:7" ht="15.75" thickBot="1">
      <c r="A308" s="156" t="s">
        <v>42</v>
      </c>
      <c r="B308" s="211">
        <v>0.61</v>
      </c>
      <c r="C308" s="30">
        <f t="shared" si="4"/>
        <v>0.56000000000000005</v>
      </c>
      <c r="D308" s="210">
        <v>0.66213114754098357</v>
      </c>
      <c r="E308" s="210">
        <v>0.19727868852459016</v>
      </c>
      <c r="F308" s="38">
        <v>0.24124590163934426</v>
      </c>
      <c r="G308" s="38">
        <v>0.4</v>
      </c>
    </row>
    <row r="309" spans="1:7" ht="15.75" thickBot="1">
      <c r="A309" s="156" t="s">
        <v>43</v>
      </c>
      <c r="B309" s="211">
        <v>0.69</v>
      </c>
      <c r="C309" s="30">
        <f t="shared" si="4"/>
        <v>0.61</v>
      </c>
      <c r="D309" s="210">
        <v>0.70130434782608697</v>
      </c>
      <c r="E309" s="210">
        <v>0.22078260869565217</v>
      </c>
      <c r="F309" s="38">
        <v>0.25965217391304346</v>
      </c>
      <c r="G309" s="38">
        <v>0.39999999999999997</v>
      </c>
    </row>
    <row r="310" spans="1:7" ht="15.75" thickBot="1">
      <c r="A310" s="156" t="s">
        <v>44</v>
      </c>
      <c r="B310" s="211">
        <v>0.79</v>
      </c>
      <c r="C310" s="30">
        <f t="shared" si="4"/>
        <v>0.69</v>
      </c>
      <c r="D310" s="210">
        <v>0.73911392405063303</v>
      </c>
      <c r="E310" s="210">
        <v>0.24346835443037976</v>
      </c>
      <c r="F310" s="38">
        <v>0.27741772151898736</v>
      </c>
      <c r="G310" s="38">
        <v>0.40000000000000008</v>
      </c>
    </row>
    <row r="311" spans="1:7" ht="15.75" thickBot="1">
      <c r="A311" s="156" t="s">
        <v>45</v>
      </c>
      <c r="B311" s="211">
        <v>0.92</v>
      </c>
      <c r="C311" s="30">
        <f t="shared" si="4"/>
        <v>0.79</v>
      </c>
      <c r="D311" s="210">
        <v>0.77597826086956512</v>
      </c>
      <c r="E311" s="210">
        <v>0.26558695652173914</v>
      </c>
      <c r="F311" s="38">
        <v>0.29473913043478261</v>
      </c>
      <c r="G311" s="38">
        <v>0.4</v>
      </c>
    </row>
    <row r="312" spans="1:7" ht="15.75" thickBot="1">
      <c r="A312" s="156" t="s">
        <v>46</v>
      </c>
      <c r="B312" s="211">
        <v>1.03</v>
      </c>
      <c r="C312" s="30">
        <f t="shared" si="4"/>
        <v>0.92</v>
      </c>
      <c r="D312" s="210">
        <v>0.79990291262135926</v>
      </c>
      <c r="E312" s="210">
        <v>0.27994174757281559</v>
      </c>
      <c r="F312" s="38">
        <v>0.30598058252427185</v>
      </c>
      <c r="G312" s="38">
        <v>0.4</v>
      </c>
    </row>
    <row r="313" spans="1:7" ht="15.75" thickBot="1">
      <c r="A313" s="156" t="s">
        <v>47</v>
      </c>
      <c r="B313" s="211">
        <v>1.18</v>
      </c>
      <c r="C313" s="30">
        <f t="shared" si="4"/>
        <v>1.03</v>
      </c>
      <c r="D313" s="210">
        <v>0.82533898305084752</v>
      </c>
      <c r="E313" s="210">
        <v>0.29520338983050848</v>
      </c>
      <c r="F313" s="38">
        <v>0.31793220338983053</v>
      </c>
      <c r="G313" s="38">
        <v>0.4</v>
      </c>
    </row>
    <row r="314" spans="1:7" ht="15.75" thickBot="1">
      <c r="A314" s="156" t="s">
        <v>48</v>
      </c>
      <c r="B314" s="211">
        <v>1.6</v>
      </c>
      <c r="C314" s="30">
        <f t="shared" si="4"/>
        <v>1.18</v>
      </c>
      <c r="D314" s="210">
        <v>0.8711875</v>
      </c>
      <c r="E314" s="210">
        <v>0.32271250000000001</v>
      </c>
      <c r="F314" s="38">
        <v>0.33947499999999997</v>
      </c>
      <c r="G314" s="38">
        <v>0.40000000000000008</v>
      </c>
    </row>
    <row r="315" spans="1:7" ht="15.75" thickBot="1">
      <c r="A315" s="156" t="s">
        <v>49</v>
      </c>
      <c r="B315" s="211">
        <v>2.3199999999999998</v>
      </c>
      <c r="C315" s="30">
        <f t="shared" si="4"/>
        <v>1.6</v>
      </c>
      <c r="D315" s="210">
        <v>0.91116379310344819</v>
      </c>
      <c r="E315" s="210">
        <v>0.34669827586206897</v>
      </c>
      <c r="F315" s="38">
        <v>0.35825862068965514</v>
      </c>
      <c r="G315" s="38">
        <v>0.4</v>
      </c>
    </row>
    <row r="316" spans="1:7" ht="15.75" thickBot="1">
      <c r="A316" s="156" t="s">
        <v>50</v>
      </c>
      <c r="B316" s="211">
        <v>2.89</v>
      </c>
      <c r="C316" s="30">
        <f t="shared" si="4"/>
        <v>2.3199999999999998</v>
      </c>
      <c r="D316" s="210">
        <v>0.92868512110726642</v>
      </c>
      <c r="E316" s="210">
        <v>0.35721107266435986</v>
      </c>
      <c r="F316" s="38">
        <v>0.3664913494809689</v>
      </c>
      <c r="G316" s="38">
        <v>0.4</v>
      </c>
    </row>
    <row r="317" spans="1:7" ht="15.75" thickBot="1">
      <c r="A317" s="156" t="s">
        <v>51</v>
      </c>
      <c r="B317" s="211">
        <v>3.83</v>
      </c>
      <c r="C317" s="30">
        <f t="shared" si="4"/>
        <v>2.89</v>
      </c>
      <c r="D317" s="210">
        <v>0.9461879895561357</v>
      </c>
      <c r="E317" s="210">
        <v>0.36771279373368149</v>
      </c>
      <c r="F317" s="38">
        <v>0.37471540469973896</v>
      </c>
      <c r="G317" s="38">
        <v>0.4</v>
      </c>
    </row>
    <row r="318" spans="1:7" ht="15.75" thickBot="1">
      <c r="A318" s="156" t="s">
        <v>52</v>
      </c>
      <c r="B318" s="211">
        <v>7.23</v>
      </c>
      <c r="C318" s="30">
        <f t="shared" si="4"/>
        <v>3.83</v>
      </c>
      <c r="D318" s="210">
        <v>0.97149377593360997</v>
      </c>
      <c r="E318" s="210">
        <v>0.38289626556016598</v>
      </c>
      <c r="F318" s="38">
        <v>0.38660580912863068</v>
      </c>
      <c r="G318" s="38">
        <v>0.4</v>
      </c>
    </row>
    <row r="319" spans="1:7" ht="15.75" thickBot="1">
      <c r="A319" s="156" t="s">
        <v>53</v>
      </c>
      <c r="B319" s="211">
        <v>21.65</v>
      </c>
      <c r="C319" s="30">
        <f>B318</f>
        <v>7.23</v>
      </c>
      <c r="D319" s="210">
        <v>0.99048036951501162</v>
      </c>
      <c r="E319" s="210">
        <v>0.39428822170900701</v>
      </c>
      <c r="F319" s="38">
        <v>0.3955270207852194</v>
      </c>
      <c r="G319" s="38">
        <v>0.4</v>
      </c>
    </row>
    <row r="320" spans="1:7" ht="15.75" thickBot="1">
      <c r="A320" s="3" t="s">
        <v>53</v>
      </c>
      <c r="B320" s="3" t="s">
        <v>139</v>
      </c>
      <c r="C320" s="30">
        <f t="shared" si="4"/>
        <v>21.65</v>
      </c>
      <c r="D320" s="22"/>
      <c r="E320" s="1"/>
      <c r="F320" s="37"/>
      <c r="G320" s="39"/>
    </row>
    <row r="321" spans="1:7" ht="15.75" thickBot="1">
      <c r="A321" s="3"/>
      <c r="B321" s="3">
        <v>36.799999999999997</v>
      </c>
      <c r="D321" s="4"/>
      <c r="E321" s="15">
        <v>9.3978968994378131E-2</v>
      </c>
      <c r="F321" s="26">
        <v>0.11370682207377772</v>
      </c>
      <c r="G321" s="26">
        <v>0.39999999999999986</v>
      </c>
    </row>
    <row r="322" spans="1:7" ht="60.75" thickBot="1">
      <c r="A322" s="5" t="s">
        <v>55</v>
      </c>
      <c r="B322" s="3"/>
      <c r="D322" s="4"/>
      <c r="E322" s="12">
        <v>0.34350000000000003</v>
      </c>
      <c r="F322" s="45">
        <v>0.26900000000000002</v>
      </c>
      <c r="G322" s="46">
        <v>0</v>
      </c>
    </row>
    <row r="323" spans="1:7" ht="60.75" thickBot="1">
      <c r="A323" s="5" t="s">
        <v>56</v>
      </c>
      <c r="B323" s="4">
        <v>2.39</v>
      </c>
      <c r="D323" s="1"/>
      <c r="E323" s="1"/>
      <c r="F323" s="37"/>
      <c r="G323" s="37"/>
    </row>
    <row r="324" spans="1:7" ht="97.5" thickBot="1">
      <c r="A324" s="6" t="s">
        <v>57</v>
      </c>
      <c r="B324" s="29">
        <v>1.4339999999999999</v>
      </c>
      <c r="D324" s="1"/>
      <c r="E324" s="1">
        <v>0.20610000000000001</v>
      </c>
      <c r="F324" s="37">
        <v>0.16140000000000002</v>
      </c>
      <c r="G324" s="37">
        <v>0</v>
      </c>
    </row>
    <row r="327" spans="1:7">
      <c r="A327" s="16" t="s">
        <v>64</v>
      </c>
      <c r="B327" s="17">
        <f>AVERAGE(B275:B314)</f>
        <v>0.34350000000000003</v>
      </c>
    </row>
    <row r="328" spans="1:7">
      <c r="A328" s="16" t="s">
        <v>65</v>
      </c>
      <c r="B328" s="18">
        <f>AVERAGE(B280:B309)</f>
        <v>0.26900000000000002</v>
      </c>
    </row>
    <row r="329" spans="1:7">
      <c r="A329" s="16" t="s">
        <v>66</v>
      </c>
      <c r="B329" s="18">
        <f>AVERAGE(B286:B304)</f>
        <v>0.25421052631578944</v>
      </c>
    </row>
    <row r="332" spans="1:7" ht="15.75" thickBot="1"/>
    <row r="333" spans="1:7" ht="15" customHeight="1" thickBot="1">
      <c r="A333" s="522" t="s">
        <v>0</v>
      </c>
      <c r="B333" s="525" t="s">
        <v>70</v>
      </c>
      <c r="C333" s="526"/>
      <c r="D333" s="527"/>
      <c r="E333" s="19">
        <f>(1-E388)^(1/3)-1</f>
        <v>0</v>
      </c>
      <c r="F333" s="19">
        <f>(1-F388)^(1/3)-1</f>
        <v>0</v>
      </c>
      <c r="G333" s="19"/>
    </row>
    <row r="334" spans="1:7" ht="72.75" thickBot="1">
      <c r="A334" s="523"/>
      <c r="B334" s="7" t="s">
        <v>4</v>
      </c>
      <c r="D334" s="11" t="s">
        <v>80</v>
      </c>
      <c r="E334" s="11" t="s">
        <v>5</v>
      </c>
      <c r="F334" s="39" t="s">
        <v>5</v>
      </c>
      <c r="G334" s="39"/>
    </row>
    <row r="335" spans="1:7" ht="25.5" thickBot="1">
      <c r="A335" s="524"/>
      <c r="B335" s="3" t="s">
        <v>72</v>
      </c>
      <c r="D335" s="20" t="s">
        <v>7</v>
      </c>
      <c r="E335" s="20" t="s">
        <v>7</v>
      </c>
      <c r="F335" s="20" t="s">
        <v>7</v>
      </c>
      <c r="G335" s="20"/>
    </row>
    <row r="336" spans="1:7" ht="15.75" thickBot="1">
      <c r="A336" s="50">
        <v>1</v>
      </c>
      <c r="B336" s="51">
        <v>2</v>
      </c>
      <c r="C336" s="117"/>
      <c r="D336" s="51">
        <v>3</v>
      </c>
      <c r="E336" s="51">
        <v>4</v>
      </c>
      <c r="F336" s="52">
        <v>5</v>
      </c>
      <c r="G336" s="52"/>
    </row>
    <row r="337" spans="1:7" ht="15.75" thickBot="1">
      <c r="A337" s="8" t="s">
        <v>10</v>
      </c>
      <c r="B337" s="24"/>
      <c r="C337">
        <v>0</v>
      </c>
      <c r="D337" s="14">
        <f t="shared" ref="D337:D368" si="5">IF(B337=0,0,IF(B337&lt;=E$391,0,B337-E$391)/B337)</f>
        <v>0</v>
      </c>
      <c r="E337" s="14"/>
      <c r="F337" s="38"/>
      <c r="G337" s="38"/>
    </row>
    <row r="338" spans="1:7" ht="15.75" thickBot="1">
      <c r="A338" s="8" t="s">
        <v>58</v>
      </c>
      <c r="B338" s="25"/>
      <c r="C338" s="30">
        <f>B337</f>
        <v>0</v>
      </c>
      <c r="D338" s="14">
        <f t="shared" si="5"/>
        <v>0</v>
      </c>
      <c r="E338" s="14"/>
      <c r="F338" s="38"/>
      <c r="G338" s="38"/>
    </row>
    <row r="339" spans="1:7" ht="15.75" thickBot="1">
      <c r="A339" s="8" t="s">
        <v>59</v>
      </c>
      <c r="B339" s="25"/>
      <c r="C339" s="30">
        <f t="shared" ref="C339:C387" si="6">B338</f>
        <v>0</v>
      </c>
      <c r="D339" s="14">
        <f t="shared" si="5"/>
        <v>0</v>
      </c>
      <c r="E339" s="14"/>
      <c r="F339" s="38"/>
      <c r="G339" s="38"/>
    </row>
    <row r="340" spans="1:7" ht="15.75" thickBot="1">
      <c r="A340" s="8" t="s">
        <v>60</v>
      </c>
      <c r="B340" s="25"/>
      <c r="C340" s="30">
        <f t="shared" si="6"/>
        <v>0</v>
      </c>
      <c r="D340" s="14">
        <f t="shared" si="5"/>
        <v>0</v>
      </c>
      <c r="E340" s="14"/>
      <c r="F340" s="38"/>
      <c r="G340" s="38"/>
    </row>
    <row r="341" spans="1:7" ht="15.75" thickBot="1">
      <c r="A341" s="8" t="s">
        <v>61</v>
      </c>
      <c r="B341" s="25"/>
      <c r="C341" s="30">
        <f t="shared" si="6"/>
        <v>0</v>
      </c>
      <c r="D341" s="14">
        <f t="shared" si="5"/>
        <v>0</v>
      </c>
      <c r="E341" s="14"/>
      <c r="F341" s="38"/>
      <c r="G341" s="38"/>
    </row>
    <row r="342" spans="1:7" ht="15.75" thickBot="1">
      <c r="A342" s="8" t="s">
        <v>62</v>
      </c>
      <c r="B342" s="25"/>
      <c r="C342" s="30">
        <f t="shared" si="6"/>
        <v>0</v>
      </c>
      <c r="D342" s="14">
        <f t="shared" si="5"/>
        <v>0</v>
      </c>
      <c r="E342" s="14"/>
      <c r="F342" s="38"/>
      <c r="G342" s="38"/>
    </row>
    <row r="343" spans="1:7" ht="15.75" thickBot="1">
      <c r="A343" s="8" t="s">
        <v>63</v>
      </c>
      <c r="B343" s="25"/>
      <c r="C343" s="30">
        <f t="shared" si="6"/>
        <v>0</v>
      </c>
      <c r="D343" s="14">
        <f t="shared" si="5"/>
        <v>0</v>
      </c>
      <c r="E343" s="14"/>
      <c r="F343" s="38"/>
      <c r="G343" s="38"/>
    </row>
    <row r="344" spans="1:7" ht="15.75" thickBot="1">
      <c r="A344" s="3" t="s">
        <v>11</v>
      </c>
      <c r="B344" s="25"/>
      <c r="C344" s="30">
        <f t="shared" si="6"/>
        <v>0</v>
      </c>
      <c r="D344" s="14">
        <f t="shared" si="5"/>
        <v>0</v>
      </c>
      <c r="E344" s="14"/>
      <c r="F344" s="38"/>
      <c r="G344" s="38"/>
    </row>
    <row r="345" spans="1:7" ht="15.75" thickBot="1">
      <c r="A345" s="3" t="s">
        <v>12</v>
      </c>
      <c r="B345" s="25"/>
      <c r="C345" s="30">
        <f t="shared" si="6"/>
        <v>0</v>
      </c>
      <c r="D345" s="14">
        <f t="shared" si="5"/>
        <v>0</v>
      </c>
      <c r="E345" s="14"/>
      <c r="F345" s="38"/>
      <c r="G345" s="38"/>
    </row>
    <row r="346" spans="1:7" ht="15.75" thickBot="1">
      <c r="A346" s="3" t="s">
        <v>13</v>
      </c>
      <c r="B346" s="25"/>
      <c r="C346" s="30">
        <f t="shared" si="6"/>
        <v>0</v>
      </c>
      <c r="D346" s="14">
        <f t="shared" si="5"/>
        <v>0</v>
      </c>
      <c r="E346" s="14"/>
      <c r="F346" s="38"/>
      <c r="G346" s="38"/>
    </row>
    <row r="347" spans="1:7" ht="15.75" thickBot="1">
      <c r="A347" s="3" t="s">
        <v>14</v>
      </c>
      <c r="B347" s="25"/>
      <c r="C347" s="30">
        <f t="shared" si="6"/>
        <v>0</v>
      </c>
      <c r="D347" s="14">
        <f t="shared" si="5"/>
        <v>0</v>
      </c>
      <c r="E347" s="14"/>
      <c r="F347" s="38"/>
      <c r="G347" s="38"/>
    </row>
    <row r="348" spans="1:7" ht="15.75" thickBot="1">
      <c r="A348" s="3" t="s">
        <v>15</v>
      </c>
      <c r="B348" s="25"/>
      <c r="C348" s="30">
        <f t="shared" si="6"/>
        <v>0</v>
      </c>
      <c r="D348" s="14">
        <f t="shared" si="5"/>
        <v>0</v>
      </c>
      <c r="E348" s="14"/>
      <c r="F348" s="38"/>
      <c r="G348" s="38"/>
    </row>
    <row r="349" spans="1:7" ht="15.75" thickBot="1">
      <c r="A349" s="3" t="s">
        <v>16</v>
      </c>
      <c r="B349" s="25"/>
      <c r="C349" s="30">
        <f t="shared" si="6"/>
        <v>0</v>
      </c>
      <c r="D349" s="14">
        <f t="shared" si="5"/>
        <v>0</v>
      </c>
      <c r="E349" s="14"/>
      <c r="F349" s="38"/>
      <c r="G349" s="38"/>
    </row>
    <row r="350" spans="1:7" ht="15.75" thickBot="1">
      <c r="A350" s="3" t="s">
        <v>17</v>
      </c>
      <c r="B350" s="25"/>
      <c r="C350" s="30">
        <f t="shared" si="6"/>
        <v>0</v>
      </c>
      <c r="D350" s="14">
        <f t="shared" si="5"/>
        <v>0</v>
      </c>
      <c r="E350" s="14"/>
      <c r="F350" s="38"/>
      <c r="G350" s="38"/>
    </row>
    <row r="351" spans="1:7" ht="15.75" thickBot="1">
      <c r="A351" s="3" t="s">
        <v>18</v>
      </c>
      <c r="B351" s="25"/>
      <c r="C351" s="30">
        <f t="shared" si="6"/>
        <v>0</v>
      </c>
      <c r="D351" s="14">
        <f t="shared" si="5"/>
        <v>0</v>
      </c>
      <c r="E351" s="14"/>
      <c r="F351" s="38"/>
      <c r="G351" s="38"/>
    </row>
    <row r="352" spans="1:7" ht="15.75" thickBot="1">
      <c r="A352" s="3" t="s">
        <v>19</v>
      </c>
      <c r="B352" s="25"/>
      <c r="C352" s="30">
        <f t="shared" si="6"/>
        <v>0</v>
      </c>
      <c r="D352" s="14">
        <f t="shared" si="5"/>
        <v>0</v>
      </c>
      <c r="E352" s="14"/>
      <c r="F352" s="38"/>
      <c r="G352" s="38"/>
    </row>
    <row r="353" spans="1:7" ht="15.75" thickBot="1">
      <c r="A353" s="3" t="s">
        <v>20</v>
      </c>
      <c r="B353" s="25"/>
      <c r="C353" s="30">
        <f t="shared" si="6"/>
        <v>0</v>
      </c>
      <c r="D353" s="14">
        <f t="shared" si="5"/>
        <v>0</v>
      </c>
      <c r="E353" s="14"/>
      <c r="F353" s="38"/>
      <c r="G353" s="38"/>
    </row>
    <row r="354" spans="1:7" ht="15.75" thickBot="1">
      <c r="A354" s="3" t="s">
        <v>21</v>
      </c>
      <c r="B354" s="25"/>
      <c r="C354" s="30">
        <f t="shared" si="6"/>
        <v>0</v>
      </c>
      <c r="D354" s="14">
        <f t="shared" si="5"/>
        <v>0</v>
      </c>
      <c r="E354" s="14"/>
      <c r="F354" s="38"/>
      <c r="G354" s="38"/>
    </row>
    <row r="355" spans="1:7" ht="15.75" thickBot="1">
      <c r="A355" s="3" t="s">
        <v>22</v>
      </c>
      <c r="B355" s="25"/>
      <c r="C355" s="30">
        <f t="shared" si="6"/>
        <v>0</v>
      </c>
      <c r="D355" s="14">
        <f t="shared" si="5"/>
        <v>0</v>
      </c>
      <c r="E355" s="14"/>
      <c r="F355" s="38"/>
      <c r="G355" s="38"/>
    </row>
    <row r="356" spans="1:7" ht="15.75" thickBot="1">
      <c r="A356" s="3" t="s">
        <v>23</v>
      </c>
      <c r="B356" s="25"/>
      <c r="C356" s="30">
        <f t="shared" si="6"/>
        <v>0</v>
      </c>
      <c r="D356" s="14">
        <f t="shared" si="5"/>
        <v>0</v>
      </c>
      <c r="E356" s="14"/>
      <c r="F356" s="38"/>
      <c r="G356" s="38"/>
    </row>
    <row r="357" spans="1:7" ht="15.75" thickBot="1">
      <c r="A357" s="3" t="s">
        <v>24</v>
      </c>
      <c r="B357" s="25"/>
      <c r="C357" s="30">
        <f t="shared" si="6"/>
        <v>0</v>
      </c>
      <c r="D357" s="14">
        <f t="shared" si="5"/>
        <v>0</v>
      </c>
      <c r="E357" s="14"/>
      <c r="F357" s="38"/>
      <c r="G357" s="38"/>
    </row>
    <row r="358" spans="1:7" ht="15.75" thickBot="1">
      <c r="A358" s="3" t="s">
        <v>25</v>
      </c>
      <c r="B358" s="25"/>
      <c r="C358" s="30">
        <f t="shared" si="6"/>
        <v>0</v>
      </c>
      <c r="D358" s="14">
        <f t="shared" si="5"/>
        <v>0</v>
      </c>
      <c r="E358" s="14"/>
      <c r="F358" s="38"/>
      <c r="G358" s="38"/>
    </row>
    <row r="359" spans="1:7" ht="15.75" thickBot="1">
      <c r="A359" s="3" t="s">
        <v>26</v>
      </c>
      <c r="B359" s="25"/>
      <c r="C359" s="30">
        <f t="shared" si="6"/>
        <v>0</v>
      </c>
      <c r="D359" s="14">
        <f t="shared" si="5"/>
        <v>0</v>
      </c>
      <c r="E359" s="14"/>
      <c r="F359" s="38"/>
      <c r="G359" s="38"/>
    </row>
    <row r="360" spans="1:7" ht="15.75" thickBot="1">
      <c r="A360" s="3" t="s">
        <v>27</v>
      </c>
      <c r="B360" s="25"/>
      <c r="C360" s="30">
        <f t="shared" si="6"/>
        <v>0</v>
      </c>
      <c r="D360" s="14">
        <f t="shared" si="5"/>
        <v>0</v>
      </c>
      <c r="E360" s="14"/>
      <c r="F360" s="38"/>
      <c r="G360" s="38"/>
    </row>
    <row r="361" spans="1:7" ht="15.75" thickBot="1">
      <c r="A361" s="3" t="s">
        <v>28</v>
      </c>
      <c r="B361" s="25"/>
      <c r="C361" s="30">
        <f t="shared" si="6"/>
        <v>0</v>
      </c>
      <c r="D361" s="14">
        <f t="shared" si="5"/>
        <v>0</v>
      </c>
      <c r="E361" s="14"/>
      <c r="F361" s="38"/>
      <c r="G361" s="38"/>
    </row>
    <row r="362" spans="1:7" ht="15.75" thickBot="1">
      <c r="A362" s="3" t="s">
        <v>29</v>
      </c>
      <c r="B362" s="25"/>
      <c r="C362" s="30">
        <f t="shared" si="6"/>
        <v>0</v>
      </c>
      <c r="D362" s="14">
        <f t="shared" si="5"/>
        <v>0</v>
      </c>
      <c r="E362" s="14"/>
      <c r="F362" s="38"/>
      <c r="G362" s="38"/>
    </row>
    <row r="363" spans="1:7" ht="15.75" thickBot="1">
      <c r="A363" s="3" t="s">
        <v>30</v>
      </c>
      <c r="B363" s="25"/>
      <c r="C363" s="30">
        <f t="shared" si="6"/>
        <v>0</v>
      </c>
      <c r="D363" s="14">
        <f t="shared" si="5"/>
        <v>0</v>
      </c>
      <c r="E363" s="14"/>
      <c r="F363" s="38"/>
      <c r="G363" s="38"/>
    </row>
    <row r="364" spans="1:7" ht="15.75" thickBot="1">
      <c r="A364" s="3" t="s">
        <v>31</v>
      </c>
      <c r="B364" s="25"/>
      <c r="C364" s="30">
        <f t="shared" si="6"/>
        <v>0</v>
      </c>
      <c r="D364" s="14">
        <f t="shared" si="5"/>
        <v>0</v>
      </c>
      <c r="E364" s="14"/>
      <c r="F364" s="38"/>
      <c r="G364" s="38"/>
    </row>
    <row r="365" spans="1:7" ht="15.75" thickBot="1">
      <c r="A365" s="3" t="s">
        <v>32</v>
      </c>
      <c r="B365" s="25"/>
      <c r="C365" s="30">
        <f t="shared" si="6"/>
        <v>0</v>
      </c>
      <c r="D365" s="14">
        <f t="shared" si="5"/>
        <v>0</v>
      </c>
      <c r="E365" s="14"/>
      <c r="F365" s="38"/>
      <c r="G365" s="38"/>
    </row>
    <row r="366" spans="1:7" ht="15.75" thickBot="1">
      <c r="A366" s="3" t="s">
        <v>33</v>
      </c>
      <c r="B366" s="25"/>
      <c r="C366" s="30">
        <f t="shared" si="6"/>
        <v>0</v>
      </c>
      <c r="D366" s="14">
        <f t="shared" si="5"/>
        <v>0</v>
      </c>
      <c r="E366" s="14"/>
      <c r="F366" s="38"/>
      <c r="G366" s="38"/>
    </row>
    <row r="367" spans="1:7" ht="15.75" thickBot="1">
      <c r="A367" s="3" t="s">
        <v>34</v>
      </c>
      <c r="B367" s="25"/>
      <c r="C367" s="30">
        <f t="shared" si="6"/>
        <v>0</v>
      </c>
      <c r="D367" s="14">
        <f t="shared" si="5"/>
        <v>0</v>
      </c>
      <c r="E367" s="14"/>
      <c r="F367" s="38"/>
      <c r="G367" s="38"/>
    </row>
    <row r="368" spans="1:7" ht="15.75" thickBot="1">
      <c r="A368" s="3" t="s">
        <v>35</v>
      </c>
      <c r="B368" s="25"/>
      <c r="C368" s="30">
        <f t="shared" si="6"/>
        <v>0</v>
      </c>
      <c r="D368" s="14">
        <f t="shared" si="5"/>
        <v>0</v>
      </c>
      <c r="E368" s="14"/>
      <c r="F368" s="38"/>
      <c r="G368" s="38"/>
    </row>
    <row r="369" spans="1:7" ht="15.75" thickBot="1">
      <c r="A369" s="3" t="s">
        <v>36</v>
      </c>
      <c r="B369" s="25"/>
      <c r="C369" s="30">
        <f t="shared" si="6"/>
        <v>0</v>
      </c>
      <c r="D369" s="14">
        <f t="shared" ref="D369:D386" si="7">IF(B369=0,0,IF(B369&lt;=E$391,0,B369-E$391)/B369)</f>
        <v>0</v>
      </c>
      <c r="E369" s="14"/>
      <c r="F369" s="38"/>
      <c r="G369" s="38"/>
    </row>
    <row r="370" spans="1:7" ht="15.75" thickBot="1">
      <c r="A370" s="3" t="s">
        <v>37</v>
      </c>
      <c r="B370" s="25"/>
      <c r="C370" s="30">
        <f t="shared" si="6"/>
        <v>0</v>
      </c>
      <c r="D370" s="14">
        <f t="shared" si="7"/>
        <v>0</v>
      </c>
      <c r="E370" s="14"/>
      <c r="F370" s="38"/>
      <c r="G370" s="38"/>
    </row>
    <row r="371" spans="1:7" ht="15.75" thickBot="1">
      <c r="A371" s="3" t="s">
        <v>38</v>
      </c>
      <c r="B371" s="25"/>
      <c r="C371" s="30">
        <f t="shared" si="6"/>
        <v>0</v>
      </c>
      <c r="D371" s="14">
        <f t="shared" si="7"/>
        <v>0</v>
      </c>
      <c r="E371" s="14"/>
      <c r="F371" s="38"/>
      <c r="G371" s="38"/>
    </row>
    <row r="372" spans="1:7" ht="15.75" thickBot="1">
      <c r="A372" s="3" t="s">
        <v>39</v>
      </c>
      <c r="B372" s="25"/>
      <c r="C372" s="30">
        <f t="shared" si="6"/>
        <v>0</v>
      </c>
      <c r="D372" s="14">
        <f t="shared" si="7"/>
        <v>0</v>
      </c>
      <c r="E372" s="14"/>
      <c r="F372" s="38"/>
      <c r="G372" s="38"/>
    </row>
    <row r="373" spans="1:7" ht="15.75" thickBot="1">
      <c r="A373" s="3" t="s">
        <v>40</v>
      </c>
      <c r="B373" s="25"/>
      <c r="C373" s="30">
        <f t="shared" si="6"/>
        <v>0</v>
      </c>
      <c r="D373" s="14">
        <f t="shared" si="7"/>
        <v>0</v>
      </c>
      <c r="E373" s="14"/>
      <c r="F373" s="38"/>
      <c r="G373" s="38"/>
    </row>
    <row r="374" spans="1:7" ht="15.75" thickBot="1">
      <c r="A374" s="3" t="s">
        <v>41</v>
      </c>
      <c r="B374" s="25"/>
      <c r="C374" s="30">
        <f t="shared" si="6"/>
        <v>0</v>
      </c>
      <c r="D374" s="14">
        <f t="shared" si="7"/>
        <v>0</v>
      </c>
      <c r="E374" s="14"/>
      <c r="F374" s="38"/>
      <c r="G374" s="38"/>
    </row>
    <row r="375" spans="1:7" ht="15.75" thickBot="1">
      <c r="A375" s="3" t="s">
        <v>42</v>
      </c>
      <c r="B375" s="25"/>
      <c r="C375" s="30">
        <f t="shared" si="6"/>
        <v>0</v>
      </c>
      <c r="D375" s="14">
        <f t="shared" si="7"/>
        <v>0</v>
      </c>
      <c r="E375" s="14"/>
      <c r="F375" s="38"/>
      <c r="G375" s="38"/>
    </row>
    <row r="376" spans="1:7" ht="15.75" thickBot="1">
      <c r="A376" s="3" t="s">
        <v>43</v>
      </c>
      <c r="B376" s="25"/>
      <c r="C376" s="30">
        <f t="shared" si="6"/>
        <v>0</v>
      </c>
      <c r="D376" s="14">
        <f t="shared" si="7"/>
        <v>0</v>
      </c>
      <c r="E376" s="14"/>
      <c r="F376" s="38"/>
      <c r="G376" s="38"/>
    </row>
    <row r="377" spans="1:7" ht="15.75" thickBot="1">
      <c r="A377" s="3" t="s">
        <v>44</v>
      </c>
      <c r="B377" s="25"/>
      <c r="C377" s="30">
        <f t="shared" si="6"/>
        <v>0</v>
      </c>
      <c r="D377" s="14">
        <f t="shared" si="7"/>
        <v>0</v>
      </c>
      <c r="E377" s="14"/>
      <c r="F377" s="38"/>
      <c r="G377" s="38"/>
    </row>
    <row r="378" spans="1:7" ht="15.75" thickBot="1">
      <c r="A378" s="3" t="s">
        <v>45</v>
      </c>
      <c r="B378" s="25"/>
      <c r="C378" s="30">
        <f t="shared" si="6"/>
        <v>0</v>
      </c>
      <c r="D378" s="14">
        <f t="shared" si="7"/>
        <v>0</v>
      </c>
      <c r="E378" s="14"/>
      <c r="F378" s="38"/>
      <c r="G378" s="38"/>
    </row>
    <row r="379" spans="1:7" ht="15.75" thickBot="1">
      <c r="A379" s="3" t="s">
        <v>46</v>
      </c>
      <c r="B379" s="25"/>
      <c r="C379" s="30">
        <f t="shared" si="6"/>
        <v>0</v>
      </c>
      <c r="D379" s="14">
        <f t="shared" si="7"/>
        <v>0</v>
      </c>
      <c r="E379" s="14"/>
      <c r="F379" s="38"/>
      <c r="G379" s="38"/>
    </row>
    <row r="380" spans="1:7" ht="15.75" thickBot="1">
      <c r="A380" s="3" t="s">
        <v>47</v>
      </c>
      <c r="B380" s="25"/>
      <c r="C380" s="30">
        <f t="shared" si="6"/>
        <v>0</v>
      </c>
      <c r="D380" s="14">
        <f t="shared" si="7"/>
        <v>0</v>
      </c>
      <c r="E380" s="14"/>
      <c r="F380" s="38"/>
      <c r="G380" s="38"/>
    </row>
    <row r="381" spans="1:7" ht="15.75" thickBot="1">
      <c r="A381" s="3" t="s">
        <v>48</v>
      </c>
      <c r="B381" s="25"/>
      <c r="C381" s="30">
        <f t="shared" si="6"/>
        <v>0</v>
      </c>
      <c r="D381" s="14">
        <f t="shared" si="7"/>
        <v>0</v>
      </c>
      <c r="E381" s="14"/>
      <c r="F381" s="38"/>
      <c r="G381" s="38"/>
    </row>
    <row r="382" spans="1:7" ht="15.75" thickBot="1">
      <c r="A382" s="3" t="s">
        <v>49</v>
      </c>
      <c r="B382" s="25"/>
      <c r="C382" s="30">
        <f t="shared" si="6"/>
        <v>0</v>
      </c>
      <c r="D382" s="14">
        <f t="shared" si="7"/>
        <v>0</v>
      </c>
      <c r="E382" s="14"/>
      <c r="F382" s="38"/>
      <c r="G382" s="38"/>
    </row>
    <row r="383" spans="1:7" ht="15.75" thickBot="1">
      <c r="A383" s="3" t="s">
        <v>50</v>
      </c>
      <c r="B383" s="25"/>
      <c r="C383" s="30">
        <f t="shared" si="6"/>
        <v>0</v>
      </c>
      <c r="D383" s="14">
        <f t="shared" si="7"/>
        <v>0</v>
      </c>
      <c r="E383" s="14"/>
      <c r="F383" s="38"/>
      <c r="G383" s="38"/>
    </row>
    <row r="384" spans="1:7" ht="15.75" thickBot="1">
      <c r="A384" s="3" t="s">
        <v>51</v>
      </c>
      <c r="B384" s="25"/>
      <c r="C384" s="30">
        <f t="shared" si="6"/>
        <v>0</v>
      </c>
      <c r="D384" s="14">
        <f t="shared" si="7"/>
        <v>0</v>
      </c>
      <c r="E384" s="14"/>
      <c r="F384" s="38"/>
      <c r="G384" s="38"/>
    </row>
    <row r="385" spans="1:7" ht="15.75" thickBot="1">
      <c r="A385" s="3" t="s">
        <v>52</v>
      </c>
      <c r="B385" s="25"/>
      <c r="C385" s="30">
        <f t="shared" si="6"/>
        <v>0</v>
      </c>
      <c r="D385" s="14">
        <f t="shared" si="7"/>
        <v>0</v>
      </c>
      <c r="E385" s="14"/>
      <c r="F385" s="38"/>
      <c r="G385" s="38"/>
    </row>
    <row r="386" spans="1:7" ht="15.75" thickBot="1">
      <c r="A386" s="3" t="s">
        <v>53</v>
      </c>
      <c r="B386" s="23"/>
      <c r="C386" s="30">
        <f>B385</f>
        <v>0</v>
      </c>
      <c r="D386" s="14">
        <f t="shared" si="7"/>
        <v>0</v>
      </c>
      <c r="E386" s="14"/>
      <c r="F386" s="38"/>
      <c r="G386" s="38"/>
    </row>
    <row r="387" spans="1:7" ht="15.75" thickBot="1">
      <c r="A387" s="3" t="s">
        <v>53</v>
      </c>
      <c r="B387" s="3"/>
      <c r="C387" s="30">
        <f t="shared" si="6"/>
        <v>0</v>
      </c>
      <c r="D387" s="22" t="s">
        <v>69</v>
      </c>
      <c r="E387" s="1"/>
      <c r="F387" s="37"/>
      <c r="G387" s="39"/>
    </row>
    <row r="388" spans="1:7" ht="15.75" thickBot="1">
      <c r="A388" s="3"/>
      <c r="B388" s="3"/>
      <c r="D388" s="4" t="s">
        <v>69</v>
      </c>
      <c r="E388" s="15"/>
      <c r="F388" s="26"/>
      <c r="G388" s="26"/>
    </row>
    <row r="389" spans="1:7" ht="60.75" thickBot="1">
      <c r="A389" s="5" t="s">
        <v>55</v>
      </c>
      <c r="B389" s="3"/>
      <c r="D389" s="4" t="s">
        <v>69</v>
      </c>
      <c r="E389" s="12"/>
      <c r="F389" s="45"/>
      <c r="G389" s="46"/>
    </row>
    <row r="390" spans="1:7" ht="60.75" thickBot="1">
      <c r="A390" s="5" t="s">
        <v>56</v>
      </c>
      <c r="B390" s="4"/>
      <c r="D390" s="1"/>
      <c r="E390" s="1"/>
      <c r="F390" s="37"/>
      <c r="G390" s="37"/>
    </row>
    <row r="391" spans="1:7" ht="97.5" thickBot="1">
      <c r="A391" s="6" t="s">
        <v>57</v>
      </c>
      <c r="B391" s="29"/>
      <c r="D391" s="1"/>
      <c r="E391" s="1"/>
      <c r="F391" s="37"/>
      <c r="G391" s="37"/>
    </row>
    <row r="394" spans="1:7">
      <c r="A394" s="16" t="s">
        <v>64</v>
      </c>
      <c r="B394" s="17" t="e">
        <f>AVERAGE(B342:B381)</f>
        <v>#DIV/0!</v>
      </c>
    </row>
    <row r="395" spans="1:7">
      <c r="A395" s="16" t="s">
        <v>65</v>
      </c>
      <c r="B395" s="18" t="e">
        <f>AVERAGE(B347:B376)</f>
        <v>#DIV/0!</v>
      </c>
    </row>
    <row r="396" spans="1:7">
      <c r="A396" s="16" t="s">
        <v>66</v>
      </c>
      <c r="B396" s="18" t="e">
        <f>AVERAGE(B353:B371)</f>
        <v>#DIV/0!</v>
      </c>
    </row>
    <row r="400" spans="1:7" ht="15.75" thickBot="1"/>
    <row r="401" spans="1:7" ht="15.75" thickBot="1">
      <c r="A401" s="522" t="s">
        <v>0</v>
      </c>
      <c r="B401" s="532" t="s">
        <v>71</v>
      </c>
      <c r="C401" s="533"/>
      <c r="D401" s="534"/>
      <c r="E401" s="19">
        <f>(1-E456)^(1/3)-1</f>
        <v>0</v>
      </c>
      <c r="F401" s="19">
        <f>(1-F456)^(1/3)-1</f>
        <v>0</v>
      </c>
      <c r="G401" s="19"/>
    </row>
    <row r="402" spans="1:7" ht="72.75" thickBot="1">
      <c r="A402" s="523"/>
      <c r="B402" s="7" t="s">
        <v>4</v>
      </c>
      <c r="C402">
        <v>0</v>
      </c>
      <c r="D402" s="1" t="s">
        <v>5</v>
      </c>
      <c r="E402" s="1" t="s">
        <v>5</v>
      </c>
      <c r="F402" s="37" t="s">
        <v>5</v>
      </c>
      <c r="G402" s="37"/>
    </row>
    <row r="403" spans="1:7" ht="73.5" thickBot="1">
      <c r="A403" s="524"/>
      <c r="B403" s="4" t="s">
        <v>73</v>
      </c>
      <c r="C403" s="30" t="str">
        <f>B402</f>
        <v>Фактическое удельное годовое потребление</v>
      </c>
      <c r="D403" s="20" t="s">
        <v>7</v>
      </c>
      <c r="E403" s="9" t="s">
        <v>65</v>
      </c>
      <c r="F403" s="47"/>
      <c r="G403" s="48"/>
    </row>
    <row r="404" spans="1:7" ht="25.5" thickBot="1">
      <c r="A404" s="2">
        <v>1</v>
      </c>
      <c r="B404" s="2"/>
      <c r="C404" s="30" t="str">
        <f t="shared" ref="C404:C452" si="8">B403</f>
        <v>кгут / кв. м</v>
      </c>
      <c r="D404" s="4" t="s">
        <v>73</v>
      </c>
      <c r="E404" s="10">
        <v>5</v>
      </c>
      <c r="F404" s="43">
        <v>6</v>
      </c>
      <c r="G404" s="44"/>
    </row>
    <row r="405" spans="1:7" ht="15.75" thickBot="1">
      <c r="A405" s="8" t="s">
        <v>10</v>
      </c>
      <c r="B405" s="3"/>
      <c r="C405" s="30">
        <f t="shared" si="8"/>
        <v>0</v>
      </c>
      <c r="D405" s="21"/>
      <c r="E405" s="14"/>
      <c r="F405" s="38"/>
      <c r="G405" s="38"/>
    </row>
    <row r="406" spans="1:7" ht="15.75" thickBot="1">
      <c r="A406" s="8" t="s">
        <v>58</v>
      </c>
      <c r="B406" s="3"/>
      <c r="C406" s="30">
        <f t="shared" si="8"/>
        <v>0</v>
      </c>
      <c r="D406" s="4"/>
      <c r="E406" s="14"/>
      <c r="F406" s="38"/>
      <c r="G406" s="38"/>
    </row>
    <row r="407" spans="1:7" ht="15.75" thickBot="1">
      <c r="A407" s="8" t="s">
        <v>59</v>
      </c>
      <c r="B407" s="3"/>
      <c r="C407" s="30">
        <f t="shared" si="8"/>
        <v>0</v>
      </c>
      <c r="D407" s="4"/>
      <c r="E407" s="14"/>
      <c r="F407" s="38"/>
      <c r="G407" s="38"/>
    </row>
    <row r="408" spans="1:7" ht="15.75" thickBot="1">
      <c r="A408" s="8" t="s">
        <v>60</v>
      </c>
      <c r="B408" s="3"/>
      <c r="C408" s="30">
        <f t="shared" si="8"/>
        <v>0</v>
      </c>
      <c r="D408" s="4"/>
      <c r="E408" s="14"/>
      <c r="F408" s="38"/>
      <c r="G408" s="38"/>
    </row>
    <row r="409" spans="1:7" ht="15.75" thickBot="1">
      <c r="A409" s="8" t="s">
        <v>61</v>
      </c>
      <c r="B409" s="3"/>
      <c r="C409" s="30">
        <f t="shared" si="8"/>
        <v>0</v>
      </c>
      <c r="D409" s="4"/>
      <c r="E409" s="14"/>
      <c r="F409" s="38"/>
      <c r="G409" s="38"/>
    </row>
    <row r="410" spans="1:7" ht="15.75" thickBot="1">
      <c r="A410" s="8" t="s">
        <v>62</v>
      </c>
      <c r="B410" s="3"/>
      <c r="C410" s="30">
        <f t="shared" si="8"/>
        <v>0</v>
      </c>
      <c r="D410" s="4"/>
      <c r="E410" s="14"/>
      <c r="F410" s="38"/>
      <c r="G410" s="38"/>
    </row>
    <row r="411" spans="1:7" ht="15.75" thickBot="1">
      <c r="A411" s="8" t="s">
        <v>63</v>
      </c>
      <c r="B411" s="3"/>
      <c r="C411" s="30">
        <f t="shared" si="8"/>
        <v>0</v>
      </c>
      <c r="D411" s="4"/>
      <c r="E411" s="14"/>
      <c r="F411" s="38"/>
      <c r="G411" s="38"/>
    </row>
    <row r="412" spans="1:7" ht="15.75" thickBot="1">
      <c r="A412" s="3" t="s">
        <v>11</v>
      </c>
      <c r="B412" s="3"/>
      <c r="C412" s="30">
        <f t="shared" si="8"/>
        <v>0</v>
      </c>
      <c r="D412" s="4"/>
      <c r="E412" s="14"/>
      <c r="F412" s="38"/>
      <c r="G412" s="38"/>
    </row>
    <row r="413" spans="1:7" ht="15.75" thickBot="1">
      <c r="A413" s="3" t="s">
        <v>12</v>
      </c>
      <c r="B413" s="3"/>
      <c r="C413" s="30">
        <f t="shared" si="8"/>
        <v>0</v>
      </c>
      <c r="D413" s="4"/>
      <c r="E413" s="14"/>
      <c r="F413" s="38"/>
      <c r="G413" s="38"/>
    </row>
    <row r="414" spans="1:7" ht="15.75" thickBot="1">
      <c r="A414" s="3" t="s">
        <v>13</v>
      </c>
      <c r="B414" s="3"/>
      <c r="C414" s="30">
        <f t="shared" si="8"/>
        <v>0</v>
      </c>
      <c r="D414" s="4"/>
      <c r="E414" s="14"/>
      <c r="F414" s="38"/>
      <c r="G414" s="38"/>
    </row>
    <row r="415" spans="1:7" ht="15.75" thickBot="1">
      <c r="A415" s="3" t="s">
        <v>14</v>
      </c>
      <c r="B415" s="3"/>
      <c r="C415" s="30">
        <f t="shared" si="8"/>
        <v>0</v>
      </c>
      <c r="D415" s="4"/>
      <c r="E415" s="14"/>
      <c r="F415" s="38"/>
      <c r="G415" s="38"/>
    </row>
    <row r="416" spans="1:7" ht="15.75" thickBot="1">
      <c r="A416" s="3" t="s">
        <v>15</v>
      </c>
      <c r="B416" s="3"/>
      <c r="C416" s="30">
        <f t="shared" si="8"/>
        <v>0</v>
      </c>
      <c r="D416" s="4"/>
      <c r="E416" s="14"/>
      <c r="F416" s="38"/>
      <c r="G416" s="38"/>
    </row>
    <row r="417" spans="1:7" ht="15.75" thickBot="1">
      <c r="A417" s="3" t="s">
        <v>16</v>
      </c>
      <c r="B417" s="3"/>
      <c r="C417" s="30">
        <f t="shared" si="8"/>
        <v>0</v>
      </c>
      <c r="D417" s="4"/>
      <c r="E417" s="14"/>
      <c r="F417" s="38"/>
      <c r="G417" s="38"/>
    </row>
    <row r="418" spans="1:7" ht="15.75" thickBot="1">
      <c r="A418" s="3" t="s">
        <v>17</v>
      </c>
      <c r="B418" s="3"/>
      <c r="C418" s="30">
        <f t="shared" si="8"/>
        <v>0</v>
      </c>
      <c r="D418" s="4"/>
      <c r="E418" s="14"/>
      <c r="F418" s="38"/>
      <c r="G418" s="38"/>
    </row>
    <row r="419" spans="1:7" ht="15.75" thickBot="1">
      <c r="A419" s="3" t="s">
        <v>18</v>
      </c>
      <c r="B419" s="3"/>
      <c r="C419" s="30">
        <f t="shared" si="8"/>
        <v>0</v>
      </c>
      <c r="D419" s="4"/>
      <c r="E419" s="14"/>
      <c r="F419" s="38"/>
      <c r="G419" s="38"/>
    </row>
    <row r="420" spans="1:7" ht="15.75" thickBot="1">
      <c r="A420" s="3" t="s">
        <v>19</v>
      </c>
      <c r="B420" s="3"/>
      <c r="C420" s="30">
        <f t="shared" si="8"/>
        <v>0</v>
      </c>
      <c r="D420" s="4"/>
      <c r="E420" s="14"/>
      <c r="F420" s="38"/>
      <c r="G420" s="38"/>
    </row>
    <row r="421" spans="1:7" ht="15.75" thickBot="1">
      <c r="A421" s="3" t="s">
        <v>20</v>
      </c>
      <c r="B421" s="3"/>
      <c r="C421" s="30">
        <f t="shared" si="8"/>
        <v>0</v>
      </c>
      <c r="D421" s="4"/>
      <c r="E421" s="14"/>
      <c r="F421" s="38"/>
      <c r="G421" s="38"/>
    </row>
    <row r="422" spans="1:7" ht="15.75" thickBot="1">
      <c r="A422" s="3" t="s">
        <v>21</v>
      </c>
      <c r="B422" s="3"/>
      <c r="C422" s="30">
        <f t="shared" si="8"/>
        <v>0</v>
      </c>
      <c r="D422" s="4"/>
      <c r="E422" s="14"/>
      <c r="F422" s="38"/>
      <c r="G422" s="38"/>
    </row>
    <row r="423" spans="1:7" ht="15.75" thickBot="1">
      <c r="A423" s="3" t="s">
        <v>22</v>
      </c>
      <c r="B423" s="3"/>
      <c r="C423" s="30">
        <f t="shared" si="8"/>
        <v>0</v>
      </c>
      <c r="D423" s="4"/>
      <c r="E423" s="14"/>
      <c r="F423" s="38"/>
      <c r="G423" s="38"/>
    </row>
    <row r="424" spans="1:7" ht="15.75" thickBot="1">
      <c r="A424" s="3" t="s">
        <v>23</v>
      </c>
      <c r="B424" s="3"/>
      <c r="C424" s="30">
        <f t="shared" si="8"/>
        <v>0</v>
      </c>
      <c r="D424" s="4"/>
      <c r="E424" s="14"/>
      <c r="F424" s="38"/>
      <c r="G424" s="38"/>
    </row>
    <row r="425" spans="1:7" ht="15.75" thickBot="1">
      <c r="A425" s="3" t="s">
        <v>24</v>
      </c>
      <c r="B425" s="3"/>
      <c r="C425" s="30">
        <f t="shared" si="8"/>
        <v>0</v>
      </c>
      <c r="D425" s="4"/>
      <c r="E425" s="14"/>
      <c r="F425" s="38"/>
      <c r="G425" s="38"/>
    </row>
    <row r="426" spans="1:7" ht="15.75" thickBot="1">
      <c r="A426" s="3" t="s">
        <v>25</v>
      </c>
      <c r="B426" s="3"/>
      <c r="C426" s="30">
        <f t="shared" si="8"/>
        <v>0</v>
      </c>
      <c r="D426" s="4"/>
      <c r="E426" s="14"/>
      <c r="F426" s="38"/>
      <c r="G426" s="38"/>
    </row>
    <row r="427" spans="1:7" ht="15.75" thickBot="1">
      <c r="A427" s="3" t="s">
        <v>26</v>
      </c>
      <c r="B427" s="3"/>
      <c r="C427" s="30">
        <f t="shared" si="8"/>
        <v>0</v>
      </c>
      <c r="D427" s="4"/>
      <c r="E427" s="14"/>
      <c r="F427" s="38"/>
      <c r="G427" s="38"/>
    </row>
    <row r="428" spans="1:7" ht="15.75" thickBot="1">
      <c r="A428" s="3" t="s">
        <v>27</v>
      </c>
      <c r="B428" s="3"/>
      <c r="C428" s="30">
        <f t="shared" si="8"/>
        <v>0</v>
      </c>
      <c r="D428" s="4"/>
      <c r="E428" s="14"/>
      <c r="F428" s="38"/>
      <c r="G428" s="38"/>
    </row>
    <row r="429" spans="1:7" ht="15.75" thickBot="1">
      <c r="A429" s="3" t="s">
        <v>28</v>
      </c>
      <c r="B429" s="3"/>
      <c r="C429" s="30">
        <f t="shared" si="8"/>
        <v>0</v>
      </c>
      <c r="D429" s="4"/>
      <c r="E429" s="14"/>
      <c r="F429" s="38"/>
      <c r="G429" s="38"/>
    </row>
    <row r="430" spans="1:7" ht="15.75" thickBot="1">
      <c r="A430" s="3" t="s">
        <v>29</v>
      </c>
      <c r="B430" s="3"/>
      <c r="C430" s="30">
        <f t="shared" si="8"/>
        <v>0</v>
      </c>
      <c r="D430" s="4"/>
      <c r="E430" s="14"/>
      <c r="F430" s="38"/>
      <c r="G430" s="38"/>
    </row>
    <row r="431" spans="1:7" ht="15.75" thickBot="1">
      <c r="A431" s="3" t="s">
        <v>30</v>
      </c>
      <c r="B431" s="3"/>
      <c r="C431" s="30">
        <f t="shared" si="8"/>
        <v>0</v>
      </c>
      <c r="D431" s="4"/>
      <c r="E431" s="14"/>
      <c r="F431" s="38"/>
      <c r="G431" s="38"/>
    </row>
    <row r="432" spans="1:7" ht="15.75" thickBot="1">
      <c r="A432" s="3" t="s">
        <v>31</v>
      </c>
      <c r="B432" s="3"/>
      <c r="C432" s="30">
        <f t="shared" si="8"/>
        <v>0</v>
      </c>
      <c r="D432" s="4"/>
      <c r="E432" s="14"/>
      <c r="F432" s="38"/>
      <c r="G432" s="38"/>
    </row>
    <row r="433" spans="1:7" ht="15.75" thickBot="1">
      <c r="A433" s="3" t="s">
        <v>32</v>
      </c>
      <c r="B433" s="3"/>
      <c r="C433" s="30">
        <f t="shared" si="8"/>
        <v>0</v>
      </c>
      <c r="D433" s="4"/>
      <c r="E433" s="14"/>
      <c r="F433" s="38"/>
      <c r="G433" s="38"/>
    </row>
    <row r="434" spans="1:7" ht="15.75" thickBot="1">
      <c r="A434" s="3" t="s">
        <v>33</v>
      </c>
      <c r="B434" s="3"/>
      <c r="C434" s="30">
        <f t="shared" si="8"/>
        <v>0</v>
      </c>
      <c r="D434" s="4"/>
      <c r="E434" s="14"/>
      <c r="F434" s="38"/>
      <c r="G434" s="38"/>
    </row>
    <row r="435" spans="1:7" ht="15.75" thickBot="1">
      <c r="A435" s="3" t="s">
        <v>34</v>
      </c>
      <c r="B435" s="3"/>
      <c r="C435" s="30">
        <f t="shared" si="8"/>
        <v>0</v>
      </c>
      <c r="D435" s="4"/>
      <c r="E435" s="14"/>
      <c r="F435" s="38"/>
      <c r="G435" s="38"/>
    </row>
    <row r="436" spans="1:7" ht="15.75" thickBot="1">
      <c r="A436" s="3" t="s">
        <v>35</v>
      </c>
      <c r="B436" s="3"/>
      <c r="C436" s="30">
        <f t="shared" si="8"/>
        <v>0</v>
      </c>
      <c r="D436" s="4"/>
      <c r="E436" s="14"/>
      <c r="F436" s="38"/>
      <c r="G436" s="38"/>
    </row>
    <row r="437" spans="1:7" ht="15.75" thickBot="1">
      <c r="A437" s="3" t="s">
        <v>36</v>
      </c>
      <c r="B437" s="3"/>
      <c r="C437" s="30">
        <f t="shared" si="8"/>
        <v>0</v>
      </c>
      <c r="D437" s="4"/>
      <c r="E437" s="14"/>
      <c r="F437" s="38"/>
      <c r="G437" s="38"/>
    </row>
    <row r="438" spans="1:7" ht="15.75" thickBot="1">
      <c r="A438" s="3" t="s">
        <v>37</v>
      </c>
      <c r="B438" s="3"/>
      <c r="C438" s="30">
        <f t="shared" si="8"/>
        <v>0</v>
      </c>
      <c r="D438" s="4"/>
      <c r="E438" s="14"/>
      <c r="F438" s="38"/>
      <c r="G438" s="38"/>
    </row>
    <row r="439" spans="1:7" ht="15.75" thickBot="1">
      <c r="A439" s="3" t="s">
        <v>38</v>
      </c>
      <c r="B439" s="3"/>
      <c r="C439" s="30">
        <f t="shared" si="8"/>
        <v>0</v>
      </c>
      <c r="D439" s="4"/>
      <c r="E439" s="14"/>
      <c r="F439" s="38"/>
      <c r="G439" s="38"/>
    </row>
    <row r="440" spans="1:7" ht="15.75" thickBot="1">
      <c r="A440" s="3" t="s">
        <v>39</v>
      </c>
      <c r="B440" s="3"/>
      <c r="C440" s="30">
        <f t="shared" si="8"/>
        <v>0</v>
      </c>
      <c r="D440" s="4"/>
      <c r="E440" s="14"/>
      <c r="F440" s="38"/>
      <c r="G440" s="38"/>
    </row>
    <row r="441" spans="1:7" ht="15.75" thickBot="1">
      <c r="A441" s="3" t="s">
        <v>40</v>
      </c>
      <c r="B441" s="3"/>
      <c r="C441" s="30">
        <f t="shared" si="8"/>
        <v>0</v>
      </c>
      <c r="D441" s="4"/>
      <c r="E441" s="14"/>
      <c r="F441" s="38"/>
      <c r="G441" s="38"/>
    </row>
    <row r="442" spans="1:7" ht="15.75" thickBot="1">
      <c r="A442" s="3" t="s">
        <v>41</v>
      </c>
      <c r="B442" s="3"/>
      <c r="C442" s="30">
        <f t="shared" si="8"/>
        <v>0</v>
      </c>
      <c r="D442" s="4"/>
      <c r="E442" s="14"/>
      <c r="F442" s="38"/>
      <c r="G442" s="38"/>
    </row>
    <row r="443" spans="1:7" ht="15.75" thickBot="1">
      <c r="A443" s="3" t="s">
        <v>42</v>
      </c>
      <c r="B443" s="3"/>
      <c r="C443" s="30">
        <f t="shared" si="8"/>
        <v>0</v>
      </c>
      <c r="D443" s="4"/>
      <c r="E443" s="14"/>
      <c r="F443" s="38"/>
      <c r="G443" s="38"/>
    </row>
    <row r="444" spans="1:7" ht="15.75" thickBot="1">
      <c r="A444" s="3" t="s">
        <v>43</v>
      </c>
      <c r="B444" s="3"/>
      <c r="C444" s="30">
        <f t="shared" si="8"/>
        <v>0</v>
      </c>
      <c r="D444" s="4"/>
      <c r="E444" s="14"/>
      <c r="F444" s="38"/>
      <c r="G444" s="38"/>
    </row>
    <row r="445" spans="1:7" ht="15.75" thickBot="1">
      <c r="A445" s="3" t="s">
        <v>44</v>
      </c>
      <c r="B445" s="3"/>
      <c r="C445" s="30">
        <f t="shared" si="8"/>
        <v>0</v>
      </c>
      <c r="D445" s="4"/>
      <c r="E445" s="14"/>
      <c r="F445" s="38"/>
      <c r="G445" s="38"/>
    </row>
    <row r="446" spans="1:7" ht="15.75" thickBot="1">
      <c r="A446" s="3" t="s">
        <v>45</v>
      </c>
      <c r="B446" s="3"/>
      <c r="C446" s="30">
        <f t="shared" si="8"/>
        <v>0</v>
      </c>
      <c r="D446" s="4"/>
      <c r="E446" s="14"/>
      <c r="F446" s="38"/>
      <c r="G446" s="38"/>
    </row>
    <row r="447" spans="1:7" ht="15.75" thickBot="1">
      <c r="A447" s="3" t="s">
        <v>46</v>
      </c>
      <c r="B447" s="3"/>
      <c r="C447" s="30">
        <f t="shared" si="8"/>
        <v>0</v>
      </c>
      <c r="D447" s="4"/>
      <c r="E447" s="14"/>
      <c r="F447" s="38"/>
      <c r="G447" s="38"/>
    </row>
    <row r="448" spans="1:7" ht="15.75" thickBot="1">
      <c r="A448" s="3" t="s">
        <v>47</v>
      </c>
      <c r="B448" s="3"/>
      <c r="C448" s="30">
        <f t="shared" si="8"/>
        <v>0</v>
      </c>
      <c r="D448" s="4"/>
      <c r="E448" s="14"/>
      <c r="F448" s="38"/>
      <c r="G448" s="38"/>
    </row>
    <row r="449" spans="1:7" ht="15.75" thickBot="1">
      <c r="A449" s="3" t="s">
        <v>48</v>
      </c>
      <c r="B449" s="3"/>
      <c r="C449" s="30">
        <f t="shared" si="8"/>
        <v>0</v>
      </c>
      <c r="D449" s="4"/>
      <c r="E449" s="14"/>
      <c r="F449" s="38"/>
      <c r="G449" s="38"/>
    </row>
    <row r="450" spans="1:7" ht="15.75" thickBot="1">
      <c r="A450" s="3" t="s">
        <v>49</v>
      </c>
      <c r="B450" s="3"/>
      <c r="C450" s="30">
        <f t="shared" si="8"/>
        <v>0</v>
      </c>
      <c r="D450" s="4"/>
      <c r="E450" s="14"/>
      <c r="F450" s="38"/>
      <c r="G450" s="38"/>
    </row>
    <row r="451" spans="1:7" ht="15.75" thickBot="1">
      <c r="A451" s="3" t="s">
        <v>50</v>
      </c>
      <c r="B451" s="3"/>
      <c r="C451" s="30">
        <f>B450</f>
        <v>0</v>
      </c>
      <c r="D451" s="4"/>
      <c r="E451" s="14"/>
      <c r="F451" s="38"/>
      <c r="G451" s="38"/>
    </row>
    <row r="452" spans="1:7" ht="15.75" thickBot="1">
      <c r="A452" s="3" t="s">
        <v>51</v>
      </c>
      <c r="B452" s="3"/>
      <c r="C452" s="30">
        <f t="shared" si="8"/>
        <v>0</v>
      </c>
      <c r="D452" s="4"/>
      <c r="E452" s="14"/>
      <c r="F452" s="38"/>
      <c r="G452" s="38"/>
    </row>
    <row r="453" spans="1:7" ht="15.75" thickBot="1">
      <c r="A453" s="3" t="s">
        <v>52</v>
      </c>
      <c r="B453" s="3"/>
      <c r="D453" s="4"/>
      <c r="E453" s="14"/>
      <c r="F453" s="38"/>
      <c r="G453" s="38"/>
    </row>
    <row r="454" spans="1:7" ht="15.75" thickBot="1">
      <c r="A454" s="3" t="s">
        <v>53</v>
      </c>
      <c r="B454" s="3"/>
      <c r="D454" s="4"/>
      <c r="E454" s="14"/>
      <c r="F454" s="38"/>
      <c r="G454" s="38"/>
    </row>
    <row r="455" spans="1:7" ht="15.75" thickBot="1">
      <c r="A455" s="3" t="s">
        <v>53</v>
      </c>
      <c r="B455" s="3"/>
      <c r="D455" s="22"/>
      <c r="E455" s="1"/>
      <c r="F455" s="37"/>
      <c r="G455" s="39"/>
    </row>
    <row r="456" spans="1:7" ht="15.75" thickBot="1">
      <c r="A456" s="3"/>
      <c r="B456" s="3"/>
      <c r="D456" s="4"/>
      <c r="E456" s="15"/>
      <c r="F456" s="26"/>
      <c r="G456" s="26"/>
    </row>
    <row r="457" spans="1:7" ht="60.75" thickBot="1">
      <c r="A457" s="5" t="s">
        <v>55</v>
      </c>
      <c r="B457" s="3"/>
      <c r="D457" s="4"/>
      <c r="E457" s="12"/>
      <c r="F457" s="45"/>
      <c r="G457" s="46"/>
    </row>
    <row r="458" spans="1:7" ht="60.75" thickBot="1">
      <c r="A458" s="5" t="s">
        <v>56</v>
      </c>
      <c r="B458" s="4"/>
      <c r="D458" s="1"/>
      <c r="E458" s="1"/>
      <c r="F458" s="37"/>
      <c r="G458" s="37"/>
    </row>
    <row r="459" spans="1:7" ht="97.5" thickBot="1">
      <c r="A459" s="6" t="s">
        <v>57</v>
      </c>
      <c r="B459" s="4"/>
      <c r="D459" s="1"/>
      <c r="E459" s="1"/>
      <c r="F459" s="37"/>
      <c r="G459" s="37"/>
    </row>
    <row r="462" spans="1:7">
      <c r="A462" s="16" t="s">
        <v>64</v>
      </c>
      <c r="B462" s="17" t="e">
        <f>AVERAGE(B410:B449)</f>
        <v>#DIV/0!</v>
      </c>
    </row>
    <row r="463" spans="1:7">
      <c r="A463" s="16" t="s">
        <v>65</v>
      </c>
      <c r="B463" s="18" t="e">
        <f>AVERAGE(B415:B444)</f>
        <v>#DIV/0!</v>
      </c>
    </row>
    <row r="464" spans="1:7">
      <c r="A464" s="16" t="s">
        <v>66</v>
      </c>
      <c r="B464" s="18" t="e">
        <f>AVERAGE(B421:B439)</f>
        <v>#DIV/0!</v>
      </c>
    </row>
  </sheetData>
  <mergeCells count="14">
    <mergeCell ref="A401:A403"/>
    <mergeCell ref="B401:D401"/>
    <mergeCell ref="A200:A202"/>
    <mergeCell ref="B200:D200"/>
    <mergeCell ref="A266:A268"/>
    <mergeCell ref="B266:D266"/>
    <mergeCell ref="A333:A335"/>
    <mergeCell ref="B333:D333"/>
    <mergeCell ref="A2:A4"/>
    <mergeCell ref="B2:D2"/>
    <mergeCell ref="A69:A71"/>
    <mergeCell ref="B69:D69"/>
    <mergeCell ref="A134:A136"/>
    <mergeCell ref="B134:D134"/>
  </mergeCells>
  <pageMargins left="0.7" right="0.7" top="0.75" bottom="0.75" header="0.3" footer="0.3"/>
  <pageSetup paperSize="9"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2"/>
  <dimension ref="A1:AH92"/>
  <sheetViews>
    <sheetView workbookViewId="0">
      <pane xSplit="2" ySplit="5" topLeftCell="M6" activePane="bottomRight" state="frozen"/>
      <selection activeCell="C97" sqref="C97"/>
      <selection pane="topRight" activeCell="C97" sqref="C97"/>
      <selection pane="bottomLeft" activeCell="C97" sqref="C97"/>
      <selection pane="bottomRight" activeCell="B6" sqref="B6"/>
    </sheetView>
  </sheetViews>
  <sheetFormatPr defaultColWidth="9.140625" defaultRowHeight="15"/>
  <cols>
    <col min="1" max="1" width="9.140625" style="234"/>
    <col min="2" max="2" width="11.42578125" style="234" customWidth="1"/>
    <col min="3" max="3" width="13.28515625" style="234" customWidth="1"/>
    <col min="4" max="15" width="9.140625" style="234"/>
    <col min="16" max="17" width="4.7109375" style="234" customWidth="1"/>
    <col min="18" max="18" width="7.42578125" style="234" bestFit="1" customWidth="1"/>
    <col min="19" max="19" width="17.28515625" style="234" bestFit="1" customWidth="1"/>
    <col min="20" max="21" width="6.140625" style="234" bestFit="1" customWidth="1"/>
    <col min="22" max="24" width="4.7109375" style="234" customWidth="1"/>
    <col min="25" max="29" width="8.42578125" style="234" customWidth="1"/>
    <col min="30" max="32" width="9.140625" style="234"/>
    <col min="33" max="33" width="12" style="234" bestFit="1" customWidth="1"/>
    <col min="34" max="16384" width="9.140625" style="234"/>
  </cols>
  <sheetData>
    <row r="1" spans="1:34">
      <c r="B1" s="234">
        <v>1</v>
      </c>
      <c r="C1" s="234">
        <v>2</v>
      </c>
      <c r="D1" s="234">
        <v>3</v>
      </c>
      <c r="E1" s="234">
        <v>4</v>
      </c>
      <c r="F1" s="234">
        <v>5</v>
      </c>
      <c r="G1" s="234">
        <v>6</v>
      </c>
      <c r="H1" s="234">
        <v>7</v>
      </c>
      <c r="I1" s="234">
        <v>8</v>
      </c>
      <c r="J1" s="234">
        <v>9</v>
      </c>
      <c r="K1" s="234">
        <v>10</v>
      </c>
      <c r="L1" s="234">
        <v>11</v>
      </c>
      <c r="M1" s="234">
        <v>12</v>
      </c>
      <c r="N1" s="234">
        <v>13</v>
      </c>
      <c r="O1" s="234">
        <v>14</v>
      </c>
      <c r="P1" s="234">
        <v>15</v>
      </c>
      <c r="Q1" s="234">
        <v>16</v>
      </c>
      <c r="R1" s="234">
        <v>17</v>
      </c>
      <c r="S1" s="234">
        <v>18</v>
      </c>
      <c r="T1" s="234">
        <v>19</v>
      </c>
      <c r="U1" s="234">
        <v>20</v>
      </c>
      <c r="V1" s="234">
        <v>21</v>
      </c>
      <c r="W1" s="234">
        <v>22</v>
      </c>
      <c r="X1" s="234">
        <v>23</v>
      </c>
      <c r="Y1" s="234">
        <v>24</v>
      </c>
      <c r="Z1" s="234">
        <v>25</v>
      </c>
      <c r="AA1" s="234">
        <v>26</v>
      </c>
      <c r="AB1" s="234">
        <v>27</v>
      </c>
      <c r="AC1" s="234">
        <v>28</v>
      </c>
      <c r="AD1" s="234">
        <v>29</v>
      </c>
      <c r="AE1" s="234">
        <v>30</v>
      </c>
      <c r="AF1" s="234">
        <v>31</v>
      </c>
      <c r="AG1" s="234">
        <v>32</v>
      </c>
      <c r="AH1" s="234">
        <v>33</v>
      </c>
    </row>
    <row r="2" spans="1:34">
      <c r="R2" s="461" t="s">
        <v>209</v>
      </c>
      <c r="S2" s="462"/>
      <c r="T2" s="462"/>
      <c r="U2" s="462"/>
      <c r="V2" s="462"/>
      <c r="W2" s="462"/>
      <c r="X2" s="461" t="s">
        <v>210</v>
      </c>
      <c r="Y2" s="462"/>
      <c r="Z2" s="462"/>
      <c r="AA2" s="462"/>
      <c r="AB2" s="462"/>
      <c r="AC2" s="462"/>
    </row>
    <row r="3" spans="1:34">
      <c r="D3" s="234" t="s">
        <v>201</v>
      </c>
      <c r="F3" s="234" t="s">
        <v>200</v>
      </c>
      <c r="H3" s="234" t="s">
        <v>199</v>
      </c>
      <c r="J3" s="234" t="s">
        <v>198</v>
      </c>
      <c r="L3" s="234" t="s">
        <v>197</v>
      </c>
      <c r="P3" s="234" t="s">
        <v>202</v>
      </c>
      <c r="R3" s="234" t="s">
        <v>201</v>
      </c>
      <c r="S3" s="234" t="s">
        <v>200</v>
      </c>
      <c r="T3" s="234" t="s">
        <v>199</v>
      </c>
      <c r="U3" s="234" t="s">
        <v>198</v>
      </c>
      <c r="V3" s="234" t="s">
        <v>197</v>
      </c>
      <c r="W3" s="234" t="s">
        <v>70</v>
      </c>
      <c r="X3" s="234" t="s">
        <v>201</v>
      </c>
      <c r="Y3" s="234" t="s">
        <v>200</v>
      </c>
      <c r="Z3" s="234" t="s">
        <v>199</v>
      </c>
      <c r="AA3" s="234" t="s">
        <v>198</v>
      </c>
      <c r="AB3" s="234" t="s">
        <v>197</v>
      </c>
      <c r="AC3" s="234" t="s">
        <v>70</v>
      </c>
    </row>
    <row r="4" spans="1:34">
      <c r="D4" s="234" t="s">
        <v>196</v>
      </c>
      <c r="F4" s="234" t="s">
        <v>195</v>
      </c>
      <c r="H4" s="234" t="s">
        <v>194</v>
      </c>
      <c r="J4" s="234" t="s">
        <v>194</v>
      </c>
      <c r="L4" s="234" t="s">
        <v>193</v>
      </c>
      <c r="P4" s="234" t="s">
        <v>195</v>
      </c>
    </row>
    <row r="5" spans="1:34">
      <c r="B5" s="309" t="s">
        <v>755</v>
      </c>
      <c r="C5" s="234" t="s">
        <v>192</v>
      </c>
      <c r="D5" s="234" t="s">
        <v>191</v>
      </c>
      <c r="E5" s="234" t="s">
        <v>190</v>
      </c>
      <c r="F5" s="234" t="s">
        <v>191</v>
      </c>
      <c r="G5" s="234" t="s">
        <v>190</v>
      </c>
      <c r="H5" s="234" t="s">
        <v>191</v>
      </c>
      <c r="I5" s="234" t="s">
        <v>190</v>
      </c>
      <c r="J5" s="234" t="s">
        <v>191</v>
      </c>
      <c r="K5" s="234" t="s">
        <v>190</v>
      </c>
      <c r="L5" s="234" t="s">
        <v>191</v>
      </c>
      <c r="M5" s="234" t="s">
        <v>190</v>
      </c>
      <c r="N5" s="234" t="s">
        <v>189</v>
      </c>
      <c r="O5" s="234" t="s">
        <v>188</v>
      </c>
      <c r="P5" s="234" t="s">
        <v>191</v>
      </c>
      <c r="Q5" s="234" t="s">
        <v>190</v>
      </c>
    </row>
    <row r="6" spans="1:34">
      <c r="B6" s="234" t="s">
        <v>782</v>
      </c>
      <c r="C6" s="252">
        <v>2</v>
      </c>
      <c r="D6" s="234">
        <v>43.73</v>
      </c>
      <c r="E6" s="234">
        <v>26.24</v>
      </c>
      <c r="F6" s="234">
        <v>56.43</v>
      </c>
      <c r="G6" s="234">
        <v>33.86</v>
      </c>
      <c r="H6" s="234">
        <v>4.47</v>
      </c>
      <c r="I6" s="234">
        <v>2.68</v>
      </c>
      <c r="J6" s="234">
        <v>7.55</v>
      </c>
      <c r="K6" s="234">
        <v>4.53</v>
      </c>
      <c r="L6" s="234">
        <v>33.92</v>
      </c>
      <c r="M6" s="234">
        <v>20.350000000000001</v>
      </c>
      <c r="N6" s="234">
        <f>VLOOKUP('1.Общие данные по зданию'!$C$10,'Экспресс потенциал'!C33:I44,IF('1.Общие данные по зданию'!C9="1 смена",4,5),1)</f>
        <v>1</v>
      </c>
      <c r="O6" s="234">
        <v>21</v>
      </c>
      <c r="P6" s="234">
        <v>195.92</v>
      </c>
      <c r="Q6" s="234">
        <v>117.55</v>
      </c>
      <c r="R6" s="262">
        <f>VLOOKUP(0.9999*'0.Результаты расчета'!$B$29,ДОУ!$C$6:$E$55,3,1)</f>
        <v>0</v>
      </c>
      <c r="S6" s="262" t="e">
        <f>VLOOKUP(0.9999*'0.Результаты расчета'!$B$26,ДОУ!$C$73:$E$122,3,1)</f>
        <v>#VALUE!</v>
      </c>
      <c r="T6" s="262" t="e">
        <f>VLOOKUP(0.9999*'0.Результаты расчета'!$B$27,ДОУ!$C$138:$E$187,3,1)</f>
        <v>#VALUE!</v>
      </c>
      <c r="U6" s="262">
        <f>VLOOKUP(0.9999*'0.Результаты расчета'!$B$28,ДОУ!$C$204:$E$253,3,1)</f>
        <v>0.32055263157894737</v>
      </c>
      <c r="V6" s="262" t="e">
        <f>VLOOKUP(0.9999*'0.Результаты расчета'!$B$30,ДОУ!$C$270:$E$319,3,1)</f>
        <v>#VALUE!</v>
      </c>
      <c r="W6" s="262" t="e">
        <f>VLOOKUP(0.9999*'0.Результаты расчета'!$B$31,ДОУ!$C$337:$E$386,3,1)</f>
        <v>#VALUE!</v>
      </c>
      <c r="X6" s="262">
        <f>VLOOKUP(0.9999*'0.Результаты расчета'!$B$29,ДОУ!$C$6:$E$55,2,1)</f>
        <v>0</v>
      </c>
      <c r="Y6" s="262" t="e">
        <f>VLOOKUP(0.9999*'0.Результаты расчета'!$B$26,ДОУ!$C$73:$E$122,2,1)</f>
        <v>#VALUE!</v>
      </c>
      <c r="Z6" s="262" t="e">
        <f>VLOOKUP(0.9999*'0.Результаты расчета'!$B$27,ДОУ!$C$138:$E$187,2,1)</f>
        <v>#VALUE!</v>
      </c>
      <c r="AA6" s="262">
        <f>VLOOKUP(0.9999*'0.Результаты расчета'!$B$28,ДОУ!$C$204:$E$253,2,1)</f>
        <v>0.86758771929824563</v>
      </c>
      <c r="AB6" s="262" t="e">
        <f>VLOOKUP(0.9999*'0.Результаты расчета'!$B$30,ДОУ!$C$270:$E$319,2,1)</f>
        <v>#VALUE!</v>
      </c>
      <c r="AC6" s="262" t="e">
        <f>VLOOKUP(0.9999*'0.Результаты расчета'!$B$31,ДОУ!$C$337:$E$386,2,1)</f>
        <v>#VALUE!</v>
      </c>
      <c r="AD6" s="234" t="s">
        <v>762</v>
      </c>
      <c r="AE6" s="234" t="s">
        <v>766</v>
      </c>
      <c r="AF6" s="234">
        <f>G6*'1.Общие данные по зданию'!$C$19*N6/8.078/1163/0.93</f>
        <v>7.1734299288562875</v>
      </c>
      <c r="AG6" s="234">
        <f>I6*'1.Общие данные по зданию'!$C$16*IF('1.Общие данные по зданию'!$C$6='Экспресс потенциал'!$B$6,0.032,0.059)*1000/'1.Общие данные по зданию'!$C$15/8.078/0.93</f>
        <v>1.1700264211974452</v>
      </c>
      <c r="AH6" s="234">
        <f>AF6+AG6</f>
        <v>8.3434563500537333</v>
      </c>
    </row>
    <row r="7" spans="1:34">
      <c r="A7" s="301"/>
      <c r="B7" s="301" t="s">
        <v>795</v>
      </c>
      <c r="C7" s="252">
        <v>3</v>
      </c>
      <c r="D7" s="234">
        <v>23.6</v>
      </c>
      <c r="E7" s="234">
        <v>14.16</v>
      </c>
      <c r="F7" s="234">
        <v>47.32</v>
      </c>
      <c r="G7" s="234">
        <v>28.39</v>
      </c>
      <c r="H7" s="234">
        <v>1.79</v>
      </c>
      <c r="I7" s="234">
        <v>1.07</v>
      </c>
      <c r="J7" s="234">
        <v>2.66</v>
      </c>
      <c r="K7" s="234">
        <v>1.59</v>
      </c>
      <c r="L7" s="234">
        <v>35.090000000000003</v>
      </c>
      <c r="M7" s="234">
        <v>21.05</v>
      </c>
      <c r="N7" s="234">
        <f>VLOOKUP('1.Общие данные по зданию'!$C$10,'Экспресс потенциал'!C33:I44,IF('1.Общие данные по зданию'!C9="1 смена",6,7),1)</f>
        <v>1.1299999999999999</v>
      </c>
      <c r="O7" s="234">
        <v>18</v>
      </c>
      <c r="P7" s="234">
        <v>162.5</v>
      </c>
      <c r="Q7" s="234">
        <v>97.5</v>
      </c>
      <c r="R7" s="262">
        <f>VLOOKUP(0.9999*'0.Результаты расчета'!$B$29,Общеобр.У!$C$6:$E$55,3,1)</f>
        <v>0</v>
      </c>
      <c r="S7" s="262" t="e">
        <f>VLOOKUP(0.9999*'0.Результаты расчета'!$B$26,Общеобр.У!$C$73:$E$122,3,1)</f>
        <v>#VALUE!</v>
      </c>
      <c r="T7" s="262" t="e">
        <f>VLOOKUP(0.9999*'0.Результаты расчета'!$B$27,Общеобр.У!$C$138:$E$187,3,1)</f>
        <v>#VALUE!</v>
      </c>
      <c r="U7" s="262">
        <f>VLOOKUP(0.9999*'0.Результаты расчета'!$B$28,Общеобр.У!$C$204:$E$253,3,1)</f>
        <v>0.34103945745992603</v>
      </c>
      <c r="V7" s="262" t="e">
        <f>VLOOKUP(0.9999*'0.Результаты расчета'!$B$30,Общеобр.У!$C$270:$E$319,3,1)</f>
        <v>#VALUE!</v>
      </c>
      <c r="W7" s="262" t="e">
        <f>VLOOKUP(0.9999*'0.Результаты расчета'!$B$31,Общеобр.У!$C$337:$E$386,3,1)</f>
        <v>#VALUE!</v>
      </c>
      <c r="X7" s="262">
        <f>VLOOKUP(0.9999*'0.Результаты расчета'!$B$29,Общеобр.У!$C$6:$E$55,2,1)</f>
        <v>0</v>
      </c>
      <c r="Y7" s="262" t="e">
        <f>VLOOKUP(0.9999*'0.Результаты расчета'!$B$26,Общеобр.У!$C$73:$E$122,2,1)</f>
        <v>#VALUE!</v>
      </c>
      <c r="Z7" s="262" t="e">
        <f>VLOOKUP(0.9999*'0.Результаты расчета'!$B$27,Общеобр.У!$C$138:$E$187,2,1)</f>
        <v>#VALUE!</v>
      </c>
      <c r="AA7" s="262">
        <f>VLOOKUP(0.9999*'0.Результаты расчета'!$B$28,Общеобр.У!$C$204:$E$253,2,1)</f>
        <v>0.90173242909987672</v>
      </c>
      <c r="AB7" s="262" t="e">
        <f>VLOOKUP(0.9999*'0.Результаты расчета'!$B$30,Общеобр.У!$C$270:$E$319,2,1)</f>
        <v>#VALUE!</v>
      </c>
      <c r="AC7" s="262" t="e">
        <f>VLOOKUP(0.9999*'0.Результаты расчета'!$B$31,Общеобр.У!$C$337:$E$386,2,1)</f>
        <v>#VALUE!</v>
      </c>
      <c r="AD7" s="234" t="s">
        <v>762</v>
      </c>
      <c r="AE7" s="234" t="s">
        <v>766</v>
      </c>
      <c r="AF7" s="234">
        <f>G7*'1.Общие данные по зданию'!$C$19*N7/8.078/1163/0.93</f>
        <v>6.7964752958848162</v>
      </c>
      <c r="AG7" s="234">
        <f>I7*'1.Общие данные по зданию'!$C$16*IF('1.Общие данные по зданию'!$C$6='Экспресс потенциал'!$B$6,0.032,0.059)*1000/'1.Общие данные по зданию'!$C$15/8.078/0.93</f>
        <v>0.46713741443330847</v>
      </c>
      <c r="AH7" s="234">
        <f t="shared" ref="AH7:AH26" si="0">AF7+AG7</f>
        <v>7.2636127103181245</v>
      </c>
    </row>
    <row r="8" spans="1:34">
      <c r="A8" s="301"/>
      <c r="B8" s="301" t="s">
        <v>796</v>
      </c>
      <c r="C8" s="234">
        <v>2</v>
      </c>
      <c r="D8" s="234">
        <v>29.8</v>
      </c>
      <c r="E8" s="234">
        <v>17.88</v>
      </c>
      <c r="F8" s="234">
        <v>57.08</v>
      </c>
      <c r="G8" s="234">
        <v>34.25</v>
      </c>
      <c r="H8" s="234" t="s">
        <v>781</v>
      </c>
      <c r="I8" s="234" t="s">
        <v>781</v>
      </c>
      <c r="J8" s="234">
        <v>2.87</v>
      </c>
      <c r="K8" s="234">
        <v>1.72</v>
      </c>
      <c r="L8" s="234" t="s">
        <v>781</v>
      </c>
      <c r="M8" s="234" t="s">
        <v>781</v>
      </c>
      <c r="N8" s="234">
        <f>VLOOKUP('1.Общие данные по зданию'!$C$10,'Экспресс потенциал'!C33:I44,IF('1.Общие данные по зданию'!C9="1 смена",4,5),1)</f>
        <v>1</v>
      </c>
      <c r="O8" s="234">
        <v>18</v>
      </c>
      <c r="P8" s="234" t="s">
        <v>781</v>
      </c>
      <c r="Q8" s="234" t="s">
        <v>781</v>
      </c>
      <c r="R8" s="262">
        <f>VLOOKUP(0.9999*'0.Результаты расчета'!$B$29,ВУЗ!$C$6:$E$55,3,1)</f>
        <v>0</v>
      </c>
      <c r="S8" s="262" t="e">
        <f>VLOOKUP(0.9999*'0.Результаты расчета'!$B$26,ВУЗ!$C$73:$E$122,3,1)</f>
        <v>#VALUE!</v>
      </c>
      <c r="T8" s="298">
        <v>0.06</v>
      </c>
      <c r="U8" s="262">
        <f>VLOOKUP(0.9999*'0.Результаты расчета'!$B$28,ВУЗ!$C$204:$E$253,3,1)</f>
        <v>0.37037832956636185</v>
      </c>
      <c r="V8" s="298">
        <v>0.06</v>
      </c>
      <c r="W8" s="298">
        <v>0.06</v>
      </c>
      <c r="X8" s="262">
        <f>VLOOKUP(0.9999*'0.Результаты расчета'!$B$29,ВУЗ!$C$6:$E$55,2,1)</f>
        <v>0</v>
      </c>
      <c r="Y8" s="262" t="e">
        <f>VLOOKUP(0.9999*'0.Результаты расчета'!$B$26,ВУЗ!$C$73:$E$122,2,1)</f>
        <v>#VALUE!</v>
      </c>
      <c r="Z8" s="234" t="s">
        <v>781</v>
      </c>
      <c r="AA8" s="262">
        <f>VLOOKUP(0.9999*'0.Результаты расчета'!$B$28,ВУЗ!$C$204:$E$253,2,1)</f>
        <v>0.95063054927726975</v>
      </c>
      <c r="AB8" s="234" t="s">
        <v>781</v>
      </c>
      <c r="AC8" s="234" t="s">
        <v>781</v>
      </c>
      <c r="AD8" s="234" t="s">
        <v>762</v>
      </c>
      <c r="AE8" s="234" t="s">
        <v>766</v>
      </c>
      <c r="AF8" s="234">
        <f>G8*'1.Общие данные по зданию'!$C$19*N8/8.078/1163/0.93</f>
        <v>7.256053604941755</v>
      </c>
      <c r="AH8" s="234">
        <f t="shared" si="0"/>
        <v>7.256053604941755</v>
      </c>
    </row>
    <row r="9" spans="1:34">
      <c r="B9" s="234" t="s">
        <v>783</v>
      </c>
      <c r="C9" s="234">
        <v>1</v>
      </c>
      <c r="D9" s="234">
        <v>33.950000000000003</v>
      </c>
      <c r="E9" s="234">
        <f>ROUND(D9*0.6,2)</f>
        <v>20.37</v>
      </c>
      <c r="F9" s="234">
        <v>54.32</v>
      </c>
      <c r="G9" s="234">
        <v>32.590000000000003</v>
      </c>
      <c r="H9" s="234" t="s">
        <v>781</v>
      </c>
      <c r="I9" s="234" t="s">
        <v>781</v>
      </c>
      <c r="J9" s="234">
        <v>4.3899999999999997</v>
      </c>
      <c r="K9" s="234">
        <v>2.64</v>
      </c>
      <c r="L9" s="234" t="s">
        <v>781</v>
      </c>
      <c r="M9" s="234" t="s">
        <v>781</v>
      </c>
      <c r="N9" s="234">
        <f>VLOOKUP('1.Общие данные по зданию'!$C$10,'Экспресс потенциал'!C82:L92,2,1)</f>
        <v>0.95</v>
      </c>
      <c r="O9" s="234">
        <v>20</v>
      </c>
      <c r="P9" s="234" t="s">
        <v>781</v>
      </c>
      <c r="Q9" s="234" t="s">
        <v>781</v>
      </c>
      <c r="R9" s="262">
        <f>VLOOKUP(0.9999*'0.Результаты расчета'!$B$29,ДЮСШ!$C$6:$E$55,3,1)</f>
        <v>0</v>
      </c>
      <c r="S9" s="262" t="e">
        <f>VLOOKUP(0.9999*'0.Результаты расчета'!$B$26,ДЮСШ!$C$73:$E$122,3,1)</f>
        <v>#VALUE!</v>
      </c>
      <c r="T9" s="298">
        <v>0.06</v>
      </c>
      <c r="U9" s="262">
        <f>VLOOKUP(0.9999*'0.Результаты расчета'!$B$28,ДЮСШ!$C$204:$E$253,3,1)</f>
        <v>0.36447229083396954</v>
      </c>
      <c r="V9" s="298">
        <v>0.06</v>
      </c>
      <c r="W9" s="298">
        <v>0.06</v>
      </c>
      <c r="X9" s="262">
        <f>VLOOKUP(0.9999*'0.Результаты расчета'!$B$29,ДЮСШ!$C$6:$E$55,2,1)</f>
        <v>0</v>
      </c>
      <c r="Y9" s="262" t="e">
        <f>VLOOKUP(0.9999*'0.Результаты расчета'!$B$26,ДЮСШ!$C$73:$E$122,2,1)</f>
        <v>#VALUE!</v>
      </c>
      <c r="Z9" s="234" t="s">
        <v>781</v>
      </c>
      <c r="AA9" s="262">
        <f>VLOOKUP(0.9999*'0.Результаты расчета'!$B$28,ДЮСШ!$C$204:$E$253,2,1)</f>
        <v>0.94078715138994917</v>
      </c>
      <c r="AB9" s="234" t="s">
        <v>781</v>
      </c>
      <c r="AC9" s="234" t="s">
        <v>781</v>
      </c>
      <c r="AD9" s="234" t="s">
        <v>763</v>
      </c>
      <c r="AE9" s="295" t="s">
        <v>769</v>
      </c>
      <c r="AF9" s="234">
        <f>G9*'1.Общие данные по зданию'!$C$19*N9/8.078/1163/0.93</f>
        <v>6.559154675497787</v>
      </c>
      <c r="AH9" s="234">
        <f t="shared" si="0"/>
        <v>6.559154675497787</v>
      </c>
    </row>
    <row r="10" spans="1:34">
      <c r="B10" s="234" t="s">
        <v>784</v>
      </c>
      <c r="C10" s="234">
        <v>2</v>
      </c>
      <c r="D10" s="234">
        <v>18.670000000000002</v>
      </c>
      <c r="E10" s="234">
        <v>11.2</v>
      </c>
      <c r="F10" s="234">
        <v>52.73</v>
      </c>
      <c r="G10" s="234">
        <v>31.64</v>
      </c>
      <c r="H10" s="234">
        <v>0.28999999999999998</v>
      </c>
      <c r="I10" s="234">
        <v>0.17</v>
      </c>
      <c r="J10" s="234">
        <v>0.78</v>
      </c>
      <c r="K10" s="234">
        <v>0.47</v>
      </c>
      <c r="L10" s="234" t="s">
        <v>781</v>
      </c>
      <c r="M10" s="234" t="s">
        <v>781</v>
      </c>
      <c r="N10" s="234">
        <f>VLOOKUP('1.Общие данные по зданию'!$C$10,'Экспресс потенциал'!C82:L92,3,1)</f>
        <v>1</v>
      </c>
      <c r="O10" s="234">
        <v>20</v>
      </c>
      <c r="P10" s="234" t="s">
        <v>781</v>
      </c>
      <c r="Q10" s="234" t="s">
        <v>781</v>
      </c>
      <c r="R10" s="262">
        <f>VLOOKUP(0.9999*'0.Результаты расчета'!$B$29,'Школа искусств'!$C$6:$E$55,3,1)</f>
        <v>0</v>
      </c>
      <c r="S10" s="262" t="e">
        <f>VLOOKUP(0.9999*'0.Результаты расчета'!$B$26,'Школа искусств'!$C$73:$E$122,3,1)</f>
        <v>#VALUE!</v>
      </c>
      <c r="T10" s="262" t="e">
        <f>VLOOKUP(0.9999*'0.Результаты расчета'!$B$27,'Школа искусств'!$C$138:$E$187,3,1)</f>
        <v>#VALUE!</v>
      </c>
      <c r="U10" s="262">
        <f>VLOOKUP(0.9999*'0.Результаты расчета'!$B$28,'Школа искусств'!$C$204:$E$253,3,1)</f>
        <v>0.37004941462689583</v>
      </c>
      <c r="V10" s="298">
        <v>0.06</v>
      </c>
      <c r="W10" s="298">
        <v>0.06</v>
      </c>
      <c r="X10" s="262">
        <f>VLOOKUP(0.9999*'0.Результаты расчета'!$B$29,'Школа искусств'!$C$6:$E$55,2,1)</f>
        <v>0</v>
      </c>
      <c r="Y10" s="262" t="e">
        <f>VLOOKUP(0.9999*'0.Результаты расчета'!$B$26,'Школа искусств'!$C$73:$E$122,2,1)</f>
        <v>#VALUE!</v>
      </c>
      <c r="Z10" s="262" t="e">
        <f>VLOOKUP(0.9999*'0.Результаты расчета'!$B$27,'Школа искусств'!$C$138:$E$187,2,1)</f>
        <v>#VALUE!</v>
      </c>
      <c r="AA10" s="262">
        <f>VLOOKUP(0.9999*'0.Результаты расчета'!$B$28,'Школа искусств'!$C$204:$E$253,2,1)</f>
        <v>0.95008235771149296</v>
      </c>
      <c r="AB10" s="234" t="s">
        <v>781</v>
      </c>
      <c r="AC10" s="234" t="s">
        <v>781</v>
      </c>
      <c r="AD10" s="234" t="s">
        <v>763</v>
      </c>
      <c r="AE10" s="295" t="s">
        <v>769</v>
      </c>
      <c r="AF10" s="234">
        <f>G10*'1.Общие данные по зданию'!$C$19*N10/8.078/1163/0.93</f>
        <v>6.7031105419082371</v>
      </c>
      <c r="AG10" s="234">
        <f>I10*'1.Общие данные по зданию'!$C$16*IF('1.Общие данные по зданию'!$C$6='Экспресс потенциал'!$B$6,0.032,0.059)*1000/'1.Общие данные по зданию'!$C$15/8.078/0.93</f>
        <v>7.4218093881927502E-2</v>
      </c>
      <c r="AH10" s="234">
        <f t="shared" si="0"/>
        <v>6.7773286357901643</v>
      </c>
    </row>
    <row r="11" spans="1:34">
      <c r="B11" s="234" t="s">
        <v>785</v>
      </c>
      <c r="C11" s="234">
        <v>2</v>
      </c>
      <c r="D11" s="234">
        <v>17.78</v>
      </c>
      <c r="E11" s="234">
        <v>10.67</v>
      </c>
      <c r="F11" s="234">
        <v>57.08</v>
      </c>
      <c r="G11" s="234">
        <v>34.25</v>
      </c>
      <c r="H11" s="234" t="s">
        <v>781</v>
      </c>
      <c r="I11" s="234" t="s">
        <v>781</v>
      </c>
      <c r="J11" s="234">
        <v>0.72</v>
      </c>
      <c r="K11" s="234">
        <v>0.43</v>
      </c>
      <c r="L11" s="234" t="s">
        <v>781</v>
      </c>
      <c r="M11" s="234" t="s">
        <v>781</v>
      </c>
      <c r="N11" s="234">
        <f>VLOOKUP('1.Общие данные по зданию'!$C$10,'Экспресс потенциал'!C82:L92,3,1)</f>
        <v>1</v>
      </c>
      <c r="O11" s="234">
        <v>20</v>
      </c>
      <c r="P11" s="234" t="s">
        <v>781</v>
      </c>
      <c r="Q11" s="234" t="s">
        <v>781</v>
      </c>
      <c r="R11" s="262">
        <f>VLOOKUP(0.9999*'0.Результаты расчета'!$B$29,Муз.школа!$C$6:$E$55,3,1)</f>
        <v>0</v>
      </c>
      <c r="S11" s="262" t="e">
        <f>VLOOKUP(0.9999*'0.Результаты расчета'!$B$26,Муз.школа!$C$73:$E$122,3,1)</f>
        <v>#VALUE!</v>
      </c>
      <c r="T11" s="298">
        <v>0.06</v>
      </c>
      <c r="U11" s="262">
        <f>VLOOKUP(0.9999*'0.Результаты расчета'!$B$28,Муз.школа!$C$204:$E$253,3,1)</f>
        <v>0.34602672597565221</v>
      </c>
      <c r="V11" s="298">
        <v>0.06</v>
      </c>
      <c r="W11" s="298">
        <v>0.06</v>
      </c>
      <c r="X11" s="262">
        <f>VLOOKUP(0.9999*'0.Результаты расчета'!$B$29,Муз.школа!$C$6:$E$55,2,1)</f>
        <v>0</v>
      </c>
      <c r="Y11" s="262" t="e">
        <f>VLOOKUP(0.9999*'0.Результаты расчета'!$B$26,Муз.школа!$C$73:$E$122,2,1)</f>
        <v>#VALUE!</v>
      </c>
      <c r="Z11" s="234" t="s">
        <v>781</v>
      </c>
      <c r="AA11" s="262">
        <f>VLOOKUP(0.9999*'0.Результаты расчета'!$B$28,Муз.школа!$C$204:$E$253,2,1)</f>
        <v>0.91004454329275364</v>
      </c>
      <c r="AB11" s="234" t="s">
        <v>781</v>
      </c>
      <c r="AC11" s="234" t="s">
        <v>781</v>
      </c>
      <c r="AD11" s="234" t="s">
        <v>763</v>
      </c>
      <c r="AE11" s="295" t="s">
        <v>769</v>
      </c>
      <c r="AF11" s="234">
        <f>G11*'1.Общие данные по зданию'!$C$19*N11/8.078/1163/0.93</f>
        <v>7.256053604941755</v>
      </c>
      <c r="AH11" s="234">
        <f t="shared" si="0"/>
        <v>7.256053604941755</v>
      </c>
    </row>
    <row r="12" spans="1:34">
      <c r="B12" s="234" t="s">
        <v>786</v>
      </c>
      <c r="C12" s="234">
        <v>1</v>
      </c>
      <c r="D12" s="234">
        <v>68.55</v>
      </c>
      <c r="E12" s="234">
        <v>41.13</v>
      </c>
      <c r="F12" s="234">
        <v>48.59</v>
      </c>
      <c r="G12" s="234">
        <v>29.15</v>
      </c>
      <c r="H12" s="234">
        <v>4.32</v>
      </c>
      <c r="I12" s="234">
        <v>2.59</v>
      </c>
      <c r="J12" s="234">
        <v>7.41</v>
      </c>
      <c r="K12" s="234">
        <f>ROUND(J12*0.6,2)</f>
        <v>4.45</v>
      </c>
      <c r="L12" s="234" t="s">
        <v>781</v>
      </c>
      <c r="M12" s="234" t="s">
        <v>781</v>
      </c>
      <c r="N12" s="234">
        <f>VLOOKUP('1.Общие данные по зданию'!$C$10,'Экспресс потенциал'!C65:L76,2,1)</f>
        <v>0.97</v>
      </c>
      <c r="O12" s="234">
        <v>20</v>
      </c>
      <c r="P12" s="234" t="s">
        <v>781</v>
      </c>
      <c r="Q12" s="234" t="s">
        <v>781</v>
      </c>
      <c r="R12" s="262">
        <f>VLOOKUP(0.9999*'0.Результаты расчета'!$B$29,Мед.стационар!$C$6:$E$55,3,1)</f>
        <v>0</v>
      </c>
      <c r="S12" s="262" t="e">
        <f>VLOOKUP(0.9999*'0.Результаты расчета'!$B$26,Мед.стационар!$C$73:$E$122,3,1)</f>
        <v>#VALUE!</v>
      </c>
      <c r="T12" s="262" t="e">
        <f>VLOOKUP(0.9999*'0.Результаты расчета'!$B$27,Мед.стационар!$C$138:$E$187,3,1)</f>
        <v>#VALUE!</v>
      </c>
      <c r="U12" s="262">
        <f>VLOOKUP(0.9999*'0.Результаты расчета'!$B$28,Мед.стационар!$C$204:$E$253,3,1)</f>
        <v>0.32186314525810328</v>
      </c>
      <c r="V12" s="298">
        <v>0.06</v>
      </c>
      <c r="W12" s="298">
        <v>0.06</v>
      </c>
      <c r="X12" s="262">
        <f>VLOOKUP(0.9999*'0.Результаты расчета'!$B$29,Мед.стационар!$C$6:$E$55,2,1)</f>
        <v>0</v>
      </c>
      <c r="Y12" s="262" t="e">
        <f>VLOOKUP(0.9999*'0.Результаты расчета'!$B$26,Мед.стационар!$C$73:$E$122,2,1)</f>
        <v>#VALUE!</v>
      </c>
      <c r="Z12" s="262" t="e">
        <f>VLOOKUP(0.9999*'0.Результаты расчета'!$B$27,Мед.стационар!$C$138:$E$187,2,1)</f>
        <v>#VALUE!</v>
      </c>
      <c r="AA12" s="262">
        <f>VLOOKUP(0.9999*'0.Результаты расчета'!$B$28,Мед.стационар!$C$204:$E$253,2,1)</f>
        <v>0.86977190876350541</v>
      </c>
      <c r="AB12" s="234" t="s">
        <v>781</v>
      </c>
      <c r="AC12" s="234" t="s">
        <v>781</v>
      </c>
      <c r="AD12" s="234" t="s">
        <v>764</v>
      </c>
      <c r="AE12" s="295" t="s">
        <v>767</v>
      </c>
      <c r="AF12" s="234">
        <f>G12*'1.Общие данные по зданию'!$C$19*N12/8.078/1163/0.93</f>
        <v>5.9903224439862939</v>
      </c>
      <c r="AG12" s="234">
        <f>I12*'1.Общие данные по зданию'!$C$16*IF('1.Общие данные по зданию'!$C$6='Экспресс потенциал'!$B$6,0.032,0.059)*1000/'1.Общие данные по зданию'!$C$15/8.078/0.93</f>
        <v>1.1307344891423072</v>
      </c>
      <c r="AH12" s="234">
        <f t="shared" si="0"/>
        <v>7.1210569331286013</v>
      </c>
    </row>
    <row r="13" spans="1:34">
      <c r="A13" s="301"/>
      <c r="B13" s="301" t="s">
        <v>797</v>
      </c>
      <c r="C13" s="234">
        <v>2</v>
      </c>
      <c r="D13" s="234">
        <v>54.51</v>
      </c>
      <c r="E13" s="234">
        <f>ROUND(D13*0.6,2)</f>
        <v>32.71</v>
      </c>
      <c r="F13" s="234">
        <v>42.59</v>
      </c>
      <c r="G13" s="234">
        <f>ROUND(F13*0.6,2)</f>
        <v>25.55</v>
      </c>
      <c r="H13" s="234">
        <v>1.73</v>
      </c>
      <c r="I13" s="234">
        <f>ROUND(H13*0.6,2)</f>
        <v>1.04</v>
      </c>
      <c r="J13" s="234">
        <v>3.81</v>
      </c>
      <c r="K13" s="234">
        <f>ROUND(J13*0.6,2)</f>
        <v>2.29</v>
      </c>
      <c r="L13" s="234" t="s">
        <v>781</v>
      </c>
      <c r="M13" s="234" t="s">
        <v>781</v>
      </c>
      <c r="N13" s="234">
        <f>VLOOKUP('1.Общие данные по зданию'!$C$10,'Экспресс потенциал'!C49:F60,3,1)</f>
        <v>1</v>
      </c>
      <c r="O13" s="234">
        <v>20</v>
      </c>
      <c r="P13" s="234" t="s">
        <v>781</v>
      </c>
      <c r="Q13" s="234" t="s">
        <v>781</v>
      </c>
      <c r="R13" s="262">
        <f>VLOOKUP(0.9999*'0.Результаты расчета'!$B$29,'Поликлиника,амбулаторий'!$C$6:$E$55,3,1)</f>
        <v>0</v>
      </c>
      <c r="S13" s="262" t="e">
        <f>VLOOKUP(0.9999*'0.Результаты расчета'!$B$26,'Поликлиника,амбулаторий'!$C$73:$E$122,3,1)</f>
        <v>#VALUE!</v>
      </c>
      <c r="T13" s="262" t="e">
        <f>VLOOKUP(0.9999*'0.Результаты расчета'!$B$27,'Поликлиника,амбулаторий'!$C$138:$E$187,3,1)</f>
        <v>#VALUE!</v>
      </c>
      <c r="U13" s="262">
        <f>VLOOKUP(0.9999*'0.Результаты расчета'!$B$28,'Поликлиника,амбулаторий'!$C$204:$E$253,3,1)</f>
        <v>0.36219602977667503</v>
      </c>
      <c r="V13" s="298">
        <v>0.06</v>
      </c>
      <c r="W13" s="298">
        <v>0.06</v>
      </c>
      <c r="X13" s="262">
        <f>VLOOKUP(0.9999*'0.Результаты расчета'!$B$29,'Поликлиника,амбулаторий'!$C$6:$E$55,2,1)</f>
        <v>0</v>
      </c>
      <c r="Y13" s="262" t="e">
        <f>VLOOKUP(0.9999*'0.Результаты расчета'!$B$26,'Поликлиника,амбулаторий'!$C$73:$E$122,2,1)</f>
        <v>#VALUE!</v>
      </c>
      <c r="Z13" s="262" t="e">
        <f>VLOOKUP(0.9999*'0.Результаты расчета'!$B$27,'Поликлиника,амбулаторий'!$C$138:$E$187,2,1)</f>
        <v>#VALUE!</v>
      </c>
      <c r="AA13" s="262">
        <f>VLOOKUP(0.9999*'0.Результаты расчета'!$B$28,'Поликлиника,амбулаторий'!$C$204:$E$253,2,1)</f>
        <v>0.936993382961125</v>
      </c>
      <c r="AB13" s="234" t="s">
        <v>781</v>
      </c>
      <c r="AC13" s="234" t="s">
        <v>781</v>
      </c>
      <c r="AD13" s="234" t="s">
        <v>764</v>
      </c>
      <c r="AE13" s="295" t="s">
        <v>767</v>
      </c>
      <c r="AF13" s="234">
        <f>G13*'1.Общие данные по зданию'!$C$19*N13/8.078/1163/0.93</f>
        <v>5.4129100614966967</v>
      </c>
      <c r="AG13" s="234">
        <f>I13*'1.Общие данные по зданию'!$C$16*IF('1.Общие данные по зданию'!$C$6='Экспресс потенциал'!$B$6,0.032,0.059)*1000/'1.Общие данные по зданию'!$C$15/8.078/0.93</f>
        <v>0.45404010374826242</v>
      </c>
      <c r="AH13" s="234">
        <f t="shared" si="0"/>
        <v>5.8669501652449592</v>
      </c>
    </row>
    <row r="14" spans="1:34">
      <c r="B14" s="234" t="s">
        <v>787</v>
      </c>
      <c r="C14" s="234">
        <v>1</v>
      </c>
      <c r="D14" s="234">
        <v>64.430000000000007</v>
      </c>
      <c r="E14" s="234">
        <f>ROUND(D14*0.6,2)</f>
        <v>38.659999999999997</v>
      </c>
      <c r="F14" s="234">
        <v>46.78</v>
      </c>
      <c r="G14" s="234">
        <f>ROUND(F14*0.6,2)</f>
        <v>28.07</v>
      </c>
      <c r="H14" s="234" t="s">
        <v>781</v>
      </c>
      <c r="I14" s="234" t="s">
        <v>781</v>
      </c>
      <c r="J14" s="234">
        <v>7.53</v>
      </c>
      <c r="K14" s="234">
        <f>ROUND(J14*0.6,2)</f>
        <v>4.5199999999999996</v>
      </c>
      <c r="L14" s="234" t="s">
        <v>781</v>
      </c>
      <c r="M14" s="234" t="s">
        <v>781</v>
      </c>
      <c r="N14" s="297">
        <f>VLOOKUP('1.Общие данные по зданию'!$C$10,'Экспресс потенциал'!C33:I44,IF('1.Общие данные по зданию'!C9="1 смена",2,3),1)</f>
        <v>0.91</v>
      </c>
      <c r="O14" s="234">
        <v>20</v>
      </c>
      <c r="P14" s="234" t="s">
        <v>781</v>
      </c>
      <c r="Q14" s="234" t="s">
        <v>781</v>
      </c>
      <c r="R14" s="262">
        <f>VLOOKUP(0.9999*'0.Результаты расчета'!$B$29,'Аптека,мол.кухня,ветаптека'!$C$6:$E$55,3,1)</f>
        <v>0</v>
      </c>
      <c r="S14" s="262" t="e">
        <f>VLOOKUP(0.9999*'0.Результаты расчета'!$B$26,'Аптека,мол.кухня,ветаптека'!$C$73:$E$122,3,1)</f>
        <v>#VALUE!</v>
      </c>
      <c r="T14" s="298">
        <v>0.06</v>
      </c>
      <c r="U14" s="262">
        <f>VLOOKUP(0.9999*'0.Результаты расчета'!$B$28,'Аптека,мол.кухня,ветаптека'!$C$204:$E$253,3,1)</f>
        <v>0.32503045811663162</v>
      </c>
      <c r="V14" s="298">
        <v>0.06</v>
      </c>
      <c r="W14" s="298">
        <v>0.06</v>
      </c>
      <c r="X14" s="262">
        <f>VLOOKUP(0.9999*'0.Результаты расчета'!$B$29,'Аптека,мол.кухня,ветаптека'!$C$6:$E$55,2,1)</f>
        <v>0</v>
      </c>
      <c r="Y14" s="262" t="e">
        <f>VLOOKUP(0.9999*'0.Результаты расчета'!$B$26,'Аптека,мол.кухня,ветаптека'!$C$73:$E$122,2,1)</f>
        <v>#VALUE!</v>
      </c>
      <c r="Z14" s="234" t="s">
        <v>781</v>
      </c>
      <c r="AA14" s="262">
        <f>VLOOKUP(0.9999*'0.Результаты расчета'!$B$28,'Аптека,мол.кухня,ветаптека'!$C$204:$E$253,2,1)</f>
        <v>0.87505076352771938</v>
      </c>
      <c r="AB14" s="262" t="e">
        <f>VLOOKUP(0.9999*'0.Результаты расчета'!$B$30,'Аптека,мол.кухня,ветаптека'!$C$270:$E$319,2,1)</f>
        <v>#VALUE!</v>
      </c>
      <c r="AC14" s="234" t="s">
        <v>781</v>
      </c>
      <c r="AD14" s="234" t="s">
        <v>762</v>
      </c>
      <c r="AE14" s="234" t="s">
        <v>766</v>
      </c>
      <c r="AF14" s="234">
        <f>G14*'1.Общие данные по зданию'!$C$19*N14/8.078/1163/0.93</f>
        <v>5.4115753713445462</v>
      </c>
      <c r="AH14" s="234">
        <f t="shared" si="0"/>
        <v>5.4115753713445462</v>
      </c>
    </row>
    <row r="15" spans="1:34">
      <c r="A15" s="301"/>
      <c r="B15" s="301" t="s">
        <v>798</v>
      </c>
      <c r="C15" s="234">
        <v>1</v>
      </c>
      <c r="D15" s="234">
        <v>63.6</v>
      </c>
      <c r="E15" s="234">
        <f>ROUND(D15*0.6,2)</f>
        <v>38.159999999999997</v>
      </c>
      <c r="F15" s="234">
        <v>52.37</v>
      </c>
      <c r="G15" s="234">
        <f>ROUND(F15*0.6,2)</f>
        <v>31.42</v>
      </c>
      <c r="H15" s="234">
        <v>3.37</v>
      </c>
      <c r="I15" s="234">
        <v>2.02</v>
      </c>
      <c r="J15" s="234">
        <v>6.9</v>
      </c>
      <c r="K15" s="234">
        <f>ROUND(J15*0.6,2)</f>
        <v>4.1399999999999997</v>
      </c>
      <c r="L15" s="234">
        <v>0.34</v>
      </c>
      <c r="M15" s="234">
        <f>L15*0.6</f>
        <v>0.20400000000000001</v>
      </c>
      <c r="N15" s="297">
        <f>VLOOKUP('1.Общие данные по зданию'!$C$10,'Экспресс потенциал'!C65:F76,2,1)</f>
        <v>0.97</v>
      </c>
      <c r="O15" s="234">
        <v>20</v>
      </c>
      <c r="P15" s="234" t="s">
        <v>781</v>
      </c>
      <c r="Q15" s="234" t="s">
        <v>781</v>
      </c>
      <c r="R15" s="262">
        <f>VLOOKUP(0.9999*'0.Результаты расчета'!$B$29,Больница!$C$6:$E$55,3,1)</f>
        <v>0</v>
      </c>
      <c r="S15" s="262" t="e">
        <f>VLOOKUP(0.9999*'0.Результаты расчета'!$B$26,Больница!$C$73:$E$122,3,1)</f>
        <v>#VALUE!</v>
      </c>
      <c r="T15" s="262" t="e">
        <f>VLOOKUP(0.9999*'0.Результаты расчета'!$B$27,Больница!$C$138:$E$187,3,1)</f>
        <v>#VALUE!</v>
      </c>
      <c r="U15" s="262">
        <f>VLOOKUP(0.9999*'0.Результаты расчета'!$B$28,Больница!$C$204:$E$253,3,1)</f>
        <v>0.33647483706070291</v>
      </c>
      <c r="V15" s="262" t="e">
        <f>VLOOKUP(0.9999*'0.Результаты расчета'!$B$30,Больница!$C$270:$E$319,3,1)</f>
        <v>#VALUE!</v>
      </c>
      <c r="W15" s="298">
        <v>0.06</v>
      </c>
      <c r="X15" s="262">
        <f>VLOOKUP(0.9999*'0.Результаты расчета'!$B$29,Больница!$C$6:$E$55,2,1)</f>
        <v>0</v>
      </c>
      <c r="Y15" s="262" t="e">
        <f>VLOOKUP(0.9999*'0.Результаты расчета'!$B$26,Больница!$C$73:$E$122,2,1)</f>
        <v>#VALUE!</v>
      </c>
      <c r="Z15" s="262" t="e">
        <f>VLOOKUP(0.9999*'0.Результаты расчета'!$B$27,Больница!$C$138:$E$187,2,1)</f>
        <v>#VALUE!</v>
      </c>
      <c r="AA15" s="262">
        <f>VLOOKUP(0.9999*'0.Результаты расчета'!$B$28,Больница!$C$204:$E$253,2,1)</f>
        <v>0.89412472843450486</v>
      </c>
      <c r="AB15" s="262" t="e">
        <f>VLOOKUP(0.9999*'0.Результаты расчета'!$B$30,Больница!$C$270:$E$319,2,1)</f>
        <v>#VALUE!</v>
      </c>
      <c r="AC15" s="234" t="s">
        <v>781</v>
      </c>
      <c r="AD15" s="234" t="s">
        <v>765</v>
      </c>
      <c r="AE15" s="295" t="s">
        <v>768</v>
      </c>
      <c r="AF15" s="234">
        <f>G15*'1.Общие данные по зданию'!$C$19*N15/8.078/1163/0.93</f>
        <v>6.4568072449416603</v>
      </c>
      <c r="AG15" s="234">
        <f>I15*'1.Общие данные по зданию'!$C$16*IF('1.Общие данные по зданию'!$C$6='Экспресс потенциал'!$B$6,0.032,0.059)*1000/'1.Общие данные по зданию'!$C$15/8.078/0.93</f>
        <v>0.88188558612643253</v>
      </c>
      <c r="AH15" s="234">
        <f t="shared" si="0"/>
        <v>7.3386928310680926</v>
      </c>
    </row>
    <row r="16" spans="1:34">
      <c r="A16" s="301"/>
      <c r="B16" s="301" t="s">
        <v>799</v>
      </c>
      <c r="C16" s="234">
        <v>1</v>
      </c>
      <c r="D16" s="234">
        <v>6.22</v>
      </c>
      <c r="E16" s="234">
        <v>3.73</v>
      </c>
      <c r="F16" s="234" t="s">
        <v>187</v>
      </c>
      <c r="G16" s="234" t="s">
        <v>187</v>
      </c>
      <c r="H16" s="234" t="s">
        <v>781</v>
      </c>
      <c r="I16" s="234" t="s">
        <v>781</v>
      </c>
      <c r="J16" s="234">
        <v>1.45</v>
      </c>
      <c r="K16" s="234">
        <v>0.87</v>
      </c>
      <c r="L16" s="234" t="s">
        <v>781</v>
      </c>
      <c r="M16" s="234" t="s">
        <v>781</v>
      </c>
      <c r="N16" s="297">
        <f>VLOOKUP('1.Общие данные по зданию'!$C$10,'Экспресс потенциал'!C49:F60,2,1)</f>
        <v>0.97</v>
      </c>
      <c r="O16" s="234">
        <v>20</v>
      </c>
      <c r="P16" s="234" t="s">
        <v>781</v>
      </c>
      <c r="Q16" s="234" t="s">
        <v>781</v>
      </c>
      <c r="R16" s="262">
        <f>VLOOKUP(0.9999*'0.Результаты расчета'!$B$29,ФАП!$C$6:$E$55,3,1)</f>
        <v>0.12477467377040934</v>
      </c>
      <c r="S16" s="298">
        <v>0.06</v>
      </c>
      <c r="T16" s="298">
        <v>0.06</v>
      </c>
      <c r="U16" s="262">
        <f>VLOOKUP(0.9999*'0.Результаты расчета'!$B$28,ФАП!$C$204:$E$253,3,1)</f>
        <v>0.37521736309760673</v>
      </c>
      <c r="V16" s="298">
        <v>0.06</v>
      </c>
      <c r="W16" s="298">
        <v>0.06</v>
      </c>
      <c r="X16" s="262">
        <f>VLOOKUP(0.9999*'0.Результаты расчета'!$B$29,ФАП!$C$6:$E$55,2,1)</f>
        <v>0.54129112295068227</v>
      </c>
      <c r="Y16" s="234" t="s">
        <v>781</v>
      </c>
      <c r="Z16" s="234" t="s">
        <v>781</v>
      </c>
      <c r="AA16" s="262">
        <f>VLOOKUP(0.9999*'0.Результаты расчета'!$B$28,ФАП!$C$204:$E$253,2,1)</f>
        <v>0.95869560516267793</v>
      </c>
      <c r="AB16" s="234" t="s">
        <v>781</v>
      </c>
      <c r="AC16" s="234" t="s">
        <v>781</v>
      </c>
      <c r="AD16" s="234" t="s">
        <v>762</v>
      </c>
      <c r="AE16" s="234" t="s">
        <v>766</v>
      </c>
      <c r="AF16" s="234">
        <f>G13*'1.Общие данные по зданию'!$C$19*N16/8.078/1163/0.93</f>
        <v>5.2505227596517949</v>
      </c>
      <c r="AH16" s="234">
        <f t="shared" si="0"/>
        <v>5.2505227596517949</v>
      </c>
    </row>
    <row r="17" spans="1:34">
      <c r="A17" s="301"/>
      <c r="B17" s="301" t="s">
        <v>800</v>
      </c>
      <c r="C17" s="234">
        <v>1</v>
      </c>
      <c r="D17" s="234">
        <v>41.79</v>
      </c>
      <c r="E17" s="234">
        <f t="shared" ref="E17:E26" si="1">ROUND(D17*0.6,2)</f>
        <v>25.07</v>
      </c>
      <c r="F17" s="234">
        <v>59.43</v>
      </c>
      <c r="G17" s="234">
        <f t="shared" ref="G17:G26" si="2">ROUND(F17*0.6,2)</f>
        <v>35.659999999999997</v>
      </c>
      <c r="H17" s="234" t="s">
        <v>781</v>
      </c>
      <c r="I17" s="234" t="s">
        <v>781</v>
      </c>
      <c r="J17" s="234">
        <v>2.1800000000000002</v>
      </c>
      <c r="K17" s="234">
        <f t="shared" ref="K17:K26" si="3">ROUND(J17*0.6,2)</f>
        <v>1.31</v>
      </c>
      <c r="L17" s="234" t="s">
        <v>781</v>
      </c>
      <c r="M17" s="234" t="s">
        <v>781</v>
      </c>
      <c r="N17" s="297">
        <f>VLOOKUP('1.Общие данные по зданию'!$C$10,'Экспресс потенциал'!C82:L92,5,1)</f>
        <v>0.97</v>
      </c>
      <c r="O17" s="234">
        <v>18</v>
      </c>
      <c r="P17" s="234" t="s">
        <v>781</v>
      </c>
      <c r="Q17" s="234" t="s">
        <v>781</v>
      </c>
      <c r="R17" s="296">
        <f>VLOOKUP(0.9999*'0.Результаты расчета'!$B$29,'Откр.спорт.сооруж-е'!$C$6:$E$55,3,1)</f>
        <v>0</v>
      </c>
      <c r="S17" s="296" t="e">
        <f>VLOOKUP(0.9999*'0.Результаты расчета'!$B$26,'Откр.спорт.сооруж-е'!$C$73:$E$122,3,1)</f>
        <v>#VALUE!</v>
      </c>
      <c r="T17" s="298">
        <v>0.06</v>
      </c>
      <c r="U17" s="296">
        <f>VLOOKUP(0.9999*'0.Результаты расчета'!$B$28,'Откр.спорт.сооруж-е'!$C$204:$E$253,3,1)</f>
        <v>0</v>
      </c>
      <c r="V17" s="298">
        <v>0.06</v>
      </c>
      <c r="W17" s="298">
        <v>0.06</v>
      </c>
      <c r="X17" s="296">
        <f>VLOOKUP(0.9999*'0.Результаты расчета'!$B$29,'Откр.спорт.сооруж-е'!$C$6:$E$55,2,1)</f>
        <v>0</v>
      </c>
      <c r="Y17" s="296" t="e">
        <f>VLOOKUP(0.9999*'0.Результаты расчета'!$B$26,'Откр.спорт.сооруж-е'!$C$73:$E$122,2,1)</f>
        <v>#VALUE!</v>
      </c>
      <c r="Z17" s="296" t="e">
        <f>VLOOKUP(0.9999*'0.Результаты расчета'!$B$27,'Откр.спорт.сооруж-е'!$C$138:$E$187,2,1)</f>
        <v>#VALUE!</v>
      </c>
      <c r="AA17" s="296">
        <f>VLOOKUP(0.9999*'0.Результаты расчета'!$B$28,'Откр.спорт.сооруж-е'!$C$204:$E$253,2,1)</f>
        <v>0</v>
      </c>
      <c r="AB17" s="234" t="s">
        <v>781</v>
      </c>
      <c r="AC17" s="234" t="s">
        <v>781</v>
      </c>
      <c r="AD17" s="234" t="s">
        <v>763</v>
      </c>
      <c r="AE17" s="295" t="s">
        <v>769</v>
      </c>
      <c r="AF17" s="234">
        <f>G17*'1.Общие данные по зданию'!$C$19*N17/8.078/1163/0.93</f>
        <v>7.3281268731578466</v>
      </c>
      <c r="AH17" s="234">
        <f t="shared" si="0"/>
        <v>7.3281268731578466</v>
      </c>
    </row>
    <row r="18" spans="1:34">
      <c r="A18" s="301"/>
      <c r="B18" s="301" t="s">
        <v>801</v>
      </c>
      <c r="C18" s="234">
        <v>2</v>
      </c>
      <c r="D18" s="234">
        <v>30.3</v>
      </c>
      <c r="E18" s="234">
        <f t="shared" si="1"/>
        <v>18.18</v>
      </c>
      <c r="F18" s="234">
        <v>55.49</v>
      </c>
      <c r="G18" s="234">
        <f t="shared" si="2"/>
        <v>33.29</v>
      </c>
      <c r="H18" s="234">
        <v>1.04</v>
      </c>
      <c r="I18" s="234">
        <v>0.62</v>
      </c>
      <c r="J18" s="234">
        <v>1.66</v>
      </c>
      <c r="K18" s="234">
        <f t="shared" si="3"/>
        <v>1</v>
      </c>
      <c r="L18" s="234" t="s">
        <v>781</v>
      </c>
      <c r="M18" s="234" t="s">
        <v>781</v>
      </c>
      <c r="N18" s="297">
        <f>VLOOKUP('1.Общие данные по зданию'!$C$10,'Экспресс потенциал'!C82:L92,6,1)</f>
        <v>1</v>
      </c>
      <c r="O18" s="234">
        <v>18</v>
      </c>
      <c r="P18" s="234" t="s">
        <v>781</v>
      </c>
      <c r="Q18" s="234" t="s">
        <v>781</v>
      </c>
      <c r="R18" s="296">
        <f>VLOOKUP(0.9999*'0.Результаты расчета'!$B$29,'Крыт.спорт.сооруж-е'!$C$6:$E$55,3,1)</f>
        <v>0</v>
      </c>
      <c r="S18" s="296" t="e">
        <f>VLOOKUP(0.9999*'0.Результаты расчета'!$B$26,'Крыт.спорт.сооруж-е'!$C$73:$E$122,3,1)</f>
        <v>#VALUE!</v>
      </c>
      <c r="T18" s="296" t="e">
        <f>VLOOKUP(0.9999*'0.Результаты расчета'!$B$27,'Крыт.спорт.сооруж-е'!$C$138:$E$187,3,1)</f>
        <v>#VALUE!</v>
      </c>
      <c r="U18" s="296">
        <f>VLOOKUP(0.9999*'0.Результаты расчета'!$B$28,'Крыт.спорт.сооруж-е'!$C$204:$E$253,3,1)</f>
        <v>0.34864660361135003</v>
      </c>
      <c r="V18" s="298">
        <v>0.06</v>
      </c>
      <c r="W18" s="298">
        <v>0.06</v>
      </c>
      <c r="X18" s="296">
        <f>VLOOKUP(0.9999*'0.Результаты расчета'!$B$29,'Крыт.спорт.сооруж-е'!$C$6:$E$55,2,1)</f>
        <v>0</v>
      </c>
      <c r="Y18" s="296" t="e">
        <f>VLOOKUP(0.9999*'0.Результаты расчета'!$B$26,'Крыт.спорт.сооруж-е'!$C$73:$E$122,2,1)</f>
        <v>#VALUE!</v>
      </c>
      <c r="Z18" s="296" t="e">
        <f>VLOOKUP(0.9999*'0.Результаты расчета'!$B$27,'Крыт.спорт.сооруж-е'!$C$138:$E$187,2,1)</f>
        <v>#VALUE!</v>
      </c>
      <c r="AA18" s="296">
        <f>VLOOKUP(0.9999*'0.Результаты расчета'!$B$28,'Крыт.спорт.сооруж-е'!$C$204:$E$253,2,1)</f>
        <v>0.91441100601891656</v>
      </c>
      <c r="AB18" s="234" t="s">
        <v>781</v>
      </c>
      <c r="AC18" s="234" t="s">
        <v>781</v>
      </c>
      <c r="AD18" s="234" t="s">
        <v>763</v>
      </c>
      <c r="AE18" s="295" t="s">
        <v>769</v>
      </c>
      <c r="AF18" s="234">
        <f>G18*'1.Общие данные по зданию'!$C$19*N18/8.078/1163/0.93</f>
        <v>7.0526722484236792</v>
      </c>
      <c r="AG18" s="234">
        <f>I18*'1.Общие данные по зданию'!$C$16*IF('1.Общие данные по зданию'!$C$6='Экспресс потенциал'!$B$6,0.032,0.059)*1000/'1.Общие данные по зданию'!$C$15/8.078/0.93</f>
        <v>0.27067775415761791</v>
      </c>
      <c r="AH18" s="234">
        <f t="shared" si="0"/>
        <v>7.3233500025812974</v>
      </c>
    </row>
    <row r="19" spans="1:34" s="431" customFormat="1">
      <c r="B19" s="431" t="s">
        <v>788</v>
      </c>
      <c r="C19" s="431">
        <v>2</v>
      </c>
      <c r="D19" s="431">
        <v>98.7</v>
      </c>
      <c r="E19" s="431">
        <f>ROUND(D19*0.6,2)</f>
        <v>59.22</v>
      </c>
      <c r="F19" s="431">
        <v>82.05</v>
      </c>
      <c r="G19" s="431">
        <f t="shared" si="2"/>
        <v>49.23</v>
      </c>
      <c r="H19" s="431" t="s">
        <v>781</v>
      </c>
      <c r="I19" s="431" t="s">
        <v>781</v>
      </c>
      <c r="J19" s="431">
        <v>9.5399999999999991</v>
      </c>
      <c r="K19" s="431">
        <f>ROUND(J19*0.6,2)</f>
        <v>5.72</v>
      </c>
      <c r="L19" s="431" t="s">
        <v>781</v>
      </c>
      <c r="M19" s="431" t="s">
        <v>781</v>
      </c>
      <c r="N19" s="432">
        <f>VLOOKUP('1.Общие данные по зданию'!$C$10,'Экспресс потенциал'!C82:L92,3,1)</f>
        <v>1</v>
      </c>
      <c r="O19" s="431">
        <v>24</v>
      </c>
      <c r="P19" s="431" t="s">
        <v>781</v>
      </c>
      <c r="Q19" s="431" t="s">
        <v>781</v>
      </c>
      <c r="R19" s="433">
        <f>VLOOKUP(0.9999*'0.Результаты расчета'!$B$29,Бассейны!$C$6:$E$55,3,1)</f>
        <v>0</v>
      </c>
      <c r="S19" s="433" t="e">
        <f>VLOOKUP(0.9999*'0.Результаты расчета'!$B$26,Бассейны!$C$73:$E$122,3,1)</f>
        <v>#VALUE!</v>
      </c>
      <c r="T19" s="433">
        <v>0.06</v>
      </c>
      <c r="U19" s="430">
        <f>VLOOKUP(0.9999*'0.Результаты расчета'!$B$28,Бассейны!$C$138:$E$187,3,1)</f>
        <v>0.3076083916083916</v>
      </c>
      <c r="V19" s="433">
        <v>0.06</v>
      </c>
      <c r="W19" s="433">
        <v>0.06</v>
      </c>
      <c r="X19" s="433">
        <f>VLOOKUP(0.9999*'0.Результаты расчета'!$B$29,Бассейны!$C$6:$E$55,2,1)</f>
        <v>0</v>
      </c>
      <c r="Y19" s="433" t="e">
        <f>VLOOKUP(0.9999*'0.Результаты расчета'!$B$26,Бассейны!$C$73:$E$122,2,1)</f>
        <v>#VALUE!</v>
      </c>
      <c r="Z19" s="431" t="s">
        <v>781</v>
      </c>
      <c r="AA19" s="430">
        <f>VLOOKUP(0.9999*'0.Результаты расчета'!$B$28,Бассейны!$C$138:$E$187,2,1)</f>
        <v>0.84601398601398603</v>
      </c>
      <c r="AB19" s="431" t="s">
        <v>781</v>
      </c>
      <c r="AC19" s="431" t="s">
        <v>781</v>
      </c>
      <c r="AD19" s="431" t="s">
        <v>763</v>
      </c>
      <c r="AE19" s="434" t="s">
        <v>769</v>
      </c>
      <c r="AF19" s="431">
        <f>G19*'1.Общие данные по зданию'!$C$19*N19/8.078/1163/0.93</f>
        <v>10.429650188942558</v>
      </c>
      <c r="AH19" s="431">
        <f t="shared" si="0"/>
        <v>10.429650188942558</v>
      </c>
    </row>
    <row r="20" spans="1:34">
      <c r="B20" s="234" t="s">
        <v>789</v>
      </c>
      <c r="C20" s="234">
        <v>1</v>
      </c>
      <c r="D20" s="234">
        <v>20.2</v>
      </c>
      <c r="E20" s="234">
        <f t="shared" si="1"/>
        <v>12.12</v>
      </c>
      <c r="F20" s="234">
        <v>48.7</v>
      </c>
      <c r="G20" s="234">
        <f t="shared" si="2"/>
        <v>29.22</v>
      </c>
      <c r="H20" s="234">
        <v>2.5099999999999998</v>
      </c>
      <c r="I20" s="234">
        <v>1.51</v>
      </c>
      <c r="J20" s="234">
        <v>6.9</v>
      </c>
      <c r="K20" s="234">
        <f t="shared" si="3"/>
        <v>4.1399999999999997</v>
      </c>
      <c r="L20" s="234" t="s">
        <v>781</v>
      </c>
      <c r="M20" s="234" t="s">
        <v>781</v>
      </c>
      <c r="N20" s="297">
        <f>VLOOKUP('1.Общие данные по зданию'!$C$10,'Экспресс потенциал'!C33:I44,IF('1.Общие данные по зданию'!C9="1 смена",2,3),1)</f>
        <v>0.91</v>
      </c>
      <c r="O20" s="234">
        <v>20</v>
      </c>
      <c r="P20" s="234" t="s">
        <v>781</v>
      </c>
      <c r="Q20" s="234" t="s">
        <v>781</v>
      </c>
      <c r="R20" s="262">
        <f>VLOOKUP(0.9999*'0.Результаты расчета'!$B$29,Библиотеки!$C$6:$E$55,3,1)</f>
        <v>0</v>
      </c>
      <c r="S20" s="262" t="e">
        <f>VLOOKUP(0.9999*'0.Результаты расчета'!$B$26,Библиотеки!$C$73:$E$122,3,1)</f>
        <v>#VALUE!</v>
      </c>
      <c r="T20" s="262" t="e">
        <f>VLOOKUP(0.9999*'0.Результаты расчета'!$B$27,Библиотеки!$C$138:$E$187,3,1)</f>
        <v>#VALUE!</v>
      </c>
      <c r="U20" s="262">
        <f>VLOOKUP(0.9999*'0.Результаты расчета'!$B$28,Библиотеки!$C$204:$E$253,3,1)</f>
        <v>0.36202137404580154</v>
      </c>
      <c r="V20" s="298">
        <v>0.06</v>
      </c>
      <c r="W20" s="298">
        <v>0.06</v>
      </c>
      <c r="X20" s="262">
        <f>VLOOKUP(0.9999*'0.Результаты расчета'!$B$29,Библиотеки!$C$6:$E$55,2,1)</f>
        <v>0</v>
      </c>
      <c r="Y20" s="262" t="e">
        <f>VLOOKUP(0.9999*'0.Результаты расчета'!$B$26,Библиотеки!$C$73:$E$122,2,1)</f>
        <v>#VALUE!</v>
      </c>
      <c r="Z20" s="262" t="e">
        <f>VLOOKUP(0.9999*'0.Результаты расчета'!$B$27,Библиотеки!$C$138:$E$187,2,1)</f>
        <v>#VALUE!</v>
      </c>
      <c r="AA20" s="262">
        <f>VLOOKUP(0.9999*'0.Результаты расчета'!$B$28,Библиотеки!$C$204:$E$253,2,1)</f>
        <v>0.93670229007633588</v>
      </c>
      <c r="AB20" s="234" t="s">
        <v>781</v>
      </c>
      <c r="AC20" s="234" t="s">
        <v>781</v>
      </c>
      <c r="AD20" s="234" t="s">
        <v>762</v>
      </c>
      <c r="AE20" s="234" t="s">
        <v>766</v>
      </c>
      <c r="AF20" s="234">
        <f>G20*'1.Общие данные по зданию'!$C$19*N20/8.078/1163/0.93</f>
        <v>5.6332822355072194</v>
      </c>
      <c r="AG20" s="234">
        <f>I20*'1.Общие данные по зданию'!$C$16*IF('1.Общие данные по зданию'!$C$6='Экспресс потенциал'!$B$6,0.032,0.059)*1000/'1.Общие данные по зданию'!$C$15/8.078/0.93</f>
        <v>0.65923130448065015</v>
      </c>
      <c r="AH20" s="234">
        <f t="shared" si="0"/>
        <v>6.2925135399878691</v>
      </c>
    </row>
    <row r="21" spans="1:34">
      <c r="B21" s="234" t="s">
        <v>790</v>
      </c>
      <c r="C21" s="234">
        <v>2</v>
      </c>
      <c r="D21" s="234">
        <v>31.34</v>
      </c>
      <c r="E21" s="234">
        <f t="shared" si="1"/>
        <v>18.8</v>
      </c>
      <c r="F21" s="234">
        <v>48.78</v>
      </c>
      <c r="G21" s="234">
        <f t="shared" si="2"/>
        <v>29.27</v>
      </c>
      <c r="H21" s="234" t="s">
        <v>781</v>
      </c>
      <c r="I21" s="234" t="s">
        <v>781</v>
      </c>
      <c r="J21" s="234">
        <v>0.28000000000000003</v>
      </c>
      <c r="K21" s="234">
        <f t="shared" si="3"/>
        <v>0.17</v>
      </c>
      <c r="L21" s="234" t="s">
        <v>781</v>
      </c>
      <c r="M21" s="234" t="s">
        <v>781</v>
      </c>
      <c r="N21" s="297">
        <f>VLOOKUP('1.Общие данные по зданию'!$C$10,'Экспресс потенциал'!C82:L92,3,1)</f>
        <v>1</v>
      </c>
      <c r="O21" s="234">
        <v>20</v>
      </c>
      <c r="P21" s="234" t="s">
        <v>781</v>
      </c>
      <c r="Q21" s="234" t="s">
        <v>781</v>
      </c>
      <c r="R21" s="262">
        <f>VLOOKUP(0.9999*'0.Результаты расчета'!$B$29,Музеи!$C$6:$E$55,3,1)</f>
        <v>0</v>
      </c>
      <c r="S21" s="262" t="e">
        <f>VLOOKUP(0.9999*'0.Результаты расчета'!$B$26,Музеи!$C$73:$E$122,3,1)</f>
        <v>#VALUE!</v>
      </c>
      <c r="T21" s="298">
        <v>0.06</v>
      </c>
      <c r="U21" s="262">
        <f>VLOOKUP(0.9999*'0.Результаты расчета'!$B$28,Музеи!$C$204:$E$253,3,1)</f>
        <v>0.39325060810810814</v>
      </c>
      <c r="V21" s="298">
        <v>0.06</v>
      </c>
      <c r="W21" s="298">
        <v>0.06</v>
      </c>
      <c r="X21" s="262">
        <f>VLOOKUP(0.9999*'0.Результаты расчета'!$B$29,Музеи!$C$6:$E$55,2,1)</f>
        <v>0</v>
      </c>
      <c r="Y21" s="262" t="e">
        <f>VLOOKUP(0.9999*'0.Результаты расчета'!$B$26,Музеи!$C$73:$E$122,2,1)</f>
        <v>#VALUE!</v>
      </c>
      <c r="Z21" s="234" t="s">
        <v>781</v>
      </c>
      <c r="AA21" s="262">
        <f>VLOOKUP(0.9999*'0.Результаты расчета'!$B$28,Музеи!$C$204:$E$253,2,1)</f>
        <v>0.98875101351351358</v>
      </c>
      <c r="AB21" s="234" t="s">
        <v>781</v>
      </c>
      <c r="AC21" s="234" t="s">
        <v>781</v>
      </c>
      <c r="AD21" s="234" t="s">
        <v>763</v>
      </c>
      <c r="AE21" s="295" t="s">
        <v>769</v>
      </c>
      <c r="AF21" s="234">
        <f>G21*'1.Общие данные по зданию'!$C$19*N21/8.078/1163/0.93</f>
        <v>6.201012818004239</v>
      </c>
      <c r="AH21" s="234">
        <f t="shared" si="0"/>
        <v>6.201012818004239</v>
      </c>
    </row>
    <row r="22" spans="1:34">
      <c r="B22" s="234" t="s">
        <v>791</v>
      </c>
      <c r="C22" s="234">
        <v>2</v>
      </c>
      <c r="D22" s="234">
        <v>43.72</v>
      </c>
      <c r="E22" s="234">
        <f t="shared" si="1"/>
        <v>26.23</v>
      </c>
      <c r="F22" s="234">
        <v>43.15</v>
      </c>
      <c r="G22" s="234">
        <f t="shared" si="2"/>
        <v>25.89</v>
      </c>
      <c r="H22" s="234" t="s">
        <v>781</v>
      </c>
      <c r="I22" s="234" t="s">
        <v>781</v>
      </c>
      <c r="J22" s="234">
        <v>0.84</v>
      </c>
      <c r="K22" s="234">
        <f t="shared" si="3"/>
        <v>0.5</v>
      </c>
      <c r="L22" s="234" t="s">
        <v>781</v>
      </c>
      <c r="M22" s="234" t="s">
        <v>781</v>
      </c>
      <c r="N22" s="297">
        <f>VLOOKUP('1.Общие данные по зданию'!$C$10,'Экспресс потенциал'!C82:L92,3,1)</f>
        <v>1</v>
      </c>
      <c r="O22" s="234">
        <v>20</v>
      </c>
      <c r="P22" s="234" t="s">
        <v>781</v>
      </c>
      <c r="Q22" s="234" t="s">
        <v>781</v>
      </c>
      <c r="R22" s="262">
        <f>VLOOKUP(0.9999*'0.Результаты расчета'!$B$29,'Театры, кинотеатры'!$C$6:$E$55,3,1)</f>
        <v>0</v>
      </c>
      <c r="S22" s="262" t="e">
        <f>VLOOKUP(0.9999*'0.Результаты расчета'!$B$26,'Театры, кинотеатры'!$C$73:$E$122,3,1)</f>
        <v>#VALUE!</v>
      </c>
      <c r="T22" s="298">
        <v>0.06</v>
      </c>
      <c r="U22" s="262">
        <f>VLOOKUP(0.9999*'0.Результаты расчета'!$B$28,'Театры, кинотеатры'!$C$204:$E$253,3,1)</f>
        <v>0.3836311582381729</v>
      </c>
      <c r="V22" s="298">
        <v>0.06</v>
      </c>
      <c r="W22" s="298">
        <v>0.06</v>
      </c>
      <c r="X22" s="262">
        <f>VLOOKUP(0.9999*'0.Результаты расчета'!$B$29,'Театры, кинотеатры'!$C$6:$E$55,2,1)</f>
        <v>0</v>
      </c>
      <c r="Y22" s="262" t="e">
        <f>VLOOKUP(0.9999*'0.Результаты расчета'!$B$26,'Театры, кинотеатры'!$C$73:$E$122,2,1)</f>
        <v>#VALUE!</v>
      </c>
      <c r="Z22" s="234" t="s">
        <v>781</v>
      </c>
      <c r="AA22" s="262">
        <f>VLOOKUP(0.9999*'0.Результаты расчета'!$B$28,'Театры, кинотеатры'!$C$204:$E$253,2,1)</f>
        <v>0.97271859706362152</v>
      </c>
      <c r="AB22" s="234" t="s">
        <v>781</v>
      </c>
      <c r="AC22" s="234" t="s">
        <v>781</v>
      </c>
      <c r="AD22" s="234" t="s">
        <v>763</v>
      </c>
      <c r="AE22" s="295" t="s">
        <v>769</v>
      </c>
      <c r="AF22" s="234">
        <f>G22*'1.Общие данные по зданию'!$C$19*N22/8.078/1163/0.93</f>
        <v>5.484940958596848</v>
      </c>
      <c r="AH22" s="234">
        <f t="shared" si="0"/>
        <v>5.484940958596848</v>
      </c>
    </row>
    <row r="23" spans="1:34">
      <c r="A23" s="301"/>
      <c r="B23" s="301" t="s">
        <v>802</v>
      </c>
      <c r="C23" s="234">
        <v>2</v>
      </c>
      <c r="D23" s="234">
        <v>15.43</v>
      </c>
      <c r="E23" s="234">
        <f t="shared" si="1"/>
        <v>9.26</v>
      </c>
      <c r="F23" s="234">
        <v>51.01</v>
      </c>
      <c r="G23" s="234">
        <f t="shared" si="2"/>
        <v>30.61</v>
      </c>
      <c r="H23" s="234">
        <v>0.19</v>
      </c>
      <c r="I23" s="234">
        <v>0.11</v>
      </c>
      <c r="J23" s="234">
        <v>1.37</v>
      </c>
      <c r="K23" s="234">
        <f t="shared" si="3"/>
        <v>0.82</v>
      </c>
      <c r="L23" s="234">
        <v>31.33</v>
      </c>
      <c r="M23" s="234">
        <f t="shared" ref="M23:M25" si="4">L23*0.6</f>
        <v>18.797999999999998</v>
      </c>
      <c r="N23" s="297">
        <f>VLOOKUP('1.Общие данные по зданию'!$C$10,'Экспресс потенциал'!C82:L92,3,1)</f>
        <v>1</v>
      </c>
      <c r="O23" s="234">
        <v>20</v>
      </c>
      <c r="P23" s="234">
        <v>88.82</v>
      </c>
      <c r="Q23" s="234">
        <f>0.6*P23</f>
        <v>53.291999999999994</v>
      </c>
      <c r="R23" s="262">
        <f>VLOOKUP(0.9999*'0.Результаты расчета'!$B$29,Клуб!$C$6:$E$55,3,1)</f>
        <v>0</v>
      </c>
      <c r="S23" s="262" t="e">
        <f>VLOOKUP(0.9999*'0.Результаты расчета'!$B$26,Клуб!$C$73:$E$122,3,1)</f>
        <v>#VALUE!</v>
      </c>
      <c r="T23" s="262" t="e">
        <f>VLOOKUP(0.9999*'0.Результаты расчета'!$B$27,Клуб!$C$138:$E$187,3,1)</f>
        <v>#VALUE!</v>
      </c>
      <c r="U23" s="262">
        <f>VLOOKUP(0.9999*'0.Результаты расчета'!$B$28,Клуб!$C$204:$E$253,3,1)</f>
        <v>0.38893175206981434</v>
      </c>
      <c r="V23" s="262" t="e">
        <f>VLOOKUP(0.9999*'0.Результаты расчета'!$B$30,Клуб!$C$270:$E$319,3,1)</f>
        <v>#VALUE!</v>
      </c>
      <c r="W23" s="262" t="e">
        <f>VLOOKUP(0.9999*'0.Результаты расчета'!$B$31,Клуб!$C$337:$E$386,3,1)</f>
        <v>#VALUE!</v>
      </c>
      <c r="X23" s="262">
        <f>VLOOKUP(0.9999*'0.Результаты расчета'!$B$29,Клуб!$C$6:$E$55,2,1)</f>
        <v>0</v>
      </c>
      <c r="Y23" s="262" t="e">
        <f>VLOOKUP(0.9999*'0.Результаты расчета'!$B$26,Клуб!$C$73:$E$122,2,1)</f>
        <v>#VALUE!</v>
      </c>
      <c r="Z23" s="262" t="e">
        <f>VLOOKUP(0.9999*'0.Результаты расчета'!$B$27,Клуб!$C$138:$E$187,2,1)</f>
        <v>#VALUE!</v>
      </c>
      <c r="AA23" s="262">
        <f>VLOOKUP(0.9999*'0.Результаты расчета'!$B$28,Клуб!$C$204:$E$253,2,1)</f>
        <v>0.9815529201163572</v>
      </c>
      <c r="AB23" s="262" t="e">
        <f>VLOOKUP(0.9999*'0.Результаты расчета'!$B$30,Клуб!$C$270:$E$319,2,1)</f>
        <v>#VALUE!</v>
      </c>
      <c r="AC23" s="262" t="e">
        <f>VLOOKUP(0.9999*'0.Результаты расчета'!$B$31,Клуб!$C$337:$E$386,2,1)</f>
        <v>#VALUE!</v>
      </c>
      <c r="AD23" s="234" t="s">
        <v>763</v>
      </c>
      <c r="AE23" s="295" t="s">
        <v>769</v>
      </c>
      <c r="AF23" s="234">
        <f>G23*'1.Общие данные по зданию'!$C$19*N23/8.078/1163/0.93</f>
        <v>6.4848992948107194</v>
      </c>
      <c r="AG23" s="234">
        <f>I23*'1.Общие данные по зданию'!$C$16*IF('1.Общие данные по зданию'!$C$6='Экспресс потенциал'!$B$6,0.032,0.059)*1000/'1.Общие данные по зданию'!$C$15/8.078/0.93</f>
        <v>4.8023472511835447E-2</v>
      </c>
      <c r="AH23" s="234">
        <f t="shared" si="0"/>
        <v>6.5329227673225549</v>
      </c>
    </row>
    <row r="24" spans="1:34">
      <c r="B24" s="234" t="s">
        <v>792</v>
      </c>
      <c r="C24" s="234">
        <v>2</v>
      </c>
      <c r="D24" s="234">
        <v>55.5</v>
      </c>
      <c r="E24" s="234">
        <f t="shared" si="1"/>
        <v>33.299999999999997</v>
      </c>
      <c r="F24" s="234">
        <v>49.5</v>
      </c>
      <c r="G24" s="234">
        <f t="shared" si="2"/>
        <v>29.7</v>
      </c>
      <c r="H24" s="234">
        <v>3.86</v>
      </c>
      <c r="I24" s="234">
        <v>2.3199999999999998</v>
      </c>
      <c r="J24" s="234">
        <v>8.6</v>
      </c>
      <c r="K24" s="234">
        <f t="shared" si="3"/>
        <v>5.16</v>
      </c>
      <c r="L24" s="234">
        <v>36.700000000000003</v>
      </c>
      <c r="M24" s="234">
        <f t="shared" si="4"/>
        <v>22.02</v>
      </c>
      <c r="N24" s="297">
        <f>VLOOKUP('1.Общие данные по зданию'!$C$10,'Экспресс потенциал'!C33:I44,IF('1.Общие данные по зданию'!C9="1 смена",4,5),1)</f>
        <v>1</v>
      </c>
      <c r="O24" s="234">
        <v>20</v>
      </c>
      <c r="P24" s="234">
        <v>260.89999999999998</v>
      </c>
      <c r="Q24" s="234">
        <f>0.6*P24</f>
        <v>156.54</v>
      </c>
      <c r="R24" s="262">
        <f>VLOOKUP(0.9999*'0.Результаты расчета'!$B$29,'Адм. здания'!$C$6:$E$55,3,1)</f>
        <v>0</v>
      </c>
      <c r="S24" s="262" t="e">
        <f>VLOOKUP(0.9999*'0.Результаты расчета'!$B$26,'Адм. здания'!$C$73:$E$122,3,1)</f>
        <v>#VALUE!</v>
      </c>
      <c r="T24" s="262" t="e">
        <f>VLOOKUP(0.9999*'0.Результаты расчета'!$B$27,'Адм. здания'!$C$138:$E$187,3,1)</f>
        <v>#VALUE!</v>
      </c>
      <c r="U24" s="262">
        <f>VLOOKUP(0.9999*'0.Результаты расчета'!$B$28,'Адм. здания'!$C$204:$E$253,3,1)</f>
        <v>0.31953906249999997</v>
      </c>
      <c r="V24" s="262" t="e">
        <f>VLOOKUP(0.9999*'0.Результаты расчета'!$B$30,'Адм. здания'!$C$270:$E$319,3,1)</f>
        <v>#VALUE!</v>
      </c>
      <c r="W24" s="262" t="e">
        <f>VLOOKUP(0.9999*'0.Результаты расчета'!$B$31,'Адм. здания'!$C$337:$E$386,3,1)</f>
        <v>#VALUE!</v>
      </c>
      <c r="X24" s="262">
        <f>VLOOKUP(0.9999*'0.Результаты расчета'!$B$29,'Адм. здания'!$C$6:$E$55,2,1)</f>
        <v>0</v>
      </c>
      <c r="Y24" s="262" t="e">
        <f>VLOOKUP(0.9999*'0.Результаты расчета'!$B$26,'Адм. здания'!$C$73:$E$122,2,1)</f>
        <v>#VALUE!</v>
      </c>
      <c r="Z24" s="262" t="e">
        <f>VLOOKUP(0.9999*'0.Результаты расчета'!$B$27,'Адм. здания'!$C$138:$E$187,2,1)</f>
        <v>#VALUE!</v>
      </c>
      <c r="AA24" s="262">
        <f>VLOOKUP(0.9999*'0.Результаты расчета'!$B$28,'Адм. здания'!$C$204:$E$253,2,1)</f>
        <v>0.86589843750000006</v>
      </c>
      <c r="AB24" s="262" t="e">
        <f>VLOOKUP(0.9999*'0.Результаты расчета'!$B$30,'Адм. здания'!$C$270:$E$319,2,1)</f>
        <v>#VALUE!</v>
      </c>
      <c r="AC24" s="262" t="e">
        <f>VLOOKUP(0.9999*'0.Результаты расчета'!$B$31,'Адм. здания'!$C$337:$E$386,2,1)</f>
        <v>#VALUE!</v>
      </c>
      <c r="AD24" s="234" t="s">
        <v>762</v>
      </c>
      <c r="AE24" s="234" t="s">
        <v>766</v>
      </c>
      <c r="AF24" s="234">
        <f>G24*'1.Общие данные по зданию'!$C$19*N24/8.078/1163/0.93</f>
        <v>6.2921107172779598</v>
      </c>
      <c r="AG24" s="234">
        <f>I24*'1.Общие данные по зданию'!$C$16*IF('1.Общие данные по зданию'!$C$6='Экспресс потенциал'!$B$6,0.032,0.059)*1000/'1.Общие данные по зданию'!$C$15/8.078/0.93</f>
        <v>1.0128586929768928</v>
      </c>
      <c r="AH24" s="234">
        <f t="shared" si="0"/>
        <v>7.3049694102548521</v>
      </c>
    </row>
    <row r="25" spans="1:34">
      <c r="B25" s="234" t="s">
        <v>793</v>
      </c>
      <c r="C25" s="234">
        <v>2</v>
      </c>
      <c r="D25" s="234">
        <v>46.4</v>
      </c>
      <c r="E25" s="234">
        <f t="shared" si="1"/>
        <v>27.84</v>
      </c>
      <c r="F25" s="234">
        <v>86.1</v>
      </c>
      <c r="G25" s="234">
        <f t="shared" si="2"/>
        <v>51.66</v>
      </c>
      <c r="H25" s="234">
        <v>2.91</v>
      </c>
      <c r="I25" s="234">
        <v>1.75</v>
      </c>
      <c r="J25" s="234">
        <v>6.2</v>
      </c>
      <c r="K25" s="234">
        <f t="shared" si="3"/>
        <v>3.72</v>
      </c>
      <c r="L25" s="234">
        <v>36</v>
      </c>
      <c r="M25" s="234">
        <f t="shared" si="4"/>
        <v>21.599999999999998</v>
      </c>
      <c r="N25" s="297">
        <f>VLOOKUP('1.Общие данные по зданию'!$C$10,'Экспресс потенциал'!C33:I44,IF('1.Общие данные по зданию'!C9="1 смена",4,5),1)</f>
        <v>1</v>
      </c>
      <c r="O25" s="234">
        <v>20</v>
      </c>
      <c r="P25" s="234" t="s">
        <v>781</v>
      </c>
      <c r="Q25" s="234" t="s">
        <v>781</v>
      </c>
      <c r="R25" s="262">
        <f>VLOOKUP(0.9999*'0.Результаты расчета'!$B$29,'Центры занятости и Собесы'!$C$6:$E$55,3,1)</f>
        <v>0</v>
      </c>
      <c r="S25" s="262" t="e">
        <f>VLOOKUP(0.9999*'0.Результаты расчета'!$B$26,'Центры занятости и Собесы'!$C$73:$E$122,3,1)</f>
        <v>#VALUE!</v>
      </c>
      <c r="T25" s="262" t="e">
        <f>VLOOKUP(0.9999*'0.Результаты расчета'!$B$27,'Центры занятости и Собесы'!$C$138:$E$187,3,1)</f>
        <v>#VALUE!</v>
      </c>
      <c r="U25" s="262">
        <f>VLOOKUP(0.9999*'0.Результаты расчета'!$B$28,'Центры занятости и Собесы'!$C$204:$E$253,3,1)</f>
        <v>0.33290419161676649</v>
      </c>
      <c r="V25" s="262" t="e">
        <f>VLOOKUP(0.9999*'0.Результаты расчета'!$B$30,'Центры занятости и Собесы'!$C$270:$E$319,3,1)</f>
        <v>#VALUE!</v>
      </c>
      <c r="W25" s="298">
        <v>0.06</v>
      </c>
      <c r="X25" s="262">
        <f>VLOOKUP(0.9999*'0.Результаты расчета'!$B$29,'Центры занятости и Собесы'!$C$6:$E$55,2,1)</f>
        <v>0</v>
      </c>
      <c r="Y25" s="262" t="e">
        <f>VLOOKUP(0.9999*'0.Результаты расчета'!$B$26,'Центры занятости и Собесы'!$C$73:$E$122,2,1)</f>
        <v>#VALUE!</v>
      </c>
      <c r="Z25" s="262" t="e">
        <f>VLOOKUP(0.9999*'0.Результаты расчета'!$B$27,'Центры занятости и Собесы'!$C$138:$E$187,2,1)</f>
        <v>#VALUE!</v>
      </c>
      <c r="AA25" s="262">
        <f>VLOOKUP(0.9999*'0.Результаты расчета'!$B$28,'Центры занятости и Собесы'!$C$204:$E$253,2,1)</f>
        <v>0.88817365269461079</v>
      </c>
      <c r="AB25" s="262" t="e">
        <f>VLOOKUP(0.9999*'0.Результаты расчета'!$B$30,'Центры занятости и Собесы'!$C$270:$E$319,2,1)</f>
        <v>#VALUE!</v>
      </c>
      <c r="AC25" s="234" t="s">
        <v>781</v>
      </c>
      <c r="AD25" s="234" t="s">
        <v>762</v>
      </c>
      <c r="AE25" s="234" t="s">
        <v>766</v>
      </c>
      <c r="AF25" s="234">
        <f>G25*'1.Общие данные по зданию'!$C$19*N25/8.078/1163/0.93</f>
        <v>10.944459247628936</v>
      </c>
      <c r="AG25" s="234">
        <f>I25*'1.Общие данные по зданию'!$C$16*IF('1.Общие данные по зданию'!$C$6='Экспресс потенциал'!$B$6,0.032,0.059)*1000/'1.Общие данные по зданию'!$C$15/8.078/0.93</f>
        <v>0.7640097899610182</v>
      </c>
      <c r="AH25" s="234">
        <f t="shared" si="0"/>
        <v>11.708469037589955</v>
      </c>
    </row>
    <row r="26" spans="1:34">
      <c r="B26" s="234" t="s">
        <v>794</v>
      </c>
      <c r="C26" s="234">
        <v>2</v>
      </c>
      <c r="D26" s="234">
        <v>60.4</v>
      </c>
      <c r="E26" s="234">
        <f t="shared" si="1"/>
        <v>36.24</v>
      </c>
      <c r="F26" s="234">
        <v>51.9</v>
      </c>
      <c r="G26" s="234">
        <f t="shared" si="2"/>
        <v>31.14</v>
      </c>
      <c r="H26" s="234" t="s">
        <v>781</v>
      </c>
      <c r="I26" s="234" t="s">
        <v>781</v>
      </c>
      <c r="J26" s="234">
        <v>16.8</v>
      </c>
      <c r="K26" s="234">
        <f t="shared" si="3"/>
        <v>10.08</v>
      </c>
      <c r="L26" s="234" t="s">
        <v>781</v>
      </c>
      <c r="M26" s="234" t="s">
        <v>781</v>
      </c>
      <c r="N26" s="297">
        <f>VLOOKUP('1.Общие данные по зданию'!$C$10,'Экспресс потенциал'!C33:I44,IF('1.Общие данные по зданию'!C9="1 смена",4,5),1)</f>
        <v>1</v>
      </c>
      <c r="O26" s="234">
        <v>20</v>
      </c>
      <c r="P26" s="234" t="s">
        <v>781</v>
      </c>
      <c r="Q26" s="234" t="s">
        <v>781</v>
      </c>
      <c r="R26" s="262">
        <f>VLOOKUP(0.9999*'0.Результаты расчета'!$B$29,'НИИ и проч'!$C$6:$E$55,3,1)</f>
        <v>0</v>
      </c>
      <c r="S26" s="262" t="e">
        <f>VLOOKUP(0.9999*'0.Результаты расчета'!$B$26,'НИИ и проч'!$C$73:$E$122,3,1)</f>
        <v>#VALUE!</v>
      </c>
      <c r="T26" s="298">
        <v>0.06</v>
      </c>
      <c r="U26" s="262">
        <f>VLOOKUP(0.9999*'0.Результаты расчета'!$B$28,'НИИ и проч'!$C$204:$E$253,3,1)</f>
        <v>0.22024107142857149</v>
      </c>
      <c r="V26" s="298">
        <v>0.06</v>
      </c>
      <c r="W26" s="298">
        <v>0.06</v>
      </c>
      <c r="X26" s="262">
        <f>VLOOKUP(0.9999*'0.Результаты расчета'!$B$29,'НИИ и проч'!$C$6:$E$55,2,1)</f>
        <v>0</v>
      </c>
      <c r="Y26" s="262" t="e">
        <f>VLOOKUP(0.9999*'0.Результаты расчета'!$B$26,'НИИ и проч'!$C$73:$E$122,2,1)</f>
        <v>#VALUE!</v>
      </c>
      <c r="Z26" s="234" t="s">
        <v>781</v>
      </c>
      <c r="AA26" s="262">
        <f>VLOOKUP(0.9999*'0.Результаты расчета'!$B$28,'НИИ и проч'!$C$204:$E$253,2,1)</f>
        <v>0.7004017857142858</v>
      </c>
      <c r="AB26" s="234" t="s">
        <v>781</v>
      </c>
      <c r="AC26" s="234" t="s">
        <v>781</v>
      </c>
      <c r="AD26" s="234" t="s">
        <v>762</v>
      </c>
      <c r="AE26" s="234" t="s">
        <v>766</v>
      </c>
      <c r="AF26" s="234">
        <f>G26*'1.Общие данные по зданию'!$C$19*N26/8.078/1163/0.93</f>
        <v>6.5971827520550734</v>
      </c>
      <c r="AH26" s="234">
        <f t="shared" si="0"/>
        <v>6.5971827520550734</v>
      </c>
    </row>
    <row r="27" spans="1:34">
      <c r="B27" s="301" t="s">
        <v>779</v>
      </c>
      <c r="E27" s="301" t="s">
        <v>780</v>
      </c>
      <c r="G27" s="301" t="s">
        <v>780</v>
      </c>
      <c r="I27" s="301" t="s">
        <v>780</v>
      </c>
      <c r="K27" s="301" t="s">
        <v>780</v>
      </c>
      <c r="M27" s="301" t="s">
        <v>780</v>
      </c>
      <c r="N27" s="234">
        <v>1</v>
      </c>
      <c r="O27" s="234">
        <v>20</v>
      </c>
      <c r="P27" s="234" t="s">
        <v>781</v>
      </c>
      <c r="Q27" s="234" t="s">
        <v>781</v>
      </c>
      <c r="R27" s="298">
        <v>0.06</v>
      </c>
      <c r="S27" s="298">
        <v>0.06</v>
      </c>
      <c r="T27" s="298">
        <v>0.06</v>
      </c>
      <c r="U27" s="298">
        <v>0.06</v>
      </c>
      <c r="V27" s="298">
        <v>0.06</v>
      </c>
      <c r="W27" s="298">
        <v>0.06</v>
      </c>
      <c r="X27" s="301" t="s">
        <v>780</v>
      </c>
      <c r="Y27" s="301" t="s">
        <v>780</v>
      </c>
      <c r="Z27" s="301" t="s">
        <v>780</v>
      </c>
      <c r="AA27" s="301" t="s">
        <v>780</v>
      </c>
      <c r="AB27" s="301" t="s">
        <v>780</v>
      </c>
      <c r="AC27" s="301" t="s">
        <v>780</v>
      </c>
    </row>
    <row r="30" spans="1:34">
      <c r="C30" s="251" t="s">
        <v>186</v>
      </c>
    </row>
    <row r="31" spans="1:34" ht="47.25" customHeight="1">
      <c r="C31" s="237" t="s">
        <v>170</v>
      </c>
      <c r="D31" s="459" t="s">
        <v>185</v>
      </c>
      <c r="E31" s="459"/>
      <c r="F31" s="459" t="s">
        <v>184</v>
      </c>
      <c r="G31" s="459"/>
      <c r="H31" s="459" t="s">
        <v>183</v>
      </c>
      <c r="I31" s="459"/>
    </row>
    <row r="32" spans="1:34" ht="47.25">
      <c r="C32" s="237" t="s">
        <v>168</v>
      </c>
      <c r="D32" s="235" t="s">
        <v>182</v>
      </c>
      <c r="E32" s="235" t="s">
        <v>181</v>
      </c>
      <c r="F32" s="235" t="s">
        <v>182</v>
      </c>
      <c r="G32" s="235" t="s">
        <v>181</v>
      </c>
      <c r="H32" s="235" t="s">
        <v>182</v>
      </c>
      <c r="I32" s="235" t="s">
        <v>181</v>
      </c>
      <c r="M32" s="234" t="s">
        <v>162</v>
      </c>
    </row>
    <row r="33" spans="2:13" ht="15.75">
      <c r="C33" s="237">
        <v>1</v>
      </c>
      <c r="D33" s="238">
        <v>1</v>
      </c>
      <c r="E33" s="238">
        <v>1</v>
      </c>
      <c r="F33" s="235">
        <v>1.1000000000000001</v>
      </c>
      <c r="G33" s="235">
        <v>1.07</v>
      </c>
      <c r="H33" s="235">
        <v>1.23</v>
      </c>
      <c r="I33" s="235">
        <v>1.17</v>
      </c>
      <c r="M33" s="234" t="s">
        <v>180</v>
      </c>
    </row>
    <row r="34" spans="2:13" ht="15.75">
      <c r="C34" s="237">
        <v>2</v>
      </c>
      <c r="D34" s="235">
        <v>0.91</v>
      </c>
      <c r="E34" s="235">
        <v>0.93</v>
      </c>
      <c r="F34" s="238">
        <v>1</v>
      </c>
      <c r="G34" s="238">
        <v>1</v>
      </c>
      <c r="H34" s="235">
        <v>1.1299999999999999</v>
      </c>
      <c r="I34" s="235">
        <v>1.0900000000000001</v>
      </c>
    </row>
    <row r="35" spans="2:13" ht="15.75">
      <c r="C35" s="237">
        <v>3</v>
      </c>
      <c r="D35" s="235">
        <v>0.81</v>
      </c>
      <c r="E35" s="235">
        <v>0.85</v>
      </c>
      <c r="F35" s="235">
        <v>0.89</v>
      </c>
      <c r="G35" s="235">
        <v>0.92</v>
      </c>
      <c r="H35" s="238">
        <v>1</v>
      </c>
      <c r="I35" s="238">
        <v>1</v>
      </c>
    </row>
    <row r="36" spans="2:13" ht="15.75">
      <c r="C36" s="237">
        <v>4</v>
      </c>
      <c r="D36" s="235">
        <v>0.72</v>
      </c>
      <c r="E36" s="235">
        <v>0.85</v>
      </c>
      <c r="F36" s="235">
        <v>0.79</v>
      </c>
      <c r="G36" s="235">
        <v>0.92</v>
      </c>
      <c r="H36" s="235">
        <v>0.89</v>
      </c>
      <c r="I36" s="235">
        <v>1</v>
      </c>
    </row>
    <row r="37" spans="2:13" ht="15.75">
      <c r="C37" s="237">
        <v>5</v>
      </c>
      <c r="D37" s="235">
        <v>0.72</v>
      </c>
      <c r="E37" s="235">
        <v>0.78</v>
      </c>
      <c r="F37" s="235">
        <v>0.79</v>
      </c>
      <c r="G37" s="235">
        <v>0.84</v>
      </c>
      <c r="H37" s="235">
        <v>0.89</v>
      </c>
      <c r="I37" s="235">
        <v>0.92</v>
      </c>
    </row>
    <row r="38" spans="2:13" ht="15.75">
      <c r="C38" s="237">
        <v>6</v>
      </c>
      <c r="D38" s="235">
        <v>0.63</v>
      </c>
      <c r="E38" s="235">
        <v>0.71</v>
      </c>
      <c r="F38" s="235">
        <v>0.69</v>
      </c>
      <c r="G38" s="235">
        <v>0.76</v>
      </c>
      <c r="H38" s="235">
        <v>0.78</v>
      </c>
      <c r="I38" s="235">
        <v>0.83</v>
      </c>
    </row>
    <row r="39" spans="2:13" ht="15.75">
      <c r="C39" s="237">
        <v>7</v>
      </c>
      <c r="D39" s="235">
        <v>0.63</v>
      </c>
      <c r="E39" s="235">
        <v>0.71</v>
      </c>
      <c r="F39" s="235">
        <v>0.69</v>
      </c>
      <c r="G39" s="235">
        <v>0.76</v>
      </c>
      <c r="H39" s="235">
        <v>0.78</v>
      </c>
      <c r="I39" s="235">
        <v>0.83</v>
      </c>
    </row>
    <row r="40" spans="2:13" ht="15.75">
      <c r="C40" s="237">
        <v>8</v>
      </c>
      <c r="D40" s="235">
        <v>0.57999999999999996</v>
      </c>
      <c r="E40" s="235">
        <v>0.67</v>
      </c>
      <c r="F40" s="235">
        <v>0.63</v>
      </c>
      <c r="G40" s="235">
        <v>0.72</v>
      </c>
      <c r="H40" s="235">
        <v>0.71</v>
      </c>
      <c r="I40" s="235">
        <v>0.79</v>
      </c>
    </row>
    <row r="41" spans="2:13" ht="15.75">
      <c r="C41" s="237">
        <v>9</v>
      </c>
      <c r="D41" s="235">
        <v>0.57999999999999996</v>
      </c>
      <c r="E41" s="235">
        <v>0.67</v>
      </c>
      <c r="F41" s="235">
        <v>0.63</v>
      </c>
      <c r="G41" s="235">
        <v>0.72</v>
      </c>
      <c r="H41" s="235">
        <v>0.71</v>
      </c>
      <c r="I41" s="235">
        <v>0.79</v>
      </c>
    </row>
    <row r="42" spans="2:13" ht="15.75">
      <c r="C42" s="237">
        <v>10</v>
      </c>
      <c r="D42" s="235">
        <v>0.54</v>
      </c>
      <c r="E42" s="235">
        <v>0.65</v>
      </c>
      <c r="F42" s="235">
        <v>0.6</v>
      </c>
      <c r="G42" s="235">
        <v>0.7</v>
      </c>
      <c r="H42" s="235">
        <v>0.67</v>
      </c>
      <c r="I42" s="235">
        <v>0.76</v>
      </c>
    </row>
    <row r="43" spans="2:13" ht="15.75">
      <c r="C43" s="237">
        <v>11</v>
      </c>
      <c r="D43" s="235">
        <v>0.54</v>
      </c>
      <c r="E43" s="235">
        <v>0.65</v>
      </c>
      <c r="F43" s="235">
        <v>0.6</v>
      </c>
      <c r="G43" s="235">
        <v>0.7</v>
      </c>
      <c r="H43" s="235">
        <v>0.67</v>
      </c>
      <c r="I43" s="235">
        <v>0.76</v>
      </c>
    </row>
    <row r="44" spans="2:13" ht="15.75">
      <c r="C44" s="237">
        <v>12</v>
      </c>
      <c r="D44" s="235">
        <v>0.54</v>
      </c>
      <c r="E44" s="235">
        <v>0.65</v>
      </c>
      <c r="F44" s="235">
        <v>0.59</v>
      </c>
      <c r="G44" s="235">
        <v>0.69</v>
      </c>
      <c r="H44" s="235">
        <v>0.66</v>
      </c>
      <c r="I44" s="235">
        <v>0.76</v>
      </c>
    </row>
    <row r="45" spans="2:13" ht="18.75">
      <c r="C45" s="242"/>
    </row>
    <row r="46" spans="2:13">
      <c r="B46" s="248"/>
      <c r="C46" s="250" t="s">
        <v>179</v>
      </c>
      <c r="D46" s="249" t="s">
        <v>178</v>
      </c>
      <c r="E46" s="248"/>
      <c r="F46" s="248"/>
    </row>
    <row r="47" spans="2:13" ht="47.25" customHeight="1">
      <c r="B47" s="248"/>
      <c r="C47" s="247" t="s">
        <v>170</v>
      </c>
      <c r="D47" s="457" t="s">
        <v>169</v>
      </c>
      <c r="E47" s="457"/>
      <c r="F47" s="457"/>
    </row>
    <row r="48" spans="2:13">
      <c r="B48" s="248"/>
      <c r="C48" s="247" t="s">
        <v>168</v>
      </c>
      <c r="D48" s="246">
        <v>1</v>
      </c>
      <c r="E48" s="246">
        <v>2</v>
      </c>
      <c r="F48" s="246">
        <v>3</v>
      </c>
    </row>
    <row r="49" spans="3:6" ht="15.75">
      <c r="C49" s="237">
        <v>1</v>
      </c>
      <c r="D49" s="238">
        <v>1</v>
      </c>
      <c r="E49" s="235">
        <v>1.03</v>
      </c>
      <c r="F49" s="235">
        <v>1.06</v>
      </c>
    </row>
    <row r="50" spans="3:6" ht="15.75">
      <c r="C50" s="237">
        <v>2</v>
      </c>
      <c r="D50" s="235">
        <v>0.97</v>
      </c>
      <c r="E50" s="238">
        <v>1</v>
      </c>
      <c r="F50" s="235">
        <v>1.03</v>
      </c>
    </row>
    <row r="51" spans="3:6" ht="15.75">
      <c r="C51" s="237">
        <v>3</v>
      </c>
      <c r="D51" s="235">
        <v>0.94</v>
      </c>
      <c r="E51" s="235">
        <v>0.97</v>
      </c>
      <c r="F51" s="238">
        <v>1</v>
      </c>
    </row>
    <row r="52" spans="3:6" ht="15.75">
      <c r="C52" s="237">
        <v>4</v>
      </c>
      <c r="D52" s="235">
        <v>0.94</v>
      </c>
      <c r="E52" s="235">
        <v>0.97</v>
      </c>
      <c r="F52" s="235">
        <v>1</v>
      </c>
    </row>
    <row r="53" spans="3:6" ht="15.75">
      <c r="C53" s="237">
        <v>5</v>
      </c>
      <c r="D53" s="235">
        <v>0.91</v>
      </c>
      <c r="E53" s="235">
        <v>0.94</v>
      </c>
      <c r="F53" s="235">
        <v>0.97</v>
      </c>
    </row>
    <row r="54" spans="3:6" ht="15.75">
      <c r="C54" s="237">
        <v>6</v>
      </c>
      <c r="D54" s="235">
        <v>0.87</v>
      </c>
      <c r="E54" s="235">
        <v>0.89</v>
      </c>
      <c r="F54" s="235">
        <v>0.92</v>
      </c>
    </row>
    <row r="55" spans="3:6" ht="15.75">
      <c r="C55" s="237">
        <v>7</v>
      </c>
      <c r="D55" s="235">
        <v>0.87</v>
      </c>
      <c r="E55" s="235">
        <v>0.89</v>
      </c>
      <c r="F55" s="235">
        <v>0.92</v>
      </c>
    </row>
    <row r="56" spans="3:6" ht="15.75">
      <c r="C56" s="237">
        <v>8</v>
      </c>
      <c r="D56" s="235">
        <v>0.84</v>
      </c>
      <c r="E56" s="235">
        <v>0.86</v>
      </c>
      <c r="F56" s="235">
        <v>0.89</v>
      </c>
    </row>
    <row r="57" spans="3:6" ht="15.75">
      <c r="C57" s="237">
        <v>9</v>
      </c>
      <c r="D57" s="235">
        <v>0.84</v>
      </c>
      <c r="E57" s="235">
        <v>0.86</v>
      </c>
      <c r="F57" s="235">
        <v>0.89</v>
      </c>
    </row>
    <row r="58" spans="3:6" ht="15.75">
      <c r="C58" s="237">
        <v>10</v>
      </c>
      <c r="D58" s="235">
        <v>0.82</v>
      </c>
      <c r="E58" s="235">
        <v>0.84</v>
      </c>
      <c r="F58" s="235">
        <v>0.87</v>
      </c>
    </row>
    <row r="59" spans="3:6" ht="15.75">
      <c r="C59" s="237">
        <v>11</v>
      </c>
      <c r="D59" s="235">
        <v>0.82</v>
      </c>
      <c r="E59" s="235">
        <v>0.84</v>
      </c>
      <c r="F59" s="235">
        <v>0.87</v>
      </c>
    </row>
    <row r="60" spans="3:6" ht="15.75">
      <c r="C60" s="237">
        <v>12</v>
      </c>
      <c r="D60" s="235">
        <v>0.8</v>
      </c>
      <c r="E60" s="235">
        <v>0.82</v>
      </c>
      <c r="F60" s="235">
        <v>0.85</v>
      </c>
    </row>
    <row r="61" spans="3:6" ht="18.75">
      <c r="C61" s="242"/>
    </row>
    <row r="62" spans="3:6">
      <c r="C62" s="245" t="s">
        <v>177</v>
      </c>
      <c r="D62" s="245" t="s">
        <v>176</v>
      </c>
      <c r="E62" s="244"/>
      <c r="F62" s="244"/>
    </row>
    <row r="63" spans="3:6" ht="47.25" customHeight="1">
      <c r="C63" s="243" t="s">
        <v>170</v>
      </c>
      <c r="D63" s="458" t="s">
        <v>169</v>
      </c>
      <c r="E63" s="458"/>
      <c r="F63" s="458"/>
    </row>
    <row r="64" spans="3:6" ht="15.75">
      <c r="C64" s="240" t="s">
        <v>168</v>
      </c>
      <c r="D64" s="238">
        <v>1</v>
      </c>
      <c r="E64" s="238">
        <v>2</v>
      </c>
      <c r="F64" s="238">
        <v>3</v>
      </c>
    </row>
    <row r="65" spans="3:12" ht="15.75">
      <c r="C65" s="237">
        <v>1</v>
      </c>
      <c r="D65" s="238">
        <v>1</v>
      </c>
      <c r="E65" s="235">
        <v>1.03</v>
      </c>
      <c r="F65" s="235">
        <v>1.06</v>
      </c>
    </row>
    <row r="66" spans="3:12" ht="15.75">
      <c r="C66" s="237">
        <v>2</v>
      </c>
      <c r="D66" s="235">
        <v>0.97</v>
      </c>
      <c r="E66" s="238">
        <v>1</v>
      </c>
      <c r="F66" s="235">
        <v>1.03</v>
      </c>
    </row>
    <row r="67" spans="3:12" ht="15.75">
      <c r="C67" s="237">
        <v>3</v>
      </c>
      <c r="D67" s="235">
        <v>0.95</v>
      </c>
      <c r="E67" s="235">
        <v>0.97</v>
      </c>
      <c r="F67" s="238">
        <v>1</v>
      </c>
    </row>
    <row r="68" spans="3:12" ht="15.75">
      <c r="C68" s="237">
        <v>4</v>
      </c>
      <c r="D68" s="235">
        <v>0.95</v>
      </c>
      <c r="E68" s="235">
        <v>0.97</v>
      </c>
      <c r="F68" s="235">
        <v>1</v>
      </c>
    </row>
    <row r="69" spans="3:12" ht="15.75">
      <c r="C69" s="237">
        <v>5</v>
      </c>
      <c r="D69" s="235">
        <v>0.92</v>
      </c>
      <c r="E69" s="235">
        <v>0.95</v>
      </c>
      <c r="F69" s="235">
        <v>0.97</v>
      </c>
    </row>
    <row r="70" spans="3:12" ht="15.75">
      <c r="C70" s="237">
        <v>6</v>
      </c>
      <c r="D70" s="235">
        <v>0.88</v>
      </c>
      <c r="E70" s="235">
        <v>0.91</v>
      </c>
      <c r="F70" s="235">
        <v>0.93</v>
      </c>
    </row>
    <row r="71" spans="3:12" ht="15.75">
      <c r="C71" s="237">
        <v>7</v>
      </c>
      <c r="D71" s="235">
        <v>0.88</v>
      </c>
      <c r="E71" s="235">
        <v>0.91</v>
      </c>
      <c r="F71" s="235">
        <v>0.93</v>
      </c>
    </row>
    <row r="72" spans="3:12" ht="15.75">
      <c r="C72" s="237">
        <v>8</v>
      </c>
      <c r="D72" s="235">
        <v>0.86</v>
      </c>
      <c r="E72" s="235">
        <v>0.88</v>
      </c>
      <c r="F72" s="235">
        <v>0.91</v>
      </c>
    </row>
    <row r="73" spans="3:12" ht="15.75">
      <c r="C73" s="237">
        <v>9</v>
      </c>
      <c r="D73" s="235">
        <v>0.86</v>
      </c>
      <c r="E73" s="235">
        <v>0.88</v>
      </c>
      <c r="F73" s="235">
        <v>0.91</v>
      </c>
    </row>
    <row r="74" spans="3:12" ht="15.75">
      <c r="C74" s="237">
        <v>10</v>
      </c>
      <c r="D74" s="235">
        <v>0.84</v>
      </c>
      <c r="E74" s="235">
        <v>0.86</v>
      </c>
      <c r="F74" s="235">
        <v>0.89</v>
      </c>
    </row>
    <row r="75" spans="3:12" ht="15.75">
      <c r="C75" s="237">
        <v>11</v>
      </c>
      <c r="D75" s="235">
        <v>0.84</v>
      </c>
      <c r="E75" s="235">
        <v>0.86</v>
      </c>
      <c r="F75" s="235">
        <v>0.89</v>
      </c>
    </row>
    <row r="76" spans="3:12" ht="15.75">
      <c r="C76" s="237">
        <v>12</v>
      </c>
      <c r="D76" s="235">
        <v>0.82</v>
      </c>
      <c r="E76" s="235">
        <v>0.84</v>
      </c>
      <c r="F76" s="235">
        <v>0.87</v>
      </c>
    </row>
    <row r="77" spans="3:12" ht="18.75">
      <c r="C77" s="242"/>
    </row>
    <row r="78" spans="3:12" ht="15.75">
      <c r="C78" s="241" t="s">
        <v>175</v>
      </c>
    </row>
    <row r="79" spans="3:12" ht="19.5" customHeight="1">
      <c r="C79" s="237" t="s">
        <v>174</v>
      </c>
      <c r="D79" s="460" t="s">
        <v>173</v>
      </c>
      <c r="E79" s="460"/>
      <c r="F79" s="460"/>
      <c r="G79" s="459" t="s">
        <v>172</v>
      </c>
      <c r="H79" s="459"/>
      <c r="I79" s="459"/>
      <c r="J79" s="459" t="s">
        <v>171</v>
      </c>
      <c r="K79" s="459"/>
      <c r="L79" s="459"/>
    </row>
    <row r="80" spans="3:12" ht="47.25" customHeight="1">
      <c r="C80" s="237" t="s">
        <v>170</v>
      </c>
      <c r="D80" s="460" t="s">
        <v>169</v>
      </c>
      <c r="E80" s="460"/>
      <c r="F80" s="460"/>
      <c r="G80" s="459" t="s">
        <v>169</v>
      </c>
      <c r="H80" s="459"/>
      <c r="I80" s="459"/>
      <c r="J80" s="459" t="s">
        <v>169</v>
      </c>
      <c r="K80" s="459"/>
      <c r="L80" s="459"/>
    </row>
    <row r="81" spans="3:12" ht="15.75">
      <c r="C81" s="237" t="s">
        <v>168</v>
      </c>
      <c r="D81" s="236">
        <v>1</v>
      </c>
      <c r="E81" s="235">
        <v>2</v>
      </c>
      <c r="F81" s="235">
        <v>3</v>
      </c>
      <c r="G81" s="235">
        <v>1</v>
      </c>
      <c r="H81" s="235">
        <v>2</v>
      </c>
      <c r="I81" s="235">
        <v>3</v>
      </c>
      <c r="J81" s="235">
        <v>1</v>
      </c>
      <c r="K81" s="235">
        <v>2</v>
      </c>
      <c r="L81" s="235">
        <v>3</v>
      </c>
    </row>
    <row r="82" spans="3:12" ht="15.75">
      <c r="C82" s="240">
        <v>1</v>
      </c>
      <c r="D82" s="239">
        <v>1</v>
      </c>
      <c r="E82" s="235">
        <v>1.05</v>
      </c>
      <c r="F82" s="235">
        <v>1.1000000000000001</v>
      </c>
      <c r="G82" s="238">
        <v>1</v>
      </c>
      <c r="H82" s="235">
        <v>1.04</v>
      </c>
      <c r="I82" s="235">
        <v>1.1100000000000001</v>
      </c>
      <c r="J82" s="238">
        <v>1</v>
      </c>
      <c r="K82" s="235">
        <v>1.04</v>
      </c>
      <c r="L82" s="235">
        <v>1.08</v>
      </c>
    </row>
    <row r="83" spans="3:12" ht="15.75">
      <c r="C83" s="237">
        <v>2</v>
      </c>
      <c r="D83" s="236">
        <v>0.95</v>
      </c>
      <c r="E83" s="238">
        <v>1</v>
      </c>
      <c r="F83" s="235">
        <v>1.05</v>
      </c>
      <c r="G83" s="235">
        <v>0.97</v>
      </c>
      <c r="H83" s="238">
        <v>1</v>
      </c>
      <c r="I83" s="235">
        <v>1.08</v>
      </c>
      <c r="J83" s="235">
        <v>0.96</v>
      </c>
      <c r="K83" s="238">
        <v>1</v>
      </c>
      <c r="L83" s="235">
        <v>1.04</v>
      </c>
    </row>
    <row r="84" spans="3:12" ht="15.75">
      <c r="C84" s="237">
        <v>3</v>
      </c>
      <c r="D84" s="236">
        <v>0.91</v>
      </c>
      <c r="E84" s="235">
        <v>0.95</v>
      </c>
      <c r="F84" s="238">
        <v>1</v>
      </c>
      <c r="G84" s="235">
        <v>0.9</v>
      </c>
      <c r="H84" s="235">
        <v>0.93</v>
      </c>
      <c r="I84" s="238">
        <v>1</v>
      </c>
      <c r="J84" s="235">
        <v>0.92</v>
      </c>
      <c r="K84" s="235">
        <v>0.96</v>
      </c>
      <c r="L84" s="238">
        <v>1</v>
      </c>
    </row>
    <row r="85" spans="3:12" ht="15.75">
      <c r="C85" s="237">
        <v>4</v>
      </c>
      <c r="D85" s="236">
        <v>0.91</v>
      </c>
      <c r="E85" s="235">
        <v>0.95</v>
      </c>
      <c r="F85" s="235">
        <v>1</v>
      </c>
      <c r="G85" s="235">
        <v>0.9</v>
      </c>
      <c r="H85" s="235">
        <v>0.93</v>
      </c>
      <c r="I85" s="235">
        <v>1</v>
      </c>
      <c r="J85" s="235">
        <v>0.92</v>
      </c>
      <c r="K85" s="235">
        <v>0.96</v>
      </c>
      <c r="L85" s="235">
        <v>1</v>
      </c>
    </row>
    <row r="86" spans="3:12" ht="15.75">
      <c r="C86" s="237">
        <v>5</v>
      </c>
      <c r="D86" s="236">
        <v>0.88</v>
      </c>
      <c r="E86" s="235">
        <v>0.92</v>
      </c>
      <c r="F86" s="235">
        <v>0.97</v>
      </c>
      <c r="G86" s="235">
        <v>0.86</v>
      </c>
      <c r="H86" s="235">
        <v>0.89</v>
      </c>
      <c r="I86" s="235">
        <v>0.96</v>
      </c>
      <c r="J86" s="235">
        <v>0.89</v>
      </c>
      <c r="K86" s="235">
        <v>0.92</v>
      </c>
      <c r="L86" s="235">
        <v>0.96</v>
      </c>
    </row>
    <row r="87" spans="3:12" ht="15.75">
      <c r="C87" s="237">
        <v>6</v>
      </c>
      <c r="D87" s="236">
        <v>0.86</v>
      </c>
      <c r="E87" s="235">
        <v>0.9</v>
      </c>
      <c r="F87" s="235">
        <v>0.95</v>
      </c>
      <c r="G87" s="235">
        <v>0.85</v>
      </c>
      <c r="H87" s="235">
        <v>0.88</v>
      </c>
      <c r="I87" s="235">
        <v>0.94</v>
      </c>
      <c r="J87" s="235">
        <v>0.87</v>
      </c>
      <c r="K87" s="235">
        <v>0.9</v>
      </c>
      <c r="L87" s="235">
        <v>0.94</v>
      </c>
    </row>
    <row r="88" spans="3:12" ht="15.75">
      <c r="C88" s="237">
        <v>7</v>
      </c>
      <c r="D88" s="236">
        <v>0.86</v>
      </c>
      <c r="E88" s="235">
        <v>0.9</v>
      </c>
      <c r="F88" s="235">
        <v>0.95</v>
      </c>
      <c r="G88" s="235">
        <v>0.85</v>
      </c>
      <c r="H88" s="235">
        <v>0.88</v>
      </c>
      <c r="I88" s="235">
        <v>0.94</v>
      </c>
      <c r="J88" s="235">
        <v>0.87</v>
      </c>
      <c r="K88" s="235">
        <v>0.9</v>
      </c>
      <c r="L88" s="235">
        <v>0.94</v>
      </c>
    </row>
    <row r="89" spans="3:12" ht="15.75">
      <c r="C89" s="237">
        <v>8</v>
      </c>
      <c r="D89" s="236">
        <v>0.84</v>
      </c>
      <c r="E89" s="235">
        <v>0.88</v>
      </c>
      <c r="F89" s="235">
        <v>0.93</v>
      </c>
      <c r="G89" s="235">
        <v>0.83</v>
      </c>
      <c r="H89" s="235">
        <v>0.86</v>
      </c>
      <c r="I89" s="235">
        <v>0.92</v>
      </c>
      <c r="J89" s="235">
        <v>0.85</v>
      </c>
      <c r="K89" s="235">
        <v>0.88</v>
      </c>
      <c r="L89" s="235">
        <v>0.91</v>
      </c>
    </row>
    <row r="90" spans="3:12" ht="15.75">
      <c r="C90" s="237">
        <v>9</v>
      </c>
      <c r="D90" s="236">
        <v>0.84</v>
      </c>
      <c r="E90" s="235">
        <v>0.88</v>
      </c>
      <c r="F90" s="235">
        <v>0.93</v>
      </c>
      <c r="G90" s="235">
        <v>0.83</v>
      </c>
      <c r="H90" s="235">
        <v>0.86</v>
      </c>
      <c r="I90" s="235">
        <v>0.92</v>
      </c>
      <c r="J90" s="235">
        <v>0.85</v>
      </c>
      <c r="K90" s="235">
        <v>0.88</v>
      </c>
      <c r="L90" s="235">
        <v>0.91</v>
      </c>
    </row>
    <row r="91" spans="3:12" ht="15.75">
      <c r="C91" s="237">
        <v>10</v>
      </c>
      <c r="D91" s="236">
        <v>0.82</v>
      </c>
      <c r="E91" s="235">
        <v>0.86</v>
      </c>
      <c r="F91" s="235">
        <v>0.91</v>
      </c>
      <c r="G91" s="235">
        <v>0.81</v>
      </c>
      <c r="H91" s="235">
        <v>0.84</v>
      </c>
      <c r="I91" s="235">
        <v>0.9</v>
      </c>
      <c r="J91" s="235">
        <v>0.82</v>
      </c>
      <c r="K91" s="235">
        <v>0.86</v>
      </c>
      <c r="L91" s="235">
        <v>0.89</v>
      </c>
    </row>
    <row r="92" spans="3:12" ht="15.75">
      <c r="C92" s="237">
        <v>11</v>
      </c>
      <c r="D92" s="236">
        <v>0.82</v>
      </c>
      <c r="E92" s="235">
        <v>0.86</v>
      </c>
      <c r="F92" s="235">
        <v>0.91</v>
      </c>
      <c r="G92" s="235">
        <v>0.81</v>
      </c>
      <c r="H92" s="235">
        <v>0.84</v>
      </c>
      <c r="I92" s="235">
        <v>0.9</v>
      </c>
      <c r="J92" s="235">
        <v>0.82</v>
      </c>
      <c r="K92" s="235">
        <v>0.86</v>
      </c>
      <c r="L92" s="235">
        <v>0.89</v>
      </c>
    </row>
  </sheetData>
  <mergeCells count="13">
    <mergeCell ref="R2:W2"/>
    <mergeCell ref="X2:AC2"/>
    <mergeCell ref="D31:E31"/>
    <mergeCell ref="F31:G31"/>
    <mergeCell ref="H31:I31"/>
    <mergeCell ref="D47:F47"/>
    <mergeCell ref="D63:F63"/>
    <mergeCell ref="G79:I79"/>
    <mergeCell ref="J79:L79"/>
    <mergeCell ref="D80:F80"/>
    <mergeCell ref="G80:I80"/>
    <mergeCell ref="J80:L80"/>
    <mergeCell ref="D79:F79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Лист11">
    <tabColor rgb="FF92D050"/>
  </sheetPr>
  <dimension ref="A1:J464"/>
  <sheetViews>
    <sheetView topLeftCell="A466" workbookViewId="0">
      <selection activeCell="O401" sqref="O401"/>
    </sheetView>
  </sheetViews>
  <sheetFormatPr defaultColWidth="8.7109375" defaultRowHeight="15"/>
  <cols>
    <col min="3" max="3" width="9.140625"/>
    <col min="5" max="5" width="9.42578125" bestFit="1" customWidth="1"/>
    <col min="6" max="6" width="8.7109375" style="36"/>
    <col min="7" max="7" width="9.42578125" style="36" bestFit="1" customWidth="1"/>
  </cols>
  <sheetData>
    <row r="1" spans="1:7" ht="15.75" thickBot="1">
      <c r="D1" s="13">
        <v>0.1</v>
      </c>
      <c r="E1" s="13">
        <v>0.4</v>
      </c>
      <c r="F1" s="19"/>
    </row>
    <row r="2" spans="1:7" ht="23.25" customHeight="1" thickBot="1">
      <c r="A2" s="522" t="s">
        <v>0</v>
      </c>
      <c r="B2" s="467" t="s">
        <v>1</v>
      </c>
      <c r="C2" s="468"/>
      <c r="D2" s="469"/>
      <c r="F2" s="19"/>
      <c r="G2" s="19"/>
    </row>
    <row r="3" spans="1:7" ht="72.75" thickBot="1">
      <c r="A3" s="523"/>
      <c r="B3" s="1" t="s">
        <v>4</v>
      </c>
      <c r="C3" s="1"/>
      <c r="D3" s="1" t="s">
        <v>80</v>
      </c>
      <c r="E3" s="1" t="s">
        <v>5</v>
      </c>
      <c r="F3" s="37" t="s">
        <v>5</v>
      </c>
      <c r="G3" s="37"/>
    </row>
    <row r="4" spans="1:7" ht="16.5" customHeight="1" thickBot="1">
      <c r="A4" s="524"/>
      <c r="B4" s="1" t="s">
        <v>6</v>
      </c>
      <c r="C4" s="1"/>
      <c r="D4" s="1" t="s">
        <v>7</v>
      </c>
      <c r="E4" s="1" t="s">
        <v>7</v>
      </c>
      <c r="F4" s="37" t="s">
        <v>7</v>
      </c>
      <c r="G4" s="37"/>
    </row>
    <row r="5" spans="1:7">
      <c r="A5" s="50">
        <v>1</v>
      </c>
      <c r="B5" s="51">
        <v>2</v>
      </c>
      <c r="C5" s="51"/>
      <c r="D5" s="51">
        <v>3</v>
      </c>
      <c r="E5" s="51">
        <v>4</v>
      </c>
      <c r="F5" s="52">
        <v>5</v>
      </c>
      <c r="G5" s="52"/>
    </row>
    <row r="6" spans="1:7">
      <c r="A6" s="27" t="s">
        <v>10</v>
      </c>
      <c r="B6" s="28">
        <v>6.5</v>
      </c>
      <c r="C6" s="30">
        <v>0</v>
      </c>
      <c r="D6" s="14">
        <v>0</v>
      </c>
      <c r="E6" s="14">
        <v>0</v>
      </c>
      <c r="F6" s="38">
        <v>0</v>
      </c>
      <c r="G6" s="38">
        <v>7.6923076923076927E-3</v>
      </c>
    </row>
    <row r="7" spans="1:7">
      <c r="A7" s="27" t="s">
        <v>58</v>
      </c>
      <c r="B7" s="28">
        <v>10.4</v>
      </c>
      <c r="C7" s="30">
        <f>B6</f>
        <v>6.5</v>
      </c>
      <c r="D7" s="14">
        <v>0</v>
      </c>
      <c r="E7" s="14">
        <v>0</v>
      </c>
      <c r="F7" s="38">
        <v>0</v>
      </c>
      <c r="G7" s="38">
        <v>5.3846153846153863E-2</v>
      </c>
    </row>
    <row r="8" spans="1:7">
      <c r="A8" s="27" t="s">
        <v>59</v>
      </c>
      <c r="B8" s="28">
        <v>14.8</v>
      </c>
      <c r="C8" s="30">
        <f t="shared" ref="C8:C56" si="0">B7</f>
        <v>10.4</v>
      </c>
      <c r="D8" s="14">
        <v>0</v>
      </c>
      <c r="E8" s="14">
        <v>0</v>
      </c>
      <c r="F8" s="38">
        <v>0</v>
      </c>
      <c r="G8" s="38">
        <v>0.15675675675675677</v>
      </c>
    </row>
    <row r="9" spans="1:7">
      <c r="A9" s="27" t="s">
        <v>60</v>
      </c>
      <c r="B9" s="28">
        <v>17.600000000000001</v>
      </c>
      <c r="C9" s="30">
        <f t="shared" si="0"/>
        <v>14.8</v>
      </c>
      <c r="D9" s="14">
        <v>0</v>
      </c>
      <c r="E9" s="14">
        <v>0</v>
      </c>
      <c r="F9" s="38">
        <v>0</v>
      </c>
      <c r="G9" s="38">
        <v>0.19545454545454549</v>
      </c>
    </row>
    <row r="10" spans="1:7">
      <c r="A10" s="27" t="s">
        <v>61</v>
      </c>
      <c r="B10" s="28">
        <v>20.2</v>
      </c>
      <c r="C10" s="30">
        <f t="shared" si="0"/>
        <v>17.600000000000001</v>
      </c>
      <c r="D10" s="14">
        <v>0</v>
      </c>
      <c r="E10" s="14">
        <v>0</v>
      </c>
      <c r="F10" s="38">
        <v>0</v>
      </c>
      <c r="G10" s="38">
        <v>0.22178217821782181</v>
      </c>
    </row>
    <row r="11" spans="1:7">
      <c r="A11" s="27" t="s">
        <v>62</v>
      </c>
      <c r="B11" s="28">
        <v>22.2</v>
      </c>
      <c r="C11" s="30">
        <f t="shared" si="0"/>
        <v>20.2</v>
      </c>
      <c r="D11" s="14">
        <v>0</v>
      </c>
      <c r="E11" s="14">
        <v>0</v>
      </c>
      <c r="F11" s="38">
        <v>0</v>
      </c>
      <c r="G11" s="38">
        <v>0.23783783783783785</v>
      </c>
    </row>
    <row r="12" spans="1:7">
      <c r="A12" s="27" t="s">
        <v>63</v>
      </c>
      <c r="B12" s="28">
        <v>24.9</v>
      </c>
      <c r="C12" s="30">
        <f t="shared" si="0"/>
        <v>22.2</v>
      </c>
      <c r="D12" s="14">
        <v>0</v>
      </c>
      <c r="E12" s="14">
        <v>0</v>
      </c>
      <c r="F12" s="38">
        <v>0</v>
      </c>
      <c r="G12" s="38">
        <v>0.25542168674698795</v>
      </c>
    </row>
    <row r="13" spans="1:7">
      <c r="A13" s="29" t="s">
        <v>11</v>
      </c>
      <c r="B13" s="28">
        <v>28.1</v>
      </c>
      <c r="C13" s="30">
        <f t="shared" si="0"/>
        <v>24.9</v>
      </c>
      <c r="D13" s="14">
        <v>0</v>
      </c>
      <c r="E13" s="14">
        <v>0</v>
      </c>
      <c r="F13" s="38">
        <v>0</v>
      </c>
      <c r="G13" s="38">
        <v>0.27188612099644133</v>
      </c>
    </row>
    <row r="14" spans="1:7">
      <c r="A14" s="29" t="s">
        <v>12</v>
      </c>
      <c r="B14" s="28">
        <v>29.6</v>
      </c>
      <c r="C14" s="30">
        <f t="shared" si="0"/>
        <v>28.1</v>
      </c>
      <c r="D14" s="14">
        <v>0</v>
      </c>
      <c r="E14" s="14">
        <v>0</v>
      </c>
      <c r="F14" s="38">
        <v>0</v>
      </c>
      <c r="G14" s="38">
        <v>0.27837837837837837</v>
      </c>
    </row>
    <row r="15" spans="1:7">
      <c r="A15" s="29" t="s">
        <v>13</v>
      </c>
      <c r="B15" s="28">
        <v>31.5</v>
      </c>
      <c r="C15" s="30">
        <f t="shared" si="0"/>
        <v>29.6</v>
      </c>
      <c r="D15" s="14">
        <v>0</v>
      </c>
      <c r="E15" s="14">
        <v>0</v>
      </c>
      <c r="F15" s="38">
        <v>0</v>
      </c>
      <c r="G15" s="38">
        <v>0.2857142857142857</v>
      </c>
    </row>
    <row r="16" spans="1:7">
      <c r="A16" s="29" t="s">
        <v>14</v>
      </c>
      <c r="B16" s="28">
        <v>33</v>
      </c>
      <c r="C16" s="30">
        <f t="shared" si="0"/>
        <v>31.5</v>
      </c>
      <c r="D16" s="14">
        <v>0</v>
      </c>
      <c r="E16" s="14">
        <v>0</v>
      </c>
      <c r="F16" s="38">
        <v>0</v>
      </c>
      <c r="G16" s="38">
        <v>0.29090909090909095</v>
      </c>
    </row>
    <row r="17" spans="1:7">
      <c r="A17" s="29" t="s">
        <v>15</v>
      </c>
      <c r="B17" s="28">
        <v>34.5</v>
      </c>
      <c r="C17" s="30">
        <f t="shared" si="0"/>
        <v>33</v>
      </c>
      <c r="D17" s="14">
        <v>0</v>
      </c>
      <c r="E17" s="14">
        <v>0</v>
      </c>
      <c r="F17" s="38">
        <v>0</v>
      </c>
      <c r="G17" s="38">
        <v>0.29565217391304349</v>
      </c>
    </row>
    <row r="18" spans="1:7">
      <c r="A18" s="29" t="s">
        <v>16</v>
      </c>
      <c r="B18" s="28">
        <v>36.5</v>
      </c>
      <c r="C18" s="30">
        <f t="shared" si="0"/>
        <v>34.5</v>
      </c>
      <c r="D18" s="14">
        <v>0</v>
      </c>
      <c r="E18" s="14">
        <v>0</v>
      </c>
      <c r="F18" s="38">
        <v>0</v>
      </c>
      <c r="G18" s="38">
        <v>0.30136986301369867</v>
      </c>
    </row>
    <row r="19" spans="1:7">
      <c r="A19" s="29" t="s">
        <v>17</v>
      </c>
      <c r="B19" s="28">
        <v>39.6</v>
      </c>
      <c r="C19" s="30">
        <f t="shared" si="0"/>
        <v>36.5</v>
      </c>
      <c r="D19" s="14">
        <v>0</v>
      </c>
      <c r="E19" s="14">
        <v>0</v>
      </c>
      <c r="F19" s="38">
        <v>3.3989898989898906E-3</v>
      </c>
      <c r="G19" s="38">
        <v>0.30909090909090914</v>
      </c>
    </row>
    <row r="20" spans="1:7">
      <c r="A20" s="29" t="s">
        <v>18</v>
      </c>
      <c r="B20" s="28">
        <v>41</v>
      </c>
      <c r="C20" s="30">
        <f t="shared" si="0"/>
        <v>39.6</v>
      </c>
      <c r="D20" s="14">
        <v>0</v>
      </c>
      <c r="E20" s="14">
        <v>0</v>
      </c>
      <c r="F20" s="38">
        <v>6.697560975609744E-3</v>
      </c>
      <c r="G20" s="38">
        <v>0.31219512195121951</v>
      </c>
    </row>
    <row r="21" spans="1:7">
      <c r="A21" s="29" t="s">
        <v>19</v>
      </c>
      <c r="B21" s="28">
        <v>42.6</v>
      </c>
      <c r="C21" s="30">
        <f t="shared" si="0"/>
        <v>41</v>
      </c>
      <c r="D21" s="14">
        <v>3.4577464788732366E-2</v>
      </c>
      <c r="E21" s="14"/>
      <c r="F21" s="38">
        <v>1.0201877934272291E-2</v>
      </c>
      <c r="G21" s="38">
        <v>0.3154929577464789</v>
      </c>
    </row>
    <row r="22" spans="1:7">
      <c r="A22" s="29" t="s">
        <v>20</v>
      </c>
      <c r="B22" s="28">
        <v>43.8</v>
      </c>
      <c r="C22" s="30">
        <f t="shared" si="0"/>
        <v>42.6</v>
      </c>
      <c r="D22" s="14">
        <v>6.1027397260273855E-2</v>
      </c>
      <c r="E22" s="14"/>
      <c r="F22" s="38">
        <v>1.2662100456620987E-2</v>
      </c>
      <c r="G22" s="38">
        <v>0.31780821917808222</v>
      </c>
    </row>
    <row r="23" spans="1:7">
      <c r="A23" s="29" t="s">
        <v>21</v>
      </c>
      <c r="B23" s="28">
        <v>45.5</v>
      </c>
      <c r="C23" s="30">
        <f t="shared" si="0"/>
        <v>43.8</v>
      </c>
      <c r="D23" s="14">
        <v>9.6109890109890059E-2</v>
      </c>
      <c r="E23" s="14">
        <v>9.6109890109890069E-3</v>
      </c>
      <c r="F23" s="38">
        <v>1.5925274725274715E-2</v>
      </c>
      <c r="G23" s="38">
        <v>0.3208791208791209</v>
      </c>
    </row>
    <row r="24" spans="1:7">
      <c r="A24" s="29" t="s">
        <v>22</v>
      </c>
      <c r="B24" s="30">
        <v>46.9</v>
      </c>
      <c r="C24" s="30">
        <f t="shared" si="0"/>
        <v>45.5</v>
      </c>
      <c r="D24" s="14">
        <v>0.12309168443496794</v>
      </c>
      <c r="E24" s="14">
        <v>1.2309168443496794E-2</v>
      </c>
      <c r="F24" s="38">
        <v>1.8434968017057556E-2</v>
      </c>
      <c r="G24" s="38">
        <v>0.32324093816631133</v>
      </c>
    </row>
    <row r="25" spans="1:7">
      <c r="A25" s="29" t="s">
        <v>23</v>
      </c>
      <c r="B25" s="28">
        <v>48.2</v>
      </c>
      <c r="C25" s="30">
        <f t="shared" si="0"/>
        <v>46.9</v>
      </c>
      <c r="D25" s="14">
        <v>0.14674273858921161</v>
      </c>
      <c r="E25" s="14">
        <v>1.4674273858921161E-2</v>
      </c>
      <c r="F25" s="38">
        <v>2.0634854771784228E-2</v>
      </c>
      <c r="G25" s="38">
        <v>0.32531120331950208</v>
      </c>
    </row>
    <row r="26" spans="1:7">
      <c r="A26" s="29" t="s">
        <v>24</v>
      </c>
      <c r="B26" s="28">
        <v>49.4</v>
      </c>
      <c r="C26" s="30">
        <f t="shared" si="0"/>
        <v>48.2</v>
      </c>
      <c r="D26" s="14">
        <v>0.16746963562753028</v>
      </c>
      <c r="E26" s="14">
        <v>1.6746963562753032E-2</v>
      </c>
      <c r="F26" s="38">
        <v>2.2562753036437237E-2</v>
      </c>
      <c r="G26" s="38">
        <v>0.32712550607287449</v>
      </c>
    </row>
    <row r="27" spans="1:7">
      <c r="A27" s="29" t="s">
        <v>25</v>
      </c>
      <c r="B27" s="28">
        <v>50.7</v>
      </c>
      <c r="C27" s="30">
        <f t="shared" si="0"/>
        <v>49.4</v>
      </c>
      <c r="D27" s="14">
        <v>0.18881656804733726</v>
      </c>
      <c r="E27" s="14">
        <v>1.8881656804733728E-2</v>
      </c>
      <c r="F27" s="38">
        <v>2.4548323471400391E-2</v>
      </c>
      <c r="G27" s="38">
        <v>0.32899408284023668</v>
      </c>
    </row>
    <row r="28" spans="1:7">
      <c r="A28" s="29" t="s">
        <v>26</v>
      </c>
      <c r="B28" s="28">
        <v>52.7</v>
      </c>
      <c r="C28" s="30">
        <f t="shared" si="0"/>
        <v>50.7</v>
      </c>
      <c r="D28" s="14">
        <v>0.21960151802656547</v>
      </c>
      <c r="E28" s="14">
        <v>2.1960151802656546E-2</v>
      </c>
      <c r="F28" s="38">
        <v>2.7411764705882351E-2</v>
      </c>
      <c r="G28" s="38">
        <v>0.33168880455407967</v>
      </c>
    </row>
    <row r="29" spans="1:7">
      <c r="A29" s="29" t="s">
        <v>27</v>
      </c>
      <c r="B29" s="28">
        <v>54.2</v>
      </c>
      <c r="C29" s="30">
        <f t="shared" si="0"/>
        <v>52.7</v>
      </c>
      <c r="D29" s="14">
        <v>0.24119926199261993</v>
      </c>
      <c r="E29" s="14">
        <v>2.4119926199261992E-2</v>
      </c>
      <c r="F29" s="38">
        <v>2.942066420664206E-2</v>
      </c>
      <c r="G29" s="38">
        <v>0.33357933579335797</v>
      </c>
    </row>
    <row r="30" spans="1:7">
      <c r="A30" s="29" t="s">
        <v>28</v>
      </c>
      <c r="B30" s="28">
        <v>55.7</v>
      </c>
      <c r="C30" s="30">
        <f t="shared" si="0"/>
        <v>54.2</v>
      </c>
      <c r="D30" s="14">
        <v>0.26163375224416519</v>
      </c>
      <c r="E30" s="14">
        <v>2.6163375224416516E-2</v>
      </c>
      <c r="F30" s="38">
        <v>3.1321364452423693E-2</v>
      </c>
      <c r="G30" s="38">
        <v>0.33536804308797125</v>
      </c>
    </row>
    <row r="31" spans="1:7">
      <c r="A31" s="29" t="s">
        <v>29</v>
      </c>
      <c r="B31" s="28">
        <v>57.5</v>
      </c>
      <c r="C31" s="30">
        <f t="shared" si="0"/>
        <v>55.7</v>
      </c>
      <c r="D31" s="14">
        <v>0.28474782608695648</v>
      </c>
      <c r="E31" s="14">
        <v>2.8474782608695647E-2</v>
      </c>
      <c r="F31" s="38">
        <v>3.3471304347826081E-2</v>
      </c>
      <c r="G31" s="38">
        <v>0.33739130434782605</v>
      </c>
    </row>
    <row r="32" spans="1:7">
      <c r="A32" s="29" t="s">
        <v>30</v>
      </c>
      <c r="B32" s="28">
        <v>60.5</v>
      </c>
      <c r="C32" s="30">
        <f t="shared" si="0"/>
        <v>57.5</v>
      </c>
      <c r="D32" s="14">
        <v>0.32021487603305782</v>
      </c>
      <c r="E32" s="14">
        <v>3.2021487603305782E-2</v>
      </c>
      <c r="F32" s="38">
        <v>3.6770247933884295E-2</v>
      </c>
      <c r="G32" s="38">
        <v>0.34049586776859508</v>
      </c>
    </row>
    <row r="33" spans="1:7">
      <c r="A33" s="29" t="s">
        <v>31</v>
      </c>
      <c r="B33" s="28">
        <v>63.7</v>
      </c>
      <c r="C33" s="30">
        <f t="shared" si="0"/>
        <v>60.5</v>
      </c>
      <c r="D33" s="14">
        <v>0.35436420722135009</v>
      </c>
      <c r="E33" s="14">
        <v>3.5436420722135008E-2</v>
      </c>
      <c r="F33" s="38">
        <v>3.9946624803767657E-2</v>
      </c>
      <c r="G33" s="38">
        <v>0.34348508634222924</v>
      </c>
    </row>
    <row r="34" spans="1:7">
      <c r="A34" s="29" t="s">
        <v>32</v>
      </c>
      <c r="B34" s="28">
        <v>66.599999999999994</v>
      </c>
      <c r="C34" s="30">
        <f t="shared" si="0"/>
        <v>63.7</v>
      </c>
      <c r="D34" s="14">
        <v>0.3824774774774774</v>
      </c>
      <c r="E34" s="14">
        <v>3.8247747747747744E-2</v>
      </c>
      <c r="F34" s="38">
        <v>5.5369369369369301E-2</v>
      </c>
      <c r="G34" s="38">
        <v>0.34594594594594597</v>
      </c>
    </row>
    <row r="35" spans="1:7">
      <c r="A35" s="29" t="s">
        <v>33</v>
      </c>
      <c r="B35" s="28">
        <v>71</v>
      </c>
      <c r="C35" s="30">
        <f t="shared" si="0"/>
        <v>66.599999999999994</v>
      </c>
      <c r="D35" s="14">
        <v>0.4207464788732394</v>
      </c>
      <c r="E35" s="14">
        <v>5.2447887323943655E-2</v>
      </c>
      <c r="F35" s="38">
        <v>7.672676056338025E-2</v>
      </c>
      <c r="G35" s="38">
        <v>0.34929577464788736</v>
      </c>
    </row>
    <row r="36" spans="1:7">
      <c r="A36" s="29" t="s">
        <v>34</v>
      </c>
      <c r="B36" s="28">
        <v>73.7</v>
      </c>
      <c r="C36" s="30">
        <f t="shared" si="0"/>
        <v>71</v>
      </c>
      <c r="D36" s="14">
        <v>0.44196743554952511</v>
      </c>
      <c r="E36" s="14">
        <v>6.518046132971507E-2</v>
      </c>
      <c r="F36" s="38">
        <v>8.8569877883310694E-2</v>
      </c>
      <c r="G36" s="38">
        <v>0.35115332428765267</v>
      </c>
    </row>
    <row r="37" spans="1:7">
      <c r="A37" s="29" t="s">
        <v>35</v>
      </c>
      <c r="B37" s="28">
        <v>77.7</v>
      </c>
      <c r="C37" s="30">
        <f t="shared" si="0"/>
        <v>73.7</v>
      </c>
      <c r="D37" s="14">
        <v>0.47069498069498067</v>
      </c>
      <c r="E37" s="14">
        <v>8.2416988416988413E-2</v>
      </c>
      <c r="F37" s="38">
        <v>0.10460231660231659</v>
      </c>
      <c r="G37" s="38">
        <v>0.35366795366795367</v>
      </c>
    </row>
    <row r="38" spans="1:7">
      <c r="A38" s="29" t="s">
        <v>36</v>
      </c>
      <c r="B38" s="28">
        <v>81</v>
      </c>
      <c r="C38" s="30">
        <f t="shared" si="0"/>
        <v>77.7</v>
      </c>
      <c r="D38" s="14">
        <v>0.49225925925925923</v>
      </c>
      <c r="E38" s="14">
        <v>9.5355555555555541E-2</v>
      </c>
      <c r="F38" s="38">
        <v>0.11663703703703701</v>
      </c>
      <c r="G38" s="38">
        <v>0.35555555555555557</v>
      </c>
    </row>
    <row r="39" spans="1:7">
      <c r="A39" s="29" t="s">
        <v>37</v>
      </c>
      <c r="B39" s="28">
        <v>83.6</v>
      </c>
      <c r="C39" s="30">
        <f t="shared" si="0"/>
        <v>81</v>
      </c>
      <c r="D39" s="14">
        <v>0.5080502392344497</v>
      </c>
      <c r="E39" s="14">
        <v>0.10483014354066984</v>
      </c>
      <c r="F39" s="38">
        <v>0.1254497607655502</v>
      </c>
      <c r="G39" s="38">
        <v>0.35693779904306216</v>
      </c>
    </row>
    <row r="40" spans="1:7">
      <c r="A40" s="29" t="s">
        <v>38</v>
      </c>
      <c r="B40" s="28">
        <v>88.5</v>
      </c>
      <c r="C40" s="30">
        <f t="shared" si="0"/>
        <v>83.6</v>
      </c>
      <c r="D40" s="14">
        <v>0.5352881355932203</v>
      </c>
      <c r="E40" s="14">
        <v>0.1211728813559322</v>
      </c>
      <c r="F40" s="38">
        <v>0.1406508474576271</v>
      </c>
      <c r="G40" s="38">
        <v>0.35932203389830508</v>
      </c>
    </row>
    <row r="41" spans="1:7">
      <c r="A41" s="29" t="s">
        <v>39</v>
      </c>
      <c r="B41" s="28">
        <v>91.3</v>
      </c>
      <c r="C41" s="30">
        <f t="shared" si="0"/>
        <v>88.5</v>
      </c>
      <c r="D41" s="14">
        <v>0.54953997809419497</v>
      </c>
      <c r="E41" s="14">
        <v>0.12972398685651695</v>
      </c>
      <c r="F41" s="38">
        <v>0.14860460021905803</v>
      </c>
      <c r="G41" s="38">
        <v>0.36056955093099674</v>
      </c>
    </row>
    <row r="42" spans="1:7">
      <c r="A42" s="29" t="s">
        <v>40</v>
      </c>
      <c r="B42" s="28">
        <v>97.4</v>
      </c>
      <c r="C42" s="30">
        <f t="shared" si="0"/>
        <v>91.3</v>
      </c>
      <c r="D42" s="14">
        <v>0.57775154004106777</v>
      </c>
      <c r="E42" s="14">
        <v>0.14665092402464067</v>
      </c>
      <c r="F42" s="38">
        <v>0.16434907597535933</v>
      </c>
      <c r="G42" s="38">
        <v>0.36303901437371661</v>
      </c>
    </row>
    <row r="43" spans="1:7">
      <c r="A43" s="29" t="s">
        <v>41</v>
      </c>
      <c r="B43" s="28">
        <v>102.4</v>
      </c>
      <c r="C43" s="30">
        <f t="shared" si="0"/>
        <v>97.4</v>
      </c>
      <c r="D43" s="14">
        <v>0.59836914062500002</v>
      </c>
      <c r="E43" s="14">
        <v>0.15902148437500002</v>
      </c>
      <c r="F43" s="38">
        <v>0.17585546874999999</v>
      </c>
      <c r="G43" s="38">
        <v>0.36484374999999997</v>
      </c>
    </row>
    <row r="44" spans="1:7">
      <c r="A44" s="29" t="s">
        <v>42</v>
      </c>
      <c r="B44" s="28">
        <v>108.4</v>
      </c>
      <c r="C44" s="30">
        <f t="shared" si="0"/>
        <v>102.4</v>
      </c>
      <c r="D44" s="14">
        <v>0.62059963099630988</v>
      </c>
      <c r="E44" s="14">
        <v>0.17235977859778598</v>
      </c>
      <c r="F44" s="38">
        <v>0.18826199261992621</v>
      </c>
      <c r="G44" s="38">
        <v>0.36678966789667899</v>
      </c>
    </row>
    <row r="45" spans="1:7">
      <c r="A45" s="29" t="s">
        <v>43</v>
      </c>
      <c r="B45" s="28">
        <v>115.1</v>
      </c>
      <c r="C45" s="30">
        <f t="shared" si="0"/>
        <v>108.4</v>
      </c>
      <c r="D45" s="14">
        <v>0.64268462206776711</v>
      </c>
      <c r="E45" s="14">
        <v>0.18561077324066028</v>
      </c>
      <c r="F45" s="38">
        <v>0.2005873153779322</v>
      </c>
      <c r="G45" s="38">
        <v>0.36872284969591657</v>
      </c>
    </row>
    <row r="46" spans="1:7">
      <c r="A46" s="29" t="s">
        <v>44</v>
      </c>
      <c r="B46" s="28">
        <v>121.6</v>
      </c>
      <c r="C46" s="30">
        <f t="shared" si="0"/>
        <v>115.1</v>
      </c>
      <c r="D46" s="14">
        <v>0.6617845394736841</v>
      </c>
      <c r="E46" s="14">
        <v>0.19707072368421052</v>
      </c>
      <c r="F46" s="38">
        <v>0.21124671052631577</v>
      </c>
      <c r="G46" s="38">
        <v>0.37039473684210528</v>
      </c>
    </row>
    <row r="47" spans="1:7">
      <c r="A47" s="29" t="s">
        <v>45</v>
      </c>
      <c r="B47" s="28">
        <v>129.6</v>
      </c>
      <c r="C47" s="30">
        <f t="shared" si="0"/>
        <v>121.6</v>
      </c>
      <c r="D47" s="14">
        <v>0.68266203703703698</v>
      </c>
      <c r="E47" s="14">
        <v>0.20959722222222221</v>
      </c>
      <c r="F47" s="38">
        <v>0.22289814814814815</v>
      </c>
      <c r="G47" s="38">
        <v>0.37222222222222223</v>
      </c>
    </row>
    <row r="48" spans="1:7">
      <c r="A48" s="29" t="s">
        <v>46</v>
      </c>
      <c r="B48" s="28">
        <v>137.5</v>
      </c>
      <c r="C48" s="30">
        <f t="shared" si="0"/>
        <v>129.6</v>
      </c>
      <c r="D48" s="14">
        <v>0.70089454545454544</v>
      </c>
      <c r="E48" s="14">
        <v>0.2205367272727273</v>
      </c>
      <c r="F48" s="38">
        <v>0.2330734545454545</v>
      </c>
      <c r="G48" s="38">
        <v>0.37381818181818183</v>
      </c>
    </row>
    <row r="49" spans="1:10">
      <c r="A49" s="29" t="s">
        <v>47</v>
      </c>
      <c r="B49" s="28">
        <v>146.1</v>
      </c>
      <c r="C49" s="30">
        <f t="shared" si="0"/>
        <v>137.5</v>
      </c>
      <c r="D49" s="14">
        <v>0.71850102669404514</v>
      </c>
      <c r="E49" s="14">
        <v>0.23110061601642709</v>
      </c>
      <c r="F49" s="38">
        <v>0.24289938398357286</v>
      </c>
      <c r="G49" s="38">
        <v>0.37535934291581108</v>
      </c>
    </row>
    <row r="50" spans="1:10">
      <c r="A50" s="29" t="s">
        <v>48</v>
      </c>
      <c r="B50" s="28">
        <v>158</v>
      </c>
      <c r="C50" s="30">
        <f t="shared" si="0"/>
        <v>146.1</v>
      </c>
      <c r="D50" s="14">
        <v>0.73970253164556954</v>
      </c>
      <c r="E50" s="14">
        <v>0.24382151898734178</v>
      </c>
      <c r="F50" s="38">
        <v>0.25473164556962025</v>
      </c>
      <c r="G50" s="38">
        <v>0.37721518987341773</v>
      </c>
    </row>
    <row r="51" spans="1:10">
      <c r="A51" s="29" t="s">
        <v>49</v>
      </c>
      <c r="B51" s="28">
        <v>177.6</v>
      </c>
      <c r="C51" s="30">
        <f t="shared" si="0"/>
        <v>158</v>
      </c>
      <c r="D51" s="14">
        <v>0.76842905405405404</v>
      </c>
      <c r="E51" s="14">
        <v>0.2610574324324324</v>
      </c>
      <c r="F51" s="38">
        <v>0.27076351351351347</v>
      </c>
      <c r="G51" s="38">
        <v>0.37972972972972979</v>
      </c>
    </row>
    <row r="52" spans="1:10">
      <c r="A52" s="29" t="s">
        <v>50</v>
      </c>
      <c r="B52" s="28">
        <v>217.9</v>
      </c>
      <c r="C52" s="30">
        <f t="shared" si="0"/>
        <v>177.6</v>
      </c>
      <c r="D52" s="14">
        <v>0.81125745754933454</v>
      </c>
      <c r="E52" s="14">
        <v>0.28675447452960079</v>
      </c>
      <c r="F52" s="38">
        <v>0.29466544286369895</v>
      </c>
      <c r="G52" s="38">
        <v>0.38347865993575042</v>
      </c>
    </row>
    <row r="53" spans="1:10">
      <c r="A53" s="29" t="s">
        <v>51</v>
      </c>
      <c r="B53" s="28">
        <v>270.5</v>
      </c>
      <c r="C53" s="30">
        <f t="shared" si="0"/>
        <v>217.9</v>
      </c>
      <c r="D53" s="14">
        <v>0.84795933456561923</v>
      </c>
      <c r="E53" s="14">
        <v>0.30877560073937149</v>
      </c>
      <c r="F53" s="38">
        <v>0.31514824399260638</v>
      </c>
      <c r="G53" s="38">
        <v>0.38669131238447324</v>
      </c>
    </row>
    <row r="54" spans="1:10">
      <c r="A54" s="29" t="s">
        <v>52</v>
      </c>
      <c r="B54" s="28">
        <v>391</v>
      </c>
      <c r="C54" s="30">
        <f t="shared" si="0"/>
        <v>270.5</v>
      </c>
      <c r="D54" s="14">
        <v>0.89481585677749353</v>
      </c>
      <c r="E54" s="14">
        <v>0.3368895140664962</v>
      </c>
      <c r="F54" s="38">
        <v>0.34129820971867009</v>
      </c>
      <c r="G54" s="38">
        <v>0.39079283887468036</v>
      </c>
    </row>
    <row r="55" spans="1:10">
      <c r="A55" s="29" t="s">
        <v>53</v>
      </c>
      <c r="B55" s="28">
        <v>820</v>
      </c>
      <c r="C55" s="30">
        <f>B54</f>
        <v>391</v>
      </c>
      <c r="D55" s="14">
        <v>0.94984512195121962</v>
      </c>
      <c r="E55" s="14">
        <v>0.36990707317073179</v>
      </c>
      <c r="F55" s="38">
        <v>0.37200926829268299</v>
      </c>
      <c r="G55" s="38">
        <v>0.39560975609756094</v>
      </c>
    </row>
    <row r="56" spans="1:10">
      <c r="A56" s="29" t="s">
        <v>53</v>
      </c>
      <c r="B56" s="31" t="s">
        <v>132</v>
      </c>
      <c r="C56" s="30">
        <f t="shared" si="0"/>
        <v>820</v>
      </c>
      <c r="D56" s="11">
        <v>49.1</v>
      </c>
      <c r="E56" s="11"/>
      <c r="F56" s="39"/>
      <c r="G56" s="39"/>
    </row>
    <row r="57" spans="1:10">
      <c r="A57" s="29"/>
      <c r="B57" s="261">
        <v>86.35</v>
      </c>
      <c r="C57" s="31"/>
      <c r="D57" s="11"/>
      <c r="E57" s="11">
        <v>68.545000000000002</v>
      </c>
      <c r="F57" s="39">
        <v>63.756666666666675</v>
      </c>
      <c r="G57" s="39">
        <v>10</v>
      </c>
    </row>
    <row r="58" spans="1:10">
      <c r="A58" s="29"/>
      <c r="B58" s="261">
        <v>51.809999999999995</v>
      </c>
      <c r="C58" s="31"/>
      <c r="D58" s="11"/>
      <c r="E58" s="11">
        <v>41.127000000000002</v>
      </c>
      <c r="F58" s="39">
        <v>38.254000000000005</v>
      </c>
      <c r="G58" s="39">
        <v>6</v>
      </c>
    </row>
    <row r="59" spans="1:10" ht="60">
      <c r="A59" s="33" t="s">
        <v>56</v>
      </c>
      <c r="B59" s="203">
        <v>86.35</v>
      </c>
      <c r="C59" s="31"/>
      <c r="D59" s="11"/>
      <c r="E59" s="159">
        <f>B63</f>
        <v>68.545000000000002</v>
      </c>
      <c r="F59" s="41">
        <f>B64</f>
        <v>63.756666666666675</v>
      </c>
      <c r="G59" s="42"/>
      <c r="I59" s="31"/>
      <c r="J59" s="31"/>
    </row>
    <row r="60" spans="1:10" ht="96.75">
      <c r="A60" s="35" t="s">
        <v>57</v>
      </c>
      <c r="B60" s="11">
        <f>B59*0.6</f>
        <v>51.809999999999995</v>
      </c>
      <c r="C60" s="29"/>
      <c r="D60" s="11"/>
      <c r="E60" s="159">
        <f>0.6*E59</f>
        <v>41.127000000000002</v>
      </c>
      <c r="F60" s="39">
        <f>0.6*F59</f>
        <v>38.254000000000005</v>
      </c>
      <c r="G60" s="39"/>
      <c r="I60" s="29"/>
    </row>
    <row r="61" spans="1:10">
      <c r="A61" s="258"/>
      <c r="B61" s="254"/>
      <c r="D61" s="254"/>
      <c r="E61" s="259"/>
      <c r="F61" s="260"/>
      <c r="G61" s="260"/>
      <c r="I61" s="256"/>
    </row>
    <row r="62" spans="1:10" ht="60.75" thickBot="1">
      <c r="A62" s="5" t="s">
        <v>56</v>
      </c>
      <c r="B62">
        <f>J59</f>
        <v>0</v>
      </c>
    </row>
    <row r="63" spans="1:10">
      <c r="A63" s="16" t="s">
        <v>64</v>
      </c>
      <c r="B63" s="17">
        <f>AVERAGE(B11:B50)</f>
        <v>68.545000000000002</v>
      </c>
      <c r="C63" s="17"/>
    </row>
    <row r="64" spans="1:10">
      <c r="A64" s="16" t="s">
        <v>65</v>
      </c>
      <c r="B64" s="18">
        <f>AVERAGE(B16:B45)</f>
        <v>63.756666666666675</v>
      </c>
      <c r="C64" s="18"/>
    </row>
    <row r="65" spans="1:7">
      <c r="A65" s="16" t="s">
        <v>66</v>
      </c>
      <c r="B65" s="18">
        <f>AVERAGE(B22:B40)</f>
        <v>61.626315789473686</v>
      </c>
      <c r="C65" s="18"/>
    </row>
    <row r="69" spans="1:7" ht="15" customHeight="1">
      <c r="A69" s="473" t="s">
        <v>0</v>
      </c>
      <c r="B69" s="473" t="s">
        <v>2</v>
      </c>
      <c r="C69" s="473"/>
      <c r="D69" s="473"/>
      <c r="E69" s="49">
        <f>(1-E124)^(1/3)-1</f>
        <v>-2.6914375472704699E-2</v>
      </c>
      <c r="F69" s="49">
        <f>(1-F124)^(1/3)-1</f>
        <v>-2.9025520285800077E-2</v>
      </c>
      <c r="G69" s="49"/>
    </row>
    <row r="70" spans="1:7" ht="72">
      <c r="A70" s="473"/>
      <c r="B70" s="11" t="s">
        <v>4</v>
      </c>
      <c r="C70" s="11"/>
      <c r="D70" s="11" t="s">
        <v>80</v>
      </c>
      <c r="E70" s="11" t="s">
        <v>5</v>
      </c>
      <c r="F70" s="39" t="s">
        <v>5</v>
      </c>
      <c r="G70" s="39"/>
    </row>
    <row r="71" spans="1:7" ht="24">
      <c r="A71" s="473"/>
      <c r="B71" s="11" t="s">
        <v>8</v>
      </c>
      <c r="C71" s="11"/>
      <c r="D71" s="11" t="s">
        <v>7</v>
      </c>
      <c r="E71" s="11" t="s">
        <v>7</v>
      </c>
      <c r="F71" s="39" t="s">
        <v>7</v>
      </c>
      <c r="G71" s="39"/>
    </row>
    <row r="72" spans="1:7">
      <c r="A72" s="50">
        <v>1</v>
      </c>
      <c r="B72" s="51">
        <v>2</v>
      </c>
      <c r="C72" s="51"/>
      <c r="D72" s="51">
        <v>3</v>
      </c>
      <c r="E72" s="51">
        <v>4</v>
      </c>
      <c r="F72" s="52">
        <v>5</v>
      </c>
      <c r="G72" s="52"/>
    </row>
    <row r="73" spans="1:7">
      <c r="A73" s="27" t="s">
        <v>10</v>
      </c>
      <c r="B73" s="53">
        <v>15.1</v>
      </c>
      <c r="C73" s="253">
        <v>0</v>
      </c>
      <c r="D73" s="14">
        <v>0</v>
      </c>
      <c r="E73" s="14">
        <v>0</v>
      </c>
      <c r="F73" s="38">
        <v>0</v>
      </c>
      <c r="G73" s="38">
        <v>0</v>
      </c>
    </row>
    <row r="74" spans="1:7">
      <c r="A74" s="27" t="s">
        <v>58</v>
      </c>
      <c r="B74" s="53">
        <v>15.9</v>
      </c>
      <c r="C74" s="30">
        <f>B73</f>
        <v>15.1</v>
      </c>
      <c r="D74" s="14">
        <v>0</v>
      </c>
      <c r="E74" s="14">
        <v>0</v>
      </c>
      <c r="F74" s="38">
        <v>0</v>
      </c>
      <c r="G74" s="38">
        <v>0</v>
      </c>
    </row>
    <row r="75" spans="1:7">
      <c r="A75" s="27" t="s">
        <v>59</v>
      </c>
      <c r="B75" s="53">
        <v>17.899999999999999</v>
      </c>
      <c r="C75" s="30">
        <f t="shared" ref="C75:C123" si="1">B74</f>
        <v>15.9</v>
      </c>
      <c r="D75" s="14">
        <v>0</v>
      </c>
      <c r="E75" s="14">
        <v>0</v>
      </c>
      <c r="F75" s="38">
        <v>0</v>
      </c>
      <c r="G75" s="38">
        <v>0</v>
      </c>
    </row>
    <row r="76" spans="1:7">
      <c r="A76" s="27" t="s">
        <v>60</v>
      </c>
      <c r="B76" s="53">
        <v>19.2</v>
      </c>
      <c r="C76" s="30">
        <f t="shared" si="1"/>
        <v>17.899999999999999</v>
      </c>
      <c r="D76" s="14">
        <v>0</v>
      </c>
      <c r="E76" s="14">
        <v>0</v>
      </c>
      <c r="F76" s="38">
        <v>0</v>
      </c>
      <c r="G76" s="38">
        <v>0</v>
      </c>
    </row>
    <row r="77" spans="1:7">
      <c r="A77" s="27" t="s">
        <v>61</v>
      </c>
      <c r="B77" s="53">
        <v>21.6</v>
      </c>
      <c r="C77" s="30">
        <f t="shared" si="1"/>
        <v>19.2</v>
      </c>
      <c r="D77" s="14">
        <v>0</v>
      </c>
      <c r="E77" s="14">
        <v>0</v>
      </c>
      <c r="F77" s="38">
        <v>0</v>
      </c>
      <c r="G77" s="38">
        <v>6.1111111111111288E-3</v>
      </c>
    </row>
    <row r="78" spans="1:7">
      <c r="A78" s="27" t="s">
        <v>62</v>
      </c>
      <c r="B78" s="53">
        <v>22.9</v>
      </c>
      <c r="C78" s="30">
        <f t="shared" si="1"/>
        <v>21.6</v>
      </c>
      <c r="D78" s="14">
        <v>0</v>
      </c>
      <c r="E78" s="14">
        <v>0</v>
      </c>
      <c r="F78" s="38">
        <v>0</v>
      </c>
      <c r="G78" s="38">
        <v>1.1441048034934504E-2</v>
      </c>
    </row>
    <row r="79" spans="1:7">
      <c r="A79" s="27" t="s">
        <v>63</v>
      </c>
      <c r="B79" s="53">
        <v>25.3</v>
      </c>
      <c r="C79" s="30">
        <f t="shared" si="1"/>
        <v>22.9</v>
      </c>
      <c r="D79" s="14">
        <v>0</v>
      </c>
      <c r="E79" s="14">
        <v>0</v>
      </c>
      <c r="F79" s="38">
        <v>0</v>
      </c>
      <c r="G79" s="38">
        <v>1.9841897233201594E-2</v>
      </c>
    </row>
    <row r="80" spans="1:7">
      <c r="A80" s="29" t="s">
        <v>11</v>
      </c>
      <c r="B80" s="53">
        <v>27.1</v>
      </c>
      <c r="C80" s="30">
        <f t="shared" si="1"/>
        <v>25.3</v>
      </c>
      <c r="D80" s="14">
        <v>0</v>
      </c>
      <c r="E80" s="14">
        <v>0</v>
      </c>
      <c r="F80" s="38">
        <v>0</v>
      </c>
      <c r="G80" s="38">
        <v>2.5166051660516619E-2</v>
      </c>
    </row>
    <row r="81" spans="1:7">
      <c r="A81" s="29" t="s">
        <v>12</v>
      </c>
      <c r="B81" s="53">
        <v>28.7</v>
      </c>
      <c r="C81" s="30">
        <f t="shared" si="1"/>
        <v>27.1</v>
      </c>
      <c r="D81" s="14">
        <v>0</v>
      </c>
      <c r="E81" s="14">
        <v>0</v>
      </c>
      <c r="F81" s="38">
        <v>2.6202090592334338E-3</v>
      </c>
      <c r="G81" s="38">
        <v>2.9337979094076663E-2</v>
      </c>
    </row>
    <row r="82" spans="1:7">
      <c r="A82" s="29" t="s">
        <v>13</v>
      </c>
      <c r="B82" s="53">
        <v>30.7</v>
      </c>
      <c r="C82" s="30">
        <f t="shared" si="1"/>
        <v>28.7</v>
      </c>
      <c r="D82" s="14">
        <v>5.035830618892518E-2</v>
      </c>
      <c r="E82" s="14"/>
      <c r="F82" s="38">
        <v>8.9641693811074782E-3</v>
      </c>
      <c r="G82" s="38">
        <v>3.3941368078175903E-2</v>
      </c>
    </row>
    <row r="83" spans="1:7">
      <c r="A83" s="29" t="s">
        <v>14</v>
      </c>
      <c r="B83" s="53">
        <v>31.9</v>
      </c>
      <c r="C83" s="30">
        <f t="shared" si="1"/>
        <v>30.7</v>
      </c>
      <c r="D83" s="14">
        <v>8.6081504702194431E-2</v>
      </c>
      <c r="E83" s="14"/>
      <c r="F83" s="38">
        <v>1.2388714733542305E-2</v>
      </c>
      <c r="G83" s="38">
        <v>3.642633228840126E-2</v>
      </c>
    </row>
    <row r="84" spans="1:7">
      <c r="A84" s="29" t="s">
        <v>15</v>
      </c>
      <c r="B84" s="53">
        <v>32.799999999999997</v>
      </c>
      <c r="C84" s="30">
        <f t="shared" si="1"/>
        <v>31.9</v>
      </c>
      <c r="D84" s="14">
        <v>0.11115853658536588</v>
      </c>
      <c r="E84" s="14">
        <v>1.1115853658536588E-2</v>
      </c>
      <c r="F84" s="38">
        <v>1.479268292682925E-2</v>
      </c>
      <c r="G84" s="38">
        <v>3.8170731707317079E-2</v>
      </c>
    </row>
    <row r="85" spans="1:7">
      <c r="A85" s="29" t="s">
        <v>16</v>
      </c>
      <c r="B85" s="53">
        <v>33.5</v>
      </c>
      <c r="C85" s="30">
        <f t="shared" si="1"/>
        <v>32.799999999999997</v>
      </c>
      <c r="D85" s="14">
        <v>0.12973134328358218</v>
      </c>
      <c r="E85" s="14">
        <v>1.297313432835822E-2</v>
      </c>
      <c r="F85" s="38">
        <v>1.6573134328358198E-2</v>
      </c>
      <c r="G85" s="38">
        <v>3.9462686567164187E-2</v>
      </c>
    </row>
    <row r="86" spans="1:7">
      <c r="A86" s="29" t="s">
        <v>17</v>
      </c>
      <c r="B86" s="53">
        <v>34.299999999999997</v>
      </c>
      <c r="C86" s="30">
        <f t="shared" si="1"/>
        <v>33.5</v>
      </c>
      <c r="D86" s="14">
        <v>0.15002915451895046</v>
      </c>
      <c r="E86" s="14">
        <v>1.5002915451895046E-2</v>
      </c>
      <c r="F86" s="38">
        <v>1.8518950437317765E-2</v>
      </c>
      <c r="G86" s="38">
        <v>4.5247813411078724E-2</v>
      </c>
    </row>
    <row r="87" spans="1:7">
      <c r="A87" s="29" t="s">
        <v>18</v>
      </c>
      <c r="B87" s="53">
        <v>34.799999999999997</v>
      </c>
      <c r="C87" s="30">
        <f t="shared" si="1"/>
        <v>34.299999999999997</v>
      </c>
      <c r="D87" s="14">
        <v>0.16224137931034485</v>
      </c>
      <c r="E87" s="14">
        <v>1.6224137931034489E-2</v>
      </c>
      <c r="F87" s="38">
        <v>1.9689655172413778E-2</v>
      </c>
      <c r="G87" s="38">
        <v>5.0344827586206904E-2</v>
      </c>
    </row>
    <row r="88" spans="1:7">
      <c r="A88" s="29" t="s">
        <v>19</v>
      </c>
      <c r="B88" s="53">
        <v>35.4</v>
      </c>
      <c r="C88" s="30">
        <f t="shared" si="1"/>
        <v>34.799999999999997</v>
      </c>
      <c r="D88" s="14">
        <v>0.17644067796610177</v>
      </c>
      <c r="E88" s="14">
        <v>1.7644067796610177E-2</v>
      </c>
      <c r="F88" s="38">
        <v>2.1050847457627107E-2</v>
      </c>
      <c r="G88" s="38">
        <v>5.6271186440677988E-2</v>
      </c>
    </row>
    <row r="89" spans="1:7">
      <c r="A89" s="29" t="s">
        <v>20</v>
      </c>
      <c r="B89" s="53">
        <v>36.299999999999997</v>
      </c>
      <c r="C89" s="30">
        <f t="shared" si="1"/>
        <v>35.4</v>
      </c>
      <c r="D89" s="14">
        <v>0.19685950413223144</v>
      </c>
      <c r="E89" s="14">
        <v>1.9685950413223144E-2</v>
      </c>
      <c r="F89" s="38">
        <v>2.3008264462809902E-2</v>
      </c>
      <c r="G89" s="38">
        <v>6.4793388429752075E-2</v>
      </c>
    </row>
    <row r="90" spans="1:7">
      <c r="A90" s="29" t="s">
        <v>21</v>
      </c>
      <c r="B90" s="53">
        <v>37.700000000000003</v>
      </c>
      <c r="C90" s="30">
        <f t="shared" si="1"/>
        <v>36.299999999999997</v>
      </c>
      <c r="D90" s="14">
        <v>0.22668435013262614</v>
      </c>
      <c r="E90" s="14">
        <v>2.2668435013262617E-2</v>
      </c>
      <c r="F90" s="38">
        <v>2.5867374005305036E-2</v>
      </c>
      <c r="G90" s="38">
        <v>7.7241379310344888E-2</v>
      </c>
    </row>
    <row r="91" spans="1:7">
      <c r="A91" s="29" t="s">
        <v>22</v>
      </c>
      <c r="B91" s="53">
        <v>38.5</v>
      </c>
      <c r="C91" s="30">
        <f t="shared" si="1"/>
        <v>37.700000000000003</v>
      </c>
      <c r="D91" s="14">
        <v>0.24275324675324686</v>
      </c>
      <c r="E91" s="14">
        <v>2.4275324675324686E-2</v>
      </c>
      <c r="F91" s="38">
        <v>2.74077922077922E-2</v>
      </c>
      <c r="G91" s="38">
        <v>8.394805194805198E-2</v>
      </c>
    </row>
    <row r="92" spans="1:7">
      <c r="A92" s="29" t="s">
        <v>23</v>
      </c>
      <c r="B92" s="53">
        <v>39.299999999999997</v>
      </c>
      <c r="C92" s="30">
        <f t="shared" si="1"/>
        <v>38.5</v>
      </c>
      <c r="D92" s="14">
        <v>0.25816793893129775</v>
      </c>
      <c r="E92" s="14">
        <v>2.5816793893129776E-2</v>
      </c>
      <c r="F92" s="38">
        <v>2.8885496183206093E-2</v>
      </c>
      <c r="G92" s="38">
        <v>9.0381679389312991E-2</v>
      </c>
    </row>
    <row r="93" spans="1:7">
      <c r="A93" s="29" t="s">
        <v>24</v>
      </c>
      <c r="B93" s="53">
        <v>40.5</v>
      </c>
      <c r="C93" s="30">
        <f t="shared" si="1"/>
        <v>39.299999999999997</v>
      </c>
      <c r="D93" s="14">
        <v>0.28014814814814826</v>
      </c>
      <c r="E93" s="14">
        <v>2.8014814814814826E-2</v>
      </c>
      <c r="F93" s="38">
        <v>3.0992592592592585E-2</v>
      </c>
      <c r="G93" s="38">
        <v>9.9555555555555605E-2</v>
      </c>
    </row>
    <row r="94" spans="1:7">
      <c r="A94" s="29" t="s">
        <v>25</v>
      </c>
      <c r="B94" s="53">
        <v>41.5</v>
      </c>
      <c r="C94" s="30">
        <f t="shared" si="1"/>
        <v>40.5</v>
      </c>
      <c r="D94" s="14">
        <v>0.29749397590361454</v>
      </c>
      <c r="E94" s="14">
        <v>2.9749397590361455E-2</v>
      </c>
      <c r="F94" s="38">
        <v>3.2655421686746983E-2</v>
      </c>
      <c r="G94" s="38">
        <v>0.1067951807228916</v>
      </c>
    </row>
    <row r="95" spans="1:7">
      <c r="A95" s="29" t="s">
        <v>26</v>
      </c>
      <c r="B95" s="53">
        <v>42.9</v>
      </c>
      <c r="C95" s="30">
        <f t="shared" si="1"/>
        <v>41.5</v>
      </c>
      <c r="D95" s="14">
        <v>0.32041958041958046</v>
      </c>
      <c r="E95" s="14">
        <v>3.204195804195805E-2</v>
      </c>
      <c r="F95" s="38">
        <v>3.4853146853146846E-2</v>
      </c>
      <c r="G95" s="38">
        <v>0.11636363636363639</v>
      </c>
    </row>
    <row r="96" spans="1:7">
      <c r="A96" s="29" t="s">
        <v>27</v>
      </c>
      <c r="B96" s="53">
        <v>44</v>
      </c>
      <c r="C96" s="30">
        <f t="shared" si="1"/>
        <v>42.9</v>
      </c>
      <c r="D96" s="14">
        <v>0.33740909090909099</v>
      </c>
      <c r="E96" s="14">
        <v>3.3740909090909099E-2</v>
      </c>
      <c r="F96" s="38">
        <v>3.6481818181818178E-2</v>
      </c>
      <c r="G96" s="38">
        <v>0.12345454545454548</v>
      </c>
    </row>
    <row r="97" spans="1:7">
      <c r="A97" s="29" t="s">
        <v>28</v>
      </c>
      <c r="B97" s="53">
        <v>45.2</v>
      </c>
      <c r="C97" s="30">
        <f t="shared" si="1"/>
        <v>44</v>
      </c>
      <c r="D97" s="14">
        <v>0.35500000000000015</v>
      </c>
      <c r="E97" s="14">
        <v>3.5500000000000011E-2</v>
      </c>
      <c r="F97" s="38">
        <v>3.8168141592920354E-2</v>
      </c>
      <c r="G97" s="38">
        <v>0.1307964601769912</v>
      </c>
    </row>
    <row r="98" spans="1:7">
      <c r="A98" s="29" t="s">
        <v>29</v>
      </c>
      <c r="B98" s="53">
        <v>46.3</v>
      </c>
      <c r="C98" s="30">
        <f t="shared" si="1"/>
        <v>45.2</v>
      </c>
      <c r="D98" s="14">
        <v>0.37032397408207346</v>
      </c>
      <c r="E98" s="14">
        <v>3.7032397408207351E-2</v>
      </c>
      <c r="F98" s="38">
        <v>3.9637149028077745E-2</v>
      </c>
      <c r="G98" s="38">
        <v>0.13719222462203026</v>
      </c>
    </row>
    <row r="99" spans="1:7">
      <c r="A99" s="29" t="s">
        <v>30</v>
      </c>
      <c r="B99" s="53">
        <v>47.6</v>
      </c>
      <c r="C99" s="30">
        <f t="shared" si="1"/>
        <v>46.3</v>
      </c>
      <c r="D99" s="14">
        <v>0.38752100840336146</v>
      </c>
      <c r="E99" s="14">
        <v>3.8752100840336146E-2</v>
      </c>
      <c r="F99" s="38">
        <v>4.7714285714285681E-2</v>
      </c>
      <c r="G99" s="38">
        <v>0.14436974789915971</v>
      </c>
    </row>
    <row r="100" spans="1:7">
      <c r="A100" s="29" t="s">
        <v>31</v>
      </c>
      <c r="B100" s="53">
        <v>48.2</v>
      </c>
      <c r="C100" s="30">
        <f t="shared" si="1"/>
        <v>47.6</v>
      </c>
      <c r="D100" s="14">
        <v>0.39514522821576775</v>
      </c>
      <c r="E100" s="14">
        <v>3.9514522821576775E-2</v>
      </c>
      <c r="F100" s="38">
        <v>5.2099585062240647E-2</v>
      </c>
      <c r="G100" s="38">
        <v>0.14755186721991706</v>
      </c>
    </row>
    <row r="101" spans="1:7">
      <c r="A101" s="29" t="s">
        <v>32</v>
      </c>
      <c r="B101" s="53">
        <v>49</v>
      </c>
      <c r="C101" s="30">
        <f t="shared" si="1"/>
        <v>48.2</v>
      </c>
      <c r="D101" s="14">
        <v>0.4050204081632654</v>
      </c>
      <c r="E101" s="14">
        <v>4.3012244897959212E-2</v>
      </c>
      <c r="F101" s="38">
        <v>5.7779591836734659E-2</v>
      </c>
      <c r="G101" s="38">
        <v>0.15167346938775514</v>
      </c>
    </row>
    <row r="102" spans="1:7">
      <c r="A102" s="29" t="s">
        <v>33</v>
      </c>
      <c r="B102" s="53">
        <v>49.7</v>
      </c>
      <c r="C102" s="30">
        <f t="shared" si="1"/>
        <v>49</v>
      </c>
      <c r="D102" s="14">
        <v>0.41340040241448706</v>
      </c>
      <c r="E102" s="14">
        <v>4.8040241448692206E-2</v>
      </c>
      <c r="F102" s="38">
        <v>6.2599597585513062E-2</v>
      </c>
      <c r="G102" s="38">
        <v>0.1551710261569417</v>
      </c>
    </row>
    <row r="103" spans="1:7">
      <c r="A103" s="29" t="s">
        <v>34</v>
      </c>
      <c r="B103" s="53">
        <v>51</v>
      </c>
      <c r="C103" s="30">
        <f t="shared" si="1"/>
        <v>49.7</v>
      </c>
      <c r="D103" s="14">
        <v>0.42835294117647066</v>
      </c>
      <c r="E103" s="14">
        <v>5.701176470588238E-2</v>
      </c>
      <c r="F103" s="38">
        <v>7.1199999999999958E-2</v>
      </c>
      <c r="G103" s="38">
        <v>0.16141176470588237</v>
      </c>
    </row>
    <row r="104" spans="1:7">
      <c r="A104" s="29" t="s">
        <v>35</v>
      </c>
      <c r="B104" s="53">
        <v>52.6</v>
      </c>
      <c r="C104" s="30">
        <f t="shared" si="1"/>
        <v>51</v>
      </c>
      <c r="D104" s="14">
        <v>0.44574144486692024</v>
      </c>
      <c r="E104" s="14">
        <v>6.7444866920152127E-2</v>
      </c>
      <c r="F104" s="38">
        <v>8.1201520912547495E-2</v>
      </c>
      <c r="G104" s="38">
        <v>0.16866920152091258</v>
      </c>
    </row>
    <row r="105" spans="1:7">
      <c r="A105" s="29" t="s">
        <v>36</v>
      </c>
      <c r="B105" s="53">
        <v>53.7</v>
      </c>
      <c r="C105" s="30">
        <f t="shared" si="1"/>
        <v>52.6</v>
      </c>
      <c r="D105" s="14">
        <v>0.4570949720670392</v>
      </c>
      <c r="E105" s="14">
        <v>7.4256983240223506E-2</v>
      </c>
      <c r="F105" s="38">
        <v>8.7731843575418966E-2</v>
      </c>
      <c r="G105" s="38">
        <v>0.17340782122905032</v>
      </c>
    </row>
    <row r="106" spans="1:7">
      <c r="A106" s="29" t="s">
        <v>37</v>
      </c>
      <c r="B106" s="53">
        <v>54.6</v>
      </c>
      <c r="C106" s="30">
        <f t="shared" si="1"/>
        <v>53.7</v>
      </c>
      <c r="D106" s="14">
        <v>0.4660439560439561</v>
      </c>
      <c r="E106" s="14">
        <v>7.9626373626373662E-2</v>
      </c>
      <c r="F106" s="38">
        <v>9.2879120879120841E-2</v>
      </c>
      <c r="G106" s="38">
        <v>0.17714285714285719</v>
      </c>
    </row>
    <row r="107" spans="1:7">
      <c r="A107" s="29" t="s">
        <v>38</v>
      </c>
      <c r="B107" s="53">
        <v>57.6</v>
      </c>
      <c r="C107" s="30">
        <f t="shared" si="1"/>
        <v>54.6</v>
      </c>
      <c r="D107" s="14">
        <v>0.49385416666666676</v>
      </c>
      <c r="E107" s="14">
        <v>9.6312500000000051E-2</v>
      </c>
      <c r="F107" s="38">
        <v>0.10887499999999997</v>
      </c>
      <c r="G107" s="38">
        <v>0.18875000000000003</v>
      </c>
    </row>
    <row r="108" spans="1:7">
      <c r="A108" s="29" t="s">
        <v>39</v>
      </c>
      <c r="B108" s="53">
        <v>60</v>
      </c>
      <c r="C108" s="30">
        <f t="shared" si="1"/>
        <v>57.6</v>
      </c>
      <c r="D108" s="14">
        <v>0.51410000000000011</v>
      </c>
      <c r="E108" s="14">
        <v>0.10846000000000003</v>
      </c>
      <c r="F108" s="38">
        <v>0.12051999999999997</v>
      </c>
      <c r="G108" s="38">
        <v>0.19720000000000004</v>
      </c>
    </row>
    <row r="109" spans="1:7">
      <c r="A109" s="29" t="s">
        <v>40</v>
      </c>
      <c r="B109" s="53">
        <v>61.5</v>
      </c>
      <c r="C109" s="30">
        <f t="shared" si="1"/>
        <v>60</v>
      </c>
      <c r="D109" s="14">
        <v>0.52595121951219515</v>
      </c>
      <c r="E109" s="14">
        <v>0.1155707317073171</v>
      </c>
      <c r="F109" s="38">
        <v>0.12733658536585363</v>
      </c>
      <c r="G109" s="38">
        <v>0.20214634146341467</v>
      </c>
    </row>
    <row r="110" spans="1:7">
      <c r="A110" s="29" t="s">
        <v>41</v>
      </c>
      <c r="B110" s="53">
        <v>63</v>
      </c>
      <c r="C110" s="30">
        <f t="shared" si="1"/>
        <v>61.5</v>
      </c>
      <c r="D110" s="14">
        <v>0.53723809523809529</v>
      </c>
      <c r="E110" s="14">
        <v>0.12234285714285717</v>
      </c>
      <c r="F110" s="38">
        <v>0.13382857142857141</v>
      </c>
      <c r="G110" s="38">
        <v>0.20685714285714288</v>
      </c>
    </row>
    <row r="111" spans="1:7">
      <c r="A111" s="29" t="s">
        <v>42</v>
      </c>
      <c r="B111" s="53">
        <v>64.8</v>
      </c>
      <c r="C111" s="30">
        <f t="shared" si="1"/>
        <v>63</v>
      </c>
      <c r="D111" s="14">
        <v>0.55009259259259258</v>
      </c>
      <c r="E111" s="14">
        <v>0.13005555555555559</v>
      </c>
      <c r="F111" s="38">
        <v>0.14122222222222219</v>
      </c>
      <c r="G111" s="38">
        <v>0.21222222222222223</v>
      </c>
    </row>
    <row r="112" spans="1:7">
      <c r="A112" s="29" t="s">
        <v>43</v>
      </c>
      <c r="B112" s="53">
        <v>69.2</v>
      </c>
      <c r="C112" s="30">
        <f t="shared" si="1"/>
        <v>64.8</v>
      </c>
      <c r="D112" s="14">
        <v>0.57869942196531798</v>
      </c>
      <c r="E112" s="14">
        <v>0.14721965317919081</v>
      </c>
      <c r="F112" s="38">
        <v>0.15767630057803469</v>
      </c>
      <c r="G112" s="38">
        <v>0.22416184971098271</v>
      </c>
    </row>
    <row r="113" spans="1:7">
      <c r="A113" s="29" t="s">
        <v>44</v>
      </c>
      <c r="B113" s="53">
        <v>72.5</v>
      </c>
      <c r="C113" s="30">
        <f t="shared" si="1"/>
        <v>69.2</v>
      </c>
      <c r="D113" s="14">
        <v>0.59787586206896559</v>
      </c>
      <c r="E113" s="14">
        <v>0.15872551724137934</v>
      </c>
      <c r="F113" s="38">
        <v>0.16870620689655172</v>
      </c>
      <c r="G113" s="38">
        <v>0.23216551724137932</v>
      </c>
    </row>
    <row r="114" spans="1:7">
      <c r="A114" s="29" t="s">
        <v>45</v>
      </c>
      <c r="B114" s="53">
        <v>76</v>
      </c>
      <c r="C114" s="30">
        <f t="shared" si="1"/>
        <v>72.5</v>
      </c>
      <c r="D114" s="14">
        <v>0.61639473684210533</v>
      </c>
      <c r="E114" s="14">
        <v>0.16983684210526317</v>
      </c>
      <c r="F114" s="38">
        <v>0.17935789473684211</v>
      </c>
      <c r="G114" s="38">
        <v>0.2398947368421053</v>
      </c>
    </row>
    <row r="115" spans="1:7">
      <c r="A115" s="29" t="s">
        <v>46</v>
      </c>
      <c r="B115" s="53">
        <v>80</v>
      </c>
      <c r="C115" s="30">
        <f t="shared" si="1"/>
        <v>76</v>
      </c>
      <c r="D115" s="14">
        <v>0.635575</v>
      </c>
      <c r="E115" s="14">
        <v>0.18134500000000003</v>
      </c>
      <c r="F115" s="38">
        <v>0.19039</v>
      </c>
      <c r="G115" s="38">
        <v>0.24790000000000001</v>
      </c>
    </row>
    <row r="116" spans="1:7">
      <c r="A116" s="29" t="s">
        <v>47</v>
      </c>
      <c r="B116" s="53">
        <v>85.4</v>
      </c>
      <c r="C116" s="30">
        <f t="shared" si="1"/>
        <v>80</v>
      </c>
      <c r="D116" s="14">
        <v>0.65861826697892278</v>
      </c>
      <c r="E116" s="14">
        <v>0.19517096018735366</v>
      </c>
      <c r="F116" s="38">
        <v>0.20364402810304449</v>
      </c>
      <c r="G116" s="38">
        <v>0.25751756440281032</v>
      </c>
    </row>
    <row r="117" spans="1:7">
      <c r="A117" s="29" t="s">
        <v>48</v>
      </c>
      <c r="B117" s="53">
        <v>97.6</v>
      </c>
      <c r="C117" s="30">
        <f t="shared" si="1"/>
        <v>85.4</v>
      </c>
      <c r="D117" s="14">
        <v>0.70129098360655739</v>
      </c>
      <c r="E117" s="14">
        <v>0.22077459016393444</v>
      </c>
      <c r="F117" s="38">
        <v>0.22818852459016392</v>
      </c>
      <c r="G117" s="38">
        <v>0.27532786885245902</v>
      </c>
    </row>
    <row r="118" spans="1:7">
      <c r="A118" s="29" t="s">
        <v>49</v>
      </c>
      <c r="B118" s="53">
        <v>111.5</v>
      </c>
      <c r="C118" s="30">
        <f t="shared" si="1"/>
        <v>97.6</v>
      </c>
      <c r="D118" s="14">
        <v>0.73852914798206282</v>
      </c>
      <c r="E118" s="14">
        <v>0.24311748878923767</v>
      </c>
      <c r="F118" s="38">
        <v>0.24960717488789233</v>
      </c>
      <c r="G118" s="38">
        <v>0.29086995515695069</v>
      </c>
    </row>
    <row r="119" spans="1:7">
      <c r="A119" s="29" t="s">
        <v>50</v>
      </c>
      <c r="B119" s="53">
        <v>126.38</v>
      </c>
      <c r="C119" s="30">
        <f t="shared" si="1"/>
        <v>111.5</v>
      </c>
      <c r="D119" s="14">
        <v>0.76931476499446116</v>
      </c>
      <c r="E119" s="14">
        <v>0.26158885899667672</v>
      </c>
      <c r="F119" s="38">
        <v>0.26731444848868485</v>
      </c>
      <c r="G119" s="38">
        <v>0.30371894287070739</v>
      </c>
    </row>
    <row r="120" spans="1:7">
      <c r="A120" s="29" t="s">
        <v>51</v>
      </c>
      <c r="B120" s="53">
        <v>158.6</v>
      </c>
      <c r="C120" s="30">
        <f t="shared" si="1"/>
        <v>126.38</v>
      </c>
      <c r="D120" s="14">
        <v>0.81617906683480457</v>
      </c>
      <c r="E120" s="14">
        <v>0.28970744010088267</v>
      </c>
      <c r="F120" s="38">
        <v>0.29426986128625471</v>
      </c>
      <c r="G120" s="38">
        <v>0.32327868852459019</v>
      </c>
    </row>
    <row r="121" spans="1:7">
      <c r="A121" s="29" t="s">
        <v>52</v>
      </c>
      <c r="B121" s="53">
        <v>201.3</v>
      </c>
      <c r="C121" s="30">
        <f t="shared" si="1"/>
        <v>158.6</v>
      </c>
      <c r="D121" s="14">
        <v>0.85517138599105813</v>
      </c>
      <c r="E121" s="14">
        <v>0.31310283159463487</v>
      </c>
      <c r="F121" s="38">
        <v>0.31669746646795827</v>
      </c>
      <c r="G121" s="38">
        <v>0.33955290611028316</v>
      </c>
    </row>
    <row r="122" spans="1:7">
      <c r="A122" s="29" t="s">
        <v>53</v>
      </c>
      <c r="B122" s="53">
        <v>375</v>
      </c>
      <c r="C122" s="30">
        <f>B121</f>
        <v>201.3</v>
      </c>
      <c r="D122" s="14">
        <v>0.92225599999999996</v>
      </c>
      <c r="E122" s="14">
        <v>0.35335360000000005</v>
      </c>
      <c r="F122" s="38">
        <v>0.35528320000000008</v>
      </c>
      <c r="G122" s="38">
        <v>0.36755199999999999</v>
      </c>
    </row>
    <row r="123" spans="1:7">
      <c r="A123" s="29" t="s">
        <v>53</v>
      </c>
      <c r="B123" s="29" t="s">
        <v>131</v>
      </c>
      <c r="C123" s="30">
        <f t="shared" si="1"/>
        <v>375</v>
      </c>
      <c r="D123" s="11" t="s">
        <v>81</v>
      </c>
      <c r="E123" s="11"/>
      <c r="F123" s="39"/>
      <c r="G123" s="39"/>
    </row>
    <row r="124" spans="1:7">
      <c r="A124" s="29"/>
      <c r="B124" s="29"/>
      <c r="C124" s="29"/>
      <c r="D124" s="11"/>
      <c r="E124" s="32">
        <v>7.8589471929244342E-2</v>
      </c>
      <c r="F124" s="40">
        <v>8.4573571818175597E-2</v>
      </c>
      <c r="G124" s="40">
        <v>0.13621597253406997</v>
      </c>
    </row>
    <row r="125" spans="1:7" ht="60">
      <c r="A125" s="33" t="s">
        <v>55</v>
      </c>
      <c r="B125" s="29">
        <v>33.799999999999997</v>
      </c>
      <c r="C125" s="29"/>
      <c r="D125" s="11"/>
      <c r="E125" s="34">
        <v>48.589999999999996</v>
      </c>
      <c r="F125" s="41">
        <v>46.580000000000005</v>
      </c>
      <c r="G125" s="42">
        <v>33.799999999999997</v>
      </c>
    </row>
    <row r="126" spans="1:7" ht="60">
      <c r="A126" s="33" t="s">
        <v>56</v>
      </c>
      <c r="B126" s="29">
        <v>55.35</v>
      </c>
      <c r="C126" s="29"/>
      <c r="D126" s="11"/>
      <c r="E126" s="11"/>
      <c r="F126" s="39"/>
      <c r="G126" s="39"/>
    </row>
    <row r="127" spans="1:7" ht="96.75">
      <c r="A127" s="35" t="s">
        <v>57</v>
      </c>
      <c r="B127" s="29">
        <v>33.21</v>
      </c>
      <c r="C127" s="29"/>
      <c r="D127" s="11"/>
      <c r="E127" s="11">
        <v>29.153999999999996</v>
      </c>
      <c r="F127" s="39">
        <v>27.948000000000004</v>
      </c>
      <c r="G127" s="39">
        <v>20.279999999999998</v>
      </c>
    </row>
    <row r="129" spans="1:7" ht="60.75" thickBot="1">
      <c r="A129" s="5" t="s">
        <v>56</v>
      </c>
      <c r="B129">
        <f>B126</f>
        <v>55.35</v>
      </c>
    </row>
    <row r="130" spans="1:7">
      <c r="A130" s="16" t="s">
        <v>64</v>
      </c>
      <c r="B130" s="17">
        <f>AVERAGE(B78:B117)</f>
        <v>48.589999999999996</v>
      </c>
      <c r="C130" s="17"/>
    </row>
    <row r="131" spans="1:7">
      <c r="A131" s="16" t="s">
        <v>65</v>
      </c>
      <c r="B131" s="18">
        <f>AVERAGE(B83:B112)</f>
        <v>46.580000000000005</v>
      </c>
      <c r="C131" s="18"/>
    </row>
    <row r="132" spans="1:7">
      <c r="A132" s="16" t="s">
        <v>66</v>
      </c>
      <c r="B132" s="18">
        <f>AVERAGE(B89:B107)</f>
        <v>46.115789473684217</v>
      </c>
      <c r="C132" s="18"/>
    </row>
    <row r="133" spans="1:7" ht="15.75" thickBot="1"/>
    <row r="134" spans="1:7" ht="15.75" thickBot="1">
      <c r="A134" s="522" t="s">
        <v>0</v>
      </c>
      <c r="B134" s="467" t="s">
        <v>78</v>
      </c>
      <c r="C134" s="468"/>
      <c r="D134" s="469"/>
      <c r="E134" s="19">
        <f>(1-E189)^(1/3)-1</f>
        <v>-3.4261838842941317E-2</v>
      </c>
      <c r="F134" s="19">
        <f>(1-F189)^(1/3)-1</f>
        <v>-4.0402382767505074E-2</v>
      </c>
      <c r="G134" s="19"/>
    </row>
    <row r="135" spans="1:7" ht="72.75" thickBot="1">
      <c r="A135" s="523"/>
      <c r="B135" s="1" t="s">
        <v>4</v>
      </c>
      <c r="C135" s="254"/>
      <c r="D135" s="11" t="s">
        <v>80</v>
      </c>
      <c r="E135" s="11" t="s">
        <v>5</v>
      </c>
      <c r="F135" s="39" t="s">
        <v>5</v>
      </c>
      <c r="G135" s="39"/>
    </row>
    <row r="136" spans="1:7" ht="24.75" thickBot="1">
      <c r="A136" s="524"/>
      <c r="B136" s="1" t="s">
        <v>9</v>
      </c>
      <c r="C136" s="254"/>
      <c r="D136" s="11" t="s">
        <v>7</v>
      </c>
      <c r="E136" s="11" t="s">
        <v>7</v>
      </c>
      <c r="F136" s="39" t="s">
        <v>7</v>
      </c>
      <c r="G136" s="39"/>
    </row>
    <row r="137" spans="1:7">
      <c r="A137" s="50">
        <v>1</v>
      </c>
      <c r="B137" s="51">
        <v>2</v>
      </c>
      <c r="C137" s="51"/>
      <c r="D137" s="51">
        <v>3</v>
      </c>
      <c r="E137" s="51">
        <v>4</v>
      </c>
      <c r="F137" s="52">
        <v>5</v>
      </c>
      <c r="G137" s="52"/>
    </row>
    <row r="138" spans="1:7" ht="15.75" thickBot="1">
      <c r="A138" s="8" t="s">
        <v>10</v>
      </c>
      <c r="B138" s="54">
        <v>0.01</v>
      </c>
      <c r="C138" s="255">
        <v>0</v>
      </c>
      <c r="D138" s="14">
        <v>0</v>
      </c>
      <c r="E138" s="14">
        <v>0</v>
      </c>
      <c r="F138" s="38">
        <v>0</v>
      </c>
      <c r="G138" s="38">
        <v>0</v>
      </c>
    </row>
    <row r="139" spans="1:7" ht="15.75" thickBot="1">
      <c r="A139" s="8" t="s">
        <v>58</v>
      </c>
      <c r="B139" s="54">
        <v>0.01</v>
      </c>
      <c r="C139" s="30">
        <f>B138</f>
        <v>0.01</v>
      </c>
      <c r="D139" s="14">
        <v>0</v>
      </c>
      <c r="E139" s="14">
        <v>0</v>
      </c>
      <c r="F139" s="38">
        <v>0</v>
      </c>
      <c r="G139" s="38">
        <v>0</v>
      </c>
    </row>
    <row r="140" spans="1:7" ht="15.75" thickBot="1">
      <c r="A140" s="8" t="s">
        <v>59</v>
      </c>
      <c r="B140" s="54">
        <v>0.01</v>
      </c>
      <c r="C140" s="30">
        <f t="shared" ref="C140:C188" si="2">B139</f>
        <v>0.01</v>
      </c>
      <c r="D140" s="14">
        <v>0</v>
      </c>
      <c r="E140" s="14">
        <v>0</v>
      </c>
      <c r="F140" s="38">
        <v>0</v>
      </c>
      <c r="G140" s="38">
        <v>0</v>
      </c>
    </row>
    <row r="141" spans="1:7" ht="15.75" thickBot="1">
      <c r="A141" s="8" t="s">
        <v>60</v>
      </c>
      <c r="B141" s="54">
        <v>0.02</v>
      </c>
      <c r="C141" s="30">
        <f t="shared" si="2"/>
        <v>0.01</v>
      </c>
      <c r="D141" s="14">
        <v>0</v>
      </c>
      <c r="E141" s="14">
        <v>0</v>
      </c>
      <c r="F141" s="38">
        <v>0</v>
      </c>
      <c r="G141" s="38">
        <v>0</v>
      </c>
    </row>
    <row r="142" spans="1:7" ht="15.75" thickBot="1">
      <c r="A142" s="8" t="s">
        <v>61</v>
      </c>
      <c r="B142" s="54">
        <v>0.03</v>
      </c>
      <c r="C142" s="30">
        <f t="shared" si="2"/>
        <v>0.02</v>
      </c>
      <c r="D142" s="14">
        <v>0</v>
      </c>
      <c r="E142" s="14">
        <v>0</v>
      </c>
      <c r="F142" s="38">
        <v>0</v>
      </c>
      <c r="G142" s="38">
        <v>0</v>
      </c>
    </row>
    <row r="143" spans="1:7" ht="15.75" thickBot="1">
      <c r="A143" s="8" t="s">
        <v>62</v>
      </c>
      <c r="B143" s="54">
        <v>0.04</v>
      </c>
      <c r="C143" s="30">
        <f t="shared" si="2"/>
        <v>0.03</v>
      </c>
      <c r="D143" s="14">
        <v>0</v>
      </c>
      <c r="E143" s="14">
        <v>0</v>
      </c>
      <c r="F143" s="38">
        <v>0</v>
      </c>
      <c r="G143" s="38">
        <v>0</v>
      </c>
    </row>
    <row r="144" spans="1:7" ht="15.75" thickBot="1">
      <c r="A144" s="8" t="s">
        <v>63</v>
      </c>
      <c r="B144" s="54">
        <v>0.05</v>
      </c>
      <c r="C144" s="30">
        <f t="shared" si="2"/>
        <v>0.04</v>
      </c>
      <c r="D144" s="14">
        <v>0</v>
      </c>
      <c r="E144" s="14">
        <v>0</v>
      </c>
      <c r="F144" s="38">
        <v>0</v>
      </c>
      <c r="G144" s="38">
        <v>0</v>
      </c>
    </row>
    <row r="145" spans="1:7" ht="15.75" thickBot="1">
      <c r="A145" s="3" t="s">
        <v>11</v>
      </c>
      <c r="B145" s="54">
        <v>7.0000000000000007E-2</v>
      </c>
      <c r="C145" s="30">
        <f t="shared" si="2"/>
        <v>0.05</v>
      </c>
      <c r="D145" s="14">
        <v>0</v>
      </c>
      <c r="E145" s="14">
        <v>0</v>
      </c>
      <c r="F145" s="38">
        <v>0</v>
      </c>
      <c r="G145" s="38">
        <v>0</v>
      </c>
    </row>
    <row r="146" spans="1:7" ht="15.75" thickBot="1">
      <c r="A146" s="3" t="s">
        <v>12</v>
      </c>
      <c r="B146" s="54">
        <v>0.09</v>
      </c>
      <c r="C146" s="30">
        <f t="shared" si="2"/>
        <v>7.0000000000000007E-2</v>
      </c>
      <c r="D146" s="14">
        <v>0</v>
      </c>
      <c r="E146" s="14">
        <v>0</v>
      </c>
      <c r="F146" s="38">
        <v>0</v>
      </c>
      <c r="G146" s="38">
        <v>0</v>
      </c>
    </row>
    <row r="147" spans="1:7" ht="15.75" thickBot="1">
      <c r="A147" s="3" t="s">
        <v>13</v>
      </c>
      <c r="B147" s="54">
        <v>0.1</v>
      </c>
      <c r="C147" s="30">
        <f t="shared" si="2"/>
        <v>0.09</v>
      </c>
      <c r="D147" s="14">
        <v>0</v>
      </c>
      <c r="E147" s="14">
        <v>0</v>
      </c>
      <c r="F147" s="38">
        <v>0</v>
      </c>
      <c r="G147" s="38">
        <v>0</v>
      </c>
    </row>
    <row r="148" spans="1:7" ht="15.75" thickBot="1">
      <c r="A148" s="3" t="s">
        <v>14</v>
      </c>
      <c r="B148" s="54">
        <v>0.12</v>
      </c>
      <c r="C148" s="30">
        <f t="shared" si="2"/>
        <v>0.1</v>
      </c>
      <c r="D148" s="14">
        <v>0</v>
      </c>
      <c r="E148" s="14">
        <v>0</v>
      </c>
      <c r="F148" s="38">
        <v>0</v>
      </c>
      <c r="G148" s="38">
        <v>0</v>
      </c>
    </row>
    <row r="149" spans="1:7" ht="15.75" thickBot="1">
      <c r="A149" s="3" t="s">
        <v>15</v>
      </c>
      <c r="B149" s="54">
        <v>0.16</v>
      </c>
      <c r="C149" s="30">
        <f t="shared" si="2"/>
        <v>0.12</v>
      </c>
      <c r="D149" s="14">
        <v>0</v>
      </c>
      <c r="E149" s="14">
        <v>0</v>
      </c>
      <c r="F149" s="38">
        <v>0</v>
      </c>
      <c r="G149" s="38">
        <v>0</v>
      </c>
    </row>
    <row r="150" spans="1:7" ht="15.75" thickBot="1">
      <c r="A150" s="3" t="s">
        <v>16</v>
      </c>
      <c r="B150" s="54">
        <v>0.21</v>
      </c>
      <c r="C150" s="30">
        <f t="shared" si="2"/>
        <v>0.16</v>
      </c>
      <c r="D150" s="14">
        <v>0</v>
      </c>
      <c r="E150" s="14">
        <v>0</v>
      </c>
      <c r="F150" s="38">
        <v>0</v>
      </c>
      <c r="G150" s="38">
        <v>0</v>
      </c>
    </row>
    <row r="151" spans="1:7" ht="15.75" thickBot="1">
      <c r="A151" s="3" t="s">
        <v>17</v>
      </c>
      <c r="B151" s="54">
        <v>0.28999999999999998</v>
      </c>
      <c r="C151" s="30">
        <f t="shared" si="2"/>
        <v>0.21</v>
      </c>
      <c r="D151" s="14">
        <v>0</v>
      </c>
      <c r="E151" s="14">
        <v>0</v>
      </c>
      <c r="F151" s="38">
        <v>0</v>
      </c>
      <c r="G151" s="38">
        <v>0</v>
      </c>
    </row>
    <row r="152" spans="1:7" ht="15.75" thickBot="1">
      <c r="A152" s="3" t="s">
        <v>18</v>
      </c>
      <c r="B152" s="54">
        <v>0.34</v>
      </c>
      <c r="C152" s="30">
        <f t="shared" si="2"/>
        <v>0.28999999999999998</v>
      </c>
      <c r="D152" s="14">
        <v>0</v>
      </c>
      <c r="E152" s="14">
        <v>0</v>
      </c>
      <c r="F152" s="38">
        <v>0</v>
      </c>
      <c r="G152" s="38">
        <v>0</v>
      </c>
    </row>
    <row r="153" spans="1:7" ht="15.75" thickBot="1">
      <c r="A153" s="3" t="s">
        <v>19</v>
      </c>
      <c r="B153" s="54">
        <v>0.42</v>
      </c>
      <c r="C153" s="30">
        <f t="shared" si="2"/>
        <v>0.34</v>
      </c>
      <c r="D153" s="14">
        <v>0</v>
      </c>
      <c r="E153" s="14">
        <v>0</v>
      </c>
      <c r="F153" s="38">
        <v>0</v>
      </c>
      <c r="G153" s="38">
        <v>0</v>
      </c>
    </row>
    <row r="154" spans="1:7" ht="15.75" thickBot="1">
      <c r="A154" s="3" t="s">
        <v>20</v>
      </c>
      <c r="B154" s="54">
        <v>0.44</v>
      </c>
      <c r="C154" s="30">
        <f t="shared" si="2"/>
        <v>0.42</v>
      </c>
      <c r="D154" s="14">
        <v>0</v>
      </c>
      <c r="E154" s="14">
        <v>0</v>
      </c>
      <c r="F154" s="38">
        <v>0</v>
      </c>
      <c r="G154" s="38">
        <v>0</v>
      </c>
    </row>
    <row r="155" spans="1:7" ht="15.75" thickBot="1">
      <c r="A155" s="3" t="s">
        <v>21</v>
      </c>
      <c r="B155" s="54">
        <v>0.48</v>
      </c>
      <c r="C155" s="30">
        <f t="shared" si="2"/>
        <v>0.44</v>
      </c>
      <c r="D155" s="14">
        <v>0</v>
      </c>
      <c r="E155" s="14">
        <v>0</v>
      </c>
      <c r="F155" s="38">
        <v>0</v>
      </c>
      <c r="G155" s="38">
        <v>0</v>
      </c>
    </row>
    <row r="156" spans="1:7" ht="15.75" thickBot="1">
      <c r="A156" s="3" t="s">
        <v>22</v>
      </c>
      <c r="B156" s="54">
        <v>0.54</v>
      </c>
      <c r="C156" s="30">
        <f t="shared" si="2"/>
        <v>0.48</v>
      </c>
      <c r="D156" s="14">
        <v>0</v>
      </c>
      <c r="E156" s="14">
        <v>0</v>
      </c>
      <c r="F156" s="38">
        <v>0</v>
      </c>
      <c r="G156" s="38">
        <v>0</v>
      </c>
    </row>
    <row r="157" spans="1:7" ht="15.75" thickBot="1">
      <c r="A157" s="3" t="s">
        <v>23</v>
      </c>
      <c r="B157" s="54">
        <v>0.57999999999999996</v>
      </c>
      <c r="C157" s="30">
        <f t="shared" si="2"/>
        <v>0.54</v>
      </c>
      <c r="D157" s="14">
        <v>0</v>
      </c>
      <c r="E157" s="14">
        <v>0</v>
      </c>
      <c r="F157" s="38">
        <v>0</v>
      </c>
      <c r="G157" s="38">
        <v>0</v>
      </c>
    </row>
    <row r="158" spans="1:7" ht="15.75" thickBot="1">
      <c r="A158" s="3" t="s">
        <v>24</v>
      </c>
      <c r="B158" s="54">
        <v>0.73</v>
      </c>
      <c r="C158" s="30">
        <f t="shared" si="2"/>
        <v>0.57999999999999996</v>
      </c>
      <c r="D158" s="14">
        <v>0</v>
      </c>
      <c r="E158" s="14">
        <v>0</v>
      </c>
      <c r="F158" s="38">
        <v>0</v>
      </c>
      <c r="G158" s="38">
        <v>0</v>
      </c>
    </row>
    <row r="159" spans="1:7" ht="15.75" thickBot="1">
      <c r="A159" s="3" t="s">
        <v>25</v>
      </c>
      <c r="B159" s="54">
        <v>0.88</v>
      </c>
      <c r="C159" s="30">
        <f t="shared" si="2"/>
        <v>0.73</v>
      </c>
      <c r="D159" s="14">
        <v>0</v>
      </c>
      <c r="E159" s="14">
        <v>0</v>
      </c>
      <c r="F159" s="38">
        <v>0</v>
      </c>
      <c r="G159" s="38">
        <v>0</v>
      </c>
    </row>
    <row r="160" spans="1:7" ht="15.75" thickBot="1">
      <c r="A160" s="3" t="s">
        <v>26</v>
      </c>
      <c r="B160" s="54">
        <v>0.96</v>
      </c>
      <c r="C160" s="30">
        <f t="shared" si="2"/>
        <v>0.88</v>
      </c>
      <c r="D160" s="14">
        <v>0</v>
      </c>
      <c r="E160" s="14">
        <v>0</v>
      </c>
      <c r="F160" s="38">
        <v>0</v>
      </c>
      <c r="G160" s="38">
        <v>0</v>
      </c>
    </row>
    <row r="161" spans="1:7" ht="15.75" thickBot="1">
      <c r="A161" s="3" t="s">
        <v>27</v>
      </c>
      <c r="B161" s="54">
        <v>1.32</v>
      </c>
      <c r="C161" s="30">
        <f t="shared" si="2"/>
        <v>0.96</v>
      </c>
      <c r="D161" s="14">
        <v>0</v>
      </c>
      <c r="E161" s="14">
        <v>0</v>
      </c>
      <c r="F161" s="38">
        <v>0</v>
      </c>
      <c r="G161" s="38">
        <v>0</v>
      </c>
    </row>
    <row r="162" spans="1:7" ht="15.75" thickBot="1">
      <c r="A162" s="3" t="s">
        <v>28</v>
      </c>
      <c r="B162" s="54">
        <v>1.62</v>
      </c>
      <c r="C162" s="30">
        <f t="shared" si="2"/>
        <v>1.32</v>
      </c>
      <c r="D162" s="14">
        <v>0</v>
      </c>
      <c r="E162" s="14">
        <v>0</v>
      </c>
      <c r="F162" s="38">
        <v>0</v>
      </c>
      <c r="G162" s="38">
        <v>0</v>
      </c>
    </row>
    <row r="163" spans="1:7" ht="15.75" thickBot="1">
      <c r="A163" s="3" t="s">
        <v>29</v>
      </c>
      <c r="B163" s="54">
        <v>1.86</v>
      </c>
      <c r="C163" s="30">
        <f t="shared" si="2"/>
        <v>1.62</v>
      </c>
      <c r="D163" s="14">
        <v>0</v>
      </c>
      <c r="E163" s="14">
        <v>0</v>
      </c>
      <c r="F163" s="38">
        <v>0</v>
      </c>
      <c r="G163" s="38">
        <v>0</v>
      </c>
    </row>
    <row r="164" spans="1:7" ht="15.75" thickBot="1">
      <c r="A164" s="3" t="s">
        <v>30</v>
      </c>
      <c r="B164" s="54">
        <v>2.27</v>
      </c>
      <c r="C164" s="30">
        <f t="shared" si="2"/>
        <v>1.86</v>
      </c>
      <c r="D164" s="14">
        <v>0</v>
      </c>
      <c r="E164" s="14">
        <v>0</v>
      </c>
      <c r="F164" s="38">
        <v>1.420264317180616E-2</v>
      </c>
      <c r="G164" s="38">
        <v>0</v>
      </c>
    </row>
    <row r="165" spans="1:7" ht="15.75" thickBot="1">
      <c r="A165" s="3" t="s">
        <v>31</v>
      </c>
      <c r="B165" s="54">
        <v>2.82</v>
      </c>
      <c r="C165" s="30">
        <f t="shared" si="2"/>
        <v>2.27</v>
      </c>
      <c r="D165" s="14">
        <v>8.0159574468085068E-2</v>
      </c>
      <c r="E165" s="14"/>
      <c r="F165" s="38">
        <v>3.093617021276595E-2</v>
      </c>
      <c r="G165" s="38">
        <v>0</v>
      </c>
    </row>
    <row r="166" spans="1:7" ht="15.75" thickBot="1">
      <c r="A166" s="3" t="s">
        <v>32</v>
      </c>
      <c r="B166" s="54">
        <v>3.34</v>
      </c>
      <c r="C166" s="30">
        <f t="shared" si="2"/>
        <v>2.82</v>
      </c>
      <c r="D166" s="14">
        <v>0.22336826347305386</v>
      </c>
      <c r="E166" s="14">
        <v>2.2336826347305386E-2</v>
      </c>
      <c r="F166" s="38">
        <v>5.0131736526946052E-2</v>
      </c>
      <c r="G166" s="38">
        <v>0</v>
      </c>
    </row>
    <row r="167" spans="1:7" ht="15.75" thickBot="1">
      <c r="A167" s="3" t="s">
        <v>33</v>
      </c>
      <c r="B167" s="54">
        <v>2.97</v>
      </c>
      <c r="C167" s="30">
        <f t="shared" si="2"/>
        <v>3.34</v>
      </c>
      <c r="D167" s="14">
        <v>0.12661616161616168</v>
      </c>
      <c r="E167" s="14">
        <v>1.2661616161616171E-2</v>
      </c>
      <c r="F167" s="38">
        <v>3.442424242424242E-2</v>
      </c>
      <c r="G167" s="38">
        <v>0</v>
      </c>
    </row>
    <row r="168" spans="1:7" ht="15.75" thickBot="1">
      <c r="A168" s="3" t="s">
        <v>34</v>
      </c>
      <c r="B168" s="54">
        <v>4.33</v>
      </c>
      <c r="C168" s="30">
        <f t="shared" si="2"/>
        <v>2.97</v>
      </c>
      <c r="D168" s="14">
        <v>0.40093533487297922</v>
      </c>
      <c r="E168" s="14">
        <v>4.0561200923787552E-2</v>
      </c>
      <c r="F168" s="38">
        <v>0.13012471131639722</v>
      </c>
      <c r="G168" s="38">
        <v>0</v>
      </c>
    </row>
    <row r="169" spans="1:7" ht="15.75" thickBot="1">
      <c r="A169" s="3" t="s">
        <v>35</v>
      </c>
      <c r="B169" s="54">
        <v>4.8</v>
      </c>
      <c r="C169" s="30">
        <f t="shared" si="2"/>
        <v>4.33</v>
      </c>
      <c r="D169" s="14">
        <v>0.45959374999999997</v>
      </c>
      <c r="E169" s="14">
        <v>7.5756250000000011E-2</v>
      </c>
      <c r="F169" s="38">
        <v>0.15654999999999999</v>
      </c>
      <c r="G169" s="38">
        <v>0</v>
      </c>
    </row>
    <row r="170" spans="1:7" ht="15.75" thickBot="1">
      <c r="A170" s="3" t="s">
        <v>36</v>
      </c>
      <c r="B170" s="54">
        <v>5.7</v>
      </c>
      <c r="C170" s="30">
        <f t="shared" si="2"/>
        <v>4.8</v>
      </c>
      <c r="D170" s="14">
        <v>0.54492105263157897</v>
      </c>
      <c r="E170" s="14">
        <v>0.1269526315789474</v>
      </c>
      <c r="F170" s="38">
        <v>0.19498947368421052</v>
      </c>
      <c r="G170" s="38">
        <v>1.1578947368421055E-2</v>
      </c>
    </row>
    <row r="171" spans="1:7" ht="15.75" thickBot="1">
      <c r="A171" s="3" t="s">
        <v>37</v>
      </c>
      <c r="B171" s="54">
        <v>6.1</v>
      </c>
      <c r="C171" s="30">
        <f t="shared" si="2"/>
        <v>5.7</v>
      </c>
      <c r="D171" s="14">
        <v>0.57476229508196719</v>
      </c>
      <c r="E171" s="14">
        <v>0.14485737704918034</v>
      </c>
      <c r="F171" s="38">
        <v>0.20843278688524586</v>
      </c>
      <c r="G171" s="38">
        <v>1.7377049180327866E-2</v>
      </c>
    </row>
    <row r="172" spans="1:7" ht="15.75" thickBot="1">
      <c r="A172" s="3" t="s">
        <v>38</v>
      </c>
      <c r="B172" s="54">
        <v>6.6</v>
      </c>
      <c r="C172" s="30">
        <f t="shared" si="2"/>
        <v>6.1</v>
      </c>
      <c r="D172" s="14">
        <v>0.60697727272727275</v>
      </c>
      <c r="E172" s="14">
        <v>0.16418636363636363</v>
      </c>
      <c r="F172" s="38">
        <v>0.2229454545454545</v>
      </c>
      <c r="G172" s="38">
        <v>2.3636363636363632E-2</v>
      </c>
    </row>
    <row r="173" spans="1:7" ht="15.75" thickBot="1">
      <c r="A173" s="3" t="s">
        <v>39</v>
      </c>
      <c r="B173" s="54">
        <v>7.8</v>
      </c>
      <c r="C173" s="30">
        <f t="shared" si="2"/>
        <v>6.6</v>
      </c>
      <c r="D173" s="14">
        <v>0.66744230769230761</v>
      </c>
      <c r="E173" s="14">
        <v>0.20046538461538463</v>
      </c>
      <c r="F173" s="38">
        <v>0.25018461538461539</v>
      </c>
      <c r="G173" s="38">
        <v>3.5384615384615382E-2</v>
      </c>
    </row>
    <row r="174" spans="1:7" ht="15.75" thickBot="1">
      <c r="A174" s="3" t="s">
        <v>40</v>
      </c>
      <c r="B174" s="54">
        <v>8.6999999999999993</v>
      </c>
      <c r="C174" s="30">
        <f t="shared" si="2"/>
        <v>7.8</v>
      </c>
      <c r="D174" s="14">
        <v>0.70184482758620692</v>
      </c>
      <c r="E174" s="14">
        <v>0.22110689655172416</v>
      </c>
      <c r="F174" s="38">
        <v>0.26568275862068963</v>
      </c>
      <c r="G174" s="38">
        <v>5.2413793103448236E-2</v>
      </c>
    </row>
    <row r="175" spans="1:7" ht="15.75" thickBot="1">
      <c r="A175" s="3" t="s">
        <v>41</v>
      </c>
      <c r="B175" s="54">
        <v>9.1999999999999993</v>
      </c>
      <c r="C175" s="30">
        <f t="shared" si="2"/>
        <v>8.6999999999999993</v>
      </c>
      <c r="D175" s="14">
        <v>0.71804891304347829</v>
      </c>
      <c r="E175" s="14">
        <v>0.23082934782608697</v>
      </c>
      <c r="F175" s="38">
        <v>0.27298260869565216</v>
      </c>
      <c r="G175" s="38">
        <v>7.1304347826086925E-2</v>
      </c>
    </row>
    <row r="176" spans="1:7" ht="15.75" thickBot="1">
      <c r="A176" s="3" t="s">
        <v>42</v>
      </c>
      <c r="B176" s="54">
        <v>9.9</v>
      </c>
      <c r="C176" s="30">
        <f t="shared" si="2"/>
        <v>9.1999999999999993</v>
      </c>
      <c r="D176" s="14">
        <v>0.73798484848484858</v>
      </c>
      <c r="E176" s="14">
        <v>0.24279090909090909</v>
      </c>
      <c r="F176" s="38">
        <v>0.28196363636363636</v>
      </c>
      <c r="G176" s="38">
        <v>9.4545454545454558E-2</v>
      </c>
    </row>
    <row r="177" spans="1:7" ht="15.75" thickBot="1">
      <c r="A177" s="3" t="s">
        <v>43</v>
      </c>
      <c r="B177" s="54">
        <v>11.9</v>
      </c>
      <c r="C177" s="30">
        <f t="shared" si="2"/>
        <v>9.9</v>
      </c>
      <c r="D177" s="14">
        <v>0.78202100840336142</v>
      </c>
      <c r="E177" s="14">
        <v>0.26921260504201683</v>
      </c>
      <c r="F177" s="38">
        <v>0.30180168067226892</v>
      </c>
      <c r="G177" s="38">
        <v>0.14588235294117649</v>
      </c>
    </row>
    <row r="178" spans="1:7" ht="15.75" thickBot="1">
      <c r="A178" s="3" t="s">
        <v>44</v>
      </c>
      <c r="B178" s="54">
        <v>13.2</v>
      </c>
      <c r="C178" s="30">
        <f t="shared" si="2"/>
        <v>11.9</v>
      </c>
      <c r="D178" s="14">
        <v>0.80348863636363643</v>
      </c>
      <c r="E178" s="14">
        <v>0.28209318181818183</v>
      </c>
      <c r="F178" s="38">
        <v>0.31147272727272729</v>
      </c>
      <c r="G178" s="38">
        <v>0.1709090909090909</v>
      </c>
    </row>
    <row r="179" spans="1:7" ht="15.75" thickBot="1">
      <c r="A179" s="3" t="s">
        <v>45</v>
      </c>
      <c r="B179" s="54">
        <v>13.7</v>
      </c>
      <c r="C179" s="30">
        <f t="shared" si="2"/>
        <v>13.2</v>
      </c>
      <c r="D179" s="14">
        <v>0.81066058394160589</v>
      </c>
      <c r="E179" s="14">
        <v>0.28639635036496353</v>
      </c>
      <c r="F179" s="38">
        <v>0.31470364963503644</v>
      </c>
      <c r="G179" s="38">
        <v>0.1792700729927007</v>
      </c>
    </row>
    <row r="180" spans="1:7" ht="15.75" thickBot="1">
      <c r="A180" s="3" t="s">
        <v>46</v>
      </c>
      <c r="B180" s="54">
        <v>14.4</v>
      </c>
      <c r="C180" s="30">
        <f t="shared" si="2"/>
        <v>13.7</v>
      </c>
      <c r="D180" s="14">
        <v>0.81986458333333334</v>
      </c>
      <c r="E180" s="14">
        <v>0.29191875</v>
      </c>
      <c r="F180" s="38">
        <v>0.31884999999999997</v>
      </c>
      <c r="G180" s="38">
        <v>0.19000000000000003</v>
      </c>
    </row>
    <row r="181" spans="1:7" ht="15.75" thickBot="1">
      <c r="A181" s="3" t="s">
        <v>47</v>
      </c>
      <c r="B181" s="54">
        <v>16.2</v>
      </c>
      <c r="C181" s="30">
        <f t="shared" si="2"/>
        <v>14.4</v>
      </c>
      <c r="D181" s="14">
        <v>0.8398796296296297</v>
      </c>
      <c r="E181" s="14">
        <v>0.3039277777777778</v>
      </c>
      <c r="F181" s="38">
        <v>0.32786666666666664</v>
      </c>
      <c r="G181" s="38">
        <v>0.21333333333333332</v>
      </c>
    </row>
    <row r="182" spans="1:7" ht="15.75" thickBot="1">
      <c r="A182" s="3" t="s">
        <v>48</v>
      </c>
      <c r="B182" s="54">
        <v>17.7</v>
      </c>
      <c r="C182" s="30">
        <f t="shared" si="2"/>
        <v>16.2</v>
      </c>
      <c r="D182" s="14">
        <v>0.85344915254237286</v>
      </c>
      <c r="E182" s="14">
        <v>0.31206949152542374</v>
      </c>
      <c r="F182" s="38">
        <v>0.33397966101694915</v>
      </c>
      <c r="G182" s="38">
        <v>0.22915254237288138</v>
      </c>
    </row>
    <row r="183" spans="1:7" ht="15.75" thickBot="1">
      <c r="A183" s="3" t="s">
        <v>49</v>
      </c>
      <c r="B183" s="54">
        <v>19.399999999999999</v>
      </c>
      <c r="C183" s="30">
        <f t="shared" si="2"/>
        <v>17.7</v>
      </c>
      <c r="D183" s="14">
        <v>0.86629123711340206</v>
      </c>
      <c r="E183" s="14">
        <v>0.31977474226804126</v>
      </c>
      <c r="F183" s="38">
        <v>0.33976494845360822</v>
      </c>
      <c r="G183" s="38">
        <v>0.24412371134020619</v>
      </c>
    </row>
    <row r="184" spans="1:7" ht="15.75" thickBot="1">
      <c r="A184" s="3" t="s">
        <v>50</v>
      </c>
      <c r="B184" s="54">
        <v>21.9</v>
      </c>
      <c r="C184" s="30">
        <f t="shared" si="2"/>
        <v>19.399999999999999</v>
      </c>
      <c r="D184" s="14">
        <v>0.88155479452054797</v>
      </c>
      <c r="E184" s="14">
        <v>0.32893287671232879</v>
      </c>
      <c r="F184" s="38">
        <v>0.34664109589041092</v>
      </c>
      <c r="G184" s="38">
        <v>0.26191780821917809</v>
      </c>
    </row>
    <row r="185" spans="1:7" ht="15.75" thickBot="1">
      <c r="A185" s="3" t="s">
        <v>51</v>
      </c>
      <c r="B185" s="54">
        <v>25</v>
      </c>
      <c r="C185" s="30">
        <f t="shared" si="2"/>
        <v>21.9</v>
      </c>
      <c r="D185" s="14">
        <v>0.89624199999999998</v>
      </c>
      <c r="E185" s="14">
        <v>0.33774519999999997</v>
      </c>
      <c r="F185" s="38">
        <v>0.35325759999999995</v>
      </c>
      <c r="G185" s="38">
        <v>0.27904000000000001</v>
      </c>
    </row>
    <row r="186" spans="1:7" ht="15.75" thickBot="1">
      <c r="A186" s="3" t="s">
        <v>52</v>
      </c>
      <c r="B186" s="54">
        <v>37.799999999999997</v>
      </c>
      <c r="C186" s="30">
        <f t="shared" si="2"/>
        <v>25</v>
      </c>
      <c r="D186" s="14">
        <v>0.93137698412698411</v>
      </c>
      <c r="E186" s="14">
        <v>0.35882619047619047</v>
      </c>
      <c r="F186" s="38">
        <v>0.36908571428571424</v>
      </c>
      <c r="G186" s="38">
        <v>0.32</v>
      </c>
    </row>
    <row r="187" spans="1:7" ht="15.75" thickBot="1">
      <c r="A187" s="3" t="s">
        <v>53</v>
      </c>
      <c r="B187" s="54">
        <v>96</v>
      </c>
      <c r="C187" s="30">
        <f>B186</f>
        <v>37.799999999999997</v>
      </c>
      <c r="D187" s="14">
        <v>0.97297968749999997</v>
      </c>
      <c r="E187" s="14">
        <v>0.38378781250000005</v>
      </c>
      <c r="F187" s="38">
        <v>0.38782750000000005</v>
      </c>
      <c r="G187" s="38">
        <v>0.36849999999999999</v>
      </c>
    </row>
    <row r="188" spans="1:7" ht="15.75" thickBot="1">
      <c r="A188" s="3" t="s">
        <v>53</v>
      </c>
      <c r="B188" s="3" t="s">
        <v>133</v>
      </c>
      <c r="C188" s="30">
        <f t="shared" si="2"/>
        <v>96</v>
      </c>
      <c r="D188" s="22"/>
      <c r="E188" s="1"/>
      <c r="F188" s="37"/>
      <c r="G188" s="39"/>
    </row>
    <row r="189" spans="1:7" ht="15.75" thickBot="1">
      <c r="A189" s="3"/>
      <c r="B189" s="3">
        <v>5.4</v>
      </c>
      <c r="C189" s="4"/>
      <c r="D189" s="22"/>
      <c r="E189" s="15">
        <v>9.9304114794260767E-2</v>
      </c>
      <c r="F189" s="26">
        <v>0.11637604163450088</v>
      </c>
      <c r="G189" s="26">
        <v>5.8167389663065699E-2</v>
      </c>
    </row>
    <row r="190" spans="1:7" ht="60.75" thickBot="1">
      <c r="A190" s="5" t="s">
        <v>55</v>
      </c>
      <c r="B190" s="3">
        <v>22.3</v>
      </c>
      <c r="C190" s="4"/>
      <c r="D190" s="22"/>
      <c r="E190" s="12">
        <v>4.3232499999999998</v>
      </c>
      <c r="F190" s="45">
        <v>3.2460000000000004</v>
      </c>
      <c r="G190" s="46">
        <v>22.3</v>
      </c>
    </row>
    <row r="191" spans="1:7" ht="60.75" thickBot="1">
      <c r="A191" s="5" t="s">
        <v>56</v>
      </c>
      <c r="B191" s="4">
        <v>8.02</v>
      </c>
      <c r="C191" s="4"/>
      <c r="D191" s="1"/>
      <c r="E191" s="1"/>
      <c r="F191" s="37"/>
      <c r="G191" s="37"/>
    </row>
    <row r="192" spans="1:7" ht="97.5" thickBot="1">
      <c r="A192" s="6" t="s">
        <v>57</v>
      </c>
      <c r="B192" s="29">
        <v>4.8119999999999994</v>
      </c>
      <c r="C192" s="4"/>
      <c r="D192" s="1"/>
      <c r="E192" s="1">
        <v>2.59395</v>
      </c>
      <c r="F192" s="37">
        <v>1.9476000000000002</v>
      </c>
      <c r="G192" s="37">
        <v>13.38</v>
      </c>
    </row>
    <row r="195" spans="1:7">
      <c r="A195" s="16" t="s">
        <v>64</v>
      </c>
      <c r="B195" s="17">
        <f>AVERAGE(B143:B182)</f>
        <v>4.3232499999999998</v>
      </c>
      <c r="C195" s="17"/>
    </row>
    <row r="196" spans="1:7">
      <c r="A196" s="16" t="s">
        <v>65</v>
      </c>
      <c r="B196" s="18">
        <f>AVERAGE(B148:B177)</f>
        <v>3.2460000000000004</v>
      </c>
      <c r="C196" s="18"/>
    </row>
    <row r="197" spans="1:7">
      <c r="A197" s="16" t="s">
        <v>66</v>
      </c>
      <c r="B197" s="18">
        <f>AVERAGE(B154:B172)</f>
        <v>2.5442105263157897</v>
      </c>
      <c r="C197" s="18"/>
    </row>
    <row r="200" spans="1:7" ht="15" customHeight="1">
      <c r="A200" s="473" t="s">
        <v>0</v>
      </c>
      <c r="B200" s="473" t="s">
        <v>3</v>
      </c>
      <c r="C200" s="473"/>
      <c r="D200" s="473"/>
      <c r="E200" s="40">
        <f>(1-E255)^(1/3)-1</f>
        <v>-3.3832578508468991E-2</v>
      </c>
      <c r="F200" s="40">
        <f>(1-F255)^(1/3)-1</f>
        <v>-3.9828656387638106E-2</v>
      </c>
      <c r="G200" s="40"/>
    </row>
    <row r="201" spans="1:7" ht="72">
      <c r="A201" s="473"/>
      <c r="B201" s="11" t="s">
        <v>4</v>
      </c>
      <c r="C201" s="11"/>
      <c r="D201" s="11" t="s">
        <v>80</v>
      </c>
      <c r="E201" s="11" t="s">
        <v>5</v>
      </c>
      <c r="F201" s="39" t="s">
        <v>5</v>
      </c>
      <c r="G201" s="39"/>
    </row>
    <row r="202" spans="1:7" ht="24">
      <c r="A202" s="473"/>
      <c r="B202" s="11" t="s">
        <v>9</v>
      </c>
      <c r="C202" s="11"/>
      <c r="D202" s="11" t="s">
        <v>7</v>
      </c>
      <c r="E202" s="55" t="s">
        <v>65</v>
      </c>
      <c r="F202" s="39"/>
      <c r="G202" s="56"/>
    </row>
    <row r="203" spans="1:7">
      <c r="A203" s="50">
        <v>1</v>
      </c>
      <c r="B203" s="51">
        <v>2</v>
      </c>
      <c r="C203" s="51"/>
      <c r="D203" s="51">
        <v>3</v>
      </c>
      <c r="E203" s="51">
        <v>4</v>
      </c>
      <c r="F203" s="52">
        <v>5</v>
      </c>
      <c r="G203" s="52"/>
    </row>
    <row r="204" spans="1:7">
      <c r="A204" s="27" t="s">
        <v>10</v>
      </c>
      <c r="B204" s="57">
        <v>0.01</v>
      </c>
      <c r="C204" s="163">
        <v>0</v>
      </c>
      <c r="D204" s="14">
        <v>0</v>
      </c>
      <c r="E204" s="14">
        <v>0</v>
      </c>
      <c r="F204" s="38">
        <v>0</v>
      </c>
      <c r="G204" s="38">
        <v>0</v>
      </c>
    </row>
    <row r="205" spans="1:7">
      <c r="A205" s="27" t="s">
        <v>58</v>
      </c>
      <c r="B205" s="204">
        <v>1.4E-2</v>
      </c>
      <c r="C205" s="30">
        <f>B204</f>
        <v>0.01</v>
      </c>
      <c r="D205" s="14">
        <v>0</v>
      </c>
      <c r="E205" s="14">
        <v>0</v>
      </c>
      <c r="F205" s="38">
        <v>0</v>
      </c>
      <c r="G205" s="38">
        <v>0</v>
      </c>
    </row>
    <row r="206" spans="1:7">
      <c r="A206" s="27" t="s">
        <v>59</v>
      </c>
      <c r="B206" s="204">
        <v>0.02</v>
      </c>
      <c r="C206" s="30">
        <f t="shared" ref="C206:C254" si="3">B205</f>
        <v>1.4E-2</v>
      </c>
      <c r="D206" s="14">
        <v>0</v>
      </c>
      <c r="E206" s="14">
        <v>0</v>
      </c>
      <c r="F206" s="38">
        <v>0</v>
      </c>
      <c r="G206" s="38">
        <v>0</v>
      </c>
    </row>
    <row r="207" spans="1:7">
      <c r="A207" s="27" t="s">
        <v>60</v>
      </c>
      <c r="B207" s="204">
        <v>3.3000000000000002E-2</v>
      </c>
      <c r="C207" s="30">
        <f t="shared" si="3"/>
        <v>0.02</v>
      </c>
      <c r="D207" s="14">
        <v>0</v>
      </c>
      <c r="E207" s="14">
        <v>0</v>
      </c>
      <c r="F207" s="38">
        <v>0</v>
      </c>
      <c r="G207" s="38">
        <v>0</v>
      </c>
    </row>
    <row r="208" spans="1:7">
      <c r="A208" s="27" t="s">
        <v>61</v>
      </c>
      <c r="B208" s="204">
        <v>5.2999999999999999E-2</v>
      </c>
      <c r="C208" s="30">
        <f t="shared" si="3"/>
        <v>3.3000000000000002E-2</v>
      </c>
      <c r="D208" s="14">
        <v>0</v>
      </c>
      <c r="E208" s="14">
        <v>0</v>
      </c>
      <c r="F208" s="38">
        <v>0</v>
      </c>
      <c r="G208" s="38">
        <v>0</v>
      </c>
    </row>
    <row r="209" spans="1:7">
      <c r="A209" s="27" t="s">
        <v>62</v>
      </c>
      <c r="B209" s="204">
        <v>7.3999999999999996E-2</v>
      </c>
      <c r="C209" s="30">
        <f t="shared" si="3"/>
        <v>5.2999999999999999E-2</v>
      </c>
      <c r="D209" s="14">
        <v>0</v>
      </c>
      <c r="E209" s="14">
        <v>0</v>
      </c>
      <c r="F209" s="38">
        <v>0</v>
      </c>
      <c r="G209" s="38">
        <v>0</v>
      </c>
    </row>
    <row r="210" spans="1:7">
      <c r="A210" s="27" t="s">
        <v>63</v>
      </c>
      <c r="B210" s="204">
        <v>9.6000000000000002E-2</v>
      </c>
      <c r="C210" s="30">
        <f t="shared" si="3"/>
        <v>7.3999999999999996E-2</v>
      </c>
      <c r="D210" s="14">
        <v>0</v>
      </c>
      <c r="E210" s="14">
        <v>0</v>
      </c>
      <c r="F210" s="38">
        <v>0</v>
      </c>
      <c r="G210" s="38">
        <v>0</v>
      </c>
    </row>
    <row r="211" spans="1:7">
      <c r="A211" s="29" t="s">
        <v>11</v>
      </c>
      <c r="B211" s="204">
        <v>0.122</v>
      </c>
      <c r="C211" s="30">
        <f t="shared" si="3"/>
        <v>9.6000000000000002E-2</v>
      </c>
      <c r="D211" s="14">
        <v>0</v>
      </c>
      <c r="E211" s="14">
        <v>0</v>
      </c>
      <c r="F211" s="38">
        <v>0</v>
      </c>
      <c r="G211" s="38">
        <v>0</v>
      </c>
    </row>
    <row r="212" spans="1:7">
      <c r="A212" s="29" t="s">
        <v>12</v>
      </c>
      <c r="B212" s="204">
        <v>0.16900000000000001</v>
      </c>
      <c r="C212" s="30">
        <f t="shared" si="3"/>
        <v>0.122</v>
      </c>
      <c r="D212" s="14">
        <v>0</v>
      </c>
      <c r="E212" s="14">
        <v>0</v>
      </c>
      <c r="F212" s="38">
        <v>0</v>
      </c>
      <c r="G212" s="38">
        <v>0</v>
      </c>
    </row>
    <row r="213" spans="1:7">
      <c r="A213" s="29" t="s">
        <v>13</v>
      </c>
      <c r="B213" s="204">
        <v>0.22</v>
      </c>
      <c r="C213" s="30">
        <f t="shared" si="3"/>
        <v>0.16900000000000001</v>
      </c>
      <c r="D213" s="14">
        <v>0</v>
      </c>
      <c r="E213" s="14">
        <v>0</v>
      </c>
      <c r="F213" s="38">
        <v>0</v>
      </c>
      <c r="G213" s="38">
        <v>0</v>
      </c>
    </row>
    <row r="214" spans="1:7">
      <c r="A214" s="29" t="s">
        <v>14</v>
      </c>
      <c r="B214" s="204">
        <v>0.312</v>
      </c>
      <c r="C214" s="30">
        <f t="shared" si="3"/>
        <v>0.22</v>
      </c>
      <c r="D214" s="14">
        <v>0</v>
      </c>
      <c r="E214" s="14">
        <v>0</v>
      </c>
      <c r="F214" s="38">
        <v>0</v>
      </c>
      <c r="G214" s="38">
        <v>0</v>
      </c>
    </row>
    <row r="215" spans="1:7">
      <c r="A215" s="29" t="s">
        <v>15</v>
      </c>
      <c r="B215" s="204">
        <v>0.39800000000000002</v>
      </c>
      <c r="C215" s="30">
        <f t="shared" si="3"/>
        <v>0.312</v>
      </c>
      <c r="D215" s="14">
        <v>0</v>
      </c>
      <c r="E215" s="14">
        <v>0</v>
      </c>
      <c r="F215" s="38">
        <v>0</v>
      </c>
      <c r="G215" s="38">
        <v>0</v>
      </c>
    </row>
    <row r="216" spans="1:7">
      <c r="A216" s="29" t="s">
        <v>16</v>
      </c>
      <c r="B216" s="204">
        <v>0.51100000000000001</v>
      </c>
      <c r="C216" s="30">
        <f t="shared" si="3"/>
        <v>0.39800000000000002</v>
      </c>
      <c r="D216" s="14">
        <v>0</v>
      </c>
      <c r="E216" s="14">
        <v>0</v>
      </c>
      <c r="F216" s="38">
        <v>0</v>
      </c>
      <c r="G216" s="38">
        <v>0</v>
      </c>
    </row>
    <row r="217" spans="1:7">
      <c r="A217" s="29" t="s">
        <v>17</v>
      </c>
      <c r="B217" s="204">
        <v>0.64300000000000002</v>
      </c>
      <c r="C217" s="30">
        <f t="shared" si="3"/>
        <v>0.51100000000000001</v>
      </c>
      <c r="D217" s="14">
        <v>0</v>
      </c>
      <c r="E217" s="14">
        <v>0</v>
      </c>
      <c r="F217" s="38">
        <v>0</v>
      </c>
      <c r="G217" s="38">
        <v>0</v>
      </c>
    </row>
    <row r="218" spans="1:7">
      <c r="A218" s="29" t="s">
        <v>18</v>
      </c>
      <c r="B218" s="204">
        <v>0.78700000000000003</v>
      </c>
      <c r="C218" s="30">
        <f t="shared" si="3"/>
        <v>0.64300000000000002</v>
      </c>
      <c r="D218" s="14">
        <v>0</v>
      </c>
      <c r="E218" s="14">
        <v>0</v>
      </c>
      <c r="F218" s="38">
        <v>0</v>
      </c>
      <c r="G218" s="38">
        <v>0</v>
      </c>
    </row>
    <row r="219" spans="1:7">
      <c r="A219" s="29" t="s">
        <v>19</v>
      </c>
      <c r="B219" s="204">
        <v>0.97199999999999998</v>
      </c>
      <c r="C219" s="30">
        <f t="shared" si="3"/>
        <v>0.78700000000000003</v>
      </c>
      <c r="D219" s="14">
        <v>0</v>
      </c>
      <c r="E219" s="14">
        <v>0</v>
      </c>
      <c r="F219" s="38">
        <v>0</v>
      </c>
      <c r="G219" s="38">
        <v>0</v>
      </c>
    </row>
    <row r="220" spans="1:7">
      <c r="A220" s="29" t="s">
        <v>20</v>
      </c>
      <c r="B220" s="204">
        <v>1.079</v>
      </c>
      <c r="C220" s="30">
        <f t="shared" si="3"/>
        <v>0.97199999999999998</v>
      </c>
      <c r="D220" s="14">
        <v>0</v>
      </c>
      <c r="E220" s="14">
        <v>0</v>
      </c>
      <c r="F220" s="38">
        <v>0</v>
      </c>
      <c r="G220" s="38">
        <v>0</v>
      </c>
    </row>
    <row r="221" spans="1:7">
      <c r="A221" s="29" t="s">
        <v>21</v>
      </c>
      <c r="B221" s="204">
        <v>1.2589999999999999</v>
      </c>
      <c r="C221" s="30">
        <f t="shared" si="3"/>
        <v>1.079</v>
      </c>
      <c r="D221" s="14">
        <v>0</v>
      </c>
      <c r="E221" s="14">
        <v>0</v>
      </c>
      <c r="F221" s="38">
        <v>0</v>
      </c>
      <c r="G221" s="38">
        <v>0</v>
      </c>
    </row>
    <row r="222" spans="1:7">
      <c r="A222" s="29" t="s">
        <v>22</v>
      </c>
      <c r="B222" s="204">
        <v>1.446</v>
      </c>
      <c r="C222" s="30">
        <f t="shared" si="3"/>
        <v>1.2589999999999999</v>
      </c>
      <c r="D222" s="14">
        <v>0</v>
      </c>
      <c r="E222" s="14">
        <v>0</v>
      </c>
      <c r="F222" s="38">
        <v>0</v>
      </c>
      <c r="G222" s="38">
        <v>0</v>
      </c>
    </row>
    <row r="223" spans="1:7">
      <c r="A223" s="29" t="s">
        <v>23</v>
      </c>
      <c r="B223" s="204">
        <v>1.621</v>
      </c>
      <c r="C223" s="30">
        <f t="shared" si="3"/>
        <v>1.446</v>
      </c>
      <c r="D223" s="14">
        <v>0</v>
      </c>
      <c r="E223" s="14">
        <v>0</v>
      </c>
      <c r="F223" s="38">
        <v>0</v>
      </c>
      <c r="G223" s="38">
        <v>0</v>
      </c>
    </row>
    <row r="224" spans="1:7">
      <c r="A224" s="29" t="s">
        <v>24</v>
      </c>
      <c r="B224" s="204">
        <v>1.8029999999999999</v>
      </c>
      <c r="C224" s="30">
        <f t="shared" si="3"/>
        <v>1.621</v>
      </c>
      <c r="D224" s="14">
        <v>0</v>
      </c>
      <c r="E224" s="14">
        <v>0</v>
      </c>
      <c r="F224" s="38">
        <v>0</v>
      </c>
      <c r="G224" s="38">
        <v>0</v>
      </c>
    </row>
    <row r="225" spans="1:7">
      <c r="A225" s="29" t="s">
        <v>25</v>
      </c>
      <c r="B225" s="204">
        <v>2.04</v>
      </c>
      <c r="C225" s="30">
        <f t="shared" si="3"/>
        <v>1.8029999999999999</v>
      </c>
      <c r="D225" s="14">
        <v>0</v>
      </c>
      <c r="E225" s="14">
        <v>0</v>
      </c>
      <c r="F225" s="38">
        <v>0</v>
      </c>
      <c r="G225" s="38">
        <v>0</v>
      </c>
    </row>
    <row r="226" spans="1:7">
      <c r="A226" s="29" t="s">
        <v>26</v>
      </c>
      <c r="B226" s="204">
        <v>2.3919999999999999</v>
      </c>
      <c r="C226" s="30">
        <f t="shared" si="3"/>
        <v>2.04</v>
      </c>
      <c r="D226" s="14">
        <v>0</v>
      </c>
      <c r="E226" s="14">
        <v>0</v>
      </c>
      <c r="F226" s="38">
        <v>0</v>
      </c>
      <c r="G226" s="38">
        <v>0</v>
      </c>
    </row>
    <row r="227" spans="1:7">
      <c r="A227" s="29" t="s">
        <v>27</v>
      </c>
      <c r="B227" s="204">
        <v>2.839</v>
      </c>
      <c r="C227" s="30">
        <f t="shared" si="3"/>
        <v>2.3919999999999999</v>
      </c>
      <c r="D227" s="14">
        <v>0</v>
      </c>
      <c r="E227" s="14">
        <v>0</v>
      </c>
      <c r="F227" s="38">
        <v>0</v>
      </c>
      <c r="G227" s="38">
        <v>0</v>
      </c>
    </row>
    <row r="228" spans="1:7">
      <c r="A228" s="29" t="s">
        <v>28</v>
      </c>
      <c r="B228" s="204">
        <v>3.2549999999999999</v>
      </c>
      <c r="C228" s="30">
        <f t="shared" si="3"/>
        <v>2.839</v>
      </c>
      <c r="D228" s="14">
        <v>0</v>
      </c>
      <c r="E228" s="14">
        <v>0</v>
      </c>
      <c r="F228" s="38">
        <v>0</v>
      </c>
      <c r="G228" s="38">
        <v>0</v>
      </c>
    </row>
    <row r="229" spans="1:7">
      <c r="A229" s="29" t="s">
        <v>29</v>
      </c>
      <c r="B229" s="204">
        <v>3.794</v>
      </c>
      <c r="C229" s="30">
        <f t="shared" si="3"/>
        <v>3.2549999999999999</v>
      </c>
      <c r="D229" s="14">
        <v>0</v>
      </c>
      <c r="E229" s="14">
        <v>0</v>
      </c>
      <c r="F229" s="38">
        <v>9.5397996837111153E-3</v>
      </c>
      <c r="G229" s="38">
        <v>0</v>
      </c>
    </row>
    <row r="230" spans="1:7">
      <c r="A230" s="29" t="s">
        <v>30</v>
      </c>
      <c r="B230" s="204">
        <v>4.3410000000000002</v>
      </c>
      <c r="C230" s="30">
        <f t="shared" si="3"/>
        <v>3.794</v>
      </c>
      <c r="D230" s="14">
        <v>0</v>
      </c>
      <c r="E230" s="14">
        <v>0</v>
      </c>
      <c r="F230" s="38">
        <v>2.0938493434692465E-2</v>
      </c>
      <c r="G230" s="38">
        <v>0</v>
      </c>
    </row>
    <row r="231" spans="1:7">
      <c r="A231" s="29" t="s">
        <v>31</v>
      </c>
      <c r="B231" s="204">
        <v>4.8899999999999997</v>
      </c>
      <c r="C231" s="30">
        <f t="shared" si="3"/>
        <v>4.3410000000000002</v>
      </c>
      <c r="D231" s="14">
        <v>9.0453987730061275E-2</v>
      </c>
      <c r="E231" s="14"/>
      <c r="F231" s="38">
        <v>2.9814723926380359E-2</v>
      </c>
      <c r="G231" s="38">
        <v>0</v>
      </c>
    </row>
    <row r="232" spans="1:7">
      <c r="A232" s="29" t="s">
        <v>32</v>
      </c>
      <c r="B232" s="204">
        <v>5.673</v>
      </c>
      <c r="C232" s="30">
        <f t="shared" si="3"/>
        <v>4.8899999999999997</v>
      </c>
      <c r="D232" s="14">
        <v>0.21599153886832362</v>
      </c>
      <c r="E232" s="14">
        <v>2.1599153886832364E-2</v>
      </c>
      <c r="F232" s="38">
        <v>3.9501850872554201E-2</v>
      </c>
      <c r="G232" s="38">
        <v>1.1158117398202012E-2</v>
      </c>
    </row>
    <row r="233" spans="1:7">
      <c r="A233" s="29" t="s">
        <v>33</v>
      </c>
      <c r="B233" s="204">
        <v>6.3250000000000002</v>
      </c>
      <c r="C233" s="30">
        <f t="shared" si="3"/>
        <v>5.673</v>
      </c>
      <c r="D233" s="14">
        <v>0.29680948616600789</v>
      </c>
      <c r="E233" s="14">
        <v>2.968094861660079E-2</v>
      </c>
      <c r="F233" s="38">
        <v>7.4429090909090903E-2</v>
      </c>
      <c r="G233" s="38">
        <v>2.0316205533596841E-2</v>
      </c>
    </row>
    <row r="234" spans="1:7">
      <c r="A234" s="29" t="s">
        <v>34</v>
      </c>
      <c r="B234" s="204">
        <v>7.8239999999999998</v>
      </c>
      <c r="C234" s="30">
        <f t="shared" si="3"/>
        <v>6.3250000000000002</v>
      </c>
      <c r="D234" s="14">
        <v>0.43153374233128833</v>
      </c>
      <c r="E234" s="14">
        <v>5.8920245398773011E-2</v>
      </c>
      <c r="F234" s="38">
        <v>0.13680521472392637</v>
      </c>
      <c r="G234" s="38">
        <v>3.5582822085889566E-2</v>
      </c>
    </row>
    <row r="235" spans="1:7">
      <c r="A235" s="29" t="s">
        <v>35</v>
      </c>
      <c r="B235" s="204">
        <v>8.8940000000000001</v>
      </c>
      <c r="C235" s="30">
        <f t="shared" si="3"/>
        <v>7.8239999999999998</v>
      </c>
      <c r="D235" s="14">
        <v>0.49992354396222172</v>
      </c>
      <c r="E235" s="14">
        <v>9.9954126377333044E-2</v>
      </c>
      <c r="F235" s="38">
        <v>0.16846908027883967</v>
      </c>
      <c r="G235" s="38">
        <v>5.9995502586013036E-2</v>
      </c>
    </row>
    <row r="236" spans="1:7">
      <c r="A236" s="29" t="s">
        <v>36</v>
      </c>
      <c r="B236" s="204">
        <v>9.4830000000000005</v>
      </c>
      <c r="C236" s="30">
        <f t="shared" si="3"/>
        <v>8.8940000000000001</v>
      </c>
      <c r="D236" s="14">
        <v>0.5309838658652325</v>
      </c>
      <c r="E236" s="14">
        <v>0.11859031951913954</v>
      </c>
      <c r="F236" s="38">
        <v>0.18284973109775388</v>
      </c>
      <c r="G236" s="38">
        <v>8.111357165453971E-2</v>
      </c>
    </row>
    <row r="237" spans="1:7">
      <c r="A237" s="29" t="s">
        <v>37</v>
      </c>
      <c r="B237" s="204">
        <v>10.336</v>
      </c>
      <c r="C237" s="30">
        <f t="shared" si="3"/>
        <v>9.4830000000000005</v>
      </c>
      <c r="D237" s="14">
        <v>0.56969040247678016</v>
      </c>
      <c r="E237" s="14">
        <v>0.14181424148606814</v>
      </c>
      <c r="F237" s="38">
        <v>0.2007705108359133</v>
      </c>
      <c r="G237" s="38">
        <v>0.10743034055727554</v>
      </c>
    </row>
    <row r="238" spans="1:7">
      <c r="A238" s="29" t="s">
        <v>38</v>
      </c>
      <c r="B238" s="204">
        <v>11.423999999999999</v>
      </c>
      <c r="C238" s="30">
        <f t="shared" si="3"/>
        <v>10.336</v>
      </c>
      <c r="D238" s="14">
        <v>0.61067226890756299</v>
      </c>
      <c r="E238" s="14">
        <v>0.16640336134453781</v>
      </c>
      <c r="F238" s="38">
        <v>0.21974474789915968</v>
      </c>
      <c r="G238" s="38">
        <v>0.13529411764705881</v>
      </c>
    </row>
    <row r="239" spans="1:7">
      <c r="A239" s="29" t="s">
        <v>39</v>
      </c>
      <c r="B239" s="204">
        <v>12.603</v>
      </c>
      <c r="C239" s="30">
        <f t="shared" si="3"/>
        <v>11.423999999999999</v>
      </c>
      <c r="D239" s="14">
        <v>0.64709354915496309</v>
      </c>
      <c r="E239" s="14">
        <v>0.18825612949297788</v>
      </c>
      <c r="F239" s="38">
        <v>0.23660747441085453</v>
      </c>
      <c r="G239" s="38">
        <v>0.16005712925493928</v>
      </c>
    </row>
    <row r="240" spans="1:7">
      <c r="A240" s="29" t="s">
        <v>40</v>
      </c>
      <c r="B240" s="204">
        <v>13.911</v>
      </c>
      <c r="C240" s="30">
        <f t="shared" si="3"/>
        <v>12.603</v>
      </c>
      <c r="D240" s="14">
        <v>0.68027604054345481</v>
      </c>
      <c r="E240" s="14">
        <v>0.20816562432607291</v>
      </c>
      <c r="F240" s="38">
        <v>0.25197067069225793</v>
      </c>
      <c r="G240" s="38">
        <v>0.18261807202932931</v>
      </c>
    </row>
    <row r="241" spans="1:7">
      <c r="A241" s="29" t="s">
        <v>41</v>
      </c>
      <c r="B241" s="204">
        <v>15.571</v>
      </c>
      <c r="C241" s="30">
        <f t="shared" si="3"/>
        <v>13.911</v>
      </c>
      <c r="D241" s="14">
        <v>0.71436131269667968</v>
      </c>
      <c r="E241" s="14">
        <v>0.22861678761800786</v>
      </c>
      <c r="F241" s="38">
        <v>0.26775184638109306</v>
      </c>
      <c r="G241" s="38">
        <v>0.20579281998587115</v>
      </c>
    </row>
    <row r="242" spans="1:7">
      <c r="A242" s="29" t="s">
        <v>42</v>
      </c>
      <c r="B242" s="204">
        <v>17.048999999999999</v>
      </c>
      <c r="C242" s="30">
        <f t="shared" si="3"/>
        <v>15.571</v>
      </c>
      <c r="D242" s="14">
        <v>0.73912370226992785</v>
      </c>
      <c r="E242" s="14">
        <v>0.24347422136195671</v>
      </c>
      <c r="F242" s="38">
        <v>0.27921661094492345</v>
      </c>
      <c r="G242" s="38">
        <v>0.22262889319021645</v>
      </c>
    </row>
    <row r="243" spans="1:7">
      <c r="A243" s="29" t="s">
        <v>43</v>
      </c>
      <c r="B243" s="204">
        <v>18.128</v>
      </c>
      <c r="C243" s="30">
        <f t="shared" si="3"/>
        <v>17.048999999999999</v>
      </c>
      <c r="D243" s="14">
        <v>0.75465136804942634</v>
      </c>
      <c r="E243" s="14">
        <v>0.25279082082965576</v>
      </c>
      <c r="F243" s="38">
        <v>0.28640578111209181</v>
      </c>
      <c r="G243" s="38">
        <v>0.23318623124448365</v>
      </c>
    </row>
    <row r="244" spans="1:7">
      <c r="A244" s="29" t="s">
        <v>44</v>
      </c>
      <c r="B244" s="204">
        <v>20.109000000000002</v>
      </c>
      <c r="C244" s="30">
        <f t="shared" si="3"/>
        <v>18.128</v>
      </c>
      <c r="D244" s="14">
        <v>0.77882142324332393</v>
      </c>
      <c r="E244" s="14">
        <v>0.26729285394599434</v>
      </c>
      <c r="F244" s="38">
        <v>0.29759630016410565</v>
      </c>
      <c r="G244" s="38">
        <v>0.24961957332537674</v>
      </c>
    </row>
    <row r="245" spans="1:7">
      <c r="A245" s="29" t="s">
        <v>45</v>
      </c>
      <c r="B245" s="204">
        <v>23.138000000000002</v>
      </c>
      <c r="C245" s="30">
        <f t="shared" si="3"/>
        <v>20.109000000000002</v>
      </c>
      <c r="D245" s="14">
        <v>0.80777595297778537</v>
      </c>
      <c r="E245" s="14">
        <v>0.28466557178667129</v>
      </c>
      <c r="F245" s="38">
        <v>0.31100198807157065</v>
      </c>
      <c r="G245" s="38">
        <v>0.26930590370818569</v>
      </c>
    </row>
    <row r="246" spans="1:7">
      <c r="A246" s="29" t="s">
        <v>46</v>
      </c>
      <c r="B246" s="204">
        <v>25.033999999999999</v>
      </c>
      <c r="C246" s="30">
        <f t="shared" si="3"/>
        <v>23.138000000000002</v>
      </c>
      <c r="D246" s="14">
        <v>0.82233442518175293</v>
      </c>
      <c r="E246" s="14">
        <v>0.29340065510905167</v>
      </c>
      <c r="F246" s="38">
        <v>0.31774243029479904</v>
      </c>
      <c r="G246" s="38">
        <v>0.27920428217624038</v>
      </c>
    </row>
    <row r="247" spans="1:7">
      <c r="A247" s="29" t="s">
        <v>47</v>
      </c>
      <c r="B247" s="204">
        <v>26.501999999999999</v>
      </c>
      <c r="C247" s="30">
        <f t="shared" si="3"/>
        <v>25.033999999999999</v>
      </c>
      <c r="D247" s="14">
        <v>0.8321756848539732</v>
      </c>
      <c r="E247" s="14">
        <v>0.299305410912384</v>
      </c>
      <c r="F247" s="38">
        <v>0.32229884537016079</v>
      </c>
      <c r="G247" s="38">
        <v>0.28589540412044373</v>
      </c>
    </row>
    <row r="248" spans="1:7">
      <c r="A248" s="29" t="s">
        <v>48</v>
      </c>
      <c r="B248" s="204">
        <v>29.445</v>
      </c>
      <c r="C248" s="30">
        <f t="shared" si="3"/>
        <v>26.501999999999999</v>
      </c>
      <c r="D248" s="14">
        <v>0.84894956698930213</v>
      </c>
      <c r="E248" s="14">
        <v>0.30936974019358127</v>
      </c>
      <c r="F248" s="38">
        <v>0.33006500254712173</v>
      </c>
      <c r="G248" s="38">
        <v>0.29730005094243511</v>
      </c>
    </row>
    <row r="249" spans="1:7">
      <c r="A249" s="29" t="s">
        <v>49</v>
      </c>
      <c r="B249" s="204">
        <v>34.152999999999999</v>
      </c>
      <c r="C249" s="30">
        <f t="shared" si="3"/>
        <v>29.445</v>
      </c>
      <c r="D249" s="14">
        <v>0.86977190876350541</v>
      </c>
      <c r="E249" s="14">
        <v>0.32186314525810328</v>
      </c>
      <c r="F249" s="38">
        <v>0.33970556027288962</v>
      </c>
      <c r="G249" s="38">
        <v>0.31145726583316258</v>
      </c>
    </row>
    <row r="250" spans="1:7">
      <c r="A250" s="29" t="s">
        <v>50</v>
      </c>
      <c r="B250" s="204">
        <v>36.256</v>
      </c>
      <c r="C250" s="30">
        <f t="shared" si="3"/>
        <v>34.152999999999999</v>
      </c>
      <c r="D250" s="14">
        <v>0.87732568402471323</v>
      </c>
      <c r="E250" s="14">
        <v>0.32639541041482789</v>
      </c>
      <c r="F250" s="38">
        <v>0.34320289055604586</v>
      </c>
      <c r="G250" s="38">
        <v>0.31659311562224191</v>
      </c>
    </row>
    <row r="251" spans="1:7">
      <c r="A251" s="29" t="s">
        <v>51</v>
      </c>
      <c r="B251" s="204">
        <v>41.478999999999999</v>
      </c>
      <c r="C251" s="30">
        <f t="shared" si="3"/>
        <v>36.256</v>
      </c>
      <c r="D251" s="14">
        <v>0.89277272836857213</v>
      </c>
      <c r="E251" s="14">
        <v>0.33566363702114327</v>
      </c>
      <c r="F251" s="38">
        <v>0.35035473372067794</v>
      </c>
      <c r="G251" s="38">
        <v>0.32709563875696135</v>
      </c>
    </row>
    <row r="252" spans="1:7">
      <c r="A252" s="29" t="s">
        <v>52</v>
      </c>
      <c r="B252" s="204">
        <v>47.941000000000003</v>
      </c>
      <c r="C252" s="30">
        <f t="shared" si="3"/>
        <v>41.478999999999999</v>
      </c>
      <c r="D252" s="14">
        <v>0.90722596524895183</v>
      </c>
      <c r="E252" s="14">
        <v>0.34433557914937113</v>
      </c>
      <c r="F252" s="38">
        <v>0.3570464529317286</v>
      </c>
      <c r="G252" s="38">
        <v>0.33692246719926577</v>
      </c>
    </row>
    <row r="253" spans="1:7">
      <c r="A253" s="29" t="s">
        <v>53</v>
      </c>
      <c r="B253" s="204">
        <v>60</v>
      </c>
      <c r="C253" s="30">
        <f>B252</f>
        <v>47.941000000000003</v>
      </c>
      <c r="D253" s="14">
        <v>0.92587200000000003</v>
      </c>
      <c r="E253" s="14">
        <v>0.35552320000000004</v>
      </c>
      <c r="F253" s="38">
        <v>0.36567940000000004</v>
      </c>
      <c r="G253" s="38">
        <v>0.34959999999999997</v>
      </c>
    </row>
    <row r="254" spans="1:7">
      <c r="A254" s="29" t="s">
        <v>53</v>
      </c>
      <c r="B254" s="29" t="s">
        <v>134</v>
      </c>
      <c r="C254" s="30">
        <f t="shared" si="3"/>
        <v>60</v>
      </c>
      <c r="D254" s="58"/>
      <c r="E254" s="11"/>
      <c r="F254" s="39"/>
      <c r="G254" s="39"/>
    </row>
    <row r="255" spans="1:7">
      <c r="A255" s="29"/>
      <c r="B255" s="29">
        <v>5.4</v>
      </c>
      <c r="C255" s="29"/>
      <c r="D255" s="58"/>
      <c r="E255" s="32">
        <v>9.8102531656441824E-2</v>
      </c>
      <c r="F255" s="40">
        <v>0.11479018462264685</v>
      </c>
      <c r="G255" s="40">
        <v>8.9563350497034566E-2</v>
      </c>
    </row>
    <row r="256" spans="1:7" ht="60">
      <c r="A256" s="33" t="s">
        <v>55</v>
      </c>
      <c r="B256" s="29">
        <v>8.4</v>
      </c>
      <c r="C256" s="29"/>
      <c r="D256" s="58"/>
      <c r="E256" s="34">
        <v>7.4127999999999998</v>
      </c>
      <c r="F256" s="41">
        <v>5.7201000000000004</v>
      </c>
      <c r="G256" s="42">
        <v>8.4</v>
      </c>
    </row>
    <row r="257" spans="1:7" ht="60">
      <c r="A257" s="33" t="s">
        <v>56</v>
      </c>
      <c r="B257" s="29">
        <v>20.5</v>
      </c>
      <c r="C257" s="29"/>
      <c r="D257" s="11"/>
      <c r="E257" s="11"/>
      <c r="F257" s="39"/>
      <c r="G257" s="39"/>
    </row>
    <row r="258" spans="1:7" ht="96.75">
      <c r="A258" s="35" t="s">
        <v>57</v>
      </c>
      <c r="B258" s="29">
        <v>12.299999999999999</v>
      </c>
      <c r="C258" s="29"/>
      <c r="D258" s="11"/>
      <c r="E258" s="11">
        <v>4.4476800000000001</v>
      </c>
      <c r="F258" s="39">
        <v>3.4320600000000003</v>
      </c>
      <c r="G258" s="39">
        <v>5.04</v>
      </c>
    </row>
    <row r="261" spans="1:7">
      <c r="A261" s="16" t="s">
        <v>64</v>
      </c>
      <c r="B261" s="17">
        <f>AVERAGE(B209:B248)</f>
        <v>7.4127999999999998</v>
      </c>
      <c r="C261" s="17"/>
    </row>
    <row r="262" spans="1:7">
      <c r="A262" s="16" t="s">
        <v>65</v>
      </c>
      <c r="B262" s="18">
        <f>AVERAGE(B214:B243)</f>
        <v>5.7201000000000004</v>
      </c>
      <c r="C262" s="18"/>
    </row>
    <row r="263" spans="1:7">
      <c r="A263" s="16" t="s">
        <v>66</v>
      </c>
      <c r="B263" s="18">
        <f>AVERAGE(B220:B238)</f>
        <v>4.7746315789473677</v>
      </c>
      <c r="C263" s="18"/>
    </row>
    <row r="265" spans="1:7" ht="15.75" thickBot="1"/>
    <row r="266" spans="1:7" ht="15" customHeight="1" thickBot="1">
      <c r="A266" s="522" t="s">
        <v>0</v>
      </c>
      <c r="B266" s="525" t="s">
        <v>67</v>
      </c>
      <c r="C266" s="526"/>
      <c r="D266" s="527"/>
      <c r="E266" s="19">
        <f>(1-E321)^(1/3)-1</f>
        <v>0</v>
      </c>
      <c r="F266" s="19">
        <f>(1-F321)^(1/3)-1</f>
        <v>0</v>
      </c>
      <c r="G266" s="19"/>
    </row>
    <row r="267" spans="1:7" ht="72.75" thickBot="1">
      <c r="A267" s="523"/>
      <c r="B267" s="11" t="s">
        <v>4</v>
      </c>
      <c r="C267" s="65"/>
      <c r="D267" s="11" t="s">
        <v>80</v>
      </c>
      <c r="E267" s="11" t="s">
        <v>5</v>
      </c>
      <c r="F267" s="39" t="s">
        <v>5</v>
      </c>
      <c r="G267" s="39"/>
    </row>
    <row r="268" spans="1:7" ht="25.5" thickBot="1">
      <c r="A268" s="524"/>
      <c r="B268" s="3" t="s">
        <v>68</v>
      </c>
      <c r="D268" s="20" t="s">
        <v>7</v>
      </c>
      <c r="E268" s="20" t="s">
        <v>7</v>
      </c>
      <c r="F268" s="20" t="s">
        <v>7</v>
      </c>
      <c r="G268" s="20"/>
    </row>
    <row r="269" spans="1:7" ht="15.75" thickBot="1">
      <c r="A269" s="50">
        <v>1</v>
      </c>
      <c r="B269" s="51">
        <v>2</v>
      </c>
      <c r="D269" s="51">
        <v>3</v>
      </c>
      <c r="E269" s="51">
        <v>4</v>
      </c>
      <c r="F269" s="52">
        <v>5</v>
      </c>
      <c r="G269" s="52"/>
    </row>
    <row r="270" spans="1:7" ht="15.75" thickBot="1">
      <c r="A270" s="8" t="s">
        <v>10</v>
      </c>
      <c r="B270" s="24"/>
      <c r="C270">
        <v>0</v>
      </c>
      <c r="D270" s="14">
        <f t="shared" ref="D270:D301" si="4">IF(B270=0,0,IF(B270&lt;=E$324,0,B270-E$324)/B270)</f>
        <v>0</v>
      </c>
      <c r="E270" s="14"/>
      <c r="F270" s="38"/>
      <c r="G270" s="38"/>
    </row>
    <row r="271" spans="1:7" ht="15.75" thickBot="1">
      <c r="A271" s="8" t="s">
        <v>58</v>
      </c>
      <c r="B271" s="25"/>
      <c r="C271" s="30">
        <f>B270</f>
        <v>0</v>
      </c>
      <c r="D271" s="14">
        <f t="shared" si="4"/>
        <v>0</v>
      </c>
      <c r="E271" s="14"/>
      <c r="F271" s="38"/>
      <c r="G271" s="38"/>
    </row>
    <row r="272" spans="1:7" ht="15.75" thickBot="1">
      <c r="A272" s="8" t="s">
        <v>59</v>
      </c>
      <c r="B272" s="25"/>
      <c r="C272" s="30">
        <f t="shared" ref="C272:C320" si="5">B271</f>
        <v>0</v>
      </c>
      <c r="D272" s="14">
        <f t="shared" si="4"/>
        <v>0</v>
      </c>
      <c r="E272" s="14"/>
      <c r="F272" s="38"/>
      <c r="G272" s="38"/>
    </row>
    <row r="273" spans="1:7" ht="15.75" thickBot="1">
      <c r="A273" s="8" t="s">
        <v>60</v>
      </c>
      <c r="B273" s="25"/>
      <c r="C273" s="30">
        <f t="shared" si="5"/>
        <v>0</v>
      </c>
      <c r="D273" s="14">
        <f t="shared" si="4"/>
        <v>0</v>
      </c>
      <c r="E273" s="14"/>
      <c r="F273" s="38"/>
      <c r="G273" s="38"/>
    </row>
    <row r="274" spans="1:7" ht="15.75" thickBot="1">
      <c r="A274" s="8" t="s">
        <v>61</v>
      </c>
      <c r="B274" s="25"/>
      <c r="C274" s="30">
        <f t="shared" si="5"/>
        <v>0</v>
      </c>
      <c r="D274" s="14">
        <f t="shared" si="4"/>
        <v>0</v>
      </c>
      <c r="E274" s="14"/>
      <c r="F274" s="38"/>
      <c r="G274" s="38"/>
    </row>
    <row r="275" spans="1:7" ht="15.75" thickBot="1">
      <c r="A275" s="8" t="s">
        <v>62</v>
      </c>
      <c r="B275" s="25"/>
      <c r="C275" s="30">
        <f t="shared" si="5"/>
        <v>0</v>
      </c>
      <c r="D275" s="14">
        <f t="shared" si="4"/>
        <v>0</v>
      </c>
      <c r="E275" s="14"/>
      <c r="F275" s="38"/>
      <c r="G275" s="38"/>
    </row>
    <row r="276" spans="1:7" ht="15.75" thickBot="1">
      <c r="A276" s="8" t="s">
        <v>63</v>
      </c>
      <c r="B276" s="25"/>
      <c r="C276" s="30">
        <f t="shared" si="5"/>
        <v>0</v>
      </c>
      <c r="D276" s="14">
        <f t="shared" si="4"/>
        <v>0</v>
      </c>
      <c r="E276" s="14"/>
      <c r="F276" s="38"/>
      <c r="G276" s="38"/>
    </row>
    <row r="277" spans="1:7" ht="15.75" thickBot="1">
      <c r="A277" s="3" t="s">
        <v>11</v>
      </c>
      <c r="B277" s="25"/>
      <c r="C277" s="30">
        <f t="shared" si="5"/>
        <v>0</v>
      </c>
      <c r="D277" s="14">
        <f t="shared" si="4"/>
        <v>0</v>
      </c>
      <c r="E277" s="14"/>
      <c r="F277" s="38"/>
      <c r="G277" s="38"/>
    </row>
    <row r="278" spans="1:7" ht="15.75" thickBot="1">
      <c r="A278" s="3" t="s">
        <v>12</v>
      </c>
      <c r="B278" s="25"/>
      <c r="C278" s="30">
        <f t="shared" si="5"/>
        <v>0</v>
      </c>
      <c r="D278" s="14">
        <f t="shared" si="4"/>
        <v>0</v>
      </c>
      <c r="E278" s="14"/>
      <c r="F278" s="38"/>
      <c r="G278" s="38"/>
    </row>
    <row r="279" spans="1:7" ht="15.75" thickBot="1">
      <c r="A279" s="3" t="s">
        <v>13</v>
      </c>
      <c r="B279" s="25"/>
      <c r="C279" s="30">
        <f t="shared" si="5"/>
        <v>0</v>
      </c>
      <c r="D279" s="14">
        <f t="shared" si="4"/>
        <v>0</v>
      </c>
      <c r="E279" s="14"/>
      <c r="F279" s="38"/>
      <c r="G279" s="38"/>
    </row>
    <row r="280" spans="1:7" ht="15.75" thickBot="1">
      <c r="A280" s="3" t="s">
        <v>14</v>
      </c>
      <c r="B280" s="25"/>
      <c r="C280" s="30">
        <f t="shared" si="5"/>
        <v>0</v>
      </c>
      <c r="D280" s="14">
        <f t="shared" si="4"/>
        <v>0</v>
      </c>
      <c r="E280" s="14"/>
      <c r="F280" s="38"/>
      <c r="G280" s="38"/>
    </row>
    <row r="281" spans="1:7" ht="15.75" thickBot="1">
      <c r="A281" s="3" t="s">
        <v>15</v>
      </c>
      <c r="B281" s="25"/>
      <c r="C281" s="30">
        <f t="shared" si="5"/>
        <v>0</v>
      </c>
      <c r="D281" s="14">
        <f t="shared" si="4"/>
        <v>0</v>
      </c>
      <c r="E281" s="14"/>
      <c r="F281" s="38"/>
      <c r="G281" s="38"/>
    </row>
    <row r="282" spans="1:7" ht="15.75" thickBot="1">
      <c r="A282" s="3" t="s">
        <v>16</v>
      </c>
      <c r="B282" s="25"/>
      <c r="C282" s="30">
        <f t="shared" si="5"/>
        <v>0</v>
      </c>
      <c r="D282" s="14">
        <f t="shared" si="4"/>
        <v>0</v>
      </c>
      <c r="E282" s="14"/>
      <c r="F282" s="38"/>
      <c r="G282" s="38"/>
    </row>
    <row r="283" spans="1:7" ht="15.75" thickBot="1">
      <c r="A283" s="3" t="s">
        <v>17</v>
      </c>
      <c r="B283" s="25"/>
      <c r="C283" s="30">
        <f t="shared" si="5"/>
        <v>0</v>
      </c>
      <c r="D283" s="14">
        <f t="shared" si="4"/>
        <v>0</v>
      </c>
      <c r="E283" s="14"/>
      <c r="F283" s="38"/>
      <c r="G283" s="38"/>
    </row>
    <row r="284" spans="1:7" ht="15.75" thickBot="1">
      <c r="A284" s="3" t="s">
        <v>18</v>
      </c>
      <c r="B284" s="25"/>
      <c r="C284" s="30">
        <f t="shared" si="5"/>
        <v>0</v>
      </c>
      <c r="D284" s="14">
        <f t="shared" si="4"/>
        <v>0</v>
      </c>
      <c r="E284" s="14"/>
      <c r="F284" s="38"/>
      <c r="G284" s="38"/>
    </row>
    <row r="285" spans="1:7" ht="15.75" thickBot="1">
      <c r="A285" s="3" t="s">
        <v>19</v>
      </c>
      <c r="B285" s="25"/>
      <c r="C285" s="30">
        <f t="shared" si="5"/>
        <v>0</v>
      </c>
      <c r="D285" s="14">
        <f t="shared" si="4"/>
        <v>0</v>
      </c>
      <c r="E285" s="14"/>
      <c r="F285" s="38"/>
      <c r="G285" s="38"/>
    </row>
    <row r="286" spans="1:7" ht="15.75" thickBot="1">
      <c r="A286" s="3" t="s">
        <v>20</v>
      </c>
      <c r="B286" s="25"/>
      <c r="C286" s="30">
        <f t="shared" si="5"/>
        <v>0</v>
      </c>
      <c r="D286" s="14">
        <f t="shared" si="4"/>
        <v>0</v>
      </c>
      <c r="E286" s="14"/>
      <c r="F286" s="38"/>
      <c r="G286" s="38"/>
    </row>
    <row r="287" spans="1:7" ht="15.75" thickBot="1">
      <c r="A287" s="3" t="s">
        <v>21</v>
      </c>
      <c r="B287" s="25"/>
      <c r="C287" s="30">
        <f t="shared" si="5"/>
        <v>0</v>
      </c>
      <c r="D287" s="14">
        <f t="shared" si="4"/>
        <v>0</v>
      </c>
      <c r="E287" s="14"/>
      <c r="F287" s="38"/>
      <c r="G287" s="38"/>
    </row>
    <row r="288" spans="1:7" ht="15.75" thickBot="1">
      <c r="A288" s="3" t="s">
        <v>22</v>
      </c>
      <c r="B288" s="25"/>
      <c r="C288" s="30">
        <f t="shared" si="5"/>
        <v>0</v>
      </c>
      <c r="D288" s="14">
        <f t="shared" si="4"/>
        <v>0</v>
      </c>
      <c r="E288" s="14"/>
      <c r="F288" s="38"/>
      <c r="G288" s="38"/>
    </row>
    <row r="289" spans="1:7" ht="15.75" thickBot="1">
      <c r="A289" s="3" t="s">
        <v>23</v>
      </c>
      <c r="B289" s="25"/>
      <c r="C289" s="30">
        <f t="shared" si="5"/>
        <v>0</v>
      </c>
      <c r="D289" s="14">
        <f t="shared" si="4"/>
        <v>0</v>
      </c>
      <c r="E289" s="14"/>
      <c r="F289" s="38"/>
      <c r="G289" s="38"/>
    </row>
    <row r="290" spans="1:7" ht="15.75" thickBot="1">
      <c r="A290" s="3" t="s">
        <v>24</v>
      </c>
      <c r="B290" s="25"/>
      <c r="C290" s="30">
        <f t="shared" si="5"/>
        <v>0</v>
      </c>
      <c r="D290" s="14">
        <f t="shared" si="4"/>
        <v>0</v>
      </c>
      <c r="E290" s="14"/>
      <c r="F290" s="38"/>
      <c r="G290" s="38"/>
    </row>
    <row r="291" spans="1:7" ht="15.75" thickBot="1">
      <c r="A291" s="3" t="s">
        <v>25</v>
      </c>
      <c r="B291" s="25"/>
      <c r="C291" s="30">
        <f t="shared" si="5"/>
        <v>0</v>
      </c>
      <c r="D291" s="14">
        <f t="shared" si="4"/>
        <v>0</v>
      </c>
      <c r="E291" s="14"/>
      <c r="F291" s="38"/>
      <c r="G291" s="38"/>
    </row>
    <row r="292" spans="1:7" ht="15.75" thickBot="1">
      <c r="A292" s="3" t="s">
        <v>26</v>
      </c>
      <c r="B292" s="25"/>
      <c r="C292" s="30">
        <f t="shared" si="5"/>
        <v>0</v>
      </c>
      <c r="D292" s="14">
        <f t="shared" si="4"/>
        <v>0</v>
      </c>
      <c r="E292" s="14"/>
      <c r="F292" s="38"/>
      <c r="G292" s="38"/>
    </row>
    <row r="293" spans="1:7" ht="15.75" thickBot="1">
      <c r="A293" s="3" t="s">
        <v>27</v>
      </c>
      <c r="B293" s="25"/>
      <c r="C293" s="30">
        <f t="shared" si="5"/>
        <v>0</v>
      </c>
      <c r="D293" s="14">
        <f t="shared" si="4"/>
        <v>0</v>
      </c>
      <c r="E293" s="14"/>
      <c r="F293" s="38"/>
      <c r="G293" s="38"/>
    </row>
    <row r="294" spans="1:7" ht="15.75" thickBot="1">
      <c r="A294" s="3" t="s">
        <v>28</v>
      </c>
      <c r="B294" s="25"/>
      <c r="C294" s="30">
        <f t="shared" si="5"/>
        <v>0</v>
      </c>
      <c r="D294" s="14">
        <f t="shared" si="4"/>
        <v>0</v>
      </c>
      <c r="E294" s="14"/>
      <c r="F294" s="38"/>
      <c r="G294" s="38"/>
    </row>
    <row r="295" spans="1:7" ht="15.75" thickBot="1">
      <c r="A295" s="3" t="s">
        <v>29</v>
      </c>
      <c r="B295" s="25"/>
      <c r="C295" s="30">
        <f t="shared" si="5"/>
        <v>0</v>
      </c>
      <c r="D295" s="14">
        <f t="shared" si="4"/>
        <v>0</v>
      </c>
      <c r="E295" s="14"/>
      <c r="F295" s="38"/>
      <c r="G295" s="38"/>
    </row>
    <row r="296" spans="1:7" ht="15.75" thickBot="1">
      <c r="A296" s="3" t="s">
        <v>30</v>
      </c>
      <c r="B296" s="25"/>
      <c r="C296" s="30">
        <f t="shared" si="5"/>
        <v>0</v>
      </c>
      <c r="D296" s="14">
        <f t="shared" si="4"/>
        <v>0</v>
      </c>
      <c r="E296" s="14"/>
      <c r="F296" s="38"/>
      <c r="G296" s="38"/>
    </row>
    <row r="297" spans="1:7" ht="15.75" thickBot="1">
      <c r="A297" s="3" t="s">
        <v>31</v>
      </c>
      <c r="B297" s="25"/>
      <c r="C297" s="30">
        <f t="shared" si="5"/>
        <v>0</v>
      </c>
      <c r="D297" s="14">
        <f t="shared" si="4"/>
        <v>0</v>
      </c>
      <c r="E297" s="14"/>
      <c r="F297" s="38"/>
      <c r="G297" s="38"/>
    </row>
    <row r="298" spans="1:7" ht="15.75" thickBot="1">
      <c r="A298" s="3" t="s">
        <v>32</v>
      </c>
      <c r="B298" s="25"/>
      <c r="C298" s="30">
        <f t="shared" si="5"/>
        <v>0</v>
      </c>
      <c r="D298" s="14">
        <f t="shared" si="4"/>
        <v>0</v>
      </c>
      <c r="E298" s="14"/>
      <c r="F298" s="38"/>
      <c r="G298" s="38"/>
    </row>
    <row r="299" spans="1:7" ht="15.75" thickBot="1">
      <c r="A299" s="3" t="s">
        <v>33</v>
      </c>
      <c r="B299" s="25"/>
      <c r="C299" s="30">
        <f t="shared" si="5"/>
        <v>0</v>
      </c>
      <c r="D299" s="14">
        <f t="shared" si="4"/>
        <v>0</v>
      </c>
      <c r="E299" s="14"/>
      <c r="F299" s="38"/>
      <c r="G299" s="38"/>
    </row>
    <row r="300" spans="1:7" ht="15.75" thickBot="1">
      <c r="A300" s="3" t="s">
        <v>34</v>
      </c>
      <c r="B300" s="25"/>
      <c r="C300" s="30">
        <f t="shared" si="5"/>
        <v>0</v>
      </c>
      <c r="D300" s="14">
        <f t="shared" si="4"/>
        <v>0</v>
      </c>
      <c r="E300" s="14"/>
      <c r="F300" s="38"/>
      <c r="G300" s="38"/>
    </row>
    <row r="301" spans="1:7" ht="15.75" thickBot="1">
      <c r="A301" s="3" t="s">
        <v>35</v>
      </c>
      <c r="B301" s="25"/>
      <c r="C301" s="30">
        <f t="shared" si="5"/>
        <v>0</v>
      </c>
      <c r="D301" s="14">
        <f t="shared" si="4"/>
        <v>0</v>
      </c>
      <c r="E301" s="14"/>
      <c r="F301" s="38"/>
      <c r="G301" s="38"/>
    </row>
    <row r="302" spans="1:7" ht="15.75" thickBot="1">
      <c r="A302" s="3" t="s">
        <v>36</v>
      </c>
      <c r="B302" s="25"/>
      <c r="C302" s="30">
        <f t="shared" si="5"/>
        <v>0</v>
      </c>
      <c r="D302" s="14">
        <f t="shared" ref="D302:D319" si="6">IF(B302=0,0,IF(B302&lt;=E$324,0,B302-E$324)/B302)</f>
        <v>0</v>
      </c>
      <c r="E302" s="14"/>
      <c r="F302" s="38"/>
      <c r="G302" s="38"/>
    </row>
    <row r="303" spans="1:7" ht="15.75" thickBot="1">
      <c r="A303" s="3" t="s">
        <v>37</v>
      </c>
      <c r="B303" s="25"/>
      <c r="C303" s="30">
        <f t="shared" si="5"/>
        <v>0</v>
      </c>
      <c r="D303" s="14">
        <f t="shared" si="6"/>
        <v>0</v>
      </c>
      <c r="E303" s="14"/>
      <c r="F303" s="38"/>
      <c r="G303" s="38"/>
    </row>
    <row r="304" spans="1:7" ht="15.75" thickBot="1">
      <c r="A304" s="3" t="s">
        <v>38</v>
      </c>
      <c r="B304" s="25"/>
      <c r="C304" s="30">
        <f t="shared" si="5"/>
        <v>0</v>
      </c>
      <c r="D304" s="14">
        <f t="shared" si="6"/>
        <v>0</v>
      </c>
      <c r="E304" s="14"/>
      <c r="F304" s="38"/>
      <c r="G304" s="38"/>
    </row>
    <row r="305" spans="1:7" ht="15.75" thickBot="1">
      <c r="A305" s="3" t="s">
        <v>39</v>
      </c>
      <c r="B305" s="25"/>
      <c r="C305" s="30">
        <f t="shared" si="5"/>
        <v>0</v>
      </c>
      <c r="D305" s="14">
        <f t="shared" si="6"/>
        <v>0</v>
      </c>
      <c r="E305" s="14"/>
      <c r="F305" s="38"/>
      <c r="G305" s="38"/>
    </row>
    <row r="306" spans="1:7" ht="15.75" thickBot="1">
      <c r="A306" s="3" t="s">
        <v>40</v>
      </c>
      <c r="B306" s="25"/>
      <c r="C306" s="30">
        <f t="shared" si="5"/>
        <v>0</v>
      </c>
      <c r="D306" s="14">
        <f t="shared" si="6"/>
        <v>0</v>
      </c>
      <c r="E306" s="14"/>
      <c r="F306" s="38"/>
      <c r="G306" s="38"/>
    </row>
    <row r="307" spans="1:7" ht="15.75" thickBot="1">
      <c r="A307" s="3" t="s">
        <v>41</v>
      </c>
      <c r="B307" s="25"/>
      <c r="C307" s="30">
        <f t="shared" si="5"/>
        <v>0</v>
      </c>
      <c r="D307" s="14">
        <f t="shared" si="6"/>
        <v>0</v>
      </c>
      <c r="E307" s="14"/>
      <c r="F307" s="38"/>
      <c r="G307" s="38"/>
    </row>
    <row r="308" spans="1:7" ht="15.75" thickBot="1">
      <c r="A308" s="3" t="s">
        <v>42</v>
      </c>
      <c r="B308" s="25"/>
      <c r="C308" s="30">
        <f t="shared" si="5"/>
        <v>0</v>
      </c>
      <c r="D308" s="14">
        <f t="shared" si="6"/>
        <v>0</v>
      </c>
      <c r="E308" s="14"/>
      <c r="F308" s="38"/>
      <c r="G308" s="38"/>
    </row>
    <row r="309" spans="1:7" ht="15.75" thickBot="1">
      <c r="A309" s="3" t="s">
        <v>43</v>
      </c>
      <c r="B309" s="25"/>
      <c r="C309" s="30">
        <f t="shared" si="5"/>
        <v>0</v>
      </c>
      <c r="D309" s="14">
        <f t="shared" si="6"/>
        <v>0</v>
      </c>
      <c r="E309" s="14"/>
      <c r="F309" s="38"/>
      <c r="G309" s="38"/>
    </row>
    <row r="310" spans="1:7" ht="15.75" thickBot="1">
      <c r="A310" s="3" t="s">
        <v>44</v>
      </c>
      <c r="B310" s="25"/>
      <c r="C310" s="30">
        <f t="shared" si="5"/>
        <v>0</v>
      </c>
      <c r="D310" s="14">
        <f t="shared" si="6"/>
        <v>0</v>
      </c>
      <c r="E310" s="14"/>
      <c r="F310" s="38"/>
      <c r="G310" s="38"/>
    </row>
    <row r="311" spans="1:7" ht="15.75" thickBot="1">
      <c r="A311" s="3" t="s">
        <v>45</v>
      </c>
      <c r="B311" s="25"/>
      <c r="C311" s="30">
        <f t="shared" si="5"/>
        <v>0</v>
      </c>
      <c r="D311" s="14">
        <f t="shared" si="6"/>
        <v>0</v>
      </c>
      <c r="E311" s="14"/>
      <c r="F311" s="38"/>
      <c r="G311" s="38"/>
    </row>
    <row r="312" spans="1:7" ht="15.75" thickBot="1">
      <c r="A312" s="3" t="s">
        <v>46</v>
      </c>
      <c r="B312" s="25"/>
      <c r="C312" s="30">
        <f t="shared" si="5"/>
        <v>0</v>
      </c>
      <c r="D312" s="14">
        <f t="shared" si="6"/>
        <v>0</v>
      </c>
      <c r="E312" s="14"/>
      <c r="F312" s="38"/>
      <c r="G312" s="38"/>
    </row>
    <row r="313" spans="1:7" ht="15.75" thickBot="1">
      <c r="A313" s="3" t="s">
        <v>47</v>
      </c>
      <c r="B313" s="25"/>
      <c r="C313" s="30">
        <f t="shared" si="5"/>
        <v>0</v>
      </c>
      <c r="D313" s="14">
        <f t="shared" si="6"/>
        <v>0</v>
      </c>
      <c r="E313" s="14"/>
      <c r="F313" s="38"/>
      <c r="G313" s="38"/>
    </row>
    <row r="314" spans="1:7" ht="15.75" thickBot="1">
      <c r="A314" s="3" t="s">
        <v>48</v>
      </c>
      <c r="B314" s="25"/>
      <c r="C314" s="30">
        <f t="shared" si="5"/>
        <v>0</v>
      </c>
      <c r="D314" s="14">
        <f t="shared" si="6"/>
        <v>0</v>
      </c>
      <c r="E314" s="14"/>
      <c r="F314" s="38"/>
      <c r="G314" s="38"/>
    </row>
    <row r="315" spans="1:7" ht="15.75" thickBot="1">
      <c r="A315" s="3" t="s">
        <v>49</v>
      </c>
      <c r="B315" s="25"/>
      <c r="C315" s="30">
        <f t="shared" si="5"/>
        <v>0</v>
      </c>
      <c r="D315" s="14">
        <f t="shared" si="6"/>
        <v>0</v>
      </c>
      <c r="E315" s="14"/>
      <c r="F315" s="38"/>
      <c r="G315" s="38"/>
    </row>
    <row r="316" spans="1:7" ht="15.75" thickBot="1">
      <c r="A316" s="3" t="s">
        <v>50</v>
      </c>
      <c r="B316" s="25"/>
      <c r="C316" s="30">
        <f t="shared" si="5"/>
        <v>0</v>
      </c>
      <c r="D316" s="14">
        <f t="shared" si="6"/>
        <v>0</v>
      </c>
      <c r="E316" s="14"/>
      <c r="F316" s="38"/>
      <c r="G316" s="38"/>
    </row>
    <row r="317" spans="1:7" ht="15.75" thickBot="1">
      <c r="A317" s="3" t="s">
        <v>51</v>
      </c>
      <c r="B317" s="25"/>
      <c r="C317" s="30">
        <f t="shared" si="5"/>
        <v>0</v>
      </c>
      <c r="D317" s="14">
        <f t="shared" si="6"/>
        <v>0</v>
      </c>
      <c r="E317" s="14"/>
      <c r="F317" s="38"/>
      <c r="G317" s="38"/>
    </row>
    <row r="318" spans="1:7" ht="15.75" thickBot="1">
      <c r="A318" s="3" t="s">
        <v>52</v>
      </c>
      <c r="B318" s="25"/>
      <c r="C318" s="30">
        <f t="shared" si="5"/>
        <v>0</v>
      </c>
      <c r="D318" s="14">
        <f t="shared" si="6"/>
        <v>0</v>
      </c>
      <c r="E318" s="14"/>
      <c r="F318" s="38"/>
      <c r="G318" s="38"/>
    </row>
    <row r="319" spans="1:7" ht="15.75" thickBot="1">
      <c r="A319" s="3" t="s">
        <v>53</v>
      </c>
      <c r="B319" s="25"/>
      <c r="C319" s="30">
        <f>B318</f>
        <v>0</v>
      </c>
      <c r="D319" s="14">
        <f t="shared" si="6"/>
        <v>0</v>
      </c>
      <c r="E319" s="14"/>
      <c r="F319" s="38"/>
      <c r="G319" s="38"/>
    </row>
    <row r="320" spans="1:7" ht="15.75" thickBot="1">
      <c r="A320" s="3" t="s">
        <v>53</v>
      </c>
      <c r="B320" s="3"/>
      <c r="C320" s="30">
        <f t="shared" si="5"/>
        <v>0</v>
      </c>
      <c r="D320" s="22"/>
      <c r="E320" s="1"/>
      <c r="F320" s="37"/>
      <c r="G320" s="39"/>
    </row>
    <row r="321" spans="1:7" ht="15.75" thickBot="1">
      <c r="A321" s="3"/>
      <c r="B321" s="3"/>
      <c r="D321" s="4"/>
      <c r="E321" s="15"/>
      <c r="F321" s="26"/>
      <c r="G321" s="26"/>
    </row>
    <row r="322" spans="1:7" ht="60.75" thickBot="1">
      <c r="A322" s="5" t="s">
        <v>55</v>
      </c>
      <c r="B322" s="3"/>
      <c r="D322" s="4"/>
      <c r="E322" s="12"/>
      <c r="F322" s="45"/>
      <c r="G322" s="46"/>
    </row>
    <row r="323" spans="1:7" ht="60.75" thickBot="1">
      <c r="A323" s="5" t="s">
        <v>56</v>
      </c>
      <c r="B323" s="4"/>
      <c r="D323" s="1"/>
      <c r="E323" s="1"/>
      <c r="F323" s="37"/>
      <c r="G323" s="37"/>
    </row>
    <row r="324" spans="1:7" ht="97.5" thickBot="1">
      <c r="A324" s="6" t="s">
        <v>57</v>
      </c>
      <c r="B324" s="29"/>
      <c r="D324" s="1"/>
      <c r="E324" s="1"/>
      <c r="F324" s="37"/>
      <c r="G324" s="37"/>
    </row>
    <row r="327" spans="1:7">
      <c r="A327" s="16" t="s">
        <v>64</v>
      </c>
      <c r="B327" s="17" t="e">
        <f>AVERAGE(B275:B314)</f>
        <v>#DIV/0!</v>
      </c>
    </row>
    <row r="328" spans="1:7">
      <c r="A328" s="16" t="s">
        <v>65</v>
      </c>
      <c r="B328" s="18" t="e">
        <f>AVERAGE(B280:B309)</f>
        <v>#DIV/0!</v>
      </c>
    </row>
    <row r="329" spans="1:7">
      <c r="A329" s="16" t="s">
        <v>66</v>
      </c>
      <c r="B329" s="18" t="e">
        <f>AVERAGE(B286:B304)</f>
        <v>#DIV/0!</v>
      </c>
    </row>
    <row r="332" spans="1:7" ht="15.75" thickBot="1"/>
    <row r="333" spans="1:7" ht="15" customHeight="1" thickBot="1">
      <c r="A333" s="522" t="s">
        <v>0</v>
      </c>
      <c r="B333" s="525" t="s">
        <v>70</v>
      </c>
      <c r="C333" s="526"/>
      <c r="D333" s="527"/>
      <c r="E333" s="19">
        <f>(1-E388)^(1/3)-1</f>
        <v>0</v>
      </c>
      <c r="F333" s="19">
        <f>(1-F388)^(1/3)-1</f>
        <v>0</v>
      </c>
      <c r="G333" s="19"/>
    </row>
    <row r="334" spans="1:7" ht="72.75" thickBot="1">
      <c r="A334" s="523"/>
      <c r="B334" s="7" t="s">
        <v>4</v>
      </c>
      <c r="D334" s="11" t="s">
        <v>80</v>
      </c>
      <c r="E334" s="11" t="s">
        <v>5</v>
      </c>
      <c r="F334" s="39" t="s">
        <v>5</v>
      </c>
      <c r="G334" s="39"/>
    </row>
    <row r="335" spans="1:7" ht="25.5" thickBot="1">
      <c r="A335" s="524"/>
      <c r="B335" s="3" t="s">
        <v>72</v>
      </c>
      <c r="D335" s="20" t="s">
        <v>7</v>
      </c>
      <c r="E335" s="20" t="s">
        <v>7</v>
      </c>
      <c r="F335" s="20" t="s">
        <v>7</v>
      </c>
      <c r="G335" s="20"/>
    </row>
    <row r="336" spans="1:7" ht="15.75" thickBot="1">
      <c r="A336" s="50">
        <v>1</v>
      </c>
      <c r="B336" s="51">
        <v>2</v>
      </c>
      <c r="C336" s="117"/>
      <c r="D336" s="51">
        <v>3</v>
      </c>
      <c r="E336" s="51">
        <v>4</v>
      </c>
      <c r="F336" s="52">
        <v>5</v>
      </c>
      <c r="G336" s="52"/>
    </row>
    <row r="337" spans="1:7" ht="15.75" thickBot="1">
      <c r="A337" s="8" t="s">
        <v>10</v>
      </c>
      <c r="B337" s="24"/>
      <c r="C337">
        <v>0</v>
      </c>
      <c r="D337" s="14">
        <f t="shared" ref="D337:D368" si="7">IF(B337=0,0,IF(B337&lt;=E$391,0,B337-E$391)/B337)</f>
        <v>0</v>
      </c>
      <c r="E337" s="14"/>
      <c r="F337" s="38"/>
      <c r="G337" s="38"/>
    </row>
    <row r="338" spans="1:7" ht="15.75" thickBot="1">
      <c r="A338" s="8" t="s">
        <v>58</v>
      </c>
      <c r="B338" s="25"/>
      <c r="C338" s="30">
        <f>B337</f>
        <v>0</v>
      </c>
      <c r="D338" s="14">
        <f t="shared" si="7"/>
        <v>0</v>
      </c>
      <c r="E338" s="14"/>
      <c r="F338" s="38"/>
      <c r="G338" s="38"/>
    </row>
    <row r="339" spans="1:7" ht="15.75" thickBot="1">
      <c r="A339" s="8" t="s">
        <v>59</v>
      </c>
      <c r="B339" s="25"/>
      <c r="C339" s="30">
        <f t="shared" ref="C339:C387" si="8">B338</f>
        <v>0</v>
      </c>
      <c r="D339" s="14">
        <f t="shared" si="7"/>
        <v>0</v>
      </c>
      <c r="E339" s="14"/>
      <c r="F339" s="38"/>
      <c r="G339" s="38"/>
    </row>
    <row r="340" spans="1:7" ht="15.75" thickBot="1">
      <c r="A340" s="8" t="s">
        <v>60</v>
      </c>
      <c r="B340" s="25"/>
      <c r="C340" s="30">
        <f t="shared" si="8"/>
        <v>0</v>
      </c>
      <c r="D340" s="14">
        <f t="shared" si="7"/>
        <v>0</v>
      </c>
      <c r="E340" s="14"/>
      <c r="F340" s="38"/>
      <c r="G340" s="38"/>
    </row>
    <row r="341" spans="1:7" ht="15.75" thickBot="1">
      <c r="A341" s="8" t="s">
        <v>61</v>
      </c>
      <c r="B341" s="25"/>
      <c r="C341" s="30">
        <f t="shared" si="8"/>
        <v>0</v>
      </c>
      <c r="D341" s="14">
        <f t="shared" si="7"/>
        <v>0</v>
      </c>
      <c r="E341" s="14"/>
      <c r="F341" s="38"/>
      <c r="G341" s="38"/>
    </row>
    <row r="342" spans="1:7" ht="15.75" thickBot="1">
      <c r="A342" s="8" t="s">
        <v>62</v>
      </c>
      <c r="B342" s="25"/>
      <c r="C342" s="30">
        <f t="shared" si="8"/>
        <v>0</v>
      </c>
      <c r="D342" s="14">
        <f t="shared" si="7"/>
        <v>0</v>
      </c>
      <c r="E342" s="14"/>
      <c r="F342" s="38"/>
      <c r="G342" s="38"/>
    </row>
    <row r="343" spans="1:7" ht="15.75" thickBot="1">
      <c r="A343" s="8" t="s">
        <v>63</v>
      </c>
      <c r="B343" s="25"/>
      <c r="C343" s="30">
        <f t="shared" si="8"/>
        <v>0</v>
      </c>
      <c r="D343" s="14">
        <f t="shared" si="7"/>
        <v>0</v>
      </c>
      <c r="E343" s="14"/>
      <c r="F343" s="38"/>
      <c r="G343" s="38"/>
    </row>
    <row r="344" spans="1:7" ht="15.75" thickBot="1">
      <c r="A344" s="3" t="s">
        <v>11</v>
      </c>
      <c r="B344" s="25"/>
      <c r="C344" s="30">
        <f t="shared" si="8"/>
        <v>0</v>
      </c>
      <c r="D344" s="14">
        <f t="shared" si="7"/>
        <v>0</v>
      </c>
      <c r="E344" s="14"/>
      <c r="F344" s="38"/>
      <c r="G344" s="38"/>
    </row>
    <row r="345" spans="1:7" ht="15.75" thickBot="1">
      <c r="A345" s="3" t="s">
        <v>12</v>
      </c>
      <c r="B345" s="25"/>
      <c r="C345" s="30">
        <f t="shared" si="8"/>
        <v>0</v>
      </c>
      <c r="D345" s="14">
        <f t="shared" si="7"/>
        <v>0</v>
      </c>
      <c r="E345" s="14"/>
      <c r="F345" s="38"/>
      <c r="G345" s="38"/>
    </row>
    <row r="346" spans="1:7" ht="15.75" thickBot="1">
      <c r="A346" s="3" t="s">
        <v>13</v>
      </c>
      <c r="B346" s="25"/>
      <c r="C346" s="30">
        <f t="shared" si="8"/>
        <v>0</v>
      </c>
      <c r="D346" s="14">
        <f t="shared" si="7"/>
        <v>0</v>
      </c>
      <c r="E346" s="14"/>
      <c r="F346" s="38"/>
      <c r="G346" s="38"/>
    </row>
    <row r="347" spans="1:7" ht="15.75" thickBot="1">
      <c r="A347" s="3" t="s">
        <v>14</v>
      </c>
      <c r="B347" s="25"/>
      <c r="C347" s="30">
        <f t="shared" si="8"/>
        <v>0</v>
      </c>
      <c r="D347" s="14">
        <f t="shared" si="7"/>
        <v>0</v>
      </c>
      <c r="E347" s="14"/>
      <c r="F347" s="38"/>
      <c r="G347" s="38"/>
    </row>
    <row r="348" spans="1:7" ht="15.75" thickBot="1">
      <c r="A348" s="3" t="s">
        <v>15</v>
      </c>
      <c r="B348" s="25"/>
      <c r="C348" s="30">
        <f t="shared" si="8"/>
        <v>0</v>
      </c>
      <c r="D348" s="14">
        <f t="shared" si="7"/>
        <v>0</v>
      </c>
      <c r="E348" s="14"/>
      <c r="F348" s="38"/>
      <c r="G348" s="38"/>
    </row>
    <row r="349" spans="1:7" ht="15.75" thickBot="1">
      <c r="A349" s="3" t="s">
        <v>16</v>
      </c>
      <c r="B349" s="25"/>
      <c r="C349" s="30">
        <f t="shared" si="8"/>
        <v>0</v>
      </c>
      <c r="D349" s="14">
        <f t="shared" si="7"/>
        <v>0</v>
      </c>
      <c r="E349" s="14"/>
      <c r="F349" s="38"/>
      <c r="G349" s="38"/>
    </row>
    <row r="350" spans="1:7" ht="15.75" thickBot="1">
      <c r="A350" s="3" t="s">
        <v>17</v>
      </c>
      <c r="B350" s="25"/>
      <c r="C350" s="30">
        <f t="shared" si="8"/>
        <v>0</v>
      </c>
      <c r="D350" s="14">
        <f t="shared" si="7"/>
        <v>0</v>
      </c>
      <c r="E350" s="14"/>
      <c r="F350" s="38"/>
      <c r="G350" s="38"/>
    </row>
    <row r="351" spans="1:7" ht="15.75" thickBot="1">
      <c r="A351" s="3" t="s">
        <v>18</v>
      </c>
      <c r="B351" s="25"/>
      <c r="C351" s="30">
        <f t="shared" si="8"/>
        <v>0</v>
      </c>
      <c r="D351" s="14">
        <f t="shared" si="7"/>
        <v>0</v>
      </c>
      <c r="E351" s="14"/>
      <c r="F351" s="38"/>
      <c r="G351" s="38"/>
    </row>
    <row r="352" spans="1:7" ht="15.75" thickBot="1">
      <c r="A352" s="3" t="s">
        <v>19</v>
      </c>
      <c r="B352" s="25"/>
      <c r="C352" s="30">
        <f t="shared" si="8"/>
        <v>0</v>
      </c>
      <c r="D352" s="14">
        <f t="shared" si="7"/>
        <v>0</v>
      </c>
      <c r="E352" s="14"/>
      <c r="F352" s="38"/>
      <c r="G352" s="38"/>
    </row>
    <row r="353" spans="1:7" ht="15.75" thickBot="1">
      <c r="A353" s="3" t="s">
        <v>20</v>
      </c>
      <c r="B353" s="25"/>
      <c r="C353" s="30">
        <f t="shared" si="8"/>
        <v>0</v>
      </c>
      <c r="D353" s="14">
        <f t="shared" si="7"/>
        <v>0</v>
      </c>
      <c r="E353" s="14"/>
      <c r="F353" s="38"/>
      <c r="G353" s="38"/>
    </row>
    <row r="354" spans="1:7" ht="15.75" thickBot="1">
      <c r="A354" s="3" t="s">
        <v>21</v>
      </c>
      <c r="B354" s="25"/>
      <c r="C354" s="30">
        <f t="shared" si="8"/>
        <v>0</v>
      </c>
      <c r="D354" s="14">
        <f t="shared" si="7"/>
        <v>0</v>
      </c>
      <c r="E354" s="14"/>
      <c r="F354" s="38"/>
      <c r="G354" s="38"/>
    </row>
    <row r="355" spans="1:7" ht="15.75" thickBot="1">
      <c r="A355" s="3" t="s">
        <v>22</v>
      </c>
      <c r="B355" s="25"/>
      <c r="C355" s="30">
        <f t="shared" si="8"/>
        <v>0</v>
      </c>
      <c r="D355" s="14">
        <f t="shared" si="7"/>
        <v>0</v>
      </c>
      <c r="E355" s="14"/>
      <c r="F355" s="38"/>
      <c r="G355" s="38"/>
    </row>
    <row r="356" spans="1:7" ht="15.75" thickBot="1">
      <c r="A356" s="3" t="s">
        <v>23</v>
      </c>
      <c r="B356" s="25"/>
      <c r="C356" s="30">
        <f t="shared" si="8"/>
        <v>0</v>
      </c>
      <c r="D356" s="14">
        <f t="shared" si="7"/>
        <v>0</v>
      </c>
      <c r="E356" s="14"/>
      <c r="F356" s="38"/>
      <c r="G356" s="38"/>
    </row>
    <row r="357" spans="1:7" ht="15.75" thickBot="1">
      <c r="A357" s="3" t="s">
        <v>24</v>
      </c>
      <c r="B357" s="25"/>
      <c r="C357" s="30">
        <f t="shared" si="8"/>
        <v>0</v>
      </c>
      <c r="D357" s="14">
        <f t="shared" si="7"/>
        <v>0</v>
      </c>
      <c r="E357" s="14"/>
      <c r="F357" s="38"/>
      <c r="G357" s="38"/>
    </row>
    <row r="358" spans="1:7" ht="15.75" thickBot="1">
      <c r="A358" s="3" t="s">
        <v>25</v>
      </c>
      <c r="B358" s="25"/>
      <c r="C358" s="30">
        <f t="shared" si="8"/>
        <v>0</v>
      </c>
      <c r="D358" s="14">
        <f t="shared" si="7"/>
        <v>0</v>
      </c>
      <c r="E358" s="14"/>
      <c r="F358" s="38"/>
      <c r="G358" s="38"/>
    </row>
    <row r="359" spans="1:7" ht="15.75" thickBot="1">
      <c r="A359" s="3" t="s">
        <v>26</v>
      </c>
      <c r="B359" s="25"/>
      <c r="C359" s="30">
        <f t="shared" si="8"/>
        <v>0</v>
      </c>
      <c r="D359" s="14">
        <f t="shared" si="7"/>
        <v>0</v>
      </c>
      <c r="E359" s="14"/>
      <c r="F359" s="38"/>
      <c r="G359" s="38"/>
    </row>
    <row r="360" spans="1:7" ht="15.75" thickBot="1">
      <c r="A360" s="3" t="s">
        <v>27</v>
      </c>
      <c r="B360" s="25"/>
      <c r="C360" s="30">
        <f t="shared" si="8"/>
        <v>0</v>
      </c>
      <c r="D360" s="14">
        <f t="shared" si="7"/>
        <v>0</v>
      </c>
      <c r="E360" s="14"/>
      <c r="F360" s="38"/>
      <c r="G360" s="38"/>
    </row>
    <row r="361" spans="1:7" ht="15.75" thickBot="1">
      <c r="A361" s="3" t="s">
        <v>28</v>
      </c>
      <c r="B361" s="25"/>
      <c r="C361" s="30">
        <f t="shared" si="8"/>
        <v>0</v>
      </c>
      <c r="D361" s="14">
        <f t="shared" si="7"/>
        <v>0</v>
      </c>
      <c r="E361" s="14"/>
      <c r="F361" s="38"/>
      <c r="G361" s="38"/>
    </row>
    <row r="362" spans="1:7" ht="15.75" thickBot="1">
      <c r="A362" s="3" t="s">
        <v>29</v>
      </c>
      <c r="B362" s="25"/>
      <c r="C362" s="30">
        <f t="shared" si="8"/>
        <v>0</v>
      </c>
      <c r="D362" s="14">
        <f t="shared" si="7"/>
        <v>0</v>
      </c>
      <c r="E362" s="14"/>
      <c r="F362" s="38"/>
      <c r="G362" s="38"/>
    </row>
    <row r="363" spans="1:7" ht="15.75" thickBot="1">
      <c r="A363" s="3" t="s">
        <v>30</v>
      </c>
      <c r="B363" s="25"/>
      <c r="C363" s="30">
        <f t="shared" si="8"/>
        <v>0</v>
      </c>
      <c r="D363" s="14">
        <f t="shared" si="7"/>
        <v>0</v>
      </c>
      <c r="E363" s="14"/>
      <c r="F363" s="38"/>
      <c r="G363" s="38"/>
    </row>
    <row r="364" spans="1:7" ht="15.75" thickBot="1">
      <c r="A364" s="3" t="s">
        <v>31</v>
      </c>
      <c r="B364" s="25"/>
      <c r="C364" s="30">
        <f t="shared" si="8"/>
        <v>0</v>
      </c>
      <c r="D364" s="14">
        <f t="shared" si="7"/>
        <v>0</v>
      </c>
      <c r="E364" s="14"/>
      <c r="F364" s="38"/>
      <c r="G364" s="38"/>
    </row>
    <row r="365" spans="1:7" ht="15.75" thickBot="1">
      <c r="A365" s="3" t="s">
        <v>32</v>
      </c>
      <c r="B365" s="25"/>
      <c r="C365" s="30">
        <f t="shared" si="8"/>
        <v>0</v>
      </c>
      <c r="D365" s="14">
        <f t="shared" si="7"/>
        <v>0</v>
      </c>
      <c r="E365" s="14"/>
      <c r="F365" s="38"/>
      <c r="G365" s="38"/>
    </row>
    <row r="366" spans="1:7" ht="15.75" thickBot="1">
      <c r="A366" s="3" t="s">
        <v>33</v>
      </c>
      <c r="B366" s="25"/>
      <c r="C366" s="30">
        <f t="shared" si="8"/>
        <v>0</v>
      </c>
      <c r="D366" s="14">
        <f t="shared" si="7"/>
        <v>0</v>
      </c>
      <c r="E366" s="14"/>
      <c r="F366" s="38"/>
      <c r="G366" s="38"/>
    </row>
    <row r="367" spans="1:7" ht="15.75" thickBot="1">
      <c r="A367" s="3" t="s">
        <v>34</v>
      </c>
      <c r="B367" s="25"/>
      <c r="C367" s="30">
        <f t="shared" si="8"/>
        <v>0</v>
      </c>
      <c r="D367" s="14">
        <f t="shared" si="7"/>
        <v>0</v>
      </c>
      <c r="E367" s="14"/>
      <c r="F367" s="38"/>
      <c r="G367" s="38"/>
    </row>
    <row r="368" spans="1:7" ht="15.75" thickBot="1">
      <c r="A368" s="3" t="s">
        <v>35</v>
      </c>
      <c r="B368" s="25"/>
      <c r="C368" s="30">
        <f t="shared" si="8"/>
        <v>0</v>
      </c>
      <c r="D368" s="14">
        <f t="shared" si="7"/>
        <v>0</v>
      </c>
      <c r="E368" s="14"/>
      <c r="F368" s="38"/>
      <c r="G368" s="38"/>
    </row>
    <row r="369" spans="1:7" ht="15.75" thickBot="1">
      <c r="A369" s="3" t="s">
        <v>36</v>
      </c>
      <c r="B369" s="25"/>
      <c r="C369" s="30">
        <f t="shared" si="8"/>
        <v>0</v>
      </c>
      <c r="D369" s="14">
        <f t="shared" ref="D369:D386" si="9">IF(B369=0,0,IF(B369&lt;=E$391,0,B369-E$391)/B369)</f>
        <v>0</v>
      </c>
      <c r="E369" s="14"/>
      <c r="F369" s="38"/>
      <c r="G369" s="38"/>
    </row>
    <row r="370" spans="1:7" ht="15.75" thickBot="1">
      <c r="A370" s="3" t="s">
        <v>37</v>
      </c>
      <c r="B370" s="25"/>
      <c r="C370" s="30">
        <f t="shared" si="8"/>
        <v>0</v>
      </c>
      <c r="D370" s="14">
        <f t="shared" si="9"/>
        <v>0</v>
      </c>
      <c r="E370" s="14"/>
      <c r="F370" s="38"/>
      <c r="G370" s="38"/>
    </row>
    <row r="371" spans="1:7" ht="15.75" thickBot="1">
      <c r="A371" s="3" t="s">
        <v>38</v>
      </c>
      <c r="B371" s="25"/>
      <c r="C371" s="30">
        <f t="shared" si="8"/>
        <v>0</v>
      </c>
      <c r="D371" s="14">
        <f t="shared" si="9"/>
        <v>0</v>
      </c>
      <c r="E371" s="14"/>
      <c r="F371" s="38"/>
      <c r="G371" s="38"/>
    </row>
    <row r="372" spans="1:7" ht="15.75" thickBot="1">
      <c r="A372" s="3" t="s">
        <v>39</v>
      </c>
      <c r="B372" s="25"/>
      <c r="C372" s="30">
        <f t="shared" si="8"/>
        <v>0</v>
      </c>
      <c r="D372" s="14">
        <f t="shared" si="9"/>
        <v>0</v>
      </c>
      <c r="E372" s="14"/>
      <c r="F372" s="38"/>
      <c r="G372" s="38"/>
    </row>
    <row r="373" spans="1:7" ht="15.75" thickBot="1">
      <c r="A373" s="3" t="s">
        <v>40</v>
      </c>
      <c r="B373" s="25"/>
      <c r="C373" s="30">
        <f t="shared" si="8"/>
        <v>0</v>
      </c>
      <c r="D373" s="14">
        <f t="shared" si="9"/>
        <v>0</v>
      </c>
      <c r="E373" s="14"/>
      <c r="F373" s="38"/>
      <c r="G373" s="38"/>
    </row>
    <row r="374" spans="1:7" ht="15.75" thickBot="1">
      <c r="A374" s="3" t="s">
        <v>41</v>
      </c>
      <c r="B374" s="25"/>
      <c r="C374" s="30">
        <f t="shared" si="8"/>
        <v>0</v>
      </c>
      <c r="D374" s="14">
        <f t="shared" si="9"/>
        <v>0</v>
      </c>
      <c r="E374" s="14"/>
      <c r="F374" s="38"/>
      <c r="G374" s="38"/>
    </row>
    <row r="375" spans="1:7" ht="15.75" thickBot="1">
      <c r="A375" s="3" t="s">
        <v>42</v>
      </c>
      <c r="B375" s="25"/>
      <c r="C375" s="30">
        <f t="shared" si="8"/>
        <v>0</v>
      </c>
      <c r="D375" s="14">
        <f t="shared" si="9"/>
        <v>0</v>
      </c>
      <c r="E375" s="14"/>
      <c r="F375" s="38"/>
      <c r="G375" s="38"/>
    </row>
    <row r="376" spans="1:7" ht="15.75" thickBot="1">
      <c r="A376" s="3" t="s">
        <v>43</v>
      </c>
      <c r="B376" s="25"/>
      <c r="C376" s="30">
        <f t="shared" si="8"/>
        <v>0</v>
      </c>
      <c r="D376" s="14">
        <f t="shared" si="9"/>
        <v>0</v>
      </c>
      <c r="E376" s="14"/>
      <c r="F376" s="38"/>
      <c r="G376" s="38"/>
    </row>
    <row r="377" spans="1:7" ht="15.75" thickBot="1">
      <c r="A377" s="3" t="s">
        <v>44</v>
      </c>
      <c r="B377" s="25"/>
      <c r="C377" s="30">
        <f t="shared" si="8"/>
        <v>0</v>
      </c>
      <c r="D377" s="14">
        <f t="shared" si="9"/>
        <v>0</v>
      </c>
      <c r="E377" s="14"/>
      <c r="F377" s="38"/>
      <c r="G377" s="38"/>
    </row>
    <row r="378" spans="1:7" ht="15.75" thickBot="1">
      <c r="A378" s="3" t="s">
        <v>45</v>
      </c>
      <c r="B378" s="25"/>
      <c r="C378" s="30">
        <f t="shared" si="8"/>
        <v>0</v>
      </c>
      <c r="D378" s="14">
        <f t="shared" si="9"/>
        <v>0</v>
      </c>
      <c r="E378" s="14"/>
      <c r="F378" s="38"/>
      <c r="G378" s="38"/>
    </row>
    <row r="379" spans="1:7" ht="15.75" thickBot="1">
      <c r="A379" s="3" t="s">
        <v>46</v>
      </c>
      <c r="B379" s="25"/>
      <c r="C379" s="30">
        <f t="shared" si="8"/>
        <v>0</v>
      </c>
      <c r="D379" s="14">
        <f t="shared" si="9"/>
        <v>0</v>
      </c>
      <c r="E379" s="14"/>
      <c r="F379" s="38"/>
      <c r="G379" s="38"/>
    </row>
    <row r="380" spans="1:7" ht="15.75" thickBot="1">
      <c r="A380" s="3" t="s">
        <v>47</v>
      </c>
      <c r="B380" s="25"/>
      <c r="C380" s="30">
        <f t="shared" si="8"/>
        <v>0</v>
      </c>
      <c r="D380" s="14">
        <f t="shared" si="9"/>
        <v>0</v>
      </c>
      <c r="E380" s="14"/>
      <c r="F380" s="38"/>
      <c r="G380" s="38"/>
    </row>
    <row r="381" spans="1:7" ht="15.75" thickBot="1">
      <c r="A381" s="3" t="s">
        <v>48</v>
      </c>
      <c r="B381" s="25"/>
      <c r="C381" s="30">
        <f t="shared" si="8"/>
        <v>0</v>
      </c>
      <c r="D381" s="14">
        <f t="shared" si="9"/>
        <v>0</v>
      </c>
      <c r="E381" s="14"/>
      <c r="F381" s="38"/>
      <c r="G381" s="38"/>
    </row>
    <row r="382" spans="1:7" ht="15.75" thickBot="1">
      <c r="A382" s="3" t="s">
        <v>49</v>
      </c>
      <c r="B382" s="25"/>
      <c r="C382" s="30">
        <f t="shared" si="8"/>
        <v>0</v>
      </c>
      <c r="D382" s="14">
        <f t="shared" si="9"/>
        <v>0</v>
      </c>
      <c r="E382" s="14"/>
      <c r="F382" s="38"/>
      <c r="G382" s="38"/>
    </row>
    <row r="383" spans="1:7" ht="15.75" thickBot="1">
      <c r="A383" s="3" t="s">
        <v>50</v>
      </c>
      <c r="B383" s="25"/>
      <c r="C383" s="30">
        <f t="shared" si="8"/>
        <v>0</v>
      </c>
      <c r="D383" s="14">
        <f t="shared" si="9"/>
        <v>0</v>
      </c>
      <c r="E383" s="14"/>
      <c r="F383" s="38"/>
      <c r="G383" s="38"/>
    </row>
    <row r="384" spans="1:7" ht="15.75" thickBot="1">
      <c r="A384" s="3" t="s">
        <v>51</v>
      </c>
      <c r="B384" s="25"/>
      <c r="C384" s="30">
        <f t="shared" si="8"/>
        <v>0</v>
      </c>
      <c r="D384" s="14">
        <f t="shared" si="9"/>
        <v>0</v>
      </c>
      <c r="E384" s="14"/>
      <c r="F384" s="38"/>
      <c r="G384" s="38"/>
    </row>
    <row r="385" spans="1:7" ht="15.75" thickBot="1">
      <c r="A385" s="3" t="s">
        <v>52</v>
      </c>
      <c r="B385" s="25"/>
      <c r="C385" s="30">
        <f t="shared" si="8"/>
        <v>0</v>
      </c>
      <c r="D385" s="14">
        <f t="shared" si="9"/>
        <v>0</v>
      </c>
      <c r="E385" s="14"/>
      <c r="F385" s="38"/>
      <c r="G385" s="38"/>
    </row>
    <row r="386" spans="1:7" ht="15.75" thickBot="1">
      <c r="A386" s="3" t="s">
        <v>53</v>
      </c>
      <c r="B386" s="23"/>
      <c r="C386" s="30">
        <f>B385</f>
        <v>0</v>
      </c>
      <c r="D386" s="14">
        <f t="shared" si="9"/>
        <v>0</v>
      </c>
      <c r="E386" s="14"/>
      <c r="F386" s="38"/>
      <c r="G386" s="38"/>
    </row>
    <row r="387" spans="1:7" ht="15.75" thickBot="1">
      <c r="A387" s="3" t="s">
        <v>53</v>
      </c>
      <c r="B387" s="3"/>
      <c r="C387" s="30">
        <f t="shared" si="8"/>
        <v>0</v>
      </c>
      <c r="D387" s="22" t="s">
        <v>69</v>
      </c>
      <c r="E387" s="1"/>
      <c r="F387" s="37"/>
      <c r="G387" s="39"/>
    </row>
    <row r="388" spans="1:7" ht="15.75" thickBot="1">
      <c r="A388" s="3"/>
      <c r="B388" s="3"/>
      <c r="D388" s="4" t="s">
        <v>69</v>
      </c>
      <c r="E388" s="15"/>
      <c r="F388" s="26"/>
      <c r="G388" s="26"/>
    </row>
    <row r="389" spans="1:7" ht="60.75" thickBot="1">
      <c r="A389" s="5" t="s">
        <v>55</v>
      </c>
      <c r="B389" s="3"/>
      <c r="D389" s="4" t="s">
        <v>69</v>
      </c>
      <c r="E389" s="12"/>
      <c r="F389" s="45"/>
      <c r="G389" s="46"/>
    </row>
    <row r="390" spans="1:7" ht="60.75" thickBot="1">
      <c r="A390" s="5" t="s">
        <v>56</v>
      </c>
      <c r="B390" s="4"/>
      <c r="D390" s="1"/>
      <c r="E390" s="1"/>
      <c r="F390" s="37"/>
      <c r="G390" s="37"/>
    </row>
    <row r="391" spans="1:7" ht="97.5" thickBot="1">
      <c r="A391" s="6" t="s">
        <v>57</v>
      </c>
      <c r="B391" s="29"/>
      <c r="D391" s="1"/>
      <c r="E391" s="1">
        <f>0.6*E389</f>
        <v>0</v>
      </c>
      <c r="F391" s="37">
        <f>0.6*F389</f>
        <v>0</v>
      </c>
      <c r="G391" s="37"/>
    </row>
    <row r="394" spans="1:7">
      <c r="A394" s="16" t="s">
        <v>64</v>
      </c>
      <c r="B394" s="17" t="e">
        <f>AVERAGE(B342:B381)</f>
        <v>#DIV/0!</v>
      </c>
    </row>
    <row r="395" spans="1:7">
      <c r="A395" s="16" t="s">
        <v>65</v>
      </c>
      <c r="B395" s="18" t="e">
        <f>AVERAGE(B347:B376)</f>
        <v>#DIV/0!</v>
      </c>
    </row>
    <row r="396" spans="1:7">
      <c r="A396" s="16" t="s">
        <v>66</v>
      </c>
      <c r="B396" s="18" t="e">
        <f>AVERAGE(B353:B371)</f>
        <v>#DIV/0!</v>
      </c>
    </row>
    <row r="400" spans="1:7" ht="15.75" thickBot="1"/>
    <row r="401" spans="1:7" ht="15.75" thickBot="1">
      <c r="A401" s="522" t="s">
        <v>0</v>
      </c>
      <c r="B401" s="532" t="s">
        <v>71</v>
      </c>
      <c r="C401" s="533"/>
      <c r="D401" s="534"/>
      <c r="E401" s="19">
        <f>(1-E456)^(1/3)-1</f>
        <v>0</v>
      </c>
      <c r="F401" s="19">
        <f>(1-F456)^(1/3)-1</f>
        <v>0</v>
      </c>
      <c r="G401" s="19"/>
    </row>
    <row r="402" spans="1:7" ht="72.75" thickBot="1">
      <c r="A402" s="523"/>
      <c r="B402" s="7" t="s">
        <v>4</v>
      </c>
      <c r="C402">
        <v>0</v>
      </c>
      <c r="D402" s="1" t="s">
        <v>5</v>
      </c>
      <c r="E402" s="1" t="s">
        <v>5</v>
      </c>
      <c r="F402" s="37" t="s">
        <v>5</v>
      </c>
      <c r="G402" s="37"/>
    </row>
    <row r="403" spans="1:7" ht="73.5" thickBot="1">
      <c r="A403" s="524"/>
      <c r="B403" s="4" t="s">
        <v>73</v>
      </c>
      <c r="C403" s="30" t="str">
        <f>B402</f>
        <v>Фактическое удельное годовое потребление</v>
      </c>
      <c r="D403" s="20" t="s">
        <v>7</v>
      </c>
      <c r="E403" s="9" t="s">
        <v>65</v>
      </c>
      <c r="F403" s="47"/>
      <c r="G403" s="48"/>
    </row>
    <row r="404" spans="1:7" ht="25.5" thickBot="1">
      <c r="A404" s="2">
        <v>1</v>
      </c>
      <c r="B404" s="2"/>
      <c r="C404" s="30" t="str">
        <f t="shared" ref="C404:C452" si="10">B403</f>
        <v>кгут / кв. м</v>
      </c>
      <c r="D404" s="4" t="s">
        <v>73</v>
      </c>
      <c r="E404" s="10">
        <v>5</v>
      </c>
      <c r="F404" s="43">
        <v>6</v>
      </c>
      <c r="G404" s="44"/>
    </row>
    <row r="405" spans="1:7" ht="15.75" thickBot="1">
      <c r="A405" s="8" t="s">
        <v>10</v>
      </c>
      <c r="B405" s="3"/>
      <c r="C405" s="30">
        <f t="shared" si="10"/>
        <v>0</v>
      </c>
      <c r="D405" s="21"/>
      <c r="E405" s="14"/>
      <c r="F405" s="38"/>
      <c r="G405" s="38"/>
    </row>
    <row r="406" spans="1:7" ht="15.75" thickBot="1">
      <c r="A406" s="8" t="s">
        <v>58</v>
      </c>
      <c r="B406" s="3"/>
      <c r="C406" s="30">
        <f t="shared" si="10"/>
        <v>0</v>
      </c>
      <c r="D406" s="4"/>
      <c r="E406" s="14"/>
      <c r="F406" s="38"/>
      <c r="G406" s="38"/>
    </row>
    <row r="407" spans="1:7" ht="15.75" thickBot="1">
      <c r="A407" s="8" t="s">
        <v>59</v>
      </c>
      <c r="B407" s="3"/>
      <c r="C407" s="30">
        <f t="shared" si="10"/>
        <v>0</v>
      </c>
      <c r="D407" s="4"/>
      <c r="E407" s="14"/>
      <c r="F407" s="38"/>
      <c r="G407" s="38"/>
    </row>
    <row r="408" spans="1:7" ht="15.75" thickBot="1">
      <c r="A408" s="8" t="s">
        <v>60</v>
      </c>
      <c r="B408" s="3"/>
      <c r="C408" s="30">
        <f t="shared" si="10"/>
        <v>0</v>
      </c>
      <c r="D408" s="4"/>
      <c r="E408" s="14"/>
      <c r="F408" s="38"/>
      <c r="G408" s="38"/>
    </row>
    <row r="409" spans="1:7" ht="15.75" thickBot="1">
      <c r="A409" s="8" t="s">
        <v>61</v>
      </c>
      <c r="B409" s="3"/>
      <c r="C409" s="30">
        <f t="shared" si="10"/>
        <v>0</v>
      </c>
      <c r="D409" s="4"/>
      <c r="E409" s="14"/>
      <c r="F409" s="38"/>
      <c r="G409" s="38"/>
    </row>
    <row r="410" spans="1:7" ht="15.75" thickBot="1">
      <c r="A410" s="8" t="s">
        <v>62</v>
      </c>
      <c r="B410" s="3"/>
      <c r="C410" s="30">
        <f t="shared" si="10"/>
        <v>0</v>
      </c>
      <c r="D410" s="4"/>
      <c r="E410" s="14"/>
      <c r="F410" s="38"/>
      <c r="G410" s="38"/>
    </row>
    <row r="411" spans="1:7" ht="15.75" thickBot="1">
      <c r="A411" s="8" t="s">
        <v>63</v>
      </c>
      <c r="B411" s="3"/>
      <c r="C411" s="30">
        <f t="shared" si="10"/>
        <v>0</v>
      </c>
      <c r="D411" s="4"/>
      <c r="E411" s="14"/>
      <c r="F411" s="38"/>
      <c r="G411" s="38"/>
    </row>
    <row r="412" spans="1:7" ht="15.75" thickBot="1">
      <c r="A412" s="3" t="s">
        <v>11</v>
      </c>
      <c r="B412" s="3"/>
      <c r="C412" s="30">
        <f t="shared" si="10"/>
        <v>0</v>
      </c>
      <c r="D412" s="4"/>
      <c r="E412" s="14"/>
      <c r="F412" s="38"/>
      <c r="G412" s="38"/>
    </row>
    <row r="413" spans="1:7" ht="15.75" thickBot="1">
      <c r="A413" s="3" t="s">
        <v>12</v>
      </c>
      <c r="B413" s="3"/>
      <c r="C413" s="30">
        <f t="shared" si="10"/>
        <v>0</v>
      </c>
      <c r="D413" s="4"/>
      <c r="E413" s="14"/>
      <c r="F413" s="38"/>
      <c r="G413" s="38"/>
    </row>
    <row r="414" spans="1:7" ht="15.75" thickBot="1">
      <c r="A414" s="3" t="s">
        <v>13</v>
      </c>
      <c r="B414" s="3"/>
      <c r="C414" s="30">
        <f t="shared" si="10"/>
        <v>0</v>
      </c>
      <c r="D414" s="4"/>
      <c r="E414" s="14"/>
      <c r="F414" s="38"/>
      <c r="G414" s="38"/>
    </row>
    <row r="415" spans="1:7" ht="15.75" thickBot="1">
      <c r="A415" s="3" t="s">
        <v>14</v>
      </c>
      <c r="B415" s="3"/>
      <c r="C415" s="30">
        <f t="shared" si="10"/>
        <v>0</v>
      </c>
      <c r="D415" s="4"/>
      <c r="E415" s="14"/>
      <c r="F415" s="38"/>
      <c r="G415" s="38"/>
    </row>
    <row r="416" spans="1:7" ht="15.75" thickBot="1">
      <c r="A416" s="3" t="s">
        <v>15</v>
      </c>
      <c r="B416" s="3"/>
      <c r="C416" s="30">
        <f t="shared" si="10"/>
        <v>0</v>
      </c>
      <c r="D416" s="4"/>
      <c r="E416" s="14"/>
      <c r="F416" s="38"/>
      <c r="G416" s="38"/>
    </row>
    <row r="417" spans="1:7" ht="15.75" thickBot="1">
      <c r="A417" s="3" t="s">
        <v>16</v>
      </c>
      <c r="B417" s="3"/>
      <c r="C417" s="30">
        <f t="shared" si="10"/>
        <v>0</v>
      </c>
      <c r="D417" s="4"/>
      <c r="E417" s="14"/>
      <c r="F417" s="38"/>
      <c r="G417" s="38"/>
    </row>
    <row r="418" spans="1:7" ht="15.75" thickBot="1">
      <c r="A418" s="3" t="s">
        <v>17</v>
      </c>
      <c r="B418" s="3"/>
      <c r="C418" s="30">
        <f t="shared" si="10"/>
        <v>0</v>
      </c>
      <c r="D418" s="4"/>
      <c r="E418" s="14"/>
      <c r="F418" s="38"/>
      <c r="G418" s="38"/>
    </row>
    <row r="419" spans="1:7" ht="15.75" thickBot="1">
      <c r="A419" s="3" t="s">
        <v>18</v>
      </c>
      <c r="B419" s="3"/>
      <c r="C419" s="30">
        <f t="shared" si="10"/>
        <v>0</v>
      </c>
      <c r="D419" s="4"/>
      <c r="E419" s="14"/>
      <c r="F419" s="38"/>
      <c r="G419" s="38"/>
    </row>
    <row r="420" spans="1:7" ht="15.75" thickBot="1">
      <c r="A420" s="3" t="s">
        <v>19</v>
      </c>
      <c r="B420" s="3"/>
      <c r="C420" s="30">
        <f t="shared" si="10"/>
        <v>0</v>
      </c>
      <c r="D420" s="4"/>
      <c r="E420" s="14"/>
      <c r="F420" s="38"/>
      <c r="G420" s="38"/>
    </row>
    <row r="421" spans="1:7" ht="15.75" thickBot="1">
      <c r="A421" s="3" t="s">
        <v>20</v>
      </c>
      <c r="B421" s="3"/>
      <c r="C421" s="30">
        <f t="shared" si="10"/>
        <v>0</v>
      </c>
      <c r="D421" s="4"/>
      <c r="E421" s="14"/>
      <c r="F421" s="38"/>
      <c r="G421" s="38"/>
    </row>
    <row r="422" spans="1:7" ht="15.75" thickBot="1">
      <c r="A422" s="3" t="s">
        <v>21</v>
      </c>
      <c r="B422" s="3"/>
      <c r="C422" s="30">
        <f t="shared" si="10"/>
        <v>0</v>
      </c>
      <c r="D422" s="4"/>
      <c r="E422" s="14"/>
      <c r="F422" s="38"/>
      <c r="G422" s="38"/>
    </row>
    <row r="423" spans="1:7" ht="15.75" thickBot="1">
      <c r="A423" s="3" t="s">
        <v>22</v>
      </c>
      <c r="B423" s="3"/>
      <c r="C423" s="30">
        <f t="shared" si="10"/>
        <v>0</v>
      </c>
      <c r="D423" s="4"/>
      <c r="E423" s="14"/>
      <c r="F423" s="38"/>
      <c r="G423" s="38"/>
    </row>
    <row r="424" spans="1:7" ht="15.75" thickBot="1">
      <c r="A424" s="3" t="s">
        <v>23</v>
      </c>
      <c r="B424" s="3"/>
      <c r="C424" s="30">
        <f t="shared" si="10"/>
        <v>0</v>
      </c>
      <c r="D424" s="4"/>
      <c r="E424" s="14"/>
      <c r="F424" s="38"/>
      <c r="G424" s="38"/>
    </row>
    <row r="425" spans="1:7" ht="15.75" thickBot="1">
      <c r="A425" s="3" t="s">
        <v>24</v>
      </c>
      <c r="B425" s="3"/>
      <c r="C425" s="30">
        <f t="shared" si="10"/>
        <v>0</v>
      </c>
      <c r="D425" s="4"/>
      <c r="E425" s="14"/>
      <c r="F425" s="38"/>
      <c r="G425" s="38"/>
    </row>
    <row r="426" spans="1:7" ht="15.75" thickBot="1">
      <c r="A426" s="3" t="s">
        <v>25</v>
      </c>
      <c r="B426" s="3"/>
      <c r="C426" s="30">
        <f t="shared" si="10"/>
        <v>0</v>
      </c>
      <c r="D426" s="4"/>
      <c r="E426" s="14"/>
      <c r="F426" s="38"/>
      <c r="G426" s="38"/>
    </row>
    <row r="427" spans="1:7" ht="15.75" thickBot="1">
      <c r="A427" s="3" t="s">
        <v>26</v>
      </c>
      <c r="B427" s="3"/>
      <c r="C427" s="30">
        <f t="shared" si="10"/>
        <v>0</v>
      </c>
      <c r="D427" s="4"/>
      <c r="E427" s="14"/>
      <c r="F427" s="38"/>
      <c r="G427" s="38"/>
    </row>
    <row r="428" spans="1:7" ht="15.75" thickBot="1">
      <c r="A428" s="3" t="s">
        <v>27</v>
      </c>
      <c r="B428" s="3"/>
      <c r="C428" s="30">
        <f t="shared" si="10"/>
        <v>0</v>
      </c>
      <c r="D428" s="4"/>
      <c r="E428" s="14"/>
      <c r="F428" s="38"/>
      <c r="G428" s="38"/>
    </row>
    <row r="429" spans="1:7" ht="15.75" thickBot="1">
      <c r="A429" s="3" t="s">
        <v>28</v>
      </c>
      <c r="B429" s="3"/>
      <c r="C429" s="30">
        <f t="shared" si="10"/>
        <v>0</v>
      </c>
      <c r="D429" s="4"/>
      <c r="E429" s="14"/>
      <c r="F429" s="38"/>
      <c r="G429" s="38"/>
    </row>
    <row r="430" spans="1:7" ht="15.75" thickBot="1">
      <c r="A430" s="3" t="s">
        <v>29</v>
      </c>
      <c r="B430" s="3"/>
      <c r="C430" s="30">
        <f t="shared" si="10"/>
        <v>0</v>
      </c>
      <c r="D430" s="4"/>
      <c r="E430" s="14"/>
      <c r="F430" s="38"/>
      <c r="G430" s="38"/>
    </row>
    <row r="431" spans="1:7" ht="15.75" thickBot="1">
      <c r="A431" s="3" t="s">
        <v>30</v>
      </c>
      <c r="B431" s="3"/>
      <c r="C431" s="30">
        <f t="shared" si="10"/>
        <v>0</v>
      </c>
      <c r="D431" s="4"/>
      <c r="E431" s="14"/>
      <c r="F431" s="38"/>
      <c r="G431" s="38"/>
    </row>
    <row r="432" spans="1:7" ht="15.75" thickBot="1">
      <c r="A432" s="3" t="s">
        <v>31</v>
      </c>
      <c r="B432" s="3"/>
      <c r="C432" s="30">
        <f t="shared" si="10"/>
        <v>0</v>
      </c>
      <c r="D432" s="4"/>
      <c r="E432" s="14"/>
      <c r="F432" s="38"/>
      <c r="G432" s="38"/>
    </row>
    <row r="433" spans="1:7" ht="15.75" thickBot="1">
      <c r="A433" s="3" t="s">
        <v>32</v>
      </c>
      <c r="B433" s="3"/>
      <c r="C433" s="30">
        <f t="shared" si="10"/>
        <v>0</v>
      </c>
      <c r="D433" s="4"/>
      <c r="E433" s="14"/>
      <c r="F433" s="38"/>
      <c r="G433" s="38"/>
    </row>
    <row r="434" spans="1:7" ht="15.75" thickBot="1">
      <c r="A434" s="3" t="s">
        <v>33</v>
      </c>
      <c r="B434" s="3"/>
      <c r="C434" s="30">
        <f t="shared" si="10"/>
        <v>0</v>
      </c>
      <c r="D434" s="4"/>
      <c r="E434" s="14"/>
      <c r="F434" s="38"/>
      <c r="G434" s="38"/>
    </row>
    <row r="435" spans="1:7" ht="15.75" thickBot="1">
      <c r="A435" s="3" t="s">
        <v>34</v>
      </c>
      <c r="B435" s="3"/>
      <c r="C435" s="30">
        <f t="shared" si="10"/>
        <v>0</v>
      </c>
      <c r="D435" s="4"/>
      <c r="E435" s="14"/>
      <c r="F435" s="38"/>
      <c r="G435" s="38"/>
    </row>
    <row r="436" spans="1:7" ht="15.75" thickBot="1">
      <c r="A436" s="3" t="s">
        <v>35</v>
      </c>
      <c r="B436" s="3"/>
      <c r="C436" s="30">
        <f t="shared" si="10"/>
        <v>0</v>
      </c>
      <c r="D436" s="4"/>
      <c r="E436" s="14"/>
      <c r="F436" s="38"/>
      <c r="G436" s="38"/>
    </row>
    <row r="437" spans="1:7" ht="15.75" thickBot="1">
      <c r="A437" s="3" t="s">
        <v>36</v>
      </c>
      <c r="B437" s="3"/>
      <c r="C437" s="30">
        <f t="shared" si="10"/>
        <v>0</v>
      </c>
      <c r="D437" s="4"/>
      <c r="E437" s="14"/>
      <c r="F437" s="38"/>
      <c r="G437" s="38"/>
    </row>
    <row r="438" spans="1:7" ht="15.75" thickBot="1">
      <c r="A438" s="3" t="s">
        <v>37</v>
      </c>
      <c r="B438" s="3"/>
      <c r="C438" s="30">
        <f t="shared" si="10"/>
        <v>0</v>
      </c>
      <c r="D438" s="4"/>
      <c r="E438" s="14"/>
      <c r="F438" s="38"/>
      <c r="G438" s="38"/>
    </row>
    <row r="439" spans="1:7" ht="15.75" thickBot="1">
      <c r="A439" s="3" t="s">
        <v>38</v>
      </c>
      <c r="B439" s="3"/>
      <c r="C439" s="30">
        <f t="shared" si="10"/>
        <v>0</v>
      </c>
      <c r="D439" s="4"/>
      <c r="E439" s="14"/>
      <c r="F439" s="38"/>
      <c r="G439" s="38"/>
    </row>
    <row r="440" spans="1:7" ht="15.75" thickBot="1">
      <c r="A440" s="3" t="s">
        <v>39</v>
      </c>
      <c r="B440" s="3"/>
      <c r="C440" s="30">
        <f t="shared" si="10"/>
        <v>0</v>
      </c>
      <c r="D440" s="4"/>
      <c r="E440" s="14"/>
      <c r="F440" s="38"/>
      <c r="G440" s="38"/>
    </row>
    <row r="441" spans="1:7" ht="15.75" thickBot="1">
      <c r="A441" s="3" t="s">
        <v>40</v>
      </c>
      <c r="B441" s="3"/>
      <c r="C441" s="30">
        <f t="shared" si="10"/>
        <v>0</v>
      </c>
      <c r="D441" s="4"/>
      <c r="E441" s="14"/>
      <c r="F441" s="38"/>
      <c r="G441" s="38"/>
    </row>
    <row r="442" spans="1:7" ht="15.75" thickBot="1">
      <c r="A442" s="3" t="s">
        <v>41</v>
      </c>
      <c r="B442" s="3"/>
      <c r="C442" s="30">
        <f t="shared" si="10"/>
        <v>0</v>
      </c>
      <c r="D442" s="4"/>
      <c r="E442" s="14"/>
      <c r="F442" s="38"/>
      <c r="G442" s="38"/>
    </row>
    <row r="443" spans="1:7" ht="15.75" thickBot="1">
      <c r="A443" s="3" t="s">
        <v>42</v>
      </c>
      <c r="B443" s="3"/>
      <c r="C443" s="30">
        <f t="shared" si="10"/>
        <v>0</v>
      </c>
      <c r="D443" s="4"/>
      <c r="E443" s="14"/>
      <c r="F443" s="38"/>
      <c r="G443" s="38"/>
    </row>
    <row r="444" spans="1:7" ht="15.75" thickBot="1">
      <c r="A444" s="3" t="s">
        <v>43</v>
      </c>
      <c r="B444" s="3"/>
      <c r="C444" s="30">
        <f t="shared" si="10"/>
        <v>0</v>
      </c>
      <c r="D444" s="4"/>
      <c r="E444" s="14"/>
      <c r="F444" s="38"/>
      <c r="G444" s="38"/>
    </row>
    <row r="445" spans="1:7" ht="15.75" thickBot="1">
      <c r="A445" s="3" t="s">
        <v>44</v>
      </c>
      <c r="B445" s="3"/>
      <c r="C445" s="30">
        <f t="shared" si="10"/>
        <v>0</v>
      </c>
      <c r="D445" s="4"/>
      <c r="E445" s="14"/>
      <c r="F445" s="38"/>
      <c r="G445" s="38"/>
    </row>
    <row r="446" spans="1:7" ht="15.75" thickBot="1">
      <c r="A446" s="3" t="s">
        <v>45</v>
      </c>
      <c r="B446" s="3"/>
      <c r="C446" s="30">
        <f t="shared" si="10"/>
        <v>0</v>
      </c>
      <c r="D446" s="4"/>
      <c r="E446" s="14"/>
      <c r="F446" s="38"/>
      <c r="G446" s="38"/>
    </row>
    <row r="447" spans="1:7" ht="15.75" thickBot="1">
      <c r="A447" s="3" t="s">
        <v>46</v>
      </c>
      <c r="B447" s="3"/>
      <c r="C447" s="30">
        <f t="shared" si="10"/>
        <v>0</v>
      </c>
      <c r="D447" s="4"/>
      <c r="E447" s="14"/>
      <c r="F447" s="38"/>
      <c r="G447" s="38"/>
    </row>
    <row r="448" spans="1:7" ht="15.75" thickBot="1">
      <c r="A448" s="3" t="s">
        <v>47</v>
      </c>
      <c r="B448" s="3"/>
      <c r="C448" s="30">
        <f t="shared" si="10"/>
        <v>0</v>
      </c>
      <c r="D448" s="4"/>
      <c r="E448" s="14"/>
      <c r="F448" s="38"/>
      <c r="G448" s="38"/>
    </row>
    <row r="449" spans="1:7" ht="15.75" thickBot="1">
      <c r="A449" s="3" t="s">
        <v>48</v>
      </c>
      <c r="B449" s="3"/>
      <c r="C449" s="30">
        <f t="shared" si="10"/>
        <v>0</v>
      </c>
      <c r="D449" s="4"/>
      <c r="E449" s="14"/>
      <c r="F449" s="38"/>
      <c r="G449" s="38"/>
    </row>
    <row r="450" spans="1:7" ht="15.75" thickBot="1">
      <c r="A450" s="3" t="s">
        <v>49</v>
      </c>
      <c r="B450" s="3"/>
      <c r="C450" s="30">
        <f t="shared" si="10"/>
        <v>0</v>
      </c>
      <c r="D450" s="4"/>
      <c r="E450" s="14"/>
      <c r="F450" s="38"/>
      <c r="G450" s="38"/>
    </row>
    <row r="451" spans="1:7" ht="15.75" thickBot="1">
      <c r="A451" s="3" t="s">
        <v>50</v>
      </c>
      <c r="B451" s="3"/>
      <c r="C451" s="30">
        <f>B450</f>
        <v>0</v>
      </c>
      <c r="D451" s="4"/>
      <c r="E451" s="14"/>
      <c r="F451" s="38"/>
      <c r="G451" s="38"/>
    </row>
    <row r="452" spans="1:7" ht="15.75" thickBot="1">
      <c r="A452" s="3" t="s">
        <v>51</v>
      </c>
      <c r="B452" s="3"/>
      <c r="C452" s="30">
        <f t="shared" si="10"/>
        <v>0</v>
      </c>
      <c r="D452" s="4"/>
      <c r="E452" s="14"/>
      <c r="F452" s="38"/>
      <c r="G452" s="38"/>
    </row>
    <row r="453" spans="1:7" ht="15.75" thickBot="1">
      <c r="A453" s="3" t="s">
        <v>52</v>
      </c>
      <c r="B453" s="3"/>
      <c r="D453" s="4"/>
      <c r="E453" s="14"/>
      <c r="F453" s="38"/>
      <c r="G453" s="38"/>
    </row>
    <row r="454" spans="1:7" ht="15.75" thickBot="1">
      <c r="A454" s="3" t="s">
        <v>53</v>
      </c>
      <c r="B454" s="3"/>
      <c r="D454" s="4"/>
      <c r="E454" s="14"/>
      <c r="F454" s="38"/>
      <c r="G454" s="38"/>
    </row>
    <row r="455" spans="1:7" ht="15.75" thickBot="1">
      <c r="A455" s="3" t="s">
        <v>53</v>
      </c>
      <c r="B455" s="3"/>
      <c r="D455" s="22"/>
      <c r="E455" s="1"/>
      <c r="F455" s="37"/>
      <c r="G455" s="39"/>
    </row>
    <row r="456" spans="1:7" ht="15.75" thickBot="1">
      <c r="A456" s="3"/>
      <c r="B456" s="3"/>
      <c r="D456" s="4"/>
      <c r="E456" s="15"/>
      <c r="F456" s="26"/>
      <c r="G456" s="26"/>
    </row>
    <row r="457" spans="1:7" ht="60.75" thickBot="1">
      <c r="A457" s="5" t="s">
        <v>55</v>
      </c>
      <c r="B457" s="3"/>
      <c r="D457" s="4"/>
      <c r="E457" s="12"/>
      <c r="F457" s="45"/>
      <c r="G457" s="46"/>
    </row>
    <row r="458" spans="1:7" ht="60.75" thickBot="1">
      <c r="A458" s="5" t="s">
        <v>56</v>
      </c>
      <c r="B458" s="4"/>
      <c r="D458" s="1"/>
      <c r="E458" s="1"/>
      <c r="F458" s="37"/>
      <c r="G458" s="37"/>
    </row>
    <row r="459" spans="1:7" ht="97.5" thickBot="1">
      <c r="A459" s="6" t="s">
        <v>57</v>
      </c>
      <c r="B459" s="4"/>
      <c r="D459" s="1"/>
      <c r="E459" s="1">
        <f>0.6*E457</f>
        <v>0</v>
      </c>
      <c r="F459" s="37">
        <f>0.6*F457</f>
        <v>0</v>
      </c>
      <c r="G459" s="37"/>
    </row>
    <row r="462" spans="1:7">
      <c r="A462" s="16" t="s">
        <v>64</v>
      </c>
      <c r="B462" s="17" t="e">
        <f>AVERAGE(B410:B449)</f>
        <v>#DIV/0!</v>
      </c>
    </row>
    <row r="463" spans="1:7">
      <c r="A463" s="16" t="s">
        <v>65</v>
      </c>
      <c r="B463" s="18" t="e">
        <f>AVERAGE(B415:B444)</f>
        <v>#DIV/0!</v>
      </c>
    </row>
    <row r="464" spans="1:7">
      <c r="A464" s="16" t="s">
        <v>66</v>
      </c>
      <c r="B464" s="18" t="e">
        <f>AVERAGE(B421:B439)</f>
        <v>#DIV/0!</v>
      </c>
    </row>
  </sheetData>
  <mergeCells count="14">
    <mergeCell ref="A401:A403"/>
    <mergeCell ref="B401:D401"/>
    <mergeCell ref="A200:A202"/>
    <mergeCell ref="B200:D200"/>
    <mergeCell ref="A266:A268"/>
    <mergeCell ref="B266:D266"/>
    <mergeCell ref="A333:A335"/>
    <mergeCell ref="B333:D333"/>
    <mergeCell ref="A2:A4"/>
    <mergeCell ref="B2:D2"/>
    <mergeCell ref="A69:A71"/>
    <mergeCell ref="B69:D69"/>
    <mergeCell ref="A134:A136"/>
    <mergeCell ref="B134:D134"/>
  </mergeCells>
  <pageMargins left="0.7" right="0.7" top="0.75" bottom="0.75" header="0.3" footer="0.3"/>
  <pageSetup paperSize="9" orientation="portrait" horizontalDpi="4294967295" verticalDpi="4294967295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Лист12">
    <tabColor rgb="FF92D050"/>
  </sheetPr>
  <dimension ref="A1:L464"/>
  <sheetViews>
    <sheetView topLeftCell="A424" workbookViewId="0">
      <selection activeCell="E224" sqref="E224:E225"/>
    </sheetView>
  </sheetViews>
  <sheetFormatPr defaultColWidth="8.7109375" defaultRowHeight="15"/>
  <cols>
    <col min="3" max="3" width="9.140625"/>
    <col min="5" max="5" width="9.42578125" bestFit="1" customWidth="1"/>
    <col min="6" max="6" width="8.7109375" style="36"/>
    <col min="7" max="7" width="9.42578125" style="36" bestFit="1" customWidth="1"/>
  </cols>
  <sheetData>
    <row r="1" spans="1:7" ht="15.75" thickBot="1">
      <c r="D1" s="13">
        <v>0.1</v>
      </c>
      <c r="E1" s="13">
        <v>0.4</v>
      </c>
    </row>
    <row r="2" spans="1:7" ht="23.25" customHeight="1" thickBot="1">
      <c r="A2" s="522" t="s">
        <v>0</v>
      </c>
      <c r="B2" s="467" t="s">
        <v>1</v>
      </c>
      <c r="C2" s="468"/>
      <c r="D2" s="469"/>
      <c r="E2" s="19">
        <f>(1-E57)^(1/3)-1</f>
        <v>-2.7962334992707949E-2</v>
      </c>
      <c r="F2" s="19">
        <f>(1-F57)^(1/3)-1</f>
        <v>-3.0089085831418005E-2</v>
      </c>
      <c r="G2" s="19"/>
    </row>
    <row r="3" spans="1:7" ht="72.75" thickBot="1">
      <c r="A3" s="523"/>
      <c r="B3" s="1" t="s">
        <v>4</v>
      </c>
      <c r="C3" s="1"/>
      <c r="D3" s="1" t="s">
        <v>80</v>
      </c>
      <c r="E3" s="1" t="s">
        <v>5</v>
      </c>
      <c r="F3" s="37" t="s">
        <v>5</v>
      </c>
      <c r="G3" s="37"/>
    </row>
    <row r="4" spans="1:7" ht="16.5" customHeight="1" thickBot="1">
      <c r="A4" s="524"/>
      <c r="B4" s="1" t="s">
        <v>6</v>
      </c>
      <c r="C4" s="1"/>
      <c r="D4" s="1" t="s">
        <v>7</v>
      </c>
      <c r="E4" s="1" t="s">
        <v>7</v>
      </c>
      <c r="F4" s="37" t="s">
        <v>7</v>
      </c>
      <c r="G4" s="37"/>
    </row>
    <row r="5" spans="1:7" ht="15.75" thickBot="1">
      <c r="A5" s="50">
        <v>1</v>
      </c>
      <c r="B5" s="51">
        <v>2</v>
      </c>
      <c r="C5" s="51"/>
      <c r="D5" s="51">
        <v>3</v>
      </c>
      <c r="E5" s="51">
        <v>4</v>
      </c>
      <c r="F5" s="52">
        <v>5</v>
      </c>
      <c r="G5" s="52"/>
    </row>
    <row r="6" spans="1:7" ht="15.75" thickBot="1">
      <c r="A6" s="27" t="s">
        <v>10</v>
      </c>
      <c r="B6" s="24">
        <v>7.1</v>
      </c>
      <c r="C6" s="30">
        <v>0</v>
      </c>
      <c r="D6" s="14">
        <v>0</v>
      </c>
      <c r="E6" s="14">
        <v>0</v>
      </c>
      <c r="F6" s="38">
        <v>0</v>
      </c>
      <c r="G6" s="38">
        <v>0</v>
      </c>
    </row>
    <row r="7" spans="1:7" ht="15.75" thickBot="1">
      <c r="A7" s="27" t="s">
        <v>58</v>
      </c>
      <c r="B7" s="25">
        <v>11.5</v>
      </c>
      <c r="C7" s="30">
        <f>B6</f>
        <v>7.1</v>
      </c>
      <c r="D7" s="14">
        <v>0</v>
      </c>
      <c r="E7" s="14">
        <v>0</v>
      </c>
      <c r="F7" s="38">
        <v>0</v>
      </c>
      <c r="G7" s="38">
        <v>0</v>
      </c>
    </row>
    <row r="8" spans="1:7" ht="15.75" thickBot="1">
      <c r="A8" s="27" t="s">
        <v>59</v>
      </c>
      <c r="B8" s="25">
        <v>15.3</v>
      </c>
      <c r="C8" s="30">
        <f t="shared" ref="C8:C56" si="0">B7</f>
        <v>11.5</v>
      </c>
      <c r="D8" s="14">
        <v>0</v>
      </c>
      <c r="E8" s="14">
        <v>0</v>
      </c>
      <c r="F8" s="38">
        <v>0</v>
      </c>
      <c r="G8" s="38">
        <v>1.9607843137254949E-3</v>
      </c>
    </row>
    <row r="9" spans="1:7" ht="15.75" thickBot="1">
      <c r="A9" s="27" t="s">
        <v>60</v>
      </c>
      <c r="B9" s="25">
        <v>17.600000000000001</v>
      </c>
      <c r="C9" s="30">
        <f t="shared" si="0"/>
        <v>15.3</v>
      </c>
      <c r="D9" s="14">
        <v>0</v>
      </c>
      <c r="E9" s="14">
        <v>0</v>
      </c>
      <c r="F9" s="38">
        <v>0</v>
      </c>
      <c r="G9" s="38">
        <v>1.4772727272727281E-2</v>
      </c>
    </row>
    <row r="10" spans="1:7" ht="15.75" thickBot="1">
      <c r="A10" s="27" t="s">
        <v>61</v>
      </c>
      <c r="B10" s="25">
        <v>19.7</v>
      </c>
      <c r="C10" s="30">
        <f t="shared" si="0"/>
        <v>17.600000000000001</v>
      </c>
      <c r="D10" s="14">
        <v>0</v>
      </c>
      <c r="E10" s="14">
        <v>0</v>
      </c>
      <c r="F10" s="38">
        <v>0</v>
      </c>
      <c r="G10" s="38">
        <v>2.3857868020304568E-2</v>
      </c>
    </row>
    <row r="11" spans="1:7" ht="15.75" thickBot="1">
      <c r="A11" s="27" t="s">
        <v>62</v>
      </c>
      <c r="B11" s="25">
        <v>21.6</v>
      </c>
      <c r="C11" s="30">
        <f t="shared" si="0"/>
        <v>19.7</v>
      </c>
      <c r="D11" s="14">
        <v>0</v>
      </c>
      <c r="E11" s="14">
        <v>0</v>
      </c>
      <c r="F11" s="38">
        <v>0</v>
      </c>
      <c r="G11" s="38">
        <v>3.0555555555555561E-2</v>
      </c>
    </row>
    <row r="12" spans="1:7" ht="15.75" thickBot="1">
      <c r="A12" s="27" t="s">
        <v>63</v>
      </c>
      <c r="B12" s="25">
        <v>23.3</v>
      </c>
      <c r="C12" s="30">
        <f t="shared" si="0"/>
        <v>21.6</v>
      </c>
      <c r="D12" s="14">
        <v>0</v>
      </c>
      <c r="E12" s="14">
        <v>0</v>
      </c>
      <c r="F12" s="38">
        <v>0</v>
      </c>
      <c r="G12" s="38">
        <v>3.5622317596566526E-2</v>
      </c>
    </row>
    <row r="13" spans="1:7" ht="15.75" thickBot="1">
      <c r="A13" s="29" t="s">
        <v>11</v>
      </c>
      <c r="B13" s="25">
        <v>24.9</v>
      </c>
      <c r="C13" s="30">
        <f t="shared" si="0"/>
        <v>23.3</v>
      </c>
      <c r="D13" s="14">
        <v>0</v>
      </c>
      <c r="E13" s="14">
        <v>0</v>
      </c>
      <c r="F13" s="38">
        <v>0</v>
      </c>
      <c r="G13" s="38">
        <v>3.9759036144578312E-2</v>
      </c>
    </row>
    <row r="14" spans="1:7" ht="15.75" thickBot="1">
      <c r="A14" s="29" t="s">
        <v>12</v>
      </c>
      <c r="B14" s="25">
        <v>26.3</v>
      </c>
      <c r="C14" s="30">
        <f t="shared" si="0"/>
        <v>24.9</v>
      </c>
      <c r="D14" s="14">
        <v>0</v>
      </c>
      <c r="E14" s="14">
        <v>0</v>
      </c>
      <c r="F14" s="38">
        <v>0</v>
      </c>
      <c r="G14" s="38">
        <v>5.7794676806083668E-2</v>
      </c>
    </row>
    <row r="15" spans="1:7" ht="15.75" thickBot="1">
      <c r="A15" s="29" t="s">
        <v>13</v>
      </c>
      <c r="B15" s="25">
        <v>27.9</v>
      </c>
      <c r="C15" s="30">
        <f t="shared" si="0"/>
        <v>26.3</v>
      </c>
      <c r="D15" s="14">
        <v>0</v>
      </c>
      <c r="E15" s="14">
        <v>0</v>
      </c>
      <c r="F15" s="38">
        <v>0</v>
      </c>
      <c r="G15" s="38">
        <v>7.7419354838709653E-2</v>
      </c>
    </row>
    <row r="16" spans="1:7" ht="15.75" thickBot="1">
      <c r="A16" s="29" t="s">
        <v>14</v>
      </c>
      <c r="B16" s="25">
        <v>29.3</v>
      </c>
      <c r="C16" s="30">
        <f t="shared" si="0"/>
        <v>27.9</v>
      </c>
      <c r="D16" s="14">
        <v>0</v>
      </c>
      <c r="E16" s="14">
        <v>0</v>
      </c>
      <c r="F16" s="38">
        <v>0</v>
      </c>
      <c r="G16" s="38">
        <v>9.2832764505119472E-2</v>
      </c>
    </row>
    <row r="17" spans="1:7" ht="15.75" thickBot="1">
      <c r="A17" s="29" t="s">
        <v>15</v>
      </c>
      <c r="B17" s="25">
        <v>30.4</v>
      </c>
      <c r="C17" s="30">
        <f t="shared" si="0"/>
        <v>29.3</v>
      </c>
      <c r="D17" s="14">
        <v>0</v>
      </c>
      <c r="E17" s="14">
        <v>0</v>
      </c>
      <c r="F17" s="38">
        <v>0</v>
      </c>
      <c r="G17" s="38">
        <v>0.10394736842105262</v>
      </c>
    </row>
    <row r="18" spans="1:7" ht="15.75" thickBot="1">
      <c r="A18" s="29" t="s">
        <v>16</v>
      </c>
      <c r="B18" s="25">
        <v>32</v>
      </c>
      <c r="C18" s="30">
        <f t="shared" si="0"/>
        <v>30.4</v>
      </c>
      <c r="D18" s="14">
        <v>0</v>
      </c>
      <c r="E18" s="14">
        <v>0</v>
      </c>
      <c r="F18" s="38"/>
      <c r="G18" s="38">
        <v>0.11875000000000001</v>
      </c>
    </row>
    <row r="19" spans="1:7" ht="15.75" thickBot="1">
      <c r="A19" s="29" t="s">
        <v>17</v>
      </c>
      <c r="B19" s="25">
        <v>33.4</v>
      </c>
      <c r="C19" s="30">
        <f t="shared" si="0"/>
        <v>32</v>
      </c>
      <c r="D19" s="14">
        <v>2.0733532934131601E-2</v>
      </c>
      <c r="E19" s="14"/>
      <c r="F19" s="38"/>
      <c r="G19" s="38">
        <v>0.1305389221556886</v>
      </c>
    </row>
    <row r="20" spans="1:7" ht="15.75" thickBot="1">
      <c r="A20" s="29" t="s">
        <v>18</v>
      </c>
      <c r="B20" s="25">
        <v>34.799999999999997</v>
      </c>
      <c r="C20" s="30">
        <f t="shared" si="0"/>
        <v>33.4</v>
      </c>
      <c r="D20" s="14">
        <v>6.0129310344827422E-2</v>
      </c>
      <c r="E20" s="14"/>
      <c r="F20" s="38">
        <v>1.0356321839080439E-2</v>
      </c>
      <c r="G20" s="38">
        <v>0.14137931034482756</v>
      </c>
    </row>
    <row r="21" spans="1:7" ht="15.75" thickBot="1">
      <c r="A21" s="29" t="s">
        <v>19</v>
      </c>
      <c r="B21" s="25">
        <v>36</v>
      </c>
      <c r="C21" s="30">
        <f t="shared" si="0"/>
        <v>34.799999999999997</v>
      </c>
      <c r="D21" s="14">
        <v>9.1458333333333253E-2</v>
      </c>
      <c r="E21" s="14"/>
      <c r="F21" s="38">
        <v>1.334444444444443E-2</v>
      </c>
      <c r="G21" s="38">
        <v>0.15000000000000002</v>
      </c>
    </row>
    <row r="22" spans="1:7" ht="15.75" thickBot="1">
      <c r="A22" s="29" t="s">
        <v>20</v>
      </c>
      <c r="B22" s="25">
        <v>37.4</v>
      </c>
      <c r="C22" s="30">
        <f t="shared" si="0"/>
        <v>36</v>
      </c>
      <c r="D22" s="14">
        <v>0.12546791443850255</v>
      </c>
      <c r="E22" s="14">
        <v>1.2546791443850257E-2</v>
      </c>
      <c r="F22" s="38">
        <v>1.6588235294117633E-2</v>
      </c>
      <c r="G22" s="38">
        <v>0.15935828877005348</v>
      </c>
    </row>
    <row r="23" spans="1:7" ht="15.75" thickBot="1">
      <c r="A23" s="29" t="s">
        <v>21</v>
      </c>
      <c r="B23" s="25">
        <v>38.700000000000003</v>
      </c>
      <c r="C23" s="30">
        <f t="shared" si="0"/>
        <v>37.4</v>
      </c>
      <c r="D23" s="14">
        <v>0.15484496124031005</v>
      </c>
      <c r="E23" s="14">
        <v>1.5484496124031005E-2</v>
      </c>
      <c r="F23" s="38">
        <v>1.9390180878552966E-2</v>
      </c>
      <c r="G23" s="38">
        <v>0.1674418604651163</v>
      </c>
    </row>
    <row r="24" spans="1:7" ht="15.75" thickBot="1">
      <c r="A24" s="29" t="s">
        <v>22</v>
      </c>
      <c r="B24" s="25">
        <v>40.200000000000003</v>
      </c>
      <c r="C24" s="30">
        <f t="shared" si="0"/>
        <v>38.700000000000003</v>
      </c>
      <c r="D24" s="14">
        <v>0.18638059701492535</v>
      </c>
      <c r="E24" s="14">
        <v>1.8638059701492536E-2</v>
      </c>
      <c r="F24" s="38">
        <v>2.2398009950248751E-2</v>
      </c>
      <c r="G24" s="38">
        <v>0.17611940298507467</v>
      </c>
    </row>
    <row r="25" spans="1:7" ht="15.75" thickBot="1">
      <c r="A25" s="29" t="s">
        <v>23</v>
      </c>
      <c r="B25" s="25">
        <v>41.9</v>
      </c>
      <c r="C25" s="30">
        <f t="shared" si="0"/>
        <v>40.200000000000003</v>
      </c>
      <c r="D25" s="14">
        <v>0.21939140811455837</v>
      </c>
      <c r="E25" s="14">
        <v>2.1939140811455839E-2</v>
      </c>
      <c r="F25" s="38">
        <v>2.5546539379474927E-2</v>
      </c>
      <c r="G25" s="38">
        <v>0.18520286396181385</v>
      </c>
    </row>
    <row r="26" spans="1:7" ht="15.75" thickBot="1">
      <c r="A26" s="29" t="s">
        <v>24</v>
      </c>
      <c r="B26" s="25">
        <v>43.6</v>
      </c>
      <c r="C26" s="30">
        <f t="shared" si="0"/>
        <v>41.9</v>
      </c>
      <c r="D26" s="14">
        <v>0.2498279816513761</v>
      </c>
      <c r="E26" s="14">
        <v>2.4982798165137609E-2</v>
      </c>
      <c r="F26" s="38">
        <v>2.8449541284403662E-2</v>
      </c>
      <c r="G26" s="38">
        <v>0.19357798165137616</v>
      </c>
    </row>
    <row r="27" spans="1:7" ht="15.75" thickBot="1">
      <c r="A27" s="29" t="s">
        <v>25</v>
      </c>
      <c r="B27" s="25">
        <v>45</v>
      </c>
      <c r="C27" s="30">
        <f t="shared" si="0"/>
        <v>43.6</v>
      </c>
      <c r="D27" s="14">
        <v>0.27316666666666661</v>
      </c>
      <c r="E27" s="14">
        <v>2.7316666666666659E-2</v>
      </c>
      <c r="F27" s="38">
        <v>3.0675555555555546E-2</v>
      </c>
      <c r="G27" s="38">
        <v>0.2</v>
      </c>
    </row>
    <row r="28" spans="1:7" ht="15.75" thickBot="1">
      <c r="A28" s="29" t="s">
        <v>26</v>
      </c>
      <c r="B28" s="25">
        <v>46.6</v>
      </c>
      <c r="C28" s="30">
        <f t="shared" si="0"/>
        <v>45</v>
      </c>
      <c r="D28" s="14">
        <v>0.29812231759656649</v>
      </c>
      <c r="E28" s="14">
        <v>2.9812231759656648E-2</v>
      </c>
      <c r="F28" s="38">
        <v>3.3055793991416303E-2</v>
      </c>
      <c r="G28" s="38">
        <v>0.20686695278969958</v>
      </c>
    </row>
    <row r="29" spans="1:7" ht="15.75" thickBot="1">
      <c r="A29" s="29" t="s">
        <v>27</v>
      </c>
      <c r="B29" s="25">
        <v>48.2</v>
      </c>
      <c r="C29" s="30">
        <f t="shared" si="0"/>
        <v>46.6</v>
      </c>
      <c r="D29" s="14">
        <v>0.32142116182572611</v>
      </c>
      <c r="E29" s="14">
        <v>3.2142116182572615E-2</v>
      </c>
      <c r="F29" s="38">
        <v>3.527800829875518E-2</v>
      </c>
      <c r="G29" s="38">
        <v>0.21327800829875521</v>
      </c>
    </row>
    <row r="30" spans="1:7" ht="15.75" thickBot="1">
      <c r="A30" s="29" t="s">
        <v>28</v>
      </c>
      <c r="B30" s="25">
        <v>49.7</v>
      </c>
      <c r="C30" s="30">
        <f t="shared" si="0"/>
        <v>48.2</v>
      </c>
      <c r="D30" s="14">
        <v>0.34190140845070421</v>
      </c>
      <c r="E30" s="14">
        <v>3.4190140845070424E-2</v>
      </c>
      <c r="F30" s="38">
        <v>3.7231388329979874E-2</v>
      </c>
      <c r="G30" s="38">
        <v>0.2189134808853119</v>
      </c>
    </row>
    <row r="31" spans="1:7" ht="15.75" thickBot="1">
      <c r="A31" s="29" t="s">
        <v>29</v>
      </c>
      <c r="B31" s="25">
        <v>51</v>
      </c>
      <c r="C31" s="30">
        <f t="shared" si="0"/>
        <v>49.7</v>
      </c>
      <c r="D31" s="14">
        <v>0.35867647058823521</v>
      </c>
      <c r="E31" s="14">
        <v>3.5867647058823525E-2</v>
      </c>
      <c r="F31" s="38">
        <v>3.8831372549019597E-2</v>
      </c>
      <c r="G31" s="38">
        <v>0.22352941176470589</v>
      </c>
    </row>
    <row r="32" spans="1:7" ht="15.75" thickBot="1">
      <c r="A32" s="29" t="s">
        <v>30</v>
      </c>
      <c r="B32" s="25">
        <v>52.2</v>
      </c>
      <c r="C32" s="30">
        <f t="shared" si="0"/>
        <v>51</v>
      </c>
      <c r="D32" s="14">
        <v>0.37341954022988505</v>
      </c>
      <c r="E32" s="14">
        <v>3.7341954022988504E-2</v>
      </c>
      <c r="F32" s="38">
        <v>4.1425287356321776E-2</v>
      </c>
      <c r="G32" s="38">
        <v>0.22758620689655176</v>
      </c>
    </row>
    <row r="33" spans="1:8" ht="15.75" thickBot="1">
      <c r="A33" s="29" t="s">
        <v>31</v>
      </c>
      <c r="B33" s="25">
        <v>53.7</v>
      </c>
      <c r="C33" s="30">
        <f t="shared" si="0"/>
        <v>52.2</v>
      </c>
      <c r="D33" s="14">
        <v>0.3909217877094972</v>
      </c>
      <c r="E33" s="14">
        <v>3.9092178770949719E-2</v>
      </c>
      <c r="F33" s="38">
        <v>5.1441340782122841E-2</v>
      </c>
      <c r="G33" s="38">
        <v>0.23240223463687154</v>
      </c>
    </row>
    <row r="34" spans="1:8" ht="15.75" thickBot="1">
      <c r="A34" s="29" t="s">
        <v>32</v>
      </c>
      <c r="B34" s="25">
        <v>55.4</v>
      </c>
      <c r="C34" s="30">
        <f t="shared" si="0"/>
        <v>53.7</v>
      </c>
      <c r="D34" s="14">
        <v>0.40961191335740066</v>
      </c>
      <c r="E34" s="14">
        <v>4.5767148014440366E-2</v>
      </c>
      <c r="F34" s="38">
        <v>6.2137184115523381E-2</v>
      </c>
      <c r="G34" s="38">
        <v>0.23754512635379063</v>
      </c>
    </row>
    <row r="35" spans="1:8" ht="15.75" thickBot="1">
      <c r="A35" s="29" t="s">
        <v>33</v>
      </c>
      <c r="B35" s="25">
        <v>57.5</v>
      </c>
      <c r="C35" s="30">
        <f t="shared" si="0"/>
        <v>55.4</v>
      </c>
      <c r="D35" s="14">
        <v>0.43117391304347819</v>
      </c>
      <c r="E35" s="14">
        <v>5.8704347826086904E-2</v>
      </c>
      <c r="F35" s="38">
        <v>7.4476521739130358E-2</v>
      </c>
      <c r="G35" s="38">
        <v>0.24347826086956523</v>
      </c>
    </row>
    <row r="36" spans="1:8" ht="15.75" thickBot="1">
      <c r="A36" s="29" t="s">
        <v>34</v>
      </c>
      <c r="B36" s="25">
        <v>59.7</v>
      </c>
      <c r="C36" s="30">
        <f t="shared" si="0"/>
        <v>57.5</v>
      </c>
      <c r="D36" s="14">
        <v>0.45213567839195978</v>
      </c>
      <c r="E36" s="14">
        <v>7.1281407035175839E-2</v>
      </c>
      <c r="F36" s="38">
        <v>8.6472361809045176E-2</v>
      </c>
      <c r="G36" s="38">
        <v>0.24924623115577893</v>
      </c>
    </row>
    <row r="37" spans="1:8" ht="15.75" thickBot="1">
      <c r="A37" s="29" t="s">
        <v>35</v>
      </c>
      <c r="B37" s="25">
        <v>61.4</v>
      </c>
      <c r="C37" s="30">
        <f t="shared" si="0"/>
        <v>59.7</v>
      </c>
      <c r="D37" s="14">
        <v>0.46730456026058625</v>
      </c>
      <c r="E37" s="14">
        <v>8.038273615635172E-2</v>
      </c>
      <c r="F37" s="38">
        <v>9.5153094462540638E-2</v>
      </c>
      <c r="G37" s="38">
        <v>0.25342019543973943</v>
      </c>
    </row>
    <row r="38" spans="1:8" ht="15.75" thickBot="1">
      <c r="A38" s="29" t="s">
        <v>36</v>
      </c>
      <c r="B38" s="25">
        <v>63.4</v>
      </c>
      <c r="C38" s="30">
        <f t="shared" si="0"/>
        <v>61.4</v>
      </c>
      <c r="D38" s="14">
        <v>0.48410883280757094</v>
      </c>
      <c r="E38" s="14">
        <v>9.0465299684542533E-2</v>
      </c>
      <c r="F38" s="38">
        <v>0.104769716088328</v>
      </c>
      <c r="G38" s="38">
        <v>0.25804416403785491</v>
      </c>
    </row>
    <row r="39" spans="1:8" ht="15.75" thickBot="1">
      <c r="A39" s="29" t="s">
        <v>37</v>
      </c>
      <c r="B39" s="25">
        <v>65.8</v>
      </c>
      <c r="C39" s="30">
        <f t="shared" si="0"/>
        <v>63.4</v>
      </c>
      <c r="D39" s="14">
        <v>0.50292553191489353</v>
      </c>
      <c r="E39" s="14">
        <v>0.10175531914893611</v>
      </c>
      <c r="F39" s="38">
        <v>0.11553799392097257</v>
      </c>
      <c r="G39" s="38">
        <v>0.26322188449848027</v>
      </c>
      <c r="H39">
        <f>B39*(1-E39)</f>
        <v>59.104500000000002</v>
      </c>
    </row>
    <row r="40" spans="1:8" ht="15.75" thickBot="1">
      <c r="A40" s="29" t="s">
        <v>38</v>
      </c>
      <c r="B40" s="25">
        <v>67.900000000000006</v>
      </c>
      <c r="C40" s="30">
        <f t="shared" si="0"/>
        <v>65.8</v>
      </c>
      <c r="D40" s="14">
        <v>0.51829896907216499</v>
      </c>
      <c r="E40" s="14">
        <v>0.11097938144329894</v>
      </c>
      <c r="F40" s="38">
        <v>0.12433578792341676</v>
      </c>
      <c r="G40" s="38">
        <v>0.26745213549337266</v>
      </c>
    </row>
    <row r="41" spans="1:8" ht="15.75" thickBot="1">
      <c r="A41" s="29" t="s">
        <v>39</v>
      </c>
      <c r="B41" s="25">
        <v>70.400000000000006</v>
      </c>
      <c r="C41" s="30">
        <f t="shared" si="0"/>
        <v>67.900000000000006</v>
      </c>
      <c r="D41" s="14">
        <v>0.53540482954545454</v>
      </c>
      <c r="E41" s="14">
        <v>0.1212428977272727</v>
      </c>
      <c r="F41" s="38">
        <v>0.13412499999999997</v>
      </c>
      <c r="G41" s="38">
        <v>0.27215909090909096</v>
      </c>
      <c r="H41">
        <f>B41*(1-E41)</f>
        <v>61.864500000000007</v>
      </c>
    </row>
    <row r="42" spans="1:8" ht="15.75" thickBot="1">
      <c r="A42" s="29" t="s">
        <v>40</v>
      </c>
      <c r="B42" s="25">
        <v>73.7</v>
      </c>
      <c r="C42" s="30">
        <f t="shared" si="0"/>
        <v>70.400000000000006</v>
      </c>
      <c r="D42" s="14">
        <v>0.55620759837177747</v>
      </c>
      <c r="E42" s="14">
        <v>0.13372455902306646</v>
      </c>
      <c r="F42" s="38">
        <v>0.14602985074626859</v>
      </c>
      <c r="G42" s="38">
        <v>0.27788331071913164</v>
      </c>
    </row>
    <row r="43" spans="1:8" ht="15.75" thickBot="1">
      <c r="A43" s="29" t="s">
        <v>41</v>
      </c>
      <c r="B43" s="25">
        <v>77</v>
      </c>
      <c r="C43" s="30">
        <f t="shared" si="0"/>
        <v>73.7</v>
      </c>
      <c r="D43" s="14">
        <v>0.5752272727272727</v>
      </c>
      <c r="E43" s="14">
        <v>0.14513636363636359</v>
      </c>
      <c r="F43" s="38">
        <v>0.15691428571428567</v>
      </c>
      <c r="G43" s="38">
        <v>0.2831168831168831</v>
      </c>
    </row>
    <row r="44" spans="1:8" ht="15.75" thickBot="1">
      <c r="A44" s="29" t="s">
        <v>42</v>
      </c>
      <c r="B44" s="25">
        <v>80.099999999999994</v>
      </c>
      <c r="C44" s="30">
        <f t="shared" si="0"/>
        <v>77</v>
      </c>
      <c r="D44" s="14">
        <v>0.59166666666666656</v>
      </c>
      <c r="E44" s="14">
        <v>0.15499999999999994</v>
      </c>
      <c r="F44" s="38">
        <v>0.16632209737827711</v>
      </c>
      <c r="G44" s="38">
        <v>0.28764044943820227</v>
      </c>
      <c r="H44">
        <f>B44*(1-E44)</f>
        <v>67.6845</v>
      </c>
    </row>
    <row r="45" spans="1:8" ht="15.75" thickBot="1">
      <c r="A45" s="29" t="s">
        <v>43</v>
      </c>
      <c r="B45" s="25">
        <v>83.4</v>
      </c>
      <c r="C45" s="30">
        <f t="shared" si="0"/>
        <v>80.099999999999994</v>
      </c>
      <c r="D45" s="14">
        <v>0.60782374100719427</v>
      </c>
      <c r="E45" s="14">
        <v>0.16469424460431653</v>
      </c>
      <c r="F45" s="38">
        <v>0.17556834532374097</v>
      </c>
      <c r="G45" s="38">
        <v>0.29208633093525183</v>
      </c>
      <c r="H45">
        <f>B45*(1-E45)</f>
        <v>69.664500000000004</v>
      </c>
    </row>
    <row r="46" spans="1:8" ht="15.75" thickBot="1">
      <c r="A46" s="29" t="s">
        <v>44</v>
      </c>
      <c r="B46" s="25">
        <v>87.5</v>
      </c>
      <c r="C46" s="30">
        <f t="shared" si="0"/>
        <v>83.4</v>
      </c>
      <c r="D46" s="14">
        <v>0.62619999999999998</v>
      </c>
      <c r="E46" s="14">
        <v>0.17571999999999996</v>
      </c>
      <c r="F46" s="38">
        <v>0.18608457142857138</v>
      </c>
      <c r="G46" s="38">
        <v>0.29714285714285715</v>
      </c>
    </row>
    <row r="47" spans="1:8" ht="15.75" thickBot="1">
      <c r="A47" s="29" t="s">
        <v>45</v>
      </c>
      <c r="B47" s="25">
        <v>92.2</v>
      </c>
      <c r="C47" s="30">
        <f t="shared" si="0"/>
        <v>87.5</v>
      </c>
      <c r="D47" s="14">
        <v>0.64525488069414316</v>
      </c>
      <c r="E47" s="14">
        <v>0.18715292841648587</v>
      </c>
      <c r="F47" s="38">
        <v>0.19698915401301514</v>
      </c>
      <c r="G47" s="38">
        <v>0.30238611713665947</v>
      </c>
    </row>
    <row r="48" spans="1:8" ht="15.75" thickBot="1">
      <c r="A48" s="29" t="s">
        <v>46</v>
      </c>
      <c r="B48" s="25">
        <v>97.4</v>
      </c>
      <c r="C48" s="30">
        <f t="shared" si="0"/>
        <v>92.2</v>
      </c>
      <c r="D48" s="14">
        <v>0.66419404517453795</v>
      </c>
      <c r="E48" s="14">
        <v>0.19851642710472278</v>
      </c>
      <c r="F48" s="38">
        <v>0.20782751540041064</v>
      </c>
      <c r="G48" s="38">
        <v>0.30759753593429162</v>
      </c>
      <c r="H48">
        <f>B48*(1-E48)</f>
        <v>78.064499999999995</v>
      </c>
    </row>
    <row r="49" spans="1:8" ht="15.75" thickBot="1">
      <c r="A49" s="29" t="s">
        <v>47</v>
      </c>
      <c r="B49" s="25">
        <v>104.2</v>
      </c>
      <c r="C49" s="30">
        <f t="shared" si="0"/>
        <v>97.4</v>
      </c>
      <c r="D49" s="14">
        <v>0.68610844529750481</v>
      </c>
      <c r="E49" s="14">
        <v>0.21166506717850289</v>
      </c>
      <c r="F49" s="38">
        <v>0.22036852207293664</v>
      </c>
      <c r="G49" s="38">
        <v>0.31362763915547032</v>
      </c>
    </row>
    <row r="50" spans="1:8" ht="15.75" thickBot="1">
      <c r="A50" s="29" t="s">
        <v>48</v>
      </c>
      <c r="B50" s="25">
        <v>115.4</v>
      </c>
      <c r="C50" s="30">
        <f t="shared" si="0"/>
        <v>104.2</v>
      </c>
      <c r="D50" s="14">
        <v>0.71657279029462728</v>
      </c>
      <c r="E50" s="14">
        <v>0.22994367417677644</v>
      </c>
      <c r="F50" s="38">
        <v>0.23780242634315424</v>
      </c>
      <c r="G50" s="38">
        <v>0.32201039861351821</v>
      </c>
    </row>
    <row r="51" spans="1:8" ht="15.75" thickBot="1">
      <c r="A51" s="29" t="s">
        <v>49</v>
      </c>
      <c r="B51" s="25">
        <v>129.1</v>
      </c>
      <c r="C51" s="30">
        <f t="shared" si="0"/>
        <v>115.4</v>
      </c>
      <c r="D51" s="14">
        <v>0.74664988381099917</v>
      </c>
      <c r="E51" s="14">
        <v>0.24798993028659952</v>
      </c>
      <c r="F51" s="38">
        <v>0.25501471727343145</v>
      </c>
      <c r="G51" s="38">
        <v>0.33028659953524403</v>
      </c>
      <c r="H51" t="s">
        <v>81</v>
      </c>
    </row>
    <row r="52" spans="1:8" ht="15.75" thickBot="1">
      <c r="A52" s="29" t="s">
        <v>50</v>
      </c>
      <c r="B52" s="25">
        <v>148.19999999999999</v>
      </c>
      <c r="C52" s="30">
        <f t="shared" si="0"/>
        <v>129.1</v>
      </c>
      <c r="D52" s="14">
        <v>0.77930161943319831</v>
      </c>
      <c r="E52" s="14">
        <v>0.26758097165991895</v>
      </c>
      <c r="F52" s="38">
        <v>0.27370040485829961</v>
      </c>
      <c r="G52" s="38">
        <v>0.3392712550607288</v>
      </c>
    </row>
    <row r="53" spans="1:8" ht="15.75" thickBot="1">
      <c r="A53" s="29" t="s">
        <v>51</v>
      </c>
      <c r="B53" s="25">
        <v>168.7</v>
      </c>
      <c r="C53" s="30">
        <f t="shared" si="0"/>
        <v>148.19999999999999</v>
      </c>
      <c r="D53" s="14">
        <v>0.80612033195020738</v>
      </c>
      <c r="E53" s="14">
        <v>0.28367219917012443</v>
      </c>
      <c r="F53" s="38">
        <v>0.2890480142264375</v>
      </c>
      <c r="G53" s="38">
        <v>0.34665085951393004</v>
      </c>
      <c r="H53">
        <f>B53*(1-E53)</f>
        <v>120.8445</v>
      </c>
    </row>
    <row r="54" spans="1:8" ht="15.75" thickBot="1">
      <c r="A54" s="29" t="s">
        <v>52</v>
      </c>
      <c r="B54" s="25">
        <v>211.2</v>
      </c>
      <c r="C54" s="30">
        <f t="shared" si="0"/>
        <v>168.7</v>
      </c>
      <c r="D54" s="14">
        <v>0.84513494318181814</v>
      </c>
      <c r="E54" s="14">
        <v>0.3070809659090909</v>
      </c>
      <c r="F54" s="38">
        <v>0.31137500000000001</v>
      </c>
      <c r="G54" s="38">
        <v>0.35738636363636367</v>
      </c>
      <c r="H54" t="s">
        <v>81</v>
      </c>
    </row>
    <row r="55" spans="1:8">
      <c r="A55" s="29" t="s">
        <v>53</v>
      </c>
      <c r="B55" s="28">
        <v>345</v>
      </c>
      <c r="C55" s="30">
        <f>B54</f>
        <v>211.2</v>
      </c>
      <c r="D55" s="14">
        <v>0.90519565217391307</v>
      </c>
      <c r="E55" s="14">
        <v>0.34311739130434782</v>
      </c>
      <c r="F55" s="38">
        <v>0.34574608695652176</v>
      </c>
      <c r="G55" s="38">
        <v>0.37391304347826088</v>
      </c>
    </row>
    <row r="56" spans="1:8">
      <c r="A56" s="29" t="s">
        <v>53</v>
      </c>
      <c r="B56" s="31" t="s">
        <v>127</v>
      </c>
      <c r="C56" s="30">
        <f t="shared" si="0"/>
        <v>345</v>
      </c>
      <c r="D56" s="11">
        <v>49.1</v>
      </c>
      <c r="E56" s="11"/>
      <c r="F56" s="39"/>
      <c r="G56" s="39"/>
    </row>
    <row r="57" spans="1:8">
      <c r="A57" s="29"/>
      <c r="B57" s="31"/>
      <c r="C57" s="31"/>
      <c r="D57" s="11"/>
      <c r="E57" s="32">
        <v>8.1563191974406909E-2</v>
      </c>
      <c r="F57" s="40">
        <v>8.7578439482460232E-2</v>
      </c>
      <c r="G57" s="40">
        <v>0.19798068222509474</v>
      </c>
    </row>
    <row r="58" spans="1:8" ht="60.75" thickBot="1">
      <c r="A58" s="33" t="s">
        <v>55</v>
      </c>
      <c r="B58" s="200">
        <v>25</v>
      </c>
      <c r="C58" s="31"/>
      <c r="D58" s="11"/>
      <c r="E58" s="34">
        <v>54.51250000000001</v>
      </c>
      <c r="F58" s="41">
        <v>51.993333333333347</v>
      </c>
      <c r="G58" s="42">
        <v>25</v>
      </c>
    </row>
    <row r="59" spans="1:8" ht="60.75" thickBot="1">
      <c r="A59" s="33" t="s">
        <v>56</v>
      </c>
      <c r="B59" s="200">
        <v>61.2</v>
      </c>
      <c r="C59" s="31"/>
      <c r="D59" s="11"/>
      <c r="E59" s="11"/>
      <c r="F59" s="39"/>
      <c r="G59" s="39"/>
    </row>
    <row r="60" spans="1:8" ht="97.5" thickBot="1">
      <c r="A60" s="35" t="s">
        <v>57</v>
      </c>
      <c r="B60" s="4">
        <v>3.6720000000000002</v>
      </c>
      <c r="C60" s="29"/>
      <c r="D60" s="11"/>
      <c r="E60" s="11">
        <v>32.707500000000003</v>
      </c>
      <c r="F60" s="39">
        <v>31.196000000000005</v>
      </c>
      <c r="G60" s="39">
        <v>15</v>
      </c>
    </row>
    <row r="62" spans="1:8" ht="60.75" thickBot="1">
      <c r="A62" s="5" t="s">
        <v>56</v>
      </c>
      <c r="B62">
        <f>B59</f>
        <v>61.2</v>
      </c>
    </row>
    <row r="63" spans="1:8">
      <c r="A63" s="16" t="s">
        <v>64</v>
      </c>
      <c r="B63" s="17">
        <f>AVERAGE(B11:B50)</f>
        <v>54.51250000000001</v>
      </c>
      <c r="C63" s="17"/>
    </row>
    <row r="64" spans="1:8">
      <c r="A64" s="16" t="s">
        <v>65</v>
      </c>
      <c r="B64" s="18">
        <f>AVERAGE(B16:B45)</f>
        <v>51.993333333333347</v>
      </c>
      <c r="C64" s="18"/>
    </row>
    <row r="65" spans="1:7">
      <c r="A65" s="16" t="s">
        <v>66</v>
      </c>
      <c r="B65" s="18">
        <f>AVERAGE(B22:B40)</f>
        <v>51.542105263157886</v>
      </c>
      <c r="C65" s="18"/>
    </row>
    <row r="69" spans="1:7" ht="15" customHeight="1">
      <c r="A69" s="473" t="s">
        <v>0</v>
      </c>
      <c r="B69" s="473" t="s">
        <v>2</v>
      </c>
      <c r="C69" s="473"/>
      <c r="D69" s="473"/>
      <c r="E69" s="49">
        <f>(1-E124)^(1/3)-1</f>
        <v>-2.5966285741882644E-2</v>
      </c>
      <c r="F69" s="49">
        <f>(1-F124)^(1/3)-1</f>
        <v>-2.7771616986621006E-2</v>
      </c>
      <c r="G69" s="49"/>
    </row>
    <row r="70" spans="1:7" ht="72">
      <c r="A70" s="473"/>
      <c r="B70" s="11" t="s">
        <v>4</v>
      </c>
      <c r="C70" s="11"/>
      <c r="D70" s="11" t="s">
        <v>80</v>
      </c>
      <c r="E70" s="11" t="s">
        <v>5</v>
      </c>
      <c r="F70" s="39" t="s">
        <v>5</v>
      </c>
      <c r="G70" s="39"/>
    </row>
    <row r="71" spans="1:7" ht="24">
      <c r="A71" s="473"/>
      <c r="B71" s="11" t="s">
        <v>8</v>
      </c>
      <c r="C71" s="11"/>
      <c r="D71" s="11" t="s">
        <v>7</v>
      </c>
      <c r="E71" s="11" t="s">
        <v>7</v>
      </c>
      <c r="F71" s="39" t="s">
        <v>7</v>
      </c>
      <c r="G71" s="39"/>
    </row>
    <row r="72" spans="1:7" ht="15.75" thickBot="1">
      <c r="A72" s="50">
        <v>1</v>
      </c>
      <c r="B72" s="51">
        <v>2</v>
      </c>
      <c r="C72" s="51"/>
      <c r="D72" s="51">
        <v>3</v>
      </c>
      <c r="E72" s="51">
        <v>4</v>
      </c>
      <c r="F72" s="52">
        <v>5</v>
      </c>
      <c r="G72" s="52"/>
    </row>
    <row r="73" spans="1:7" ht="15.75" thickBot="1">
      <c r="A73" s="27" t="s">
        <v>10</v>
      </c>
      <c r="B73" s="24">
        <v>2.4</v>
      </c>
      <c r="C73" s="253">
        <v>0</v>
      </c>
      <c r="D73" s="14">
        <v>0</v>
      </c>
      <c r="E73" s="14">
        <v>0</v>
      </c>
      <c r="F73" s="38">
        <v>0</v>
      </c>
      <c r="G73" s="38">
        <v>0</v>
      </c>
    </row>
    <row r="74" spans="1:7" ht="15.75" thickBot="1">
      <c r="A74" s="27" t="s">
        <v>58</v>
      </c>
      <c r="B74" s="25">
        <v>4</v>
      </c>
      <c r="C74" s="30">
        <f>B73</f>
        <v>2.4</v>
      </c>
      <c r="D74" s="14">
        <v>0</v>
      </c>
      <c r="E74" s="14">
        <v>0</v>
      </c>
      <c r="F74" s="38">
        <v>0</v>
      </c>
      <c r="G74" s="38">
        <v>0</v>
      </c>
    </row>
    <row r="75" spans="1:7" ht="15.75" thickBot="1">
      <c r="A75" s="27" t="s">
        <v>59</v>
      </c>
      <c r="B75" s="25">
        <v>19.8</v>
      </c>
      <c r="C75" s="30">
        <f t="shared" ref="C75:C123" si="1">B74</f>
        <v>4</v>
      </c>
      <c r="D75" s="14">
        <v>0</v>
      </c>
      <c r="E75" s="14">
        <v>0</v>
      </c>
      <c r="F75" s="38">
        <v>0</v>
      </c>
      <c r="G75" s="38">
        <v>0</v>
      </c>
    </row>
    <row r="76" spans="1:7" ht="15.75" thickBot="1">
      <c r="A76" s="27" t="s">
        <v>60</v>
      </c>
      <c r="B76" s="25">
        <v>22.7</v>
      </c>
      <c r="C76" s="30">
        <f t="shared" si="1"/>
        <v>19.8</v>
      </c>
      <c r="D76" s="14">
        <v>0</v>
      </c>
      <c r="E76" s="14">
        <v>0</v>
      </c>
      <c r="F76" s="38">
        <v>0</v>
      </c>
      <c r="G76" s="38">
        <v>1.0660792951541858E-2</v>
      </c>
    </row>
    <row r="77" spans="1:7" ht="15.75" thickBot="1">
      <c r="A77" s="27" t="s">
        <v>61</v>
      </c>
      <c r="B77" s="25">
        <v>23.6</v>
      </c>
      <c r="C77" s="30">
        <f t="shared" si="1"/>
        <v>22.7</v>
      </c>
      <c r="D77" s="14">
        <v>0</v>
      </c>
      <c r="E77" s="14">
        <v>0</v>
      </c>
      <c r="F77" s="38">
        <v>0</v>
      </c>
      <c r="G77" s="38">
        <v>1.4067796610169507E-2</v>
      </c>
    </row>
    <row r="78" spans="1:7" ht="15.75" thickBot="1">
      <c r="A78" s="27" t="s">
        <v>62</v>
      </c>
      <c r="B78" s="25">
        <v>24.3</v>
      </c>
      <c r="C78" s="30">
        <f t="shared" si="1"/>
        <v>23.6</v>
      </c>
      <c r="D78" s="14">
        <v>0</v>
      </c>
      <c r="E78" s="14">
        <v>0</v>
      </c>
      <c r="F78" s="38">
        <v>0</v>
      </c>
      <c r="G78" s="38">
        <v>1.6543209876543223E-2</v>
      </c>
    </row>
    <row r="79" spans="1:7" ht="15.75" thickBot="1">
      <c r="A79" s="27" t="s">
        <v>63</v>
      </c>
      <c r="B79" s="25">
        <v>25.6</v>
      </c>
      <c r="C79" s="30">
        <f t="shared" si="1"/>
        <v>24.3</v>
      </c>
      <c r="D79" s="14">
        <v>1.8554687500001166E-3</v>
      </c>
      <c r="E79" s="14">
        <v>1.8554687500001168E-4</v>
      </c>
      <c r="F79" s="38">
        <v>3.6406249999999946E-3</v>
      </c>
      <c r="G79" s="38">
        <v>2.0781250000000012E-2</v>
      </c>
    </row>
    <row r="80" spans="1:7" ht="15.75" thickBot="1">
      <c r="A80" s="29" t="s">
        <v>11</v>
      </c>
      <c r="B80" s="25">
        <v>26.5</v>
      </c>
      <c r="C80" s="30">
        <f t="shared" si="1"/>
        <v>25.6</v>
      </c>
      <c r="D80" s="14">
        <v>3.5754716981132133E-2</v>
      </c>
      <c r="E80" s="14"/>
      <c r="F80" s="38">
        <v>6.913207547169801E-3</v>
      </c>
      <c r="G80" s="38">
        <v>2.3471698113207561E-2</v>
      </c>
    </row>
    <row r="81" spans="1:12" ht="15.75" thickBot="1">
      <c r="A81" s="29" t="s">
        <v>12</v>
      </c>
      <c r="B81" s="25">
        <v>27.6</v>
      </c>
      <c r="C81" s="30">
        <f t="shared" si="1"/>
        <v>26.5</v>
      </c>
      <c r="D81" s="14">
        <v>7.4184782608695751E-2</v>
      </c>
      <c r="E81" s="14"/>
      <c r="F81" s="38">
        <v>1.0623188405797096E-2</v>
      </c>
      <c r="G81" s="38">
        <v>2.6521739130434797E-2</v>
      </c>
      <c r="J81">
        <v>10</v>
      </c>
      <c r="K81">
        <v>29</v>
      </c>
      <c r="L81">
        <v>30</v>
      </c>
    </row>
    <row r="82" spans="1:12" ht="15.75" thickBot="1">
      <c r="A82" s="29" t="s">
        <v>13</v>
      </c>
      <c r="B82" s="25">
        <v>28.2</v>
      </c>
      <c r="C82" s="30">
        <f t="shared" si="1"/>
        <v>27.6</v>
      </c>
      <c r="D82" s="14">
        <v>9.3882978723404287E-2</v>
      </c>
      <c r="E82" s="14"/>
      <c r="F82" s="38">
        <v>1.2524822695035451E-2</v>
      </c>
      <c r="G82" s="38">
        <v>2.8085106382978734E-2</v>
      </c>
      <c r="J82">
        <f>IF(AND(J81&lt;K81,K81&lt;L81),25,100)</f>
        <v>25</v>
      </c>
    </row>
    <row r="83" spans="1:12" ht="15.75" thickBot="1">
      <c r="A83" s="29" t="s">
        <v>14</v>
      </c>
      <c r="B83" s="25">
        <v>29.1</v>
      </c>
      <c r="C83" s="30">
        <f t="shared" si="1"/>
        <v>28.2</v>
      </c>
      <c r="D83" s="14">
        <v>0.12190721649484546</v>
      </c>
      <c r="E83" s="14">
        <v>1.2190721649484548E-2</v>
      </c>
      <c r="F83" s="38">
        <v>1.5230240549828173E-2</v>
      </c>
      <c r="G83" s="38">
        <v>3.0309278350515476E-2</v>
      </c>
    </row>
    <row r="84" spans="1:12" ht="15.75" thickBot="1">
      <c r="A84" s="29" t="s">
        <v>15</v>
      </c>
      <c r="B84" s="25">
        <v>29.8</v>
      </c>
      <c r="C84" s="30">
        <f t="shared" si="1"/>
        <v>29.1</v>
      </c>
      <c r="D84" s="14">
        <v>0.14253355704697993</v>
      </c>
      <c r="E84" s="14">
        <v>1.4253355704697995E-2</v>
      </c>
      <c r="F84" s="38">
        <v>1.7221476510067106E-2</v>
      </c>
      <c r="G84" s="38">
        <v>3.1946308724832229E-2</v>
      </c>
    </row>
    <row r="85" spans="1:12" ht="15.75" thickBot="1">
      <c r="A85" s="29" t="s">
        <v>16</v>
      </c>
      <c r="B85" s="25">
        <v>30.6</v>
      </c>
      <c r="C85" s="30">
        <f t="shared" si="1"/>
        <v>29.8</v>
      </c>
      <c r="D85" s="14">
        <v>0.16495098039215694</v>
      </c>
      <c r="E85" s="14">
        <v>1.6495098039215696E-2</v>
      </c>
      <c r="F85" s="38">
        <v>1.9385620915032674E-2</v>
      </c>
      <c r="G85" s="38">
        <v>3.3725490196078442E-2</v>
      </c>
    </row>
    <row r="86" spans="1:12" ht="15.75" thickBot="1">
      <c r="A86" s="29" t="s">
        <v>17</v>
      </c>
      <c r="B86" s="25">
        <v>31.3</v>
      </c>
      <c r="C86" s="30">
        <f t="shared" si="1"/>
        <v>30.6</v>
      </c>
      <c r="D86" s="14">
        <v>0.18362619808306715</v>
      </c>
      <c r="E86" s="14">
        <v>1.8362619808306717E-2</v>
      </c>
      <c r="F86" s="38">
        <v>2.1188498402555902E-2</v>
      </c>
      <c r="G86" s="38">
        <v>3.5207667731629401E-2</v>
      </c>
    </row>
    <row r="87" spans="1:12" ht="15.75" thickBot="1">
      <c r="A87" s="29" t="s">
        <v>18</v>
      </c>
      <c r="B87" s="25">
        <v>31.9</v>
      </c>
      <c r="C87" s="30">
        <f t="shared" si="1"/>
        <v>31.3</v>
      </c>
      <c r="D87" s="14">
        <v>0.19898119122257055</v>
      </c>
      <c r="E87" s="14">
        <v>1.9898119122257054E-2</v>
      </c>
      <c r="F87" s="38">
        <v>2.2670846394984314E-2</v>
      </c>
      <c r="G87" s="38">
        <v>3.642633228840126E-2</v>
      </c>
    </row>
    <row r="88" spans="1:12" ht="15.75" thickBot="1">
      <c r="A88" s="29" t="s">
        <v>19</v>
      </c>
      <c r="B88" s="25">
        <v>32.5</v>
      </c>
      <c r="C88" s="30">
        <f t="shared" si="1"/>
        <v>31.9</v>
      </c>
      <c r="D88" s="14">
        <v>0.21376923076923082</v>
      </c>
      <c r="E88" s="14">
        <v>2.1376923076923082E-2</v>
      </c>
      <c r="F88" s="38">
        <v>2.409846153846153E-2</v>
      </c>
      <c r="G88" s="38">
        <v>3.7600000000000015E-2</v>
      </c>
    </row>
    <row r="89" spans="1:12" ht="15.75" thickBot="1">
      <c r="A89" s="29" t="s">
        <v>20</v>
      </c>
      <c r="B89" s="25">
        <v>33.5</v>
      </c>
      <c r="C89" s="30">
        <f t="shared" si="1"/>
        <v>32.5</v>
      </c>
      <c r="D89" s="14">
        <v>0.23723880597014929</v>
      </c>
      <c r="E89" s="14">
        <v>2.372388059701493E-2</v>
      </c>
      <c r="F89" s="38">
        <v>2.6364179104477605E-2</v>
      </c>
      <c r="G89" s="38">
        <v>3.9462686567164187E-2</v>
      </c>
    </row>
    <row r="90" spans="1:12" ht="15.75" thickBot="1">
      <c r="A90" s="29" t="s">
        <v>21</v>
      </c>
      <c r="B90" s="25">
        <v>34.200000000000003</v>
      </c>
      <c r="C90" s="30">
        <f t="shared" si="1"/>
        <v>33.5</v>
      </c>
      <c r="D90" s="14">
        <v>0.25285087719298255</v>
      </c>
      <c r="E90" s="14">
        <v>2.5285087719298258E-2</v>
      </c>
      <c r="F90" s="38">
        <v>2.7871345029239766E-2</v>
      </c>
      <c r="G90" s="38">
        <v>4.421052631578954E-2</v>
      </c>
    </row>
    <row r="91" spans="1:12" ht="15.75" thickBot="1">
      <c r="A91" s="29" t="s">
        <v>22</v>
      </c>
      <c r="B91" s="25">
        <v>34.799999999999997</v>
      </c>
      <c r="C91" s="30">
        <f t="shared" si="1"/>
        <v>34.200000000000003</v>
      </c>
      <c r="D91" s="14">
        <v>0.26573275862068962</v>
      </c>
      <c r="E91" s="14">
        <v>2.6573275862068965E-2</v>
      </c>
      <c r="F91" s="38">
        <v>2.9114942528735619E-2</v>
      </c>
      <c r="G91" s="38">
        <v>5.0344827586206904E-2</v>
      </c>
    </row>
    <row r="92" spans="1:12" ht="15.75" thickBot="1">
      <c r="A92" s="29" t="s">
        <v>23</v>
      </c>
      <c r="B92" s="25">
        <v>35.5</v>
      </c>
      <c r="C92" s="30">
        <f t="shared" si="1"/>
        <v>34.799999999999997</v>
      </c>
      <c r="D92" s="14">
        <v>0.28021126760563386</v>
      </c>
      <c r="E92" s="14">
        <v>2.8021126760563387E-2</v>
      </c>
      <c r="F92" s="38">
        <v>3.051267605633802E-2</v>
      </c>
      <c r="G92" s="38">
        <v>5.7239436619718351E-2</v>
      </c>
    </row>
    <row r="93" spans="1:12" ht="15.75" thickBot="1">
      <c r="A93" s="29" t="s">
        <v>24</v>
      </c>
      <c r="B93" s="25">
        <v>36.1</v>
      </c>
      <c r="C93" s="30">
        <f t="shared" si="1"/>
        <v>35.5</v>
      </c>
      <c r="D93" s="14">
        <v>0.29217451523545712</v>
      </c>
      <c r="E93" s="14">
        <v>2.9217451523545712E-2</v>
      </c>
      <c r="F93" s="38">
        <v>3.166759002770083E-2</v>
      </c>
      <c r="G93" s="38">
        <v>6.2936288088642711E-2</v>
      </c>
    </row>
    <row r="94" spans="1:12" ht="15.75" thickBot="1">
      <c r="A94" s="29" t="s">
        <v>25</v>
      </c>
      <c r="B94" s="25">
        <v>36.9</v>
      </c>
      <c r="C94" s="30">
        <f t="shared" si="1"/>
        <v>36.1</v>
      </c>
      <c r="D94" s="14">
        <v>0.30752032520325207</v>
      </c>
      <c r="E94" s="14">
        <v>3.0752032520325209E-2</v>
      </c>
      <c r="F94" s="38">
        <v>3.3149051490514898E-2</v>
      </c>
      <c r="G94" s="38">
        <v>7.0243902439024411E-2</v>
      </c>
    </row>
    <row r="95" spans="1:12" ht="15.75" thickBot="1">
      <c r="A95" s="29" t="s">
        <v>26</v>
      </c>
      <c r="B95" s="25">
        <v>37.700000000000003</v>
      </c>
      <c r="C95" s="30">
        <f t="shared" si="1"/>
        <v>36.9</v>
      </c>
      <c r="D95" s="14">
        <v>0.32221485411140594</v>
      </c>
      <c r="E95" s="14">
        <v>3.2221485411140595E-2</v>
      </c>
      <c r="F95" s="38">
        <v>3.4567639257294433E-2</v>
      </c>
      <c r="G95" s="38">
        <v>7.7241379310344888E-2</v>
      </c>
    </row>
    <row r="96" spans="1:12" ht="15.75" thickBot="1">
      <c r="A96" s="29" t="s">
        <v>27</v>
      </c>
      <c r="B96" s="25">
        <v>38.4</v>
      </c>
      <c r="C96" s="30">
        <f t="shared" si="1"/>
        <v>37.700000000000003</v>
      </c>
      <c r="D96" s="14">
        <v>0.33457031250000002</v>
      </c>
      <c r="E96" s="14">
        <v>3.3457031250000005E-2</v>
      </c>
      <c r="F96" s="38">
        <v>3.5760416666666663E-2</v>
      </c>
      <c r="G96" s="38">
        <v>8.3125000000000032E-2</v>
      </c>
    </row>
    <row r="97" spans="1:11" ht="15.75" thickBot="1">
      <c r="A97" s="29" t="s">
        <v>28</v>
      </c>
      <c r="B97" s="25">
        <v>39.299999999999997</v>
      </c>
      <c r="C97" s="30">
        <f t="shared" si="1"/>
        <v>38.4</v>
      </c>
      <c r="D97" s="14">
        <v>0.34980916030534348</v>
      </c>
      <c r="E97" s="14">
        <v>3.4980916030534354E-2</v>
      </c>
      <c r="F97" s="38">
        <v>3.7231552162849867E-2</v>
      </c>
      <c r="G97" s="38">
        <v>9.0381679389312991E-2</v>
      </c>
    </row>
    <row r="98" spans="1:11" ht="15.75" thickBot="1">
      <c r="A98" s="29" t="s">
        <v>29</v>
      </c>
      <c r="B98" s="25">
        <v>40</v>
      </c>
      <c r="C98" s="30">
        <f t="shared" si="1"/>
        <v>39.299999999999997</v>
      </c>
      <c r="D98" s="14">
        <v>0.36118750000000005</v>
      </c>
      <c r="E98" s="14">
        <v>3.6118750000000005E-2</v>
      </c>
      <c r="F98" s="38">
        <v>3.8329999999999996E-2</v>
      </c>
      <c r="G98" s="38">
        <v>9.5800000000000038E-2</v>
      </c>
    </row>
    <row r="99" spans="1:11" ht="15.75" thickBot="1">
      <c r="A99" s="29" t="s">
        <v>30</v>
      </c>
      <c r="B99" s="25">
        <v>41</v>
      </c>
      <c r="C99" s="30">
        <f t="shared" si="1"/>
        <v>40</v>
      </c>
      <c r="D99" s="14">
        <v>0.37676829268292689</v>
      </c>
      <c r="E99" s="14">
        <v>3.7676829268292689E-2</v>
      </c>
      <c r="F99" s="38">
        <v>3.9834146341463407E-2</v>
      </c>
      <c r="G99" s="38">
        <v>0.10321951219512197</v>
      </c>
    </row>
    <row r="100" spans="1:11" ht="15.75" thickBot="1">
      <c r="A100" s="29" t="s">
        <v>31</v>
      </c>
      <c r="B100" s="25">
        <v>42.1</v>
      </c>
      <c r="C100" s="30">
        <f t="shared" si="1"/>
        <v>41</v>
      </c>
      <c r="D100" s="14">
        <v>0.39305225653206655</v>
      </c>
      <c r="E100" s="14">
        <v>3.9305225653206662E-2</v>
      </c>
      <c r="F100" s="38">
        <v>4.8437054631828957E-2</v>
      </c>
      <c r="G100" s="38">
        <v>0.11097387173396679</v>
      </c>
    </row>
    <row r="101" spans="1:11" ht="15.75" thickBot="1">
      <c r="A101" s="29" t="s">
        <v>32</v>
      </c>
      <c r="B101" s="25">
        <v>43.1</v>
      </c>
      <c r="C101" s="30">
        <f t="shared" si="1"/>
        <v>42.1</v>
      </c>
      <c r="D101" s="14">
        <v>0.40713457076566129</v>
      </c>
      <c r="E101" s="14">
        <v>4.4280742459396776E-2</v>
      </c>
      <c r="F101" s="38">
        <v>5.6593967517401374E-2</v>
      </c>
      <c r="G101" s="38">
        <v>0.11767981438515085</v>
      </c>
      <c r="H101">
        <f>B101*(1-E101)</f>
        <v>41.191500000000005</v>
      </c>
      <c r="J101">
        <v>1.02</v>
      </c>
      <c r="K101">
        <f>J101^3</f>
        <v>1.0612079999999999</v>
      </c>
    </row>
    <row r="102" spans="1:11" ht="15.75" thickBot="1">
      <c r="A102" s="29" t="s">
        <v>33</v>
      </c>
      <c r="B102" s="25">
        <v>44.2</v>
      </c>
      <c r="C102" s="30">
        <f t="shared" si="1"/>
        <v>43.1</v>
      </c>
      <c r="D102" s="14">
        <v>0.42188914027149327</v>
      </c>
      <c r="E102" s="14">
        <v>5.3133484162895962E-2</v>
      </c>
      <c r="F102" s="38">
        <v>6.5140271493212665E-2</v>
      </c>
      <c r="G102" s="38">
        <v>0.12470588235294124</v>
      </c>
      <c r="H102">
        <f>B102*(1-E102)</f>
        <v>41.851500000000001</v>
      </c>
    </row>
    <row r="103" spans="1:11" ht="15.75" thickBot="1">
      <c r="A103" s="29" t="s">
        <v>34</v>
      </c>
      <c r="B103" s="25">
        <v>45.1</v>
      </c>
      <c r="C103" s="30">
        <f t="shared" si="1"/>
        <v>44.2</v>
      </c>
      <c r="D103" s="14">
        <v>0.43342572062084261</v>
      </c>
      <c r="E103" s="14">
        <v>6.0055432372505567E-2</v>
      </c>
      <c r="F103" s="38">
        <v>7.1822616407982251E-2</v>
      </c>
      <c r="G103" s="38">
        <v>0.13019955654102</v>
      </c>
    </row>
    <row r="104" spans="1:11" ht="15.75" thickBot="1">
      <c r="A104" s="29" t="s">
        <v>35</v>
      </c>
      <c r="B104" s="25">
        <v>46.3</v>
      </c>
      <c r="C104" s="30">
        <f t="shared" si="1"/>
        <v>45.1</v>
      </c>
      <c r="D104" s="14">
        <v>0.44811015118790498</v>
      </c>
      <c r="E104" s="14">
        <v>6.8866090712742967E-2</v>
      </c>
      <c r="F104" s="38">
        <v>8.0328293736501036E-2</v>
      </c>
      <c r="G104" s="38">
        <v>0.13719222462203026</v>
      </c>
      <c r="H104">
        <f>B104*(1-E104)</f>
        <v>43.111499999999999</v>
      </c>
    </row>
    <row r="105" spans="1:11" ht="15.75" thickBot="1">
      <c r="A105" s="29" t="s">
        <v>36</v>
      </c>
      <c r="B105" s="25">
        <v>47</v>
      </c>
      <c r="C105" s="30">
        <f t="shared" si="1"/>
        <v>46.3</v>
      </c>
      <c r="D105" s="14">
        <v>0.45632978723404261</v>
      </c>
      <c r="E105" s="14">
        <v>7.3797872340425549E-2</v>
      </c>
      <c r="F105" s="38">
        <v>8.5089361702127636E-2</v>
      </c>
      <c r="G105" s="38">
        <v>0.14110638297872344</v>
      </c>
    </row>
    <row r="106" spans="1:11" ht="15.75" thickBot="1">
      <c r="A106" s="29" t="s">
        <v>37</v>
      </c>
      <c r="B106" s="25">
        <v>48.7</v>
      </c>
      <c r="C106" s="30">
        <f t="shared" si="1"/>
        <v>47</v>
      </c>
      <c r="D106" s="14">
        <v>0.4753080082135524</v>
      </c>
      <c r="E106" s="14">
        <v>8.518480492813145E-2</v>
      </c>
      <c r="F106" s="38">
        <v>9.6082135523613957E-2</v>
      </c>
      <c r="G106" s="38">
        <v>0.15014373716632448</v>
      </c>
    </row>
    <row r="107" spans="1:11" ht="15.75" thickBot="1">
      <c r="A107" s="29" t="s">
        <v>38</v>
      </c>
      <c r="B107" s="25">
        <v>49.7</v>
      </c>
      <c r="C107" s="30">
        <f t="shared" si="1"/>
        <v>48.7</v>
      </c>
      <c r="D107" s="14">
        <v>0.48586519114688137</v>
      </c>
      <c r="E107" s="14">
        <v>9.1519114688128816E-2</v>
      </c>
      <c r="F107" s="38">
        <v>0.10219718309859155</v>
      </c>
      <c r="G107" s="38">
        <v>0.1551710261569417</v>
      </c>
    </row>
    <row r="108" spans="1:11" ht="15.75" thickBot="1">
      <c r="A108" s="29" t="s">
        <v>39</v>
      </c>
      <c r="B108" s="25">
        <v>51.8</v>
      </c>
      <c r="C108" s="30">
        <f t="shared" si="1"/>
        <v>49.7</v>
      </c>
      <c r="D108" s="14">
        <v>0.50670849420849418</v>
      </c>
      <c r="E108" s="14">
        <v>0.10402509652509652</v>
      </c>
      <c r="F108" s="38">
        <v>0.11427027027027023</v>
      </c>
      <c r="G108" s="38">
        <v>0.16509652509652509</v>
      </c>
      <c r="H108">
        <f>B108*(1-E108)</f>
        <v>46.411499999999997</v>
      </c>
    </row>
    <row r="109" spans="1:11" ht="15.75" thickBot="1">
      <c r="A109" s="29" t="s">
        <v>40</v>
      </c>
      <c r="B109" s="25">
        <v>53.1</v>
      </c>
      <c r="C109" s="30">
        <f t="shared" si="1"/>
        <v>51.8</v>
      </c>
      <c r="D109" s="14">
        <v>0.51878531073446332</v>
      </c>
      <c r="E109" s="14">
        <v>0.11127118644067799</v>
      </c>
      <c r="F109" s="38">
        <v>0.12126553672316383</v>
      </c>
      <c r="G109" s="38">
        <v>0.1708474576271187</v>
      </c>
    </row>
    <row r="110" spans="1:11" ht="15.75" thickBot="1">
      <c r="A110" s="29" t="s">
        <v>41</v>
      </c>
      <c r="B110" s="25">
        <v>54.7</v>
      </c>
      <c r="C110" s="30">
        <f t="shared" si="1"/>
        <v>53.1</v>
      </c>
      <c r="D110" s="14">
        <v>0.53286106032906766</v>
      </c>
      <c r="E110" s="14">
        <v>0.11971663619744062</v>
      </c>
      <c r="F110" s="38">
        <v>0.12941864716636198</v>
      </c>
      <c r="G110" s="38">
        <v>0.17755027422303479</v>
      </c>
    </row>
    <row r="111" spans="1:11" ht="15.75" thickBot="1">
      <c r="A111" s="29" t="s">
        <v>42</v>
      </c>
      <c r="B111" s="25">
        <v>56.5</v>
      </c>
      <c r="C111" s="30">
        <f t="shared" si="1"/>
        <v>54.7</v>
      </c>
      <c r="D111" s="14">
        <v>0.54774336283185843</v>
      </c>
      <c r="E111" s="14">
        <v>0.12864601769911507</v>
      </c>
      <c r="F111" s="38">
        <v>0.13803893805309733</v>
      </c>
      <c r="G111" s="38">
        <v>0.18463716814159295</v>
      </c>
    </row>
    <row r="112" spans="1:11" ht="15.75" thickBot="1">
      <c r="A112" s="29" t="s">
        <v>43</v>
      </c>
      <c r="B112" s="25">
        <v>58.5</v>
      </c>
      <c r="C112" s="30">
        <f t="shared" si="1"/>
        <v>56.5</v>
      </c>
      <c r="D112" s="14">
        <v>0.56320512820512825</v>
      </c>
      <c r="E112" s="14">
        <v>0.13792307692307693</v>
      </c>
      <c r="F112" s="38">
        <v>0.14699487179487178</v>
      </c>
      <c r="G112" s="38">
        <v>0.19200000000000006</v>
      </c>
    </row>
    <row r="113" spans="1:8" ht="15.75" thickBot="1">
      <c r="A113" s="29" t="s">
        <v>44</v>
      </c>
      <c r="B113" s="25">
        <v>60.8</v>
      </c>
      <c r="C113" s="30">
        <f t="shared" si="1"/>
        <v>58.5</v>
      </c>
      <c r="D113" s="14">
        <v>0.57972861842105272</v>
      </c>
      <c r="E113" s="14">
        <v>0.14783717105263158</v>
      </c>
      <c r="F113" s="38">
        <v>0.15656578947368419</v>
      </c>
      <c r="G113" s="38">
        <v>0.19986842105263161</v>
      </c>
    </row>
    <row r="114" spans="1:8" ht="15.75" thickBot="1">
      <c r="A114" s="29" t="s">
        <v>45</v>
      </c>
      <c r="B114" s="25">
        <v>63.4</v>
      </c>
      <c r="C114" s="30">
        <f t="shared" si="1"/>
        <v>60.8</v>
      </c>
      <c r="D114" s="14">
        <v>0.5969637223974763</v>
      </c>
      <c r="E114" s="14">
        <v>0.15817823343848583</v>
      </c>
      <c r="F114" s="38">
        <v>0.16654889589905361</v>
      </c>
      <c r="G114" s="38">
        <v>0.20807570977917986</v>
      </c>
      <c r="H114">
        <f>B114*(1-E114)</f>
        <v>53.371499999999997</v>
      </c>
    </row>
    <row r="115" spans="1:8" ht="15.75" thickBot="1">
      <c r="A115" s="29" t="s">
        <v>46</v>
      </c>
      <c r="B115" s="25">
        <v>66.5</v>
      </c>
      <c r="C115" s="30">
        <f t="shared" si="1"/>
        <v>63.4</v>
      </c>
      <c r="D115" s="14">
        <v>0.61575187969924816</v>
      </c>
      <c r="E115" s="14">
        <v>0.16945112781954888</v>
      </c>
      <c r="F115" s="38">
        <v>0.17743157894736841</v>
      </c>
      <c r="G115" s="38">
        <v>0.21702255639097748</v>
      </c>
    </row>
    <row r="116" spans="1:8" ht="15.75" thickBot="1">
      <c r="A116" s="29" t="s">
        <v>47</v>
      </c>
      <c r="B116" s="25">
        <v>70.900000000000006</v>
      </c>
      <c r="C116" s="30">
        <f t="shared" si="1"/>
        <v>66.5</v>
      </c>
      <c r="D116" s="14">
        <v>0.63959802538787036</v>
      </c>
      <c r="E116" s="14">
        <v>0.18375881523272217</v>
      </c>
      <c r="F116" s="38">
        <v>0.19124400564174895</v>
      </c>
      <c r="G116" s="38">
        <v>0.22837799717912557</v>
      </c>
    </row>
    <row r="117" spans="1:8" ht="15.75" thickBot="1">
      <c r="A117" s="29" t="s">
        <v>48</v>
      </c>
      <c r="B117" s="25">
        <v>76.3</v>
      </c>
      <c r="C117" s="30">
        <f t="shared" si="1"/>
        <v>70.900000000000006</v>
      </c>
      <c r="D117" s="14">
        <v>0.66510484927916125</v>
      </c>
      <c r="E117" s="14">
        <v>0.19906290956749673</v>
      </c>
      <c r="F117" s="38">
        <v>0.20601834862385321</v>
      </c>
      <c r="G117" s="38">
        <v>0.24052424639580605</v>
      </c>
    </row>
    <row r="118" spans="1:8" ht="15.75" thickBot="1">
      <c r="A118" s="29" t="s">
        <v>49</v>
      </c>
      <c r="B118" s="25">
        <v>83.5</v>
      </c>
      <c r="C118" s="30">
        <f t="shared" si="1"/>
        <v>76.3</v>
      </c>
      <c r="D118" s="14">
        <v>0.69398203592814378</v>
      </c>
      <c r="E118" s="14">
        <v>0.21638922155688622</v>
      </c>
      <c r="F118" s="38">
        <v>0.22274491017964068</v>
      </c>
      <c r="G118" s="38">
        <v>0.25427544910179645</v>
      </c>
    </row>
    <row r="119" spans="1:8" ht="15.75" thickBot="1">
      <c r="A119" s="29" t="s">
        <v>50</v>
      </c>
      <c r="B119" s="25">
        <v>94.9</v>
      </c>
      <c r="C119" s="30">
        <f t="shared" si="1"/>
        <v>83.5</v>
      </c>
      <c r="D119" s="14">
        <v>0.73074288724973668</v>
      </c>
      <c r="E119" s="14">
        <v>0.23844573234984195</v>
      </c>
      <c r="F119" s="38">
        <v>0.24403793466807169</v>
      </c>
      <c r="G119" s="38">
        <v>0.27178082191780828</v>
      </c>
      <c r="H119">
        <f>B119*(1-E119)</f>
        <v>72.271500000000003</v>
      </c>
    </row>
    <row r="120" spans="1:8" ht="15.75" thickBot="1">
      <c r="A120" s="29" t="s">
        <v>51</v>
      </c>
      <c r="B120" s="25">
        <v>110.6</v>
      </c>
      <c r="C120" s="30">
        <f t="shared" si="1"/>
        <v>94.9</v>
      </c>
      <c r="D120" s="14">
        <v>0.76896473779385177</v>
      </c>
      <c r="E120" s="14">
        <v>0.26137884267631101</v>
      </c>
      <c r="F120" s="38">
        <v>0.26617721518987336</v>
      </c>
      <c r="G120" s="38">
        <v>0.28998191681735985</v>
      </c>
    </row>
    <row r="121" spans="1:8" ht="15.75" thickBot="1">
      <c r="A121" s="29" t="s">
        <v>52</v>
      </c>
      <c r="B121" s="25">
        <v>152.4</v>
      </c>
      <c r="C121" s="30">
        <f t="shared" si="1"/>
        <v>110.6</v>
      </c>
      <c r="D121" s="14">
        <v>0.83233267716535442</v>
      </c>
      <c r="E121" s="14">
        <v>0.29939960629921258</v>
      </c>
      <c r="F121" s="38">
        <v>0.30288188976377955</v>
      </c>
      <c r="G121" s="38">
        <v>0.32015748031496061</v>
      </c>
    </row>
    <row r="122" spans="1:8" ht="15.75" thickBot="1">
      <c r="A122" s="29" t="s">
        <v>53</v>
      </c>
      <c r="B122" s="201">
        <v>263.8</v>
      </c>
      <c r="C122" s="30">
        <f>B121</f>
        <v>152.4</v>
      </c>
      <c r="D122" s="14">
        <v>0.90313684609552691</v>
      </c>
      <c r="E122" s="14">
        <v>0.34188210765731619</v>
      </c>
      <c r="F122" s="38">
        <v>0.34389385898407882</v>
      </c>
      <c r="G122" s="38">
        <v>0.35387414708112208</v>
      </c>
    </row>
    <row r="123" spans="1:8" ht="15.75" thickBot="1">
      <c r="A123" s="29" t="s">
        <v>53</v>
      </c>
      <c r="B123" s="4" t="s">
        <v>128</v>
      </c>
      <c r="C123" s="30">
        <f t="shared" si="1"/>
        <v>263.8</v>
      </c>
      <c r="D123" s="11" t="s">
        <v>81</v>
      </c>
      <c r="E123" s="11"/>
      <c r="F123" s="39"/>
      <c r="G123" s="39"/>
    </row>
    <row r="124" spans="1:8">
      <c r="A124" s="29"/>
      <c r="B124" s="29"/>
      <c r="C124" s="29"/>
      <c r="D124" s="11"/>
      <c r="E124" s="32">
        <v>7.5893620956065722E-2</v>
      </c>
      <c r="F124" s="40">
        <v>8.1022482042287805E-2</v>
      </c>
      <c r="G124" s="40">
        <v>0.11321589151847591</v>
      </c>
    </row>
    <row r="125" spans="1:8" ht="60.75" thickBot="1">
      <c r="A125" s="33" t="s">
        <v>55</v>
      </c>
      <c r="B125" s="4">
        <v>33.799999999999997</v>
      </c>
      <c r="C125" s="29"/>
      <c r="D125" s="11"/>
      <c r="E125" s="34">
        <v>42.587499999999999</v>
      </c>
      <c r="F125" s="41">
        <v>41.113333333333337</v>
      </c>
      <c r="G125" s="42">
        <v>33.799999999999997</v>
      </c>
    </row>
    <row r="126" spans="1:8" ht="60.75" thickBot="1">
      <c r="A126" s="33" t="s">
        <v>56</v>
      </c>
      <c r="B126" s="4">
        <v>46.6</v>
      </c>
      <c r="C126" s="29"/>
      <c r="D126" s="11"/>
      <c r="E126" s="11"/>
      <c r="F126" s="39"/>
      <c r="G126" s="39"/>
    </row>
    <row r="127" spans="1:8" ht="97.5" thickBot="1">
      <c r="A127" s="35" t="s">
        <v>57</v>
      </c>
      <c r="B127" s="4">
        <v>20.279999999999998</v>
      </c>
      <c r="C127" s="29"/>
      <c r="D127" s="11"/>
      <c r="E127" s="11">
        <v>25.552499999999998</v>
      </c>
      <c r="F127" s="39">
        <v>24.668000000000003</v>
      </c>
      <c r="G127" s="39">
        <v>20.279999999999998</v>
      </c>
    </row>
    <row r="129" spans="1:7" ht="60.75" thickBot="1">
      <c r="A129" s="5" t="s">
        <v>56</v>
      </c>
      <c r="B129">
        <f>B126</f>
        <v>46.6</v>
      </c>
    </row>
    <row r="130" spans="1:7">
      <c r="A130" s="16" t="s">
        <v>64</v>
      </c>
      <c r="B130" s="17">
        <f>AVERAGE(B78:B117)</f>
        <v>42.587499999999999</v>
      </c>
      <c r="C130" s="17"/>
    </row>
    <row r="131" spans="1:7">
      <c r="A131" s="16" t="s">
        <v>65</v>
      </c>
      <c r="B131" s="18">
        <f>AVERAGE(B83:B112)</f>
        <v>41.113333333333337</v>
      </c>
      <c r="C131" s="18"/>
    </row>
    <row r="132" spans="1:7">
      <c r="A132" s="16" t="s">
        <v>66</v>
      </c>
      <c r="B132" s="18">
        <f>AVERAGE(B89:B107)</f>
        <v>40.715789473684218</v>
      </c>
      <c r="C132" s="18"/>
    </row>
    <row r="133" spans="1:7" ht="15.75" thickBot="1"/>
    <row r="134" spans="1:7" ht="15.75" thickBot="1">
      <c r="A134" s="522" t="s">
        <v>0</v>
      </c>
      <c r="B134" s="467" t="s">
        <v>78</v>
      </c>
      <c r="C134" s="468"/>
      <c r="D134" s="469"/>
      <c r="E134" s="19">
        <f>(1-E189)^(1/3)-1</f>
        <v>-3.0557350659302318E-2</v>
      </c>
      <c r="F134" s="19">
        <f>(1-F189)^(1/3)-1</f>
        <v>-3.5470404102154296E-2</v>
      </c>
      <c r="G134" s="19"/>
    </row>
    <row r="135" spans="1:7" ht="72.75" thickBot="1">
      <c r="A135" s="523"/>
      <c r="B135" s="1" t="s">
        <v>4</v>
      </c>
      <c r="C135" s="254"/>
      <c r="D135" s="11" t="s">
        <v>80</v>
      </c>
      <c r="E135" s="11" t="s">
        <v>5</v>
      </c>
      <c r="F135" s="39" t="s">
        <v>5</v>
      </c>
      <c r="G135" s="39"/>
    </row>
    <row r="136" spans="1:7" ht="24.75" thickBot="1">
      <c r="A136" s="524"/>
      <c r="B136" s="1" t="s">
        <v>9</v>
      </c>
      <c r="C136" s="254"/>
      <c r="D136" s="11" t="s">
        <v>7</v>
      </c>
      <c r="E136" s="11" t="s">
        <v>7</v>
      </c>
      <c r="F136" s="39" t="s">
        <v>7</v>
      </c>
      <c r="G136" s="39"/>
    </row>
    <row r="137" spans="1:7" ht="15.75" thickBot="1">
      <c r="A137" s="50">
        <v>1</v>
      </c>
      <c r="B137" s="51">
        <v>2</v>
      </c>
      <c r="C137" s="51"/>
      <c r="D137" s="51">
        <v>3</v>
      </c>
      <c r="E137" s="51">
        <v>4</v>
      </c>
      <c r="F137" s="52">
        <v>5</v>
      </c>
      <c r="G137" s="52"/>
    </row>
    <row r="138" spans="1:7" ht="15.75" thickBot="1">
      <c r="A138" s="8" t="s">
        <v>10</v>
      </c>
      <c r="B138" s="24">
        <v>0.12</v>
      </c>
      <c r="C138" s="255">
        <v>0</v>
      </c>
      <c r="D138" s="14">
        <v>0</v>
      </c>
      <c r="E138" s="14">
        <v>0</v>
      </c>
      <c r="F138" s="38">
        <v>0</v>
      </c>
      <c r="G138" s="38">
        <v>0</v>
      </c>
    </row>
    <row r="139" spans="1:7" ht="15.75" thickBot="1">
      <c r="A139" s="8" t="s">
        <v>58</v>
      </c>
      <c r="B139" s="25">
        <v>0.14000000000000001</v>
      </c>
      <c r="C139" s="30">
        <f>B138</f>
        <v>0.12</v>
      </c>
      <c r="D139" s="14">
        <v>0</v>
      </c>
      <c r="E139" s="14">
        <v>0</v>
      </c>
      <c r="F139" s="38">
        <v>0</v>
      </c>
      <c r="G139" s="38">
        <v>0</v>
      </c>
    </row>
    <row r="140" spans="1:7" ht="15.75" thickBot="1">
      <c r="A140" s="8" t="s">
        <v>59</v>
      </c>
      <c r="B140" s="25">
        <v>0.18</v>
      </c>
      <c r="C140" s="30">
        <f t="shared" ref="C140:C188" si="2">B139</f>
        <v>0.14000000000000001</v>
      </c>
      <c r="D140" s="14">
        <v>0</v>
      </c>
      <c r="E140" s="14">
        <v>0</v>
      </c>
      <c r="F140" s="38">
        <v>0</v>
      </c>
      <c r="G140" s="38">
        <v>0</v>
      </c>
    </row>
    <row r="141" spans="1:7" ht="15.75" thickBot="1">
      <c r="A141" s="8" t="s">
        <v>60</v>
      </c>
      <c r="B141" s="25">
        <v>0.21</v>
      </c>
      <c r="C141" s="30">
        <f t="shared" si="2"/>
        <v>0.18</v>
      </c>
      <c r="D141" s="14">
        <v>0</v>
      </c>
      <c r="E141" s="14">
        <v>0</v>
      </c>
      <c r="F141" s="38">
        <v>0</v>
      </c>
      <c r="G141" s="38">
        <v>0</v>
      </c>
    </row>
    <row r="142" spans="1:7" ht="15.75" thickBot="1">
      <c r="A142" s="8" t="s">
        <v>61</v>
      </c>
      <c r="B142" s="25">
        <v>0.26</v>
      </c>
      <c r="C142" s="30">
        <f t="shared" si="2"/>
        <v>0.21</v>
      </c>
      <c r="D142" s="14">
        <v>0</v>
      </c>
      <c r="E142" s="14">
        <v>0</v>
      </c>
      <c r="F142" s="38">
        <v>0</v>
      </c>
      <c r="G142" s="38">
        <v>0</v>
      </c>
    </row>
    <row r="143" spans="1:7" ht="15.75" thickBot="1">
      <c r="A143" s="8" t="s">
        <v>62</v>
      </c>
      <c r="B143" s="25">
        <v>0.32</v>
      </c>
      <c r="C143" s="30">
        <f t="shared" si="2"/>
        <v>0.26</v>
      </c>
      <c r="D143" s="14">
        <v>0</v>
      </c>
      <c r="E143" s="14">
        <v>0</v>
      </c>
      <c r="F143" s="38">
        <v>0</v>
      </c>
      <c r="G143" s="38">
        <v>0</v>
      </c>
    </row>
    <row r="144" spans="1:7" ht="15.75" thickBot="1">
      <c r="A144" s="8" t="s">
        <v>63</v>
      </c>
      <c r="B144" s="25">
        <v>0.35</v>
      </c>
      <c r="C144" s="30">
        <f t="shared" si="2"/>
        <v>0.32</v>
      </c>
      <c r="D144" s="14">
        <v>0</v>
      </c>
      <c r="E144" s="14">
        <v>0</v>
      </c>
      <c r="F144" s="38">
        <v>0</v>
      </c>
      <c r="G144" s="38">
        <v>0</v>
      </c>
    </row>
    <row r="145" spans="1:7" ht="15.75" thickBot="1">
      <c r="A145" s="3" t="s">
        <v>11</v>
      </c>
      <c r="B145" s="25">
        <v>0.37</v>
      </c>
      <c r="C145" s="30">
        <f t="shared" si="2"/>
        <v>0.35</v>
      </c>
      <c r="D145" s="14">
        <v>0</v>
      </c>
      <c r="E145" s="14">
        <v>0</v>
      </c>
      <c r="F145" s="38">
        <v>0</v>
      </c>
      <c r="G145" s="38">
        <v>0</v>
      </c>
    </row>
    <row r="146" spans="1:7" ht="15.75" thickBot="1">
      <c r="A146" s="3" t="s">
        <v>12</v>
      </c>
      <c r="B146" s="25">
        <v>0.39</v>
      </c>
      <c r="C146" s="30">
        <f t="shared" si="2"/>
        <v>0.37</v>
      </c>
      <c r="D146" s="14">
        <v>0</v>
      </c>
      <c r="E146" s="14">
        <v>0</v>
      </c>
      <c r="F146" s="38">
        <v>0</v>
      </c>
      <c r="G146" s="38">
        <v>0</v>
      </c>
    </row>
    <row r="147" spans="1:7" ht="15.75" thickBot="1">
      <c r="A147" s="3" t="s">
        <v>13</v>
      </c>
      <c r="B147" s="25">
        <v>0.42</v>
      </c>
      <c r="C147" s="30">
        <f t="shared" si="2"/>
        <v>0.39</v>
      </c>
      <c r="D147" s="14">
        <v>0</v>
      </c>
      <c r="E147" s="14">
        <v>0</v>
      </c>
      <c r="F147" s="38">
        <v>0</v>
      </c>
      <c r="G147" s="38">
        <v>0</v>
      </c>
    </row>
    <row r="148" spans="1:7" ht="15.75" thickBot="1">
      <c r="A148" s="3" t="s">
        <v>14</v>
      </c>
      <c r="B148" s="25">
        <v>0.52</v>
      </c>
      <c r="C148" s="30">
        <f t="shared" si="2"/>
        <v>0.42</v>
      </c>
      <c r="D148" s="14">
        <v>0</v>
      </c>
      <c r="E148" s="14">
        <v>0</v>
      </c>
      <c r="F148" s="38">
        <v>0</v>
      </c>
      <c r="G148" s="38">
        <v>0</v>
      </c>
    </row>
    <row r="149" spans="1:7" ht="15.75" thickBot="1">
      <c r="A149" s="3" t="s">
        <v>15</v>
      </c>
      <c r="B149" s="25">
        <v>0.57999999999999996</v>
      </c>
      <c r="C149" s="30">
        <f t="shared" si="2"/>
        <v>0.52</v>
      </c>
      <c r="D149" s="14">
        <v>0</v>
      </c>
      <c r="E149" s="14">
        <v>0</v>
      </c>
      <c r="F149" s="38">
        <v>0</v>
      </c>
      <c r="G149" s="38">
        <v>0</v>
      </c>
    </row>
    <row r="150" spans="1:7" ht="15.75" thickBot="1">
      <c r="A150" s="3" t="s">
        <v>16</v>
      </c>
      <c r="B150" s="25">
        <v>0.64</v>
      </c>
      <c r="C150" s="30">
        <f t="shared" si="2"/>
        <v>0.57999999999999996</v>
      </c>
      <c r="D150" s="14">
        <v>0</v>
      </c>
      <c r="E150" s="14">
        <v>0</v>
      </c>
      <c r="F150" s="38">
        <v>0</v>
      </c>
      <c r="G150" s="38">
        <v>0</v>
      </c>
    </row>
    <row r="151" spans="1:7" ht="15.75" thickBot="1">
      <c r="A151" s="3" t="s">
        <v>17</v>
      </c>
      <c r="B151" s="25">
        <v>0.68</v>
      </c>
      <c r="C151" s="30">
        <f t="shared" si="2"/>
        <v>0.64</v>
      </c>
      <c r="D151" s="14">
        <v>0</v>
      </c>
      <c r="E151" s="14">
        <v>0</v>
      </c>
      <c r="F151" s="38">
        <v>0</v>
      </c>
      <c r="G151" s="38">
        <v>0</v>
      </c>
    </row>
    <row r="152" spans="1:7" ht="15.75" thickBot="1">
      <c r="A152" s="3" t="s">
        <v>18</v>
      </c>
      <c r="B152" s="25">
        <v>0.72</v>
      </c>
      <c r="C152" s="30">
        <f t="shared" si="2"/>
        <v>0.68</v>
      </c>
      <c r="D152" s="14">
        <v>0</v>
      </c>
      <c r="E152" s="14">
        <v>0</v>
      </c>
      <c r="F152" s="38">
        <v>0</v>
      </c>
      <c r="G152" s="38">
        <v>0</v>
      </c>
    </row>
    <row r="153" spans="1:7" ht="15.75" thickBot="1">
      <c r="A153" s="3" t="s">
        <v>19</v>
      </c>
      <c r="B153" s="25">
        <v>0.78</v>
      </c>
      <c r="C153" s="30">
        <f t="shared" si="2"/>
        <v>0.72</v>
      </c>
      <c r="D153" s="14">
        <v>0</v>
      </c>
      <c r="E153" s="14">
        <v>0</v>
      </c>
      <c r="F153" s="38">
        <v>0</v>
      </c>
      <c r="G153" s="38">
        <v>0</v>
      </c>
    </row>
    <row r="154" spans="1:7" ht="15.75" thickBot="1">
      <c r="A154" s="3" t="s">
        <v>20</v>
      </c>
      <c r="B154" s="25">
        <v>0.86</v>
      </c>
      <c r="C154" s="30">
        <f t="shared" si="2"/>
        <v>0.78</v>
      </c>
      <c r="D154" s="14">
        <v>0</v>
      </c>
      <c r="E154" s="14">
        <v>0</v>
      </c>
      <c r="F154" s="38">
        <v>0</v>
      </c>
      <c r="G154" s="38">
        <v>0</v>
      </c>
    </row>
    <row r="155" spans="1:7" ht="15.75" thickBot="1">
      <c r="A155" s="3" t="s">
        <v>21</v>
      </c>
      <c r="B155" s="25">
        <v>0.9</v>
      </c>
      <c r="C155" s="30">
        <f t="shared" si="2"/>
        <v>0.86</v>
      </c>
      <c r="D155" s="14">
        <v>0</v>
      </c>
      <c r="E155" s="14">
        <v>0</v>
      </c>
      <c r="F155" s="38">
        <v>9.111111111111095E-4</v>
      </c>
      <c r="G155" s="38">
        <v>0</v>
      </c>
    </row>
    <row r="156" spans="1:7" ht="15.75" thickBot="1">
      <c r="A156" s="3" t="s">
        <v>22</v>
      </c>
      <c r="B156" s="25">
        <v>0.94</v>
      </c>
      <c r="C156" s="30">
        <f t="shared" si="2"/>
        <v>0.9</v>
      </c>
      <c r="D156" s="14">
        <v>0</v>
      </c>
      <c r="E156" s="14">
        <v>0</v>
      </c>
      <c r="F156" s="38">
        <v>5.1276595744680761E-3</v>
      </c>
      <c r="G156" s="38">
        <v>0</v>
      </c>
    </row>
    <row r="157" spans="1:7" ht="15.75" thickBot="1">
      <c r="A157" s="3" t="s">
        <v>23</v>
      </c>
      <c r="B157" s="25">
        <v>0.99</v>
      </c>
      <c r="C157" s="30">
        <f t="shared" si="2"/>
        <v>0.94</v>
      </c>
      <c r="D157" s="14">
        <v>0</v>
      </c>
      <c r="E157" s="14">
        <v>0</v>
      </c>
      <c r="F157" s="38">
        <v>9.9191919191919144E-3</v>
      </c>
      <c r="G157" s="38">
        <v>0</v>
      </c>
    </row>
    <row r="158" spans="1:7" ht="15.75" thickBot="1">
      <c r="A158" s="3" t="s">
        <v>24</v>
      </c>
      <c r="B158" s="25">
        <v>1.04</v>
      </c>
      <c r="C158" s="30">
        <f t="shared" si="2"/>
        <v>0.99</v>
      </c>
      <c r="D158" s="14">
        <v>4.3750000000000516E-3</v>
      </c>
      <c r="E158" s="14">
        <v>4.3750000000000521E-4</v>
      </c>
      <c r="F158" s="38">
        <v>1.4249999999999999E-2</v>
      </c>
      <c r="G158" s="38">
        <v>0</v>
      </c>
    </row>
    <row r="159" spans="1:7" ht="15.75" thickBot="1">
      <c r="A159" s="3" t="s">
        <v>25</v>
      </c>
      <c r="B159" s="25">
        <v>1.0900000000000001</v>
      </c>
      <c r="C159" s="30">
        <f t="shared" si="2"/>
        <v>1.04</v>
      </c>
      <c r="D159" s="14">
        <v>5.0045871559633116E-2</v>
      </c>
      <c r="E159" s="14"/>
      <c r="F159" s="38">
        <v>1.8183486238532113E-2</v>
      </c>
      <c r="G159" s="38">
        <v>0</v>
      </c>
    </row>
    <row r="160" spans="1:7" ht="15.75" thickBot="1">
      <c r="A160" s="3" t="s">
        <v>26</v>
      </c>
      <c r="B160" s="25">
        <v>1.1200000000000001</v>
      </c>
      <c r="C160" s="30">
        <f t="shared" si="2"/>
        <v>1.0900000000000001</v>
      </c>
      <c r="D160" s="14">
        <v>7.5491071428571532E-2</v>
      </c>
      <c r="E160" s="14"/>
      <c r="F160" s="38">
        <v>2.0375000000000004E-2</v>
      </c>
      <c r="G160" s="38">
        <v>0</v>
      </c>
    </row>
    <row r="161" spans="1:7" ht="15.75" thickBot="1">
      <c r="A161" s="3" t="s">
        <v>27</v>
      </c>
      <c r="B161" s="25">
        <v>1.19</v>
      </c>
      <c r="C161" s="30">
        <f t="shared" si="2"/>
        <v>1.1200000000000001</v>
      </c>
      <c r="D161" s="14">
        <v>0.12987394957983192</v>
      </c>
      <c r="E161" s="14">
        <v>1.298739495798319E-2</v>
      </c>
      <c r="F161" s="38">
        <v>2.5058823529411758E-2</v>
      </c>
      <c r="G161" s="38">
        <v>0</v>
      </c>
    </row>
    <row r="162" spans="1:7" ht="15.75" thickBot="1">
      <c r="A162" s="3" t="s">
        <v>28</v>
      </c>
      <c r="B162" s="25">
        <v>1.28</v>
      </c>
      <c r="C162" s="30">
        <f t="shared" si="2"/>
        <v>1.19</v>
      </c>
      <c r="D162" s="14">
        <v>0.19105468750000004</v>
      </c>
      <c r="E162" s="14">
        <v>1.9105468750000004E-2</v>
      </c>
      <c r="F162" s="38">
        <v>3.0328125000000001E-2</v>
      </c>
      <c r="G162" s="38">
        <v>0</v>
      </c>
    </row>
    <row r="163" spans="1:7" ht="15.75" thickBot="1">
      <c r="A163" s="3" t="s">
        <v>29</v>
      </c>
      <c r="B163" s="25">
        <v>1.34</v>
      </c>
      <c r="C163" s="30">
        <f t="shared" si="2"/>
        <v>1.28</v>
      </c>
      <c r="D163" s="14">
        <v>0.22727611940298514</v>
      </c>
      <c r="E163" s="14">
        <v>2.2727611940298514E-2</v>
      </c>
      <c r="F163" s="38">
        <v>3.3447761194029854E-2</v>
      </c>
      <c r="G163" s="38">
        <v>0</v>
      </c>
    </row>
    <row r="164" spans="1:7" ht="15.75" thickBot="1">
      <c r="A164" s="3" t="s">
        <v>30</v>
      </c>
      <c r="B164" s="25">
        <v>1.43</v>
      </c>
      <c r="C164" s="30">
        <f t="shared" si="2"/>
        <v>1.34</v>
      </c>
      <c r="D164" s="14">
        <v>0.27590909090909088</v>
      </c>
      <c r="E164" s="14">
        <v>2.759090909090909E-2</v>
      </c>
      <c r="F164" s="38">
        <v>3.7636363636363634E-2</v>
      </c>
      <c r="G164" s="38">
        <v>0</v>
      </c>
    </row>
    <row r="165" spans="1:7" ht="15.75" thickBot="1">
      <c r="A165" s="3" t="s">
        <v>31</v>
      </c>
      <c r="B165" s="25">
        <v>1.47</v>
      </c>
      <c r="C165" s="30">
        <f t="shared" si="2"/>
        <v>1.43</v>
      </c>
      <c r="D165" s="14">
        <v>0.29561224489795918</v>
      </c>
      <c r="E165" s="14">
        <v>2.956122448979592E-2</v>
      </c>
      <c r="F165" s="38">
        <v>3.9333333333333331E-2</v>
      </c>
      <c r="G165" s="38">
        <v>2.0408163265306142E-3</v>
      </c>
    </row>
    <row r="166" spans="1:7" ht="15.75" thickBot="1">
      <c r="A166" s="3" t="s">
        <v>32</v>
      </c>
      <c r="B166" s="25">
        <v>1.55</v>
      </c>
      <c r="C166" s="30">
        <f t="shared" si="2"/>
        <v>1.47</v>
      </c>
      <c r="D166" s="14">
        <v>0.3319677419354839</v>
      </c>
      <c r="E166" s="14">
        <v>3.3196774193548391E-2</v>
      </c>
      <c r="F166" s="38">
        <v>5.4787096774193529E-2</v>
      </c>
      <c r="G166" s="38">
        <v>7.0967741935483936E-3</v>
      </c>
    </row>
    <row r="167" spans="1:7" ht="15.75" thickBot="1">
      <c r="A167" s="3" t="s">
        <v>33</v>
      </c>
      <c r="B167" s="25">
        <v>1.65</v>
      </c>
      <c r="C167" s="30">
        <f t="shared" si="2"/>
        <v>1.55</v>
      </c>
      <c r="D167" s="14">
        <v>0.37245454545454543</v>
      </c>
      <c r="E167" s="14">
        <v>3.7245454545454547E-2</v>
      </c>
      <c r="F167" s="38">
        <v>7.5709090909090865E-2</v>
      </c>
      <c r="G167" s="38">
        <v>1.2727272727272726E-2</v>
      </c>
    </row>
    <row r="168" spans="1:7" ht="15.75" thickBot="1">
      <c r="A168" s="3" t="s">
        <v>34</v>
      </c>
      <c r="B168" s="25">
        <v>1.72</v>
      </c>
      <c r="C168" s="30">
        <f t="shared" si="2"/>
        <v>1.65</v>
      </c>
      <c r="D168" s="14">
        <v>0.39799418604651166</v>
      </c>
      <c r="E168" s="14">
        <v>3.9799418604651166E-2</v>
      </c>
      <c r="F168" s="38">
        <v>8.8906976744186017E-2</v>
      </c>
      <c r="G168" s="38">
        <v>1.6279069767441864E-2</v>
      </c>
    </row>
    <row r="169" spans="1:7" ht="15.75" thickBot="1">
      <c r="A169" s="3" t="s">
        <v>35</v>
      </c>
      <c r="B169" s="25">
        <v>1.85</v>
      </c>
      <c r="C169" s="30">
        <f t="shared" si="2"/>
        <v>1.72</v>
      </c>
      <c r="D169" s="14">
        <v>0.44029729729729733</v>
      </c>
      <c r="E169" s="14">
        <v>6.4178378378378378E-2</v>
      </c>
      <c r="F169" s="38">
        <v>0.11076756756756756</v>
      </c>
      <c r="G169" s="38">
        <v>2.2162162162162168E-2</v>
      </c>
    </row>
    <row r="170" spans="1:7" ht="15.75" thickBot="1">
      <c r="A170" s="3" t="s">
        <v>36</v>
      </c>
      <c r="B170" s="25">
        <v>1.93</v>
      </c>
      <c r="C170" s="30">
        <f t="shared" si="2"/>
        <v>1.85</v>
      </c>
      <c r="D170" s="14">
        <v>0.46349740932642486</v>
      </c>
      <c r="E170" s="14">
        <v>7.809844559585491E-2</v>
      </c>
      <c r="F170" s="38">
        <v>0.1227564766839378</v>
      </c>
      <c r="G170" s="38">
        <v>2.5388601036269432E-2</v>
      </c>
    </row>
    <row r="171" spans="1:7" ht="15.75" thickBot="1">
      <c r="A171" s="3" t="s">
        <v>37</v>
      </c>
      <c r="B171" s="25">
        <v>2.08</v>
      </c>
      <c r="C171" s="30">
        <f t="shared" si="2"/>
        <v>1.93</v>
      </c>
      <c r="D171" s="14">
        <v>0.50218750000000001</v>
      </c>
      <c r="E171" s="14">
        <v>0.10131250000000001</v>
      </c>
      <c r="F171" s="38">
        <v>0.14274999999999999</v>
      </c>
      <c r="G171" s="38">
        <v>3.0769230769230774E-2</v>
      </c>
    </row>
    <row r="172" spans="1:7" ht="15.75" thickBot="1">
      <c r="A172" s="3" t="s">
        <v>38</v>
      </c>
      <c r="B172" s="25">
        <v>2.2400000000000002</v>
      </c>
      <c r="C172" s="30">
        <f t="shared" si="2"/>
        <v>2.08</v>
      </c>
      <c r="D172" s="14">
        <v>0.53774553571428574</v>
      </c>
      <c r="E172" s="14">
        <v>0.12264732142857146</v>
      </c>
      <c r="F172" s="38">
        <v>0.16112500000000002</v>
      </c>
      <c r="G172" s="38">
        <v>3.5714285714285726E-2</v>
      </c>
    </row>
    <row r="173" spans="1:7" ht="15.75" thickBot="1">
      <c r="A173" s="3" t="s">
        <v>39</v>
      </c>
      <c r="B173" s="25">
        <v>2.36</v>
      </c>
      <c r="C173" s="30">
        <f t="shared" si="2"/>
        <v>2.2400000000000002</v>
      </c>
      <c r="D173" s="14">
        <v>0.56125000000000003</v>
      </c>
      <c r="E173" s="14">
        <v>0.13674999999999998</v>
      </c>
      <c r="F173" s="38">
        <v>0.17327118644067796</v>
      </c>
      <c r="G173" s="38">
        <v>3.898305084745763E-2</v>
      </c>
    </row>
    <row r="174" spans="1:7" ht="15.75" thickBot="1">
      <c r="A174" s="3" t="s">
        <v>40</v>
      </c>
      <c r="B174" s="25">
        <v>2.5099999999999998</v>
      </c>
      <c r="C174" s="30">
        <f t="shared" si="2"/>
        <v>2.36</v>
      </c>
      <c r="D174" s="14">
        <v>0.5874701195219123</v>
      </c>
      <c r="E174" s="14">
        <v>0.15248207171314737</v>
      </c>
      <c r="F174" s="38">
        <v>0.18682071713147408</v>
      </c>
      <c r="G174" s="38">
        <v>5.577689243027887E-2</v>
      </c>
    </row>
    <row r="175" spans="1:7" ht="15.75" thickBot="1">
      <c r="A175" s="3" t="s">
        <v>41</v>
      </c>
      <c r="B175" s="25">
        <v>2.71</v>
      </c>
      <c r="C175" s="30">
        <f t="shared" si="2"/>
        <v>2.5099999999999998</v>
      </c>
      <c r="D175" s="14">
        <v>0.61791512915129154</v>
      </c>
      <c r="E175" s="14">
        <v>0.17074907749077489</v>
      </c>
      <c r="F175" s="38">
        <v>0.20255350553505533</v>
      </c>
      <c r="G175" s="38">
        <v>8.1180811808118092E-2</v>
      </c>
    </row>
    <row r="176" spans="1:7" ht="15.75" thickBot="1">
      <c r="A176" s="3" t="s">
        <v>42</v>
      </c>
      <c r="B176" s="25">
        <v>3.07</v>
      </c>
      <c r="C176" s="30">
        <f t="shared" si="2"/>
        <v>2.71</v>
      </c>
      <c r="D176" s="14">
        <v>0.66271986970684038</v>
      </c>
      <c r="E176" s="14">
        <v>0.19763192182410425</v>
      </c>
      <c r="F176" s="38">
        <v>0.22570684039087949</v>
      </c>
      <c r="G176" s="38">
        <v>0.11856677524429968</v>
      </c>
    </row>
    <row r="177" spans="1:7" ht="15.75" thickBot="1">
      <c r="A177" s="3" t="s">
        <v>43</v>
      </c>
      <c r="B177" s="25">
        <v>3.35</v>
      </c>
      <c r="C177" s="30">
        <f t="shared" si="2"/>
        <v>3.07</v>
      </c>
      <c r="D177" s="14">
        <v>0.69091044776119404</v>
      </c>
      <c r="E177" s="14">
        <v>0.21454626865671644</v>
      </c>
      <c r="F177" s="38">
        <v>0.24027462686567166</v>
      </c>
      <c r="G177" s="38">
        <v>0.14208955223880598</v>
      </c>
    </row>
    <row r="178" spans="1:7" ht="15.75" thickBot="1">
      <c r="A178" s="3" t="s">
        <v>44</v>
      </c>
      <c r="B178" s="25">
        <v>3.6</v>
      </c>
      <c r="C178" s="30">
        <f t="shared" si="2"/>
        <v>3.35</v>
      </c>
      <c r="D178" s="14">
        <v>0.71237499999999998</v>
      </c>
      <c r="E178" s="14">
        <v>0.22742500000000002</v>
      </c>
      <c r="F178" s="38">
        <v>0.25136666666666668</v>
      </c>
      <c r="G178" s="38">
        <v>0.16</v>
      </c>
    </row>
    <row r="179" spans="1:7" ht="15.75" thickBot="1">
      <c r="A179" s="3" t="s">
        <v>45</v>
      </c>
      <c r="B179" s="25">
        <v>3.84</v>
      </c>
      <c r="C179" s="30">
        <f t="shared" si="2"/>
        <v>3.6</v>
      </c>
      <c r="D179" s="14">
        <v>0.7303515625</v>
      </c>
      <c r="E179" s="14">
        <v>0.2382109375</v>
      </c>
      <c r="F179" s="38">
        <v>0.26065624999999998</v>
      </c>
      <c r="G179" s="38">
        <v>0.17499999999999999</v>
      </c>
    </row>
    <row r="180" spans="1:7" ht="15.75" thickBot="1">
      <c r="A180" s="3" t="s">
        <v>46</v>
      </c>
      <c r="B180" s="25">
        <v>4.17</v>
      </c>
      <c r="C180" s="30">
        <f t="shared" si="2"/>
        <v>3.84</v>
      </c>
      <c r="D180" s="14">
        <v>0.75169064748201442</v>
      </c>
      <c r="E180" s="14">
        <v>0.2510143884892086</v>
      </c>
      <c r="F180" s="38">
        <v>0.27168345323741006</v>
      </c>
      <c r="G180" s="38">
        <v>0.19280575539568348</v>
      </c>
    </row>
    <row r="181" spans="1:7" ht="15.75" thickBot="1">
      <c r="A181" s="3" t="s">
        <v>47</v>
      </c>
      <c r="B181" s="25">
        <v>5.12</v>
      </c>
      <c r="C181" s="30">
        <f t="shared" si="2"/>
        <v>4.17</v>
      </c>
      <c r="D181" s="14">
        <v>0.79776367187499997</v>
      </c>
      <c r="E181" s="14">
        <v>0.278658203125</v>
      </c>
      <c r="F181" s="38">
        <v>0.2954921875</v>
      </c>
      <c r="G181" s="38">
        <v>0.23125000000000004</v>
      </c>
    </row>
    <row r="182" spans="1:7" ht="15.75" thickBot="1">
      <c r="A182" s="3" t="s">
        <v>48</v>
      </c>
      <c r="B182" s="25">
        <v>5.86</v>
      </c>
      <c r="C182" s="30">
        <f t="shared" si="2"/>
        <v>5.12</v>
      </c>
      <c r="D182" s="14">
        <v>0.82330204778157001</v>
      </c>
      <c r="E182" s="14">
        <v>0.29398122866894194</v>
      </c>
      <c r="F182" s="38">
        <v>0.30868941979522185</v>
      </c>
      <c r="G182" s="38">
        <v>0.25255972696245738</v>
      </c>
    </row>
    <row r="183" spans="1:7" ht="15.75" thickBot="1">
      <c r="A183" s="3" t="s">
        <v>49</v>
      </c>
      <c r="B183" s="25">
        <v>6.28</v>
      </c>
      <c r="C183" s="30">
        <f t="shared" si="2"/>
        <v>5.86</v>
      </c>
      <c r="D183" s="14">
        <v>0.83511942675159234</v>
      </c>
      <c r="E183" s="14">
        <v>0.30107165605095537</v>
      </c>
      <c r="F183" s="38">
        <v>0.31479617834394907</v>
      </c>
      <c r="G183" s="38">
        <v>0.26242038216560515</v>
      </c>
    </row>
    <row r="184" spans="1:7" ht="15.75" thickBot="1">
      <c r="A184" s="3" t="s">
        <v>50</v>
      </c>
      <c r="B184" s="25">
        <v>7.42</v>
      </c>
      <c r="C184" s="30">
        <f t="shared" si="2"/>
        <v>6.28</v>
      </c>
      <c r="D184" s="14">
        <v>0.86045148247978431</v>
      </c>
      <c r="E184" s="14">
        <v>0.31627088948787069</v>
      </c>
      <c r="F184" s="38">
        <v>0.3278867924528302</v>
      </c>
      <c r="G184" s="38">
        <v>0.28355795148247981</v>
      </c>
    </row>
    <row r="185" spans="1:7" ht="15.75" thickBot="1">
      <c r="A185" s="3" t="s">
        <v>51</v>
      </c>
      <c r="B185" s="25">
        <v>9.19</v>
      </c>
      <c r="C185" s="30">
        <f t="shared" si="2"/>
        <v>7.42</v>
      </c>
      <c r="D185" s="14">
        <v>0.88732861806311214</v>
      </c>
      <c r="E185" s="14">
        <v>0.3323971708378673</v>
      </c>
      <c r="F185" s="38">
        <v>0.34177584330794342</v>
      </c>
      <c r="G185" s="38">
        <v>0.30598476605005442</v>
      </c>
    </row>
    <row r="186" spans="1:7" ht="15.75" thickBot="1">
      <c r="A186" s="3" t="s">
        <v>52</v>
      </c>
      <c r="B186" s="25">
        <v>14.37</v>
      </c>
      <c r="C186" s="30">
        <f t="shared" si="2"/>
        <v>9.19</v>
      </c>
      <c r="D186" s="14">
        <v>0.92794363256784973</v>
      </c>
      <c r="E186" s="14">
        <v>0.35676617954070983</v>
      </c>
      <c r="F186" s="38">
        <v>0.36276409185803754</v>
      </c>
      <c r="G186" s="38">
        <v>0.33987473903966597</v>
      </c>
    </row>
    <row r="187" spans="1:7" ht="15.75" thickBot="1">
      <c r="A187" s="3" t="s">
        <v>53</v>
      </c>
      <c r="B187" s="201">
        <v>25.43</v>
      </c>
      <c r="C187" s="30">
        <f>B186</f>
        <v>14.37</v>
      </c>
      <c r="D187" s="14">
        <v>0.9592823436885568</v>
      </c>
      <c r="E187" s="14">
        <v>0.37556940621313406</v>
      </c>
      <c r="F187" s="38">
        <v>0.37895871018482108</v>
      </c>
      <c r="G187" s="38">
        <v>0.36602438065277237</v>
      </c>
    </row>
    <row r="188" spans="1:7" ht="15.75" thickBot="1">
      <c r="A188" s="3" t="s">
        <v>53</v>
      </c>
      <c r="B188" s="3" t="s">
        <v>129</v>
      </c>
      <c r="C188" s="30">
        <f t="shared" si="2"/>
        <v>25.43</v>
      </c>
      <c r="D188" s="22"/>
      <c r="E188" s="1"/>
      <c r="F188" s="37"/>
      <c r="G188" s="39"/>
    </row>
    <row r="189" spans="1:7" ht="15.75" thickBot="1">
      <c r="A189" s="3"/>
      <c r="B189" s="3"/>
      <c r="C189" s="4"/>
      <c r="D189" s="22"/>
      <c r="E189" s="15">
        <v>8.8899329917453931E-2</v>
      </c>
      <c r="F189" s="26">
        <v>0.10268139067852113</v>
      </c>
      <c r="G189" s="26">
        <v>6.3165059940288412E-2</v>
      </c>
    </row>
    <row r="190" spans="1:7" ht="60.75" thickBot="1">
      <c r="A190" s="5" t="s">
        <v>55</v>
      </c>
      <c r="B190" s="202">
        <v>1.2</v>
      </c>
      <c r="C190" s="4"/>
      <c r="D190" s="22"/>
      <c r="E190" s="12">
        <v>1.7257500000000001</v>
      </c>
      <c r="F190" s="45">
        <v>1.4863333333333335</v>
      </c>
      <c r="G190" s="46">
        <v>1.2</v>
      </c>
    </row>
    <row r="191" spans="1:7" ht="60.75" thickBot="1">
      <c r="A191" s="5" t="s">
        <v>56</v>
      </c>
      <c r="B191" s="201">
        <v>2.4700000000000002</v>
      </c>
      <c r="C191" s="4"/>
      <c r="D191" s="1"/>
      <c r="E191" s="1"/>
      <c r="F191" s="37"/>
      <c r="G191" s="37"/>
    </row>
    <row r="192" spans="1:7" ht="97.5" thickBot="1">
      <c r="A192" s="6" t="s">
        <v>57</v>
      </c>
      <c r="B192" s="4">
        <v>0.72</v>
      </c>
      <c r="C192" s="4"/>
      <c r="D192" s="1"/>
      <c r="E192" s="1">
        <v>1.03545</v>
      </c>
      <c r="F192" s="37">
        <v>0.89180000000000004</v>
      </c>
      <c r="G192" s="37">
        <v>0.72</v>
      </c>
    </row>
    <row r="195" spans="1:7">
      <c r="A195" s="16" t="s">
        <v>64</v>
      </c>
      <c r="B195" s="17">
        <f>AVERAGE(B143:B182)</f>
        <v>1.7257500000000001</v>
      </c>
      <c r="C195" s="17"/>
    </row>
    <row r="196" spans="1:7">
      <c r="A196" s="16" t="s">
        <v>65</v>
      </c>
      <c r="B196" s="18">
        <f>AVERAGE(B148:B177)</f>
        <v>1.4863333333333335</v>
      </c>
      <c r="C196" s="18"/>
    </row>
    <row r="197" spans="1:7">
      <c r="A197" s="16" t="s">
        <v>66</v>
      </c>
      <c r="B197" s="18">
        <f>AVERAGE(B154:B172)</f>
        <v>1.4036842105263159</v>
      </c>
      <c r="C197" s="18"/>
    </row>
    <row r="200" spans="1:7" ht="15" customHeight="1">
      <c r="A200" s="473" t="s">
        <v>0</v>
      </c>
      <c r="B200" s="473" t="s">
        <v>3</v>
      </c>
      <c r="C200" s="473"/>
      <c r="D200" s="473"/>
      <c r="E200" s="40">
        <f>(1-E255)^(1/3)-1</f>
        <v>-3.1056871104132799E-2</v>
      </c>
      <c r="F200" s="40">
        <f>(1-F255)^(1/3)-1</f>
        <v>-3.5095476064036069E-2</v>
      </c>
      <c r="G200" s="40"/>
    </row>
    <row r="201" spans="1:7" ht="72">
      <c r="A201" s="473"/>
      <c r="B201" s="11" t="s">
        <v>4</v>
      </c>
      <c r="C201" s="11"/>
      <c r="D201" s="11" t="s">
        <v>80</v>
      </c>
      <c r="E201" s="11" t="s">
        <v>5</v>
      </c>
      <c r="F201" s="39" t="s">
        <v>5</v>
      </c>
      <c r="G201" s="39"/>
    </row>
    <row r="202" spans="1:7" ht="24">
      <c r="A202" s="473"/>
      <c r="B202" s="11" t="s">
        <v>9</v>
      </c>
      <c r="C202" s="11"/>
      <c r="D202" s="11" t="s">
        <v>7</v>
      </c>
      <c r="E202" s="55" t="s">
        <v>65</v>
      </c>
      <c r="F202" s="39"/>
      <c r="G202" s="56"/>
    </row>
    <row r="203" spans="1:7" ht="15.75" thickBot="1">
      <c r="A203" s="50">
        <v>1</v>
      </c>
      <c r="B203" s="51">
        <v>2</v>
      </c>
      <c r="C203" s="51"/>
      <c r="D203" s="51">
        <v>3</v>
      </c>
      <c r="E203" s="51">
        <v>4</v>
      </c>
      <c r="F203" s="52">
        <v>5</v>
      </c>
      <c r="G203" s="52"/>
    </row>
    <row r="204" spans="1:7" ht="15.75" thickBot="1">
      <c r="A204" s="27" t="s">
        <v>10</v>
      </c>
      <c r="B204" s="24">
        <v>0.12</v>
      </c>
      <c r="C204" s="163">
        <v>0</v>
      </c>
      <c r="D204" s="14">
        <v>0</v>
      </c>
      <c r="E204" s="14">
        <v>0</v>
      </c>
      <c r="F204" s="38">
        <v>0</v>
      </c>
      <c r="G204" s="38">
        <v>0</v>
      </c>
    </row>
    <row r="205" spans="1:7" ht="15.75" thickBot="1">
      <c r="A205" s="27" t="s">
        <v>58</v>
      </c>
      <c r="B205" s="25">
        <v>0.15</v>
      </c>
      <c r="C205" s="30">
        <f>B204</f>
        <v>0.12</v>
      </c>
      <c r="D205" s="14">
        <v>0</v>
      </c>
      <c r="E205" s="14">
        <v>0</v>
      </c>
      <c r="F205" s="38">
        <v>0</v>
      </c>
      <c r="G205" s="38">
        <v>0</v>
      </c>
    </row>
    <row r="206" spans="1:7" ht="15.75" thickBot="1">
      <c r="A206" s="27" t="s">
        <v>59</v>
      </c>
      <c r="B206" s="25">
        <v>0.2</v>
      </c>
      <c r="C206" s="30">
        <f t="shared" ref="C206:C254" si="3">B205</f>
        <v>0.15</v>
      </c>
      <c r="D206" s="14">
        <v>0</v>
      </c>
      <c r="E206" s="14">
        <v>0</v>
      </c>
      <c r="F206" s="38">
        <v>0</v>
      </c>
      <c r="G206" s="38">
        <v>0</v>
      </c>
    </row>
    <row r="207" spans="1:7" ht="15.75" thickBot="1">
      <c r="A207" s="27" t="s">
        <v>60</v>
      </c>
      <c r="B207" s="25">
        <v>0.28000000000000003</v>
      </c>
      <c r="C207" s="30">
        <f t="shared" si="3"/>
        <v>0.2</v>
      </c>
      <c r="D207" s="14">
        <v>0</v>
      </c>
      <c r="E207" s="14">
        <v>0</v>
      </c>
      <c r="F207" s="38">
        <v>0</v>
      </c>
      <c r="G207" s="38">
        <v>0</v>
      </c>
    </row>
    <row r="208" spans="1:7" ht="15.75" thickBot="1">
      <c r="A208" s="27" t="s">
        <v>61</v>
      </c>
      <c r="B208" s="25">
        <v>0.34</v>
      </c>
      <c r="C208" s="30">
        <f t="shared" si="3"/>
        <v>0.28000000000000003</v>
      </c>
      <c r="D208" s="14">
        <v>0</v>
      </c>
      <c r="E208" s="14">
        <v>0</v>
      </c>
      <c r="F208" s="38">
        <v>0</v>
      </c>
      <c r="G208" s="38">
        <v>0</v>
      </c>
    </row>
    <row r="209" spans="1:7" ht="15.75" thickBot="1">
      <c r="A209" s="27" t="s">
        <v>62</v>
      </c>
      <c r="B209" s="25">
        <v>0.43</v>
      </c>
      <c r="C209" s="30">
        <f t="shared" si="3"/>
        <v>0.34</v>
      </c>
      <c r="D209" s="14">
        <v>0</v>
      </c>
      <c r="E209" s="14">
        <v>0</v>
      </c>
      <c r="F209" s="38">
        <v>0</v>
      </c>
      <c r="G209" s="38">
        <v>0</v>
      </c>
    </row>
    <row r="210" spans="1:7" ht="15.75" thickBot="1">
      <c r="A210" s="27" t="s">
        <v>63</v>
      </c>
      <c r="B210" s="25">
        <v>0.5</v>
      </c>
      <c r="C210" s="30">
        <f t="shared" si="3"/>
        <v>0.43</v>
      </c>
      <c r="D210" s="14">
        <v>0</v>
      </c>
      <c r="E210" s="14">
        <v>0</v>
      </c>
      <c r="F210" s="38">
        <v>0</v>
      </c>
      <c r="G210" s="38">
        <v>0</v>
      </c>
    </row>
    <row r="211" spans="1:7" ht="15.75" thickBot="1">
      <c r="A211" s="29" t="s">
        <v>11</v>
      </c>
      <c r="B211" s="25">
        <v>0.63</v>
      </c>
      <c r="C211" s="30">
        <f t="shared" si="3"/>
        <v>0.5</v>
      </c>
      <c r="D211" s="14">
        <v>0</v>
      </c>
      <c r="E211" s="14">
        <v>0</v>
      </c>
      <c r="F211" s="38">
        <v>0</v>
      </c>
      <c r="G211" s="38">
        <v>0</v>
      </c>
    </row>
    <row r="212" spans="1:7" ht="15.75" thickBot="1">
      <c r="A212" s="29" t="s">
        <v>12</v>
      </c>
      <c r="B212" s="25">
        <v>0.82</v>
      </c>
      <c r="C212" s="30">
        <f t="shared" si="3"/>
        <v>0.63</v>
      </c>
      <c r="D212" s="14">
        <v>0</v>
      </c>
      <c r="E212" s="14">
        <v>0</v>
      </c>
      <c r="F212" s="38">
        <v>0</v>
      </c>
      <c r="G212" s="38">
        <v>0</v>
      </c>
    </row>
    <row r="213" spans="1:7" ht="15.75" thickBot="1">
      <c r="A213" s="29" t="s">
        <v>13</v>
      </c>
      <c r="B213" s="25">
        <v>0.93</v>
      </c>
      <c r="C213" s="30">
        <f t="shared" si="3"/>
        <v>0.82</v>
      </c>
      <c r="D213" s="14">
        <v>0</v>
      </c>
      <c r="E213" s="14">
        <v>0</v>
      </c>
      <c r="F213" s="38">
        <v>0</v>
      </c>
      <c r="G213" s="38">
        <v>0</v>
      </c>
    </row>
    <row r="214" spans="1:7" ht="15.75" thickBot="1">
      <c r="A214" s="29" t="s">
        <v>14</v>
      </c>
      <c r="B214" s="25">
        <v>1.08</v>
      </c>
      <c r="C214" s="30">
        <f t="shared" si="3"/>
        <v>0.93</v>
      </c>
      <c r="D214" s="14">
        <v>0</v>
      </c>
      <c r="E214" s="14">
        <v>0</v>
      </c>
      <c r="F214" s="38">
        <v>0</v>
      </c>
      <c r="G214" s="38">
        <v>0</v>
      </c>
    </row>
    <row r="215" spans="1:7" ht="15.75" thickBot="1">
      <c r="A215" s="29" t="s">
        <v>15</v>
      </c>
      <c r="B215" s="25">
        <v>1.2</v>
      </c>
      <c r="C215" s="30">
        <f t="shared" si="3"/>
        <v>1.08</v>
      </c>
      <c r="D215" s="14">
        <v>0</v>
      </c>
      <c r="E215" s="14">
        <v>0</v>
      </c>
      <c r="F215" s="38">
        <v>0</v>
      </c>
      <c r="G215" s="38">
        <v>0</v>
      </c>
    </row>
    <row r="216" spans="1:7" ht="15.75" thickBot="1">
      <c r="A216" s="29" t="s">
        <v>16</v>
      </c>
      <c r="B216" s="25">
        <v>1.29</v>
      </c>
      <c r="C216" s="30">
        <f t="shared" si="3"/>
        <v>1.2</v>
      </c>
      <c r="D216" s="14">
        <v>0</v>
      </c>
      <c r="E216" s="14">
        <v>0</v>
      </c>
      <c r="F216" s="38">
        <v>0</v>
      </c>
      <c r="G216" s="38">
        <v>0</v>
      </c>
    </row>
    <row r="217" spans="1:7" ht="15.75" thickBot="1">
      <c r="A217" s="29" t="s">
        <v>17</v>
      </c>
      <c r="B217" s="25">
        <v>1.43</v>
      </c>
      <c r="C217" s="30">
        <f t="shared" si="3"/>
        <v>1.29</v>
      </c>
      <c r="D217" s="14">
        <v>0</v>
      </c>
      <c r="E217" s="14">
        <v>0</v>
      </c>
      <c r="F217" s="38">
        <v>0</v>
      </c>
      <c r="G217" s="38">
        <v>0</v>
      </c>
    </row>
    <row r="218" spans="1:7" ht="15.75" thickBot="1">
      <c r="A218" s="29" t="s">
        <v>18</v>
      </c>
      <c r="B218" s="25">
        <v>1.58</v>
      </c>
      <c r="C218" s="30">
        <f t="shared" si="3"/>
        <v>1.43</v>
      </c>
      <c r="D218" s="14">
        <v>0</v>
      </c>
      <c r="E218" s="14">
        <v>0</v>
      </c>
      <c r="F218" s="38">
        <v>0</v>
      </c>
      <c r="G218" s="38">
        <v>8.8607594936708934E-3</v>
      </c>
    </row>
    <row r="219" spans="1:7" ht="15.75" thickBot="1">
      <c r="A219" s="29" t="s">
        <v>19</v>
      </c>
      <c r="B219" s="25">
        <v>1.73</v>
      </c>
      <c r="C219" s="30">
        <f t="shared" si="3"/>
        <v>1.58</v>
      </c>
      <c r="D219" s="14">
        <v>0</v>
      </c>
      <c r="E219" s="14">
        <v>0</v>
      </c>
      <c r="F219" s="38">
        <v>0</v>
      </c>
      <c r="G219" s="38">
        <v>1.6763005780346823E-2</v>
      </c>
    </row>
    <row r="220" spans="1:7" ht="15.75" thickBot="1">
      <c r="A220" s="29" t="s">
        <v>20</v>
      </c>
      <c r="B220" s="25">
        <v>1.86</v>
      </c>
      <c r="C220" s="30">
        <f t="shared" si="3"/>
        <v>1.73</v>
      </c>
      <c r="D220" s="14">
        <v>0</v>
      </c>
      <c r="E220" s="14">
        <v>0</v>
      </c>
      <c r="F220" s="38">
        <v>0</v>
      </c>
      <c r="G220" s="38">
        <v>2.2580645161290332E-2</v>
      </c>
    </row>
    <row r="221" spans="1:7" ht="15.75" thickBot="1">
      <c r="A221" s="29" t="s">
        <v>21</v>
      </c>
      <c r="B221" s="25">
        <v>1.96</v>
      </c>
      <c r="C221" s="30">
        <f t="shared" si="3"/>
        <v>1.86</v>
      </c>
      <c r="D221" s="14">
        <v>0</v>
      </c>
      <c r="E221" s="14">
        <v>0</v>
      </c>
      <c r="F221" s="38">
        <v>0</v>
      </c>
      <c r="G221" s="38">
        <v>2.6530612244897962E-2</v>
      </c>
    </row>
    <row r="222" spans="1:7" ht="15.75" thickBot="1">
      <c r="A222" s="29" t="s">
        <v>22</v>
      </c>
      <c r="B222" s="25">
        <v>2.08</v>
      </c>
      <c r="C222" s="30">
        <f t="shared" si="3"/>
        <v>1.96</v>
      </c>
      <c r="D222" s="14">
        <v>0</v>
      </c>
      <c r="E222" s="14">
        <v>0</v>
      </c>
      <c r="F222" s="38">
        <v>2.7115384615384618E-3</v>
      </c>
      <c r="G222" s="38">
        <v>3.0769230769230774E-2</v>
      </c>
    </row>
    <row r="223" spans="1:7" ht="15.75" thickBot="1">
      <c r="A223" s="29" t="s">
        <v>23</v>
      </c>
      <c r="B223" s="25">
        <v>2.21</v>
      </c>
      <c r="C223" s="30">
        <f t="shared" si="3"/>
        <v>2.08</v>
      </c>
      <c r="D223" s="14">
        <v>0</v>
      </c>
      <c r="E223" s="14">
        <v>0</v>
      </c>
      <c r="F223" s="38">
        <v>8.4343891402714893E-3</v>
      </c>
      <c r="G223" s="38">
        <v>3.4841628959276026E-2</v>
      </c>
    </row>
    <row r="224" spans="1:7" ht="15.75" thickBot="1">
      <c r="A224" s="29" t="s">
        <v>24</v>
      </c>
      <c r="B224" s="25">
        <v>2.34</v>
      </c>
      <c r="C224" s="30">
        <f t="shared" si="3"/>
        <v>2.21</v>
      </c>
      <c r="D224" s="14">
        <v>2.3397435897435835E-2</v>
      </c>
      <c r="E224" s="14"/>
      <c r="F224" s="38">
        <v>1.3521367521367515E-2</v>
      </c>
      <c r="G224" s="38">
        <v>3.8461538461538464E-2</v>
      </c>
    </row>
    <row r="225" spans="1:7" ht="15.75" thickBot="1">
      <c r="A225" s="29" t="s">
        <v>25</v>
      </c>
      <c r="B225" s="25">
        <v>2.4700000000000002</v>
      </c>
      <c r="C225" s="30">
        <f t="shared" si="3"/>
        <v>2.34</v>
      </c>
      <c r="D225" s="14">
        <v>7.4797570850202499E-2</v>
      </c>
      <c r="E225" s="14"/>
      <c r="F225" s="38">
        <v>1.8072874493927131E-2</v>
      </c>
      <c r="G225" s="38">
        <v>5.0202429149797612E-2</v>
      </c>
    </row>
    <row r="226" spans="1:7" ht="15.75" thickBot="1">
      <c r="A226" s="29" t="s">
        <v>26</v>
      </c>
      <c r="B226" s="25">
        <v>2.6</v>
      </c>
      <c r="C226" s="30">
        <f t="shared" si="3"/>
        <v>2.4700000000000002</v>
      </c>
      <c r="D226" s="14">
        <v>0.12105769230769234</v>
      </c>
      <c r="E226" s="14">
        <v>1.2105769230769234E-2</v>
      </c>
      <c r="F226" s="38">
        <v>2.2169230769230771E-2</v>
      </c>
      <c r="G226" s="38">
        <v>6.7692307692307718E-2</v>
      </c>
    </row>
    <row r="227" spans="1:7" ht="15.75" thickBot="1">
      <c r="A227" s="29" t="s">
        <v>27</v>
      </c>
      <c r="B227" s="25">
        <v>2.82</v>
      </c>
      <c r="C227" s="30">
        <f t="shared" si="3"/>
        <v>2.6</v>
      </c>
      <c r="D227" s="14">
        <v>0.18962765957446803</v>
      </c>
      <c r="E227" s="14">
        <v>1.8962765957446805E-2</v>
      </c>
      <c r="F227" s="38">
        <v>2.8241134751773048E-2</v>
      </c>
      <c r="G227" s="38">
        <v>9.3617021276595755E-2</v>
      </c>
    </row>
    <row r="228" spans="1:7" ht="15.75" thickBot="1">
      <c r="A228" s="29" t="s">
        <v>28</v>
      </c>
      <c r="B228" s="25">
        <v>2.95</v>
      </c>
      <c r="C228" s="30">
        <f t="shared" si="3"/>
        <v>2.82</v>
      </c>
      <c r="D228" s="14">
        <v>0.22533898305084751</v>
      </c>
      <c r="E228" s="14">
        <v>2.2533898305084753E-2</v>
      </c>
      <c r="F228" s="38">
        <v>3.1403389830508478E-2</v>
      </c>
      <c r="G228" s="38">
        <v>0.10711864406779664</v>
      </c>
    </row>
    <row r="229" spans="1:7" ht="15.75" thickBot="1">
      <c r="A229" s="29" t="s">
        <v>29</v>
      </c>
      <c r="B229" s="25">
        <v>3.13</v>
      </c>
      <c r="C229" s="30">
        <f t="shared" si="3"/>
        <v>2.95</v>
      </c>
      <c r="D229" s="14">
        <v>0.26988817891373801</v>
      </c>
      <c r="E229" s="14">
        <v>2.6988817891373799E-2</v>
      </c>
      <c r="F229" s="38">
        <v>3.5348242811501597E-2</v>
      </c>
      <c r="G229" s="38">
        <v>0.12396166134185305</v>
      </c>
    </row>
    <row r="230" spans="1:7" ht="15.75" thickBot="1">
      <c r="A230" s="29" t="s">
        <v>30</v>
      </c>
      <c r="B230" s="25">
        <v>3.32</v>
      </c>
      <c r="C230" s="30">
        <f t="shared" si="3"/>
        <v>3.13</v>
      </c>
      <c r="D230" s="14">
        <v>0.31167168674698792</v>
      </c>
      <c r="E230" s="14">
        <v>3.1167168674698792E-2</v>
      </c>
      <c r="F230" s="38">
        <v>3.9048192771084331E-2</v>
      </c>
      <c r="G230" s="38">
        <v>0.1397590361445783</v>
      </c>
    </row>
    <row r="231" spans="1:7" ht="15.75" thickBot="1">
      <c r="A231" s="29" t="s">
        <v>31</v>
      </c>
      <c r="B231" s="25">
        <v>3.42</v>
      </c>
      <c r="C231" s="30">
        <f t="shared" si="3"/>
        <v>3.32</v>
      </c>
      <c r="D231" s="14">
        <v>0.33179824561403509</v>
      </c>
      <c r="E231" s="14">
        <v>3.3179824561403511E-2</v>
      </c>
      <c r="F231" s="38">
        <v>4.4982456140350853E-2</v>
      </c>
      <c r="G231" s="38">
        <v>0.14736842105263159</v>
      </c>
    </row>
    <row r="232" spans="1:7" ht="15.75" thickBot="1">
      <c r="A232" s="29" t="s">
        <v>32</v>
      </c>
      <c r="B232" s="25">
        <v>3.52</v>
      </c>
      <c r="C232" s="30">
        <f t="shared" si="3"/>
        <v>3.42</v>
      </c>
      <c r="D232" s="14">
        <v>0.35078124999999999</v>
      </c>
      <c r="E232" s="14">
        <v>3.5078125000000002E-2</v>
      </c>
      <c r="F232" s="38">
        <v>5.5068181818181808E-2</v>
      </c>
      <c r="G232" s="38">
        <v>0.15454545454545457</v>
      </c>
    </row>
    <row r="233" spans="1:7" ht="15.75" thickBot="1">
      <c r="A233" s="29" t="s">
        <v>33</v>
      </c>
      <c r="B233" s="25">
        <v>3.68</v>
      </c>
      <c r="C233" s="30">
        <f t="shared" si="3"/>
        <v>3.52</v>
      </c>
      <c r="D233" s="14">
        <v>0.37900815217391309</v>
      </c>
      <c r="E233" s="14">
        <v>3.7900815217391304E-2</v>
      </c>
      <c r="F233" s="38">
        <v>7.0065217391304349E-2</v>
      </c>
      <c r="G233" s="38">
        <v>0.16521739130434784</v>
      </c>
    </row>
    <row r="234" spans="1:7" ht="15.75" thickBot="1">
      <c r="A234" s="29" t="s">
        <v>34</v>
      </c>
      <c r="B234" s="25">
        <v>3.9</v>
      </c>
      <c r="C234" s="30">
        <f t="shared" si="3"/>
        <v>3.68</v>
      </c>
      <c r="D234" s="14">
        <v>0.41403846153846152</v>
      </c>
      <c r="E234" s="14">
        <v>4.842307692307693E-2</v>
      </c>
      <c r="F234" s="38">
        <v>8.8676923076923056E-2</v>
      </c>
      <c r="G234" s="38">
        <v>0.17846153846153848</v>
      </c>
    </row>
    <row r="235" spans="1:7" ht="15.75" thickBot="1">
      <c r="A235" s="29" t="s">
        <v>35</v>
      </c>
      <c r="B235" s="25">
        <v>4.1399999999999997</v>
      </c>
      <c r="C235" s="30">
        <f t="shared" si="3"/>
        <v>3.9</v>
      </c>
      <c r="D235" s="14">
        <v>0.44800724637681155</v>
      </c>
      <c r="E235" s="14">
        <v>6.8804347826086951E-2</v>
      </c>
      <c r="F235" s="38">
        <v>0.10672463768115938</v>
      </c>
      <c r="G235" s="38">
        <v>0.19130434782608696</v>
      </c>
    </row>
    <row r="236" spans="1:7" ht="15.75" thickBot="1">
      <c r="A236" s="29" t="s">
        <v>36</v>
      </c>
      <c r="B236" s="25">
        <v>4.46</v>
      </c>
      <c r="C236" s="30">
        <f t="shared" si="3"/>
        <v>4.1399999999999997</v>
      </c>
      <c r="D236" s="14">
        <v>0.48761210762331836</v>
      </c>
      <c r="E236" s="14">
        <v>9.2567264573991045E-2</v>
      </c>
      <c r="F236" s="38">
        <v>0.12776681614349775</v>
      </c>
      <c r="G236" s="38">
        <v>0.20627802690582961</v>
      </c>
    </row>
    <row r="237" spans="1:7" ht="15.75" thickBot="1">
      <c r="A237" s="29" t="s">
        <v>37</v>
      </c>
      <c r="B237" s="25">
        <v>4.8099999999999996</v>
      </c>
      <c r="C237" s="30">
        <f t="shared" si="3"/>
        <v>4.46</v>
      </c>
      <c r="D237" s="14">
        <v>0.52489604989604988</v>
      </c>
      <c r="E237" s="14">
        <v>0.11493762993762992</v>
      </c>
      <c r="F237" s="38">
        <v>0.14757588357588355</v>
      </c>
      <c r="G237" s="38">
        <v>0.22037422037422041</v>
      </c>
    </row>
    <row r="238" spans="1:7" ht="15.75" thickBot="1">
      <c r="A238" s="29" t="s">
        <v>38</v>
      </c>
      <c r="B238" s="25">
        <v>5.12</v>
      </c>
      <c r="C238" s="30">
        <f t="shared" si="3"/>
        <v>4.8099999999999996</v>
      </c>
      <c r="D238" s="14">
        <v>0.55366210937500004</v>
      </c>
      <c r="E238" s="14">
        <v>0.132197265625</v>
      </c>
      <c r="F238" s="38">
        <v>0.162859375</v>
      </c>
      <c r="G238" s="38">
        <v>0.23125000000000004</v>
      </c>
    </row>
    <row r="239" spans="1:7" ht="15.75" thickBot="1">
      <c r="A239" s="29" t="s">
        <v>39</v>
      </c>
      <c r="B239" s="25">
        <v>5.6</v>
      </c>
      <c r="C239" s="30">
        <f t="shared" si="3"/>
        <v>5.12</v>
      </c>
      <c r="D239" s="14">
        <v>0.59191964285714282</v>
      </c>
      <c r="E239" s="14">
        <v>0.1551517857142857</v>
      </c>
      <c r="F239" s="38">
        <v>0.18318571428571429</v>
      </c>
      <c r="G239" s="38">
        <v>0.24571428571428575</v>
      </c>
    </row>
    <row r="240" spans="1:7" ht="15.75" thickBot="1">
      <c r="A240" s="29" t="s">
        <v>40</v>
      </c>
      <c r="B240" s="25">
        <v>5.97</v>
      </c>
      <c r="C240" s="30">
        <f t="shared" si="3"/>
        <v>5.6</v>
      </c>
      <c r="D240" s="14">
        <v>0.61721105527638187</v>
      </c>
      <c r="E240" s="14">
        <v>0.17032663316582916</v>
      </c>
      <c r="F240" s="38">
        <v>0.19662311557788945</v>
      </c>
      <c r="G240" s="38">
        <v>0.25527638190954777</v>
      </c>
    </row>
    <row r="241" spans="1:7" ht="15.75" thickBot="1">
      <c r="A241" s="29" t="s">
        <v>41</v>
      </c>
      <c r="B241" s="25">
        <v>6.3</v>
      </c>
      <c r="C241" s="30">
        <f t="shared" si="3"/>
        <v>5.97</v>
      </c>
      <c r="D241" s="14">
        <v>0.6372619047619047</v>
      </c>
      <c r="E241" s="14">
        <v>0.18235714285714286</v>
      </c>
      <c r="F241" s="38">
        <v>0.20727619047619047</v>
      </c>
      <c r="G241" s="38">
        <v>0.2628571428571429</v>
      </c>
    </row>
    <row r="242" spans="1:7" ht="15.75" thickBot="1">
      <c r="A242" s="29" t="s">
        <v>42</v>
      </c>
      <c r="B242" s="25">
        <v>6.81</v>
      </c>
      <c r="C242" s="30">
        <f t="shared" si="3"/>
        <v>6.3</v>
      </c>
      <c r="D242" s="14">
        <v>0.66442731277533029</v>
      </c>
      <c r="E242" s="14">
        <v>0.19865638766519822</v>
      </c>
      <c r="F242" s="38">
        <v>0.22170925110132159</v>
      </c>
      <c r="G242" s="38">
        <v>0.27312775330396483</v>
      </c>
    </row>
    <row r="243" spans="1:7" ht="15.75" thickBot="1">
      <c r="A243" s="29" t="s">
        <v>43</v>
      </c>
      <c r="B243" s="25">
        <v>7.4</v>
      </c>
      <c r="C243" s="30">
        <f t="shared" si="3"/>
        <v>6.81</v>
      </c>
      <c r="D243" s="14">
        <v>0.69118243243243249</v>
      </c>
      <c r="E243" s="14">
        <v>0.21470945945945949</v>
      </c>
      <c r="F243" s="38">
        <v>0.23592432432432431</v>
      </c>
      <c r="G243" s="38">
        <v>0.28324324324324324</v>
      </c>
    </row>
    <row r="244" spans="1:7" ht="15.75" thickBot="1">
      <c r="A244" s="29" t="s">
        <v>44</v>
      </c>
      <c r="B244" s="25">
        <v>8.11</v>
      </c>
      <c r="C244" s="30">
        <f t="shared" si="3"/>
        <v>7.4</v>
      </c>
      <c r="D244" s="14">
        <v>0.71821824907521581</v>
      </c>
      <c r="E244" s="14">
        <v>0.23093094944512949</v>
      </c>
      <c r="F244" s="38">
        <v>0.250288532675709</v>
      </c>
      <c r="G244" s="38">
        <v>0.29346485819975338</v>
      </c>
    </row>
    <row r="245" spans="1:7" ht="15.75" thickBot="1">
      <c r="A245" s="29" t="s">
        <v>45</v>
      </c>
      <c r="B245" s="25">
        <v>8.94</v>
      </c>
      <c r="C245" s="30">
        <f t="shared" si="3"/>
        <v>8.11</v>
      </c>
      <c r="D245" s="14">
        <v>0.74437919463087254</v>
      </c>
      <c r="E245" s="14">
        <v>0.24662751677852346</v>
      </c>
      <c r="F245" s="38">
        <v>0.26418791946308723</v>
      </c>
      <c r="G245" s="38">
        <v>0.30335570469798656</v>
      </c>
    </row>
    <row r="246" spans="1:7" ht="15.75" thickBot="1">
      <c r="A246" s="29" t="s">
        <v>46</v>
      </c>
      <c r="B246" s="25">
        <v>9.42</v>
      </c>
      <c r="C246" s="30">
        <f t="shared" si="3"/>
        <v>8.94</v>
      </c>
      <c r="D246" s="14">
        <v>0.75740445859872618</v>
      </c>
      <c r="E246" s="14">
        <v>0.25444267515923563</v>
      </c>
      <c r="F246" s="38">
        <v>0.27110828025477707</v>
      </c>
      <c r="G246" s="38">
        <v>0.30828025477707005</v>
      </c>
    </row>
    <row r="247" spans="1:7" ht="15.75" thickBot="1">
      <c r="A247" s="29" t="s">
        <v>47</v>
      </c>
      <c r="B247" s="25">
        <v>10.11</v>
      </c>
      <c r="C247" s="30">
        <f t="shared" si="3"/>
        <v>9.42</v>
      </c>
      <c r="D247" s="14">
        <v>0.77396142433234427</v>
      </c>
      <c r="E247" s="14">
        <v>0.26437685459940657</v>
      </c>
      <c r="F247" s="38">
        <v>0.27990504451038578</v>
      </c>
      <c r="G247" s="38">
        <v>0.31454005934718099</v>
      </c>
    </row>
    <row r="248" spans="1:7" ht="15.75" thickBot="1">
      <c r="A248" s="29" t="s">
        <v>48</v>
      </c>
      <c r="B248" s="25">
        <v>11.28</v>
      </c>
      <c r="C248" s="30">
        <f t="shared" si="3"/>
        <v>10.11</v>
      </c>
      <c r="D248" s="14">
        <v>0.79740691489361704</v>
      </c>
      <c r="E248" s="14">
        <v>0.27844414893617025</v>
      </c>
      <c r="F248" s="38">
        <v>0.29236170212765961</v>
      </c>
      <c r="G248" s="38">
        <v>0.3234042553191489</v>
      </c>
    </row>
    <row r="249" spans="1:7" ht="15.75" thickBot="1">
      <c r="A249" s="29" t="s">
        <v>49</v>
      </c>
      <c r="B249" s="25">
        <v>12.81</v>
      </c>
      <c r="C249" s="30">
        <f t="shared" si="3"/>
        <v>11.28</v>
      </c>
      <c r="D249" s="14">
        <v>0.8216042154566745</v>
      </c>
      <c r="E249" s="14">
        <v>0.29296252927400473</v>
      </c>
      <c r="F249" s="38">
        <v>0.30521779859484777</v>
      </c>
      <c r="G249" s="38">
        <v>0.33255269320843095</v>
      </c>
    </row>
    <row r="250" spans="1:7" ht="15.75" thickBot="1">
      <c r="A250" s="29" t="s">
        <v>50</v>
      </c>
      <c r="B250" s="25">
        <v>14.9</v>
      </c>
      <c r="C250" s="30">
        <f t="shared" si="3"/>
        <v>12.81</v>
      </c>
      <c r="D250" s="14">
        <v>0.84662751677852355</v>
      </c>
      <c r="E250" s="14">
        <v>0.30797651006711413</v>
      </c>
      <c r="F250" s="38">
        <v>0.31851275167785237</v>
      </c>
      <c r="G250" s="38">
        <v>0.34201342281879193</v>
      </c>
    </row>
    <row r="251" spans="1:7" ht="15.75" thickBot="1">
      <c r="A251" s="29" t="s">
        <v>51</v>
      </c>
      <c r="B251" s="25">
        <v>19</v>
      </c>
      <c r="C251" s="30">
        <f t="shared" si="3"/>
        <v>14.9</v>
      </c>
      <c r="D251" s="14">
        <v>0.87972368421052627</v>
      </c>
      <c r="E251" s="14">
        <v>0.32783421052631584</v>
      </c>
      <c r="F251" s="38">
        <v>0.33609684210526314</v>
      </c>
      <c r="G251" s="38">
        <v>0.35452631578947374</v>
      </c>
    </row>
    <row r="252" spans="1:7" ht="15.75" thickBot="1">
      <c r="A252" s="29" t="s">
        <v>52</v>
      </c>
      <c r="B252" s="25">
        <v>24.35</v>
      </c>
      <c r="C252" s="30">
        <f t="shared" si="3"/>
        <v>19</v>
      </c>
      <c r="D252" s="14">
        <v>0.90614989733059548</v>
      </c>
      <c r="E252" s="14">
        <v>0.34368993839835732</v>
      </c>
      <c r="F252" s="38">
        <v>0.35013716632443531</v>
      </c>
      <c r="G252" s="38">
        <v>0.36451745379876799</v>
      </c>
    </row>
    <row r="253" spans="1:7" ht="15.75" thickBot="1">
      <c r="A253" s="29" t="s">
        <v>53</v>
      </c>
      <c r="B253" s="201">
        <v>36.270000000000003</v>
      </c>
      <c r="C253" s="30">
        <f>B252</f>
        <v>24.35</v>
      </c>
      <c r="D253" s="14">
        <v>0.936993382961125</v>
      </c>
      <c r="E253" s="14">
        <v>0.36219602977667503</v>
      </c>
      <c r="F253" s="38">
        <v>0.36652440033085193</v>
      </c>
      <c r="G253" s="38">
        <v>0.3761786600496278</v>
      </c>
    </row>
    <row r="254" spans="1:7" ht="15.75" thickBot="1">
      <c r="A254" s="29" t="s">
        <v>53</v>
      </c>
      <c r="B254" s="3" t="s">
        <v>130</v>
      </c>
      <c r="C254" s="30">
        <f t="shared" si="3"/>
        <v>36.270000000000003</v>
      </c>
      <c r="D254" s="58"/>
      <c r="E254" s="11"/>
      <c r="F254" s="39"/>
      <c r="G254" s="39"/>
    </row>
    <row r="255" spans="1:7">
      <c r="A255" s="29"/>
      <c r="B255" s="29">
        <v>5.4</v>
      </c>
      <c r="C255" s="29"/>
      <c r="D255" s="58"/>
      <c r="E255" s="32">
        <v>9.0306980844431312E-2</v>
      </c>
      <c r="F255" s="40">
        <v>0.10163457770417628</v>
      </c>
      <c r="G255" s="40">
        <v>0.13778020812095412</v>
      </c>
    </row>
    <row r="256" spans="1:7" ht="60.75" thickBot="1">
      <c r="A256" s="33" t="s">
        <v>55</v>
      </c>
      <c r="B256" s="3">
        <v>2.4</v>
      </c>
      <c r="C256" s="29"/>
      <c r="D256" s="58"/>
      <c r="E256" s="34">
        <v>3.8087499999999999</v>
      </c>
      <c r="F256" s="41">
        <v>3.3726666666666669</v>
      </c>
      <c r="G256" s="42">
        <v>2.4</v>
      </c>
    </row>
    <row r="257" spans="1:7" ht="60.75" thickBot="1">
      <c r="A257" s="33" t="s">
        <v>56</v>
      </c>
      <c r="B257" s="4">
        <v>4.8</v>
      </c>
      <c r="C257" s="29"/>
      <c r="D257" s="11"/>
      <c r="E257" s="11"/>
      <c r="F257" s="39"/>
      <c r="G257" s="39"/>
    </row>
    <row r="258" spans="1:7" ht="97.5" thickBot="1">
      <c r="A258" s="35" t="s">
        <v>57</v>
      </c>
      <c r="B258" s="4">
        <v>1.44</v>
      </c>
      <c r="C258" s="29"/>
      <c r="D258" s="11"/>
      <c r="E258" s="11">
        <v>2.28525</v>
      </c>
      <c r="F258" s="39">
        <v>2.0236000000000001</v>
      </c>
      <c r="G258" s="39">
        <v>1.44</v>
      </c>
    </row>
    <row r="261" spans="1:7">
      <c r="A261" s="16" t="s">
        <v>64</v>
      </c>
      <c r="B261" s="17">
        <f>AVERAGE(B209:B248)</f>
        <v>3.8087499999999999</v>
      </c>
      <c r="C261" s="17"/>
    </row>
    <row r="262" spans="1:7">
      <c r="A262" s="16" t="s">
        <v>65</v>
      </c>
      <c r="B262" s="18">
        <f>AVERAGE(B214:B243)</f>
        <v>3.3726666666666669</v>
      </c>
      <c r="C262" s="18"/>
    </row>
    <row r="263" spans="1:7">
      <c r="A263" s="16" t="s">
        <v>66</v>
      </c>
      <c r="B263" s="18">
        <f>AVERAGE(B220:B238)</f>
        <v>3.1994736842105262</v>
      </c>
      <c r="C263" s="18"/>
    </row>
    <row r="265" spans="1:7" ht="15.75" thickBot="1"/>
    <row r="266" spans="1:7" ht="15" customHeight="1" thickBot="1">
      <c r="A266" s="522" t="s">
        <v>0</v>
      </c>
      <c r="B266" s="525" t="s">
        <v>67</v>
      </c>
      <c r="C266" s="526"/>
      <c r="D266" s="527"/>
      <c r="E266" s="19">
        <f>(1-E321)^(1/3)-1</f>
        <v>0</v>
      </c>
      <c r="F266" s="19">
        <f>(1-F321)^(1/3)-1</f>
        <v>0</v>
      </c>
      <c r="G266" s="19"/>
    </row>
    <row r="267" spans="1:7" ht="72.75" thickBot="1">
      <c r="A267" s="523"/>
      <c r="B267" s="11" t="s">
        <v>4</v>
      </c>
      <c r="C267" s="65"/>
      <c r="D267" s="11" t="s">
        <v>80</v>
      </c>
      <c r="E267" s="11" t="s">
        <v>5</v>
      </c>
      <c r="F267" s="39" t="s">
        <v>5</v>
      </c>
      <c r="G267" s="39"/>
    </row>
    <row r="268" spans="1:7" ht="25.5" thickBot="1">
      <c r="A268" s="524"/>
      <c r="B268" s="3" t="s">
        <v>68</v>
      </c>
      <c r="D268" s="20" t="s">
        <v>7</v>
      </c>
      <c r="E268" s="20" t="s">
        <v>7</v>
      </c>
      <c r="F268" s="20" t="s">
        <v>7</v>
      </c>
      <c r="G268" s="20"/>
    </row>
    <row r="269" spans="1:7" ht="15.75" thickBot="1">
      <c r="A269" s="50">
        <v>1</v>
      </c>
      <c r="B269" s="51">
        <v>2</v>
      </c>
      <c r="D269" s="51">
        <v>3</v>
      </c>
      <c r="E269" s="51">
        <v>4</v>
      </c>
      <c r="F269" s="52">
        <v>5</v>
      </c>
      <c r="G269" s="52"/>
    </row>
    <row r="270" spans="1:7" ht="15.75" thickBot="1">
      <c r="A270" s="8" t="s">
        <v>10</v>
      </c>
      <c r="B270" s="24"/>
      <c r="C270">
        <v>0</v>
      </c>
      <c r="D270" s="14">
        <f t="shared" ref="D270:D318" si="4">IF(B270=0,0,IF(B270&lt;=E$324,0,B270-E$324)/B270)</f>
        <v>0</v>
      </c>
      <c r="E270" s="14"/>
      <c r="F270" s="38"/>
      <c r="G270" s="38"/>
    </row>
    <row r="271" spans="1:7" ht="15.75" thickBot="1">
      <c r="A271" s="8" t="s">
        <v>58</v>
      </c>
      <c r="B271" s="25"/>
      <c r="C271" s="30">
        <f>B270</f>
        <v>0</v>
      </c>
      <c r="D271" s="14">
        <f t="shared" si="4"/>
        <v>0</v>
      </c>
      <c r="E271" s="14"/>
      <c r="F271" s="38"/>
      <c r="G271" s="38"/>
    </row>
    <row r="272" spans="1:7" ht="15.75" thickBot="1">
      <c r="A272" s="8" t="s">
        <v>59</v>
      </c>
      <c r="B272" s="25"/>
      <c r="C272" s="30">
        <f t="shared" ref="C272:C320" si="5">B271</f>
        <v>0</v>
      </c>
      <c r="D272" s="14">
        <f t="shared" si="4"/>
        <v>0</v>
      </c>
      <c r="E272" s="14"/>
      <c r="F272" s="38"/>
      <c r="G272" s="38"/>
    </row>
    <row r="273" spans="1:7" ht="15.75" thickBot="1">
      <c r="A273" s="8" t="s">
        <v>60</v>
      </c>
      <c r="B273" s="25"/>
      <c r="C273" s="30">
        <f t="shared" si="5"/>
        <v>0</v>
      </c>
      <c r="D273" s="14">
        <f t="shared" si="4"/>
        <v>0</v>
      </c>
      <c r="E273" s="14"/>
      <c r="F273" s="38"/>
      <c r="G273" s="38"/>
    </row>
    <row r="274" spans="1:7" ht="15.75" thickBot="1">
      <c r="A274" s="8" t="s">
        <v>61</v>
      </c>
      <c r="B274" s="25"/>
      <c r="C274" s="30">
        <f t="shared" si="5"/>
        <v>0</v>
      </c>
      <c r="D274" s="14">
        <f t="shared" si="4"/>
        <v>0</v>
      </c>
      <c r="E274" s="14"/>
      <c r="F274" s="38"/>
      <c r="G274" s="38"/>
    </row>
    <row r="275" spans="1:7" ht="15.75" thickBot="1">
      <c r="A275" s="8" t="s">
        <v>62</v>
      </c>
      <c r="B275" s="25"/>
      <c r="C275" s="30">
        <f t="shared" si="5"/>
        <v>0</v>
      </c>
      <c r="D275" s="14">
        <f t="shared" si="4"/>
        <v>0</v>
      </c>
      <c r="E275" s="14"/>
      <c r="F275" s="38"/>
      <c r="G275" s="38"/>
    </row>
    <row r="276" spans="1:7" ht="15.75" thickBot="1">
      <c r="A276" s="8" t="s">
        <v>63</v>
      </c>
      <c r="B276" s="25"/>
      <c r="C276" s="30">
        <f t="shared" si="5"/>
        <v>0</v>
      </c>
      <c r="D276" s="14">
        <f t="shared" si="4"/>
        <v>0</v>
      </c>
      <c r="E276" s="14"/>
      <c r="F276" s="38"/>
      <c r="G276" s="38"/>
    </row>
    <row r="277" spans="1:7" ht="15.75" thickBot="1">
      <c r="A277" s="3" t="s">
        <v>11</v>
      </c>
      <c r="B277" s="25"/>
      <c r="C277" s="30">
        <f t="shared" si="5"/>
        <v>0</v>
      </c>
      <c r="D277" s="14">
        <f t="shared" si="4"/>
        <v>0</v>
      </c>
      <c r="E277" s="14"/>
      <c r="F277" s="38"/>
      <c r="G277" s="38"/>
    </row>
    <row r="278" spans="1:7" ht="15.75" thickBot="1">
      <c r="A278" s="3" t="s">
        <v>12</v>
      </c>
      <c r="B278" s="25"/>
      <c r="C278" s="30">
        <f t="shared" si="5"/>
        <v>0</v>
      </c>
      <c r="D278" s="14">
        <f t="shared" si="4"/>
        <v>0</v>
      </c>
      <c r="E278" s="14"/>
      <c r="F278" s="38"/>
      <c r="G278" s="38"/>
    </row>
    <row r="279" spans="1:7" ht="15.75" thickBot="1">
      <c r="A279" s="3" t="s">
        <v>13</v>
      </c>
      <c r="B279" s="25"/>
      <c r="C279" s="30">
        <f t="shared" si="5"/>
        <v>0</v>
      </c>
      <c r="D279" s="14">
        <f t="shared" si="4"/>
        <v>0</v>
      </c>
      <c r="E279" s="14"/>
      <c r="F279" s="38"/>
      <c r="G279" s="38"/>
    </row>
    <row r="280" spans="1:7" ht="15.75" thickBot="1">
      <c r="A280" s="3" t="s">
        <v>14</v>
      </c>
      <c r="B280" s="25"/>
      <c r="C280" s="30">
        <f t="shared" si="5"/>
        <v>0</v>
      </c>
      <c r="D280" s="14">
        <f t="shared" si="4"/>
        <v>0</v>
      </c>
      <c r="E280" s="14"/>
      <c r="F280" s="38"/>
      <c r="G280" s="38"/>
    </row>
    <row r="281" spans="1:7" ht="15.75" thickBot="1">
      <c r="A281" s="3" t="s">
        <v>15</v>
      </c>
      <c r="B281" s="25"/>
      <c r="C281" s="30">
        <f t="shared" si="5"/>
        <v>0</v>
      </c>
      <c r="D281" s="14">
        <f t="shared" si="4"/>
        <v>0</v>
      </c>
      <c r="E281" s="14"/>
      <c r="F281" s="38"/>
      <c r="G281" s="38"/>
    </row>
    <row r="282" spans="1:7" ht="15.75" thickBot="1">
      <c r="A282" s="3" t="s">
        <v>16</v>
      </c>
      <c r="B282" s="25"/>
      <c r="C282" s="30">
        <f t="shared" si="5"/>
        <v>0</v>
      </c>
      <c r="D282" s="14">
        <f t="shared" si="4"/>
        <v>0</v>
      </c>
      <c r="E282" s="14"/>
      <c r="F282" s="38"/>
      <c r="G282" s="38"/>
    </row>
    <row r="283" spans="1:7" ht="15.75" thickBot="1">
      <c r="A283" s="3" t="s">
        <v>17</v>
      </c>
      <c r="B283" s="25"/>
      <c r="C283" s="30">
        <f t="shared" si="5"/>
        <v>0</v>
      </c>
      <c r="D283" s="14">
        <f t="shared" si="4"/>
        <v>0</v>
      </c>
      <c r="E283" s="14"/>
      <c r="F283" s="38"/>
      <c r="G283" s="38"/>
    </row>
    <row r="284" spans="1:7" ht="15.75" thickBot="1">
      <c r="A284" s="3" t="s">
        <v>18</v>
      </c>
      <c r="B284" s="25"/>
      <c r="C284" s="30">
        <f t="shared" si="5"/>
        <v>0</v>
      </c>
      <c r="D284" s="14">
        <f t="shared" si="4"/>
        <v>0</v>
      </c>
      <c r="E284" s="14"/>
      <c r="F284" s="38"/>
      <c r="G284" s="38"/>
    </row>
    <row r="285" spans="1:7" ht="15.75" thickBot="1">
      <c r="A285" s="3" t="s">
        <v>19</v>
      </c>
      <c r="B285" s="25"/>
      <c r="C285" s="30">
        <f t="shared" si="5"/>
        <v>0</v>
      </c>
      <c r="D285" s="14">
        <f t="shared" si="4"/>
        <v>0</v>
      </c>
      <c r="E285" s="14"/>
      <c r="F285" s="38"/>
      <c r="G285" s="38"/>
    </row>
    <row r="286" spans="1:7" ht="15.75" thickBot="1">
      <c r="A286" s="3" t="s">
        <v>20</v>
      </c>
      <c r="B286" s="25"/>
      <c r="C286" s="30">
        <f t="shared" si="5"/>
        <v>0</v>
      </c>
      <c r="D286" s="14">
        <f t="shared" si="4"/>
        <v>0</v>
      </c>
      <c r="E286" s="14"/>
      <c r="F286" s="38"/>
      <c r="G286" s="38"/>
    </row>
    <row r="287" spans="1:7" ht="15.75" thickBot="1">
      <c r="A287" s="3" t="s">
        <v>21</v>
      </c>
      <c r="B287" s="25"/>
      <c r="C287" s="30">
        <f t="shared" si="5"/>
        <v>0</v>
      </c>
      <c r="D287" s="14">
        <f t="shared" si="4"/>
        <v>0</v>
      </c>
      <c r="E287" s="14"/>
      <c r="F287" s="38"/>
      <c r="G287" s="38"/>
    </row>
    <row r="288" spans="1:7" ht="15.75" thickBot="1">
      <c r="A288" s="3" t="s">
        <v>22</v>
      </c>
      <c r="B288" s="25"/>
      <c r="C288" s="30">
        <f t="shared" si="5"/>
        <v>0</v>
      </c>
      <c r="D288" s="14">
        <f t="shared" si="4"/>
        <v>0</v>
      </c>
      <c r="E288" s="14"/>
      <c r="F288" s="38"/>
      <c r="G288" s="38"/>
    </row>
    <row r="289" spans="1:7" ht="15.75" thickBot="1">
      <c r="A289" s="3" t="s">
        <v>23</v>
      </c>
      <c r="B289" s="25"/>
      <c r="C289" s="30">
        <f t="shared" si="5"/>
        <v>0</v>
      </c>
      <c r="D289" s="14">
        <f t="shared" si="4"/>
        <v>0</v>
      </c>
      <c r="E289" s="14"/>
      <c r="F289" s="38"/>
      <c r="G289" s="38"/>
    </row>
    <row r="290" spans="1:7" ht="15.75" thickBot="1">
      <c r="A290" s="3" t="s">
        <v>24</v>
      </c>
      <c r="B290" s="25"/>
      <c r="C290" s="30">
        <f t="shared" si="5"/>
        <v>0</v>
      </c>
      <c r="D290" s="14">
        <f t="shared" si="4"/>
        <v>0</v>
      </c>
      <c r="E290" s="14"/>
      <c r="F290" s="38"/>
      <c r="G290" s="38"/>
    </row>
    <row r="291" spans="1:7" ht="15.75" thickBot="1">
      <c r="A291" s="3" t="s">
        <v>25</v>
      </c>
      <c r="B291" s="25"/>
      <c r="C291" s="30">
        <f t="shared" si="5"/>
        <v>0</v>
      </c>
      <c r="D291" s="14">
        <f t="shared" si="4"/>
        <v>0</v>
      </c>
      <c r="E291" s="14"/>
      <c r="F291" s="38"/>
      <c r="G291" s="38"/>
    </row>
    <row r="292" spans="1:7" ht="15.75" thickBot="1">
      <c r="A292" s="3" t="s">
        <v>26</v>
      </c>
      <c r="B292" s="25"/>
      <c r="C292" s="30">
        <f t="shared" si="5"/>
        <v>0</v>
      </c>
      <c r="D292" s="14">
        <f t="shared" si="4"/>
        <v>0</v>
      </c>
      <c r="E292" s="14"/>
      <c r="F292" s="38"/>
      <c r="G292" s="38"/>
    </row>
    <row r="293" spans="1:7" ht="15.75" thickBot="1">
      <c r="A293" s="3" t="s">
        <v>27</v>
      </c>
      <c r="B293" s="25"/>
      <c r="C293" s="30">
        <f t="shared" si="5"/>
        <v>0</v>
      </c>
      <c r="D293" s="14">
        <f t="shared" si="4"/>
        <v>0</v>
      </c>
      <c r="E293" s="14"/>
      <c r="F293" s="38"/>
      <c r="G293" s="38"/>
    </row>
    <row r="294" spans="1:7" ht="15.75" thickBot="1">
      <c r="A294" s="3" t="s">
        <v>28</v>
      </c>
      <c r="B294" s="25"/>
      <c r="C294" s="30">
        <f t="shared" si="5"/>
        <v>0</v>
      </c>
      <c r="D294" s="14">
        <f t="shared" si="4"/>
        <v>0</v>
      </c>
      <c r="E294" s="14"/>
      <c r="F294" s="38"/>
      <c r="G294" s="38"/>
    </row>
    <row r="295" spans="1:7" ht="15.75" thickBot="1">
      <c r="A295" s="3" t="s">
        <v>29</v>
      </c>
      <c r="B295" s="25"/>
      <c r="C295" s="30">
        <f t="shared" si="5"/>
        <v>0</v>
      </c>
      <c r="D295" s="14">
        <f t="shared" si="4"/>
        <v>0</v>
      </c>
      <c r="E295" s="14"/>
      <c r="F295" s="38"/>
      <c r="G295" s="38"/>
    </row>
    <row r="296" spans="1:7" ht="15.75" thickBot="1">
      <c r="A296" s="3" t="s">
        <v>30</v>
      </c>
      <c r="B296" s="25"/>
      <c r="C296" s="30">
        <f t="shared" si="5"/>
        <v>0</v>
      </c>
      <c r="D296" s="14">
        <f t="shared" si="4"/>
        <v>0</v>
      </c>
      <c r="E296" s="14"/>
      <c r="F296" s="38"/>
      <c r="G296" s="38"/>
    </row>
    <row r="297" spans="1:7" ht="15.75" thickBot="1">
      <c r="A297" s="3" t="s">
        <v>31</v>
      </c>
      <c r="B297" s="25"/>
      <c r="C297" s="30">
        <f t="shared" si="5"/>
        <v>0</v>
      </c>
      <c r="D297" s="14">
        <f t="shared" si="4"/>
        <v>0</v>
      </c>
      <c r="E297" s="14"/>
      <c r="F297" s="38"/>
      <c r="G297" s="38"/>
    </row>
    <row r="298" spans="1:7" ht="15.75" thickBot="1">
      <c r="A298" s="3" t="s">
        <v>32</v>
      </c>
      <c r="B298" s="25"/>
      <c r="C298" s="30">
        <f t="shared" si="5"/>
        <v>0</v>
      </c>
      <c r="D298" s="14">
        <f t="shared" si="4"/>
        <v>0</v>
      </c>
      <c r="E298" s="14"/>
      <c r="F298" s="38"/>
      <c r="G298" s="38"/>
    </row>
    <row r="299" spans="1:7" ht="15.75" thickBot="1">
      <c r="A299" s="3" t="s">
        <v>33</v>
      </c>
      <c r="B299" s="25"/>
      <c r="C299" s="30">
        <f t="shared" si="5"/>
        <v>0</v>
      </c>
      <c r="D299" s="14">
        <f t="shared" si="4"/>
        <v>0</v>
      </c>
      <c r="E299" s="14"/>
      <c r="F299" s="38"/>
      <c r="G299" s="38"/>
    </row>
    <row r="300" spans="1:7" ht="15.75" thickBot="1">
      <c r="A300" s="3" t="s">
        <v>34</v>
      </c>
      <c r="B300" s="25"/>
      <c r="C300" s="30">
        <f t="shared" si="5"/>
        <v>0</v>
      </c>
      <c r="D300" s="14">
        <f t="shared" si="4"/>
        <v>0</v>
      </c>
      <c r="E300" s="14"/>
      <c r="F300" s="38"/>
      <c r="G300" s="38"/>
    </row>
    <row r="301" spans="1:7" ht="15.75" thickBot="1">
      <c r="A301" s="3" t="s">
        <v>35</v>
      </c>
      <c r="B301" s="25"/>
      <c r="C301" s="30">
        <f t="shared" si="5"/>
        <v>0</v>
      </c>
      <c r="D301" s="14">
        <f t="shared" si="4"/>
        <v>0</v>
      </c>
      <c r="E301" s="14"/>
      <c r="F301" s="38"/>
      <c r="G301" s="38"/>
    </row>
    <row r="302" spans="1:7" ht="15.75" thickBot="1">
      <c r="A302" s="3" t="s">
        <v>36</v>
      </c>
      <c r="B302" s="25"/>
      <c r="C302" s="30">
        <f t="shared" si="5"/>
        <v>0</v>
      </c>
      <c r="D302" s="14">
        <f t="shared" si="4"/>
        <v>0</v>
      </c>
      <c r="E302" s="14"/>
      <c r="F302" s="38"/>
      <c r="G302" s="38"/>
    </row>
    <row r="303" spans="1:7" ht="15.75" thickBot="1">
      <c r="A303" s="3" t="s">
        <v>37</v>
      </c>
      <c r="B303" s="25"/>
      <c r="C303" s="30">
        <f t="shared" si="5"/>
        <v>0</v>
      </c>
      <c r="D303" s="14">
        <f t="shared" si="4"/>
        <v>0</v>
      </c>
      <c r="E303" s="14"/>
      <c r="F303" s="38"/>
      <c r="G303" s="38"/>
    </row>
    <row r="304" spans="1:7" ht="15.75" thickBot="1">
      <c r="A304" s="3" t="s">
        <v>38</v>
      </c>
      <c r="B304" s="25"/>
      <c r="C304" s="30">
        <f t="shared" si="5"/>
        <v>0</v>
      </c>
      <c r="D304" s="14">
        <f t="shared" si="4"/>
        <v>0</v>
      </c>
      <c r="E304" s="14"/>
      <c r="F304" s="38"/>
      <c r="G304" s="38"/>
    </row>
    <row r="305" spans="1:7" ht="15.75" thickBot="1">
      <c r="A305" s="3" t="s">
        <v>39</v>
      </c>
      <c r="B305" s="25"/>
      <c r="C305" s="30">
        <f t="shared" si="5"/>
        <v>0</v>
      </c>
      <c r="D305" s="14">
        <f t="shared" si="4"/>
        <v>0</v>
      </c>
      <c r="E305" s="14"/>
      <c r="F305" s="38"/>
      <c r="G305" s="38"/>
    </row>
    <row r="306" spans="1:7" ht="15.75" thickBot="1">
      <c r="A306" s="3" t="s">
        <v>40</v>
      </c>
      <c r="B306" s="25"/>
      <c r="C306" s="30">
        <f t="shared" si="5"/>
        <v>0</v>
      </c>
      <c r="D306" s="14">
        <f t="shared" si="4"/>
        <v>0</v>
      </c>
      <c r="E306" s="14"/>
      <c r="F306" s="38"/>
      <c r="G306" s="38"/>
    </row>
    <row r="307" spans="1:7" ht="15.75" thickBot="1">
      <c r="A307" s="3" t="s">
        <v>41</v>
      </c>
      <c r="B307" s="25"/>
      <c r="C307" s="30">
        <f t="shared" si="5"/>
        <v>0</v>
      </c>
      <c r="D307" s="14">
        <f t="shared" si="4"/>
        <v>0</v>
      </c>
      <c r="E307" s="14"/>
      <c r="F307" s="38"/>
      <c r="G307" s="38"/>
    </row>
    <row r="308" spans="1:7" ht="15.75" thickBot="1">
      <c r="A308" s="3" t="s">
        <v>42</v>
      </c>
      <c r="B308" s="25"/>
      <c r="C308" s="30">
        <f t="shared" si="5"/>
        <v>0</v>
      </c>
      <c r="D308" s="14">
        <f t="shared" si="4"/>
        <v>0</v>
      </c>
      <c r="E308" s="14"/>
      <c r="F308" s="38"/>
      <c r="G308" s="38"/>
    </row>
    <row r="309" spans="1:7" ht="15.75" thickBot="1">
      <c r="A309" s="3" t="s">
        <v>43</v>
      </c>
      <c r="B309" s="25"/>
      <c r="C309" s="30">
        <f t="shared" si="5"/>
        <v>0</v>
      </c>
      <c r="D309" s="14">
        <f t="shared" si="4"/>
        <v>0</v>
      </c>
      <c r="E309" s="14"/>
      <c r="F309" s="38"/>
      <c r="G309" s="38"/>
    </row>
    <row r="310" spans="1:7" ht="15.75" thickBot="1">
      <c r="A310" s="3" t="s">
        <v>44</v>
      </c>
      <c r="B310" s="25"/>
      <c r="C310" s="30">
        <f t="shared" si="5"/>
        <v>0</v>
      </c>
      <c r="D310" s="14">
        <f t="shared" si="4"/>
        <v>0</v>
      </c>
      <c r="E310" s="14"/>
      <c r="F310" s="38"/>
      <c r="G310" s="38"/>
    </row>
    <row r="311" spans="1:7" ht="15.75" thickBot="1">
      <c r="A311" s="3" t="s">
        <v>45</v>
      </c>
      <c r="B311" s="25"/>
      <c r="C311" s="30">
        <f t="shared" si="5"/>
        <v>0</v>
      </c>
      <c r="D311" s="14">
        <f t="shared" si="4"/>
        <v>0</v>
      </c>
      <c r="E311" s="14"/>
      <c r="F311" s="38"/>
      <c r="G311" s="38"/>
    </row>
    <row r="312" spans="1:7" ht="15.75" thickBot="1">
      <c r="A312" s="3" t="s">
        <v>46</v>
      </c>
      <c r="B312" s="25"/>
      <c r="C312" s="30">
        <f t="shared" si="5"/>
        <v>0</v>
      </c>
      <c r="D312" s="14">
        <f t="shared" si="4"/>
        <v>0</v>
      </c>
      <c r="E312" s="14"/>
      <c r="F312" s="38"/>
      <c r="G312" s="38"/>
    </row>
    <row r="313" spans="1:7" ht="15.75" thickBot="1">
      <c r="A313" s="3" t="s">
        <v>47</v>
      </c>
      <c r="B313" s="25"/>
      <c r="C313" s="30">
        <f t="shared" si="5"/>
        <v>0</v>
      </c>
      <c r="D313" s="14">
        <f t="shared" si="4"/>
        <v>0</v>
      </c>
      <c r="E313" s="14"/>
      <c r="F313" s="38"/>
      <c r="G313" s="38"/>
    </row>
    <row r="314" spans="1:7" ht="15.75" thickBot="1">
      <c r="A314" s="3" t="s">
        <v>48</v>
      </c>
      <c r="B314" s="25"/>
      <c r="C314" s="30">
        <f t="shared" si="5"/>
        <v>0</v>
      </c>
      <c r="D314" s="14">
        <f t="shared" si="4"/>
        <v>0</v>
      </c>
      <c r="E314" s="14"/>
      <c r="F314" s="38"/>
      <c r="G314" s="38"/>
    </row>
    <row r="315" spans="1:7" ht="15.75" thickBot="1">
      <c r="A315" s="3" t="s">
        <v>49</v>
      </c>
      <c r="B315" s="25"/>
      <c r="C315" s="30">
        <f t="shared" si="5"/>
        <v>0</v>
      </c>
      <c r="D315" s="14">
        <f t="shared" si="4"/>
        <v>0</v>
      </c>
      <c r="E315" s="14"/>
      <c r="F315" s="38"/>
      <c r="G315" s="38"/>
    </row>
    <row r="316" spans="1:7" ht="15.75" thickBot="1">
      <c r="A316" s="3" t="s">
        <v>50</v>
      </c>
      <c r="B316" s="25"/>
      <c r="C316" s="30">
        <f t="shared" si="5"/>
        <v>0</v>
      </c>
      <c r="D316" s="14">
        <f t="shared" si="4"/>
        <v>0</v>
      </c>
      <c r="E316" s="14"/>
      <c r="F316" s="38"/>
      <c r="G316" s="38"/>
    </row>
    <row r="317" spans="1:7" ht="15.75" thickBot="1">
      <c r="A317" s="3" t="s">
        <v>51</v>
      </c>
      <c r="B317" s="25"/>
      <c r="C317" s="30">
        <f t="shared" si="5"/>
        <v>0</v>
      </c>
      <c r="D317" s="14">
        <f t="shared" si="4"/>
        <v>0</v>
      </c>
      <c r="E317" s="14"/>
      <c r="F317" s="38"/>
      <c r="G317" s="38"/>
    </row>
    <row r="318" spans="1:7" ht="15.75" thickBot="1">
      <c r="A318" s="3" t="s">
        <v>52</v>
      </c>
      <c r="B318" s="25"/>
      <c r="C318" s="30">
        <f t="shared" si="5"/>
        <v>0</v>
      </c>
      <c r="D318" s="14">
        <f t="shared" si="4"/>
        <v>0</v>
      </c>
      <c r="E318" s="14"/>
      <c r="F318" s="38"/>
      <c r="G318" s="38"/>
    </row>
    <row r="319" spans="1:7" ht="15.75" thickBot="1">
      <c r="A319" s="3" t="s">
        <v>53</v>
      </c>
      <c r="B319" s="25"/>
      <c r="C319" s="30">
        <f>B318</f>
        <v>0</v>
      </c>
      <c r="D319" s="14">
        <f>IF(B319=0,0,IF(B319&lt;=E$324,0,B319-E$324)/B319)</f>
        <v>0</v>
      </c>
      <c r="E319" s="14"/>
      <c r="F319" s="38"/>
      <c r="G319" s="38"/>
    </row>
    <row r="320" spans="1:7" ht="15.75" thickBot="1">
      <c r="A320" s="3" t="s">
        <v>53</v>
      </c>
      <c r="B320" s="3"/>
      <c r="C320" s="30">
        <f t="shared" si="5"/>
        <v>0</v>
      </c>
      <c r="D320" s="22"/>
      <c r="E320" s="1"/>
      <c r="F320" s="37"/>
      <c r="G320" s="39"/>
    </row>
    <row r="321" spans="1:7" ht="15.75" thickBot="1">
      <c r="A321" s="3"/>
      <c r="B321" s="3"/>
      <c r="D321" s="4"/>
      <c r="E321" s="15"/>
      <c r="F321" s="26"/>
      <c r="G321" s="26"/>
    </row>
    <row r="322" spans="1:7" ht="60.75" thickBot="1">
      <c r="A322" s="5" t="s">
        <v>55</v>
      </c>
      <c r="B322" s="3"/>
      <c r="D322" s="4"/>
      <c r="E322" s="12"/>
      <c r="F322" s="45"/>
      <c r="G322" s="46"/>
    </row>
    <row r="323" spans="1:7" ht="60.75" thickBot="1">
      <c r="A323" s="5" t="s">
        <v>56</v>
      </c>
      <c r="B323" s="4"/>
      <c r="D323" s="1"/>
      <c r="E323" s="1"/>
      <c r="F323" s="37"/>
      <c r="G323" s="37"/>
    </row>
    <row r="324" spans="1:7" ht="97.5" thickBot="1">
      <c r="A324" s="6" t="s">
        <v>57</v>
      </c>
      <c r="B324" s="4"/>
      <c r="D324" s="1"/>
      <c r="E324" s="1">
        <f>0.6*E322</f>
        <v>0</v>
      </c>
      <c r="F324" s="37">
        <f>0.6*F322</f>
        <v>0</v>
      </c>
      <c r="G324" s="37"/>
    </row>
    <row r="327" spans="1:7">
      <c r="A327" s="16" t="s">
        <v>64</v>
      </c>
      <c r="B327" s="17" t="e">
        <f>AVERAGE(B275:B314)</f>
        <v>#DIV/0!</v>
      </c>
    </row>
    <row r="328" spans="1:7">
      <c r="A328" s="16" t="s">
        <v>65</v>
      </c>
      <c r="B328" s="18" t="e">
        <f>AVERAGE(B280:B309)</f>
        <v>#DIV/0!</v>
      </c>
    </row>
    <row r="329" spans="1:7">
      <c r="A329" s="16" t="s">
        <v>66</v>
      </c>
      <c r="B329" s="18" t="e">
        <f>AVERAGE(B286:B304)</f>
        <v>#DIV/0!</v>
      </c>
    </row>
    <row r="332" spans="1:7" ht="15.75" thickBot="1"/>
    <row r="333" spans="1:7" ht="15" customHeight="1" thickBot="1">
      <c r="A333" s="522" t="s">
        <v>0</v>
      </c>
      <c r="B333" s="525" t="s">
        <v>70</v>
      </c>
      <c r="C333" s="526"/>
      <c r="D333" s="527"/>
      <c r="E333" s="19">
        <f>(1-E388)^(1/3)-1</f>
        <v>0</v>
      </c>
      <c r="F333" s="19">
        <f>(1-F388)^(1/3)-1</f>
        <v>0</v>
      </c>
      <c r="G333" s="19"/>
    </row>
    <row r="334" spans="1:7" ht="72.75" thickBot="1">
      <c r="A334" s="523"/>
      <c r="B334" s="7" t="s">
        <v>4</v>
      </c>
      <c r="D334" s="11" t="s">
        <v>80</v>
      </c>
      <c r="E334" s="11" t="s">
        <v>5</v>
      </c>
      <c r="F334" s="39" t="s">
        <v>5</v>
      </c>
      <c r="G334" s="39"/>
    </row>
    <row r="335" spans="1:7" ht="25.5" thickBot="1">
      <c r="A335" s="524"/>
      <c r="B335" s="3" t="s">
        <v>72</v>
      </c>
      <c r="D335" s="20" t="s">
        <v>7</v>
      </c>
      <c r="E335" s="20" t="s">
        <v>7</v>
      </c>
      <c r="F335" s="20" t="s">
        <v>7</v>
      </c>
      <c r="G335" s="20"/>
    </row>
    <row r="336" spans="1:7" ht="15.75" thickBot="1">
      <c r="A336" s="50">
        <v>1</v>
      </c>
      <c r="B336" s="51">
        <v>2</v>
      </c>
      <c r="C336" s="117"/>
      <c r="D336" s="51">
        <v>3</v>
      </c>
      <c r="E336" s="51">
        <v>4</v>
      </c>
      <c r="F336" s="52">
        <v>5</v>
      </c>
      <c r="G336" s="52"/>
    </row>
    <row r="337" spans="1:7" ht="15.75" thickBot="1">
      <c r="A337" s="8" t="s">
        <v>10</v>
      </c>
      <c r="B337" s="24"/>
      <c r="C337">
        <v>0</v>
      </c>
      <c r="D337" s="14">
        <f t="shared" ref="D337:D385" si="6">IF(B337=0,0,IF(B337&lt;=E$391,0,B337-E$391)/B337)</f>
        <v>0</v>
      </c>
      <c r="E337" s="14"/>
      <c r="F337" s="38"/>
      <c r="G337" s="38"/>
    </row>
    <row r="338" spans="1:7" ht="15.75" thickBot="1">
      <c r="A338" s="8" t="s">
        <v>58</v>
      </c>
      <c r="B338" s="25"/>
      <c r="C338" s="30">
        <f>B337</f>
        <v>0</v>
      </c>
      <c r="D338" s="14">
        <f t="shared" si="6"/>
        <v>0</v>
      </c>
      <c r="E338" s="14"/>
      <c r="F338" s="38"/>
      <c r="G338" s="38"/>
    </row>
    <row r="339" spans="1:7" ht="15.75" thickBot="1">
      <c r="A339" s="8" t="s">
        <v>59</v>
      </c>
      <c r="B339" s="25"/>
      <c r="C339" s="30">
        <f t="shared" ref="C339:C387" si="7">B338</f>
        <v>0</v>
      </c>
      <c r="D339" s="14">
        <f t="shared" si="6"/>
        <v>0</v>
      </c>
      <c r="E339" s="14"/>
      <c r="F339" s="38"/>
      <c r="G339" s="38"/>
    </row>
    <row r="340" spans="1:7" ht="15.75" thickBot="1">
      <c r="A340" s="8" t="s">
        <v>60</v>
      </c>
      <c r="B340" s="25"/>
      <c r="C340" s="30">
        <f t="shared" si="7"/>
        <v>0</v>
      </c>
      <c r="D340" s="14">
        <f t="shared" si="6"/>
        <v>0</v>
      </c>
      <c r="E340" s="14"/>
      <c r="F340" s="38"/>
      <c r="G340" s="38"/>
    </row>
    <row r="341" spans="1:7" ht="15.75" thickBot="1">
      <c r="A341" s="8" t="s">
        <v>61</v>
      </c>
      <c r="B341" s="25"/>
      <c r="C341" s="30">
        <f t="shared" si="7"/>
        <v>0</v>
      </c>
      <c r="D341" s="14">
        <f t="shared" si="6"/>
        <v>0</v>
      </c>
      <c r="E341" s="14"/>
      <c r="F341" s="38"/>
      <c r="G341" s="38"/>
    </row>
    <row r="342" spans="1:7" ht="15.75" thickBot="1">
      <c r="A342" s="8" t="s">
        <v>62</v>
      </c>
      <c r="B342" s="25"/>
      <c r="C342" s="30">
        <f t="shared" si="7"/>
        <v>0</v>
      </c>
      <c r="D342" s="14">
        <f t="shared" si="6"/>
        <v>0</v>
      </c>
      <c r="E342" s="14"/>
      <c r="F342" s="38"/>
      <c r="G342" s="38"/>
    </row>
    <row r="343" spans="1:7" ht="15.75" thickBot="1">
      <c r="A343" s="8" t="s">
        <v>63</v>
      </c>
      <c r="B343" s="25"/>
      <c r="C343" s="30">
        <f t="shared" si="7"/>
        <v>0</v>
      </c>
      <c r="D343" s="14">
        <f t="shared" si="6"/>
        <v>0</v>
      </c>
      <c r="E343" s="14"/>
      <c r="F343" s="38"/>
      <c r="G343" s="38"/>
    </row>
    <row r="344" spans="1:7" ht="15.75" thickBot="1">
      <c r="A344" s="3" t="s">
        <v>11</v>
      </c>
      <c r="B344" s="25"/>
      <c r="C344" s="30">
        <f t="shared" si="7"/>
        <v>0</v>
      </c>
      <c r="D344" s="14">
        <f t="shared" si="6"/>
        <v>0</v>
      </c>
      <c r="E344" s="14"/>
      <c r="F344" s="38"/>
      <c r="G344" s="38"/>
    </row>
    <row r="345" spans="1:7" ht="15.75" thickBot="1">
      <c r="A345" s="3" t="s">
        <v>12</v>
      </c>
      <c r="B345" s="25"/>
      <c r="C345" s="30">
        <f t="shared" si="7"/>
        <v>0</v>
      </c>
      <c r="D345" s="14">
        <f t="shared" si="6"/>
        <v>0</v>
      </c>
      <c r="E345" s="14"/>
      <c r="F345" s="38"/>
      <c r="G345" s="38"/>
    </row>
    <row r="346" spans="1:7" ht="15.75" thickBot="1">
      <c r="A346" s="3" t="s">
        <v>13</v>
      </c>
      <c r="B346" s="25"/>
      <c r="C346" s="30">
        <f t="shared" si="7"/>
        <v>0</v>
      </c>
      <c r="D346" s="14">
        <f t="shared" si="6"/>
        <v>0</v>
      </c>
      <c r="E346" s="14"/>
      <c r="F346" s="38"/>
      <c r="G346" s="38"/>
    </row>
    <row r="347" spans="1:7" ht="15.75" thickBot="1">
      <c r="A347" s="3" t="s">
        <v>14</v>
      </c>
      <c r="B347" s="25"/>
      <c r="C347" s="30">
        <f t="shared" si="7"/>
        <v>0</v>
      </c>
      <c r="D347" s="14">
        <f t="shared" si="6"/>
        <v>0</v>
      </c>
      <c r="E347" s="14"/>
      <c r="F347" s="38"/>
      <c r="G347" s="38"/>
    </row>
    <row r="348" spans="1:7" ht="15.75" thickBot="1">
      <c r="A348" s="3" t="s">
        <v>15</v>
      </c>
      <c r="B348" s="25"/>
      <c r="C348" s="30">
        <f t="shared" si="7"/>
        <v>0</v>
      </c>
      <c r="D348" s="14">
        <f t="shared" si="6"/>
        <v>0</v>
      </c>
      <c r="E348" s="14"/>
      <c r="F348" s="38"/>
      <c r="G348" s="38"/>
    </row>
    <row r="349" spans="1:7" ht="15.75" thickBot="1">
      <c r="A349" s="3" t="s">
        <v>16</v>
      </c>
      <c r="B349" s="25"/>
      <c r="C349" s="30">
        <f t="shared" si="7"/>
        <v>0</v>
      </c>
      <c r="D349" s="14">
        <f t="shared" si="6"/>
        <v>0</v>
      </c>
      <c r="E349" s="14"/>
      <c r="F349" s="38"/>
      <c r="G349" s="38"/>
    </row>
    <row r="350" spans="1:7" ht="15.75" thickBot="1">
      <c r="A350" s="3" t="s">
        <v>17</v>
      </c>
      <c r="B350" s="25"/>
      <c r="C350" s="30">
        <f t="shared" si="7"/>
        <v>0</v>
      </c>
      <c r="D350" s="14">
        <f t="shared" si="6"/>
        <v>0</v>
      </c>
      <c r="E350" s="14"/>
      <c r="F350" s="38"/>
      <c r="G350" s="38"/>
    </row>
    <row r="351" spans="1:7" ht="15.75" thickBot="1">
      <c r="A351" s="3" t="s">
        <v>18</v>
      </c>
      <c r="B351" s="25"/>
      <c r="C351" s="30">
        <f t="shared" si="7"/>
        <v>0</v>
      </c>
      <c r="D351" s="14">
        <f t="shared" si="6"/>
        <v>0</v>
      </c>
      <c r="E351" s="14"/>
      <c r="F351" s="38"/>
      <c r="G351" s="38"/>
    </row>
    <row r="352" spans="1:7" ht="15.75" thickBot="1">
      <c r="A352" s="3" t="s">
        <v>19</v>
      </c>
      <c r="B352" s="25"/>
      <c r="C352" s="30">
        <f t="shared" si="7"/>
        <v>0</v>
      </c>
      <c r="D352" s="14">
        <f t="shared" si="6"/>
        <v>0</v>
      </c>
      <c r="E352" s="14"/>
      <c r="F352" s="38"/>
      <c r="G352" s="38"/>
    </row>
    <row r="353" spans="1:7" ht="15.75" thickBot="1">
      <c r="A353" s="3" t="s">
        <v>20</v>
      </c>
      <c r="B353" s="25"/>
      <c r="C353" s="30">
        <f t="shared" si="7"/>
        <v>0</v>
      </c>
      <c r="D353" s="14">
        <f t="shared" si="6"/>
        <v>0</v>
      </c>
      <c r="E353" s="14"/>
      <c r="F353" s="38"/>
      <c r="G353" s="38"/>
    </row>
    <row r="354" spans="1:7" ht="15.75" thickBot="1">
      <c r="A354" s="3" t="s">
        <v>21</v>
      </c>
      <c r="B354" s="25"/>
      <c r="C354" s="30">
        <f t="shared" si="7"/>
        <v>0</v>
      </c>
      <c r="D354" s="14">
        <f t="shared" si="6"/>
        <v>0</v>
      </c>
      <c r="E354" s="14"/>
      <c r="F354" s="38"/>
      <c r="G354" s="38"/>
    </row>
    <row r="355" spans="1:7" ht="15.75" thickBot="1">
      <c r="A355" s="3" t="s">
        <v>22</v>
      </c>
      <c r="B355" s="25"/>
      <c r="C355" s="30">
        <f t="shared" si="7"/>
        <v>0</v>
      </c>
      <c r="D355" s="14">
        <f t="shared" si="6"/>
        <v>0</v>
      </c>
      <c r="E355" s="14"/>
      <c r="F355" s="38"/>
      <c r="G355" s="38"/>
    </row>
    <row r="356" spans="1:7" ht="15.75" thickBot="1">
      <c r="A356" s="3" t="s">
        <v>23</v>
      </c>
      <c r="B356" s="25"/>
      <c r="C356" s="30">
        <f t="shared" si="7"/>
        <v>0</v>
      </c>
      <c r="D356" s="14">
        <f t="shared" si="6"/>
        <v>0</v>
      </c>
      <c r="E356" s="14"/>
      <c r="F356" s="38"/>
      <c r="G356" s="38"/>
    </row>
    <row r="357" spans="1:7" ht="15.75" thickBot="1">
      <c r="A357" s="3" t="s">
        <v>24</v>
      </c>
      <c r="B357" s="25"/>
      <c r="C357" s="30">
        <f t="shared" si="7"/>
        <v>0</v>
      </c>
      <c r="D357" s="14">
        <f t="shared" si="6"/>
        <v>0</v>
      </c>
      <c r="E357" s="14"/>
      <c r="F357" s="38"/>
      <c r="G357" s="38"/>
    </row>
    <row r="358" spans="1:7" ht="15.75" thickBot="1">
      <c r="A358" s="3" t="s">
        <v>25</v>
      </c>
      <c r="B358" s="25"/>
      <c r="C358" s="30">
        <f t="shared" si="7"/>
        <v>0</v>
      </c>
      <c r="D358" s="14">
        <f t="shared" si="6"/>
        <v>0</v>
      </c>
      <c r="E358" s="14"/>
      <c r="F358" s="38"/>
      <c r="G358" s="38"/>
    </row>
    <row r="359" spans="1:7" ht="15.75" thickBot="1">
      <c r="A359" s="3" t="s">
        <v>26</v>
      </c>
      <c r="B359" s="25"/>
      <c r="C359" s="30">
        <f t="shared" si="7"/>
        <v>0</v>
      </c>
      <c r="D359" s="14">
        <f t="shared" si="6"/>
        <v>0</v>
      </c>
      <c r="E359" s="14"/>
      <c r="F359" s="38"/>
      <c r="G359" s="38"/>
    </row>
    <row r="360" spans="1:7" ht="15.75" thickBot="1">
      <c r="A360" s="3" t="s">
        <v>27</v>
      </c>
      <c r="B360" s="25"/>
      <c r="C360" s="30">
        <f t="shared" si="7"/>
        <v>0</v>
      </c>
      <c r="D360" s="14">
        <f t="shared" si="6"/>
        <v>0</v>
      </c>
      <c r="E360" s="14"/>
      <c r="F360" s="38"/>
      <c r="G360" s="38"/>
    </row>
    <row r="361" spans="1:7" ht="15.75" thickBot="1">
      <c r="A361" s="3" t="s">
        <v>28</v>
      </c>
      <c r="B361" s="25"/>
      <c r="C361" s="30">
        <f t="shared" si="7"/>
        <v>0</v>
      </c>
      <c r="D361" s="14">
        <f t="shared" si="6"/>
        <v>0</v>
      </c>
      <c r="E361" s="14"/>
      <c r="F361" s="38"/>
      <c r="G361" s="38"/>
    </row>
    <row r="362" spans="1:7" ht="15.75" thickBot="1">
      <c r="A362" s="3" t="s">
        <v>29</v>
      </c>
      <c r="B362" s="25"/>
      <c r="C362" s="30">
        <f t="shared" si="7"/>
        <v>0</v>
      </c>
      <c r="D362" s="14">
        <f t="shared" si="6"/>
        <v>0</v>
      </c>
      <c r="E362" s="14"/>
      <c r="F362" s="38"/>
      <c r="G362" s="38"/>
    </row>
    <row r="363" spans="1:7" ht="15.75" thickBot="1">
      <c r="A363" s="3" t="s">
        <v>30</v>
      </c>
      <c r="B363" s="25"/>
      <c r="C363" s="30">
        <f t="shared" si="7"/>
        <v>0</v>
      </c>
      <c r="D363" s="14">
        <f t="shared" si="6"/>
        <v>0</v>
      </c>
      <c r="E363" s="14"/>
      <c r="F363" s="38"/>
      <c r="G363" s="38"/>
    </row>
    <row r="364" spans="1:7" ht="15.75" thickBot="1">
      <c r="A364" s="3" t="s">
        <v>31</v>
      </c>
      <c r="B364" s="25"/>
      <c r="C364" s="30">
        <f t="shared" si="7"/>
        <v>0</v>
      </c>
      <c r="D364" s="14">
        <f t="shared" si="6"/>
        <v>0</v>
      </c>
      <c r="E364" s="14"/>
      <c r="F364" s="38"/>
      <c r="G364" s="38"/>
    </row>
    <row r="365" spans="1:7" ht="15.75" thickBot="1">
      <c r="A365" s="3" t="s">
        <v>32</v>
      </c>
      <c r="B365" s="25"/>
      <c r="C365" s="30">
        <f t="shared" si="7"/>
        <v>0</v>
      </c>
      <c r="D365" s="14">
        <f t="shared" si="6"/>
        <v>0</v>
      </c>
      <c r="E365" s="14"/>
      <c r="F365" s="38"/>
      <c r="G365" s="38"/>
    </row>
    <row r="366" spans="1:7" ht="15.75" thickBot="1">
      <c r="A366" s="3" t="s">
        <v>33</v>
      </c>
      <c r="B366" s="25"/>
      <c r="C366" s="30">
        <f t="shared" si="7"/>
        <v>0</v>
      </c>
      <c r="D366" s="14">
        <f t="shared" si="6"/>
        <v>0</v>
      </c>
      <c r="E366" s="14"/>
      <c r="F366" s="38"/>
      <c r="G366" s="38"/>
    </row>
    <row r="367" spans="1:7" ht="15.75" thickBot="1">
      <c r="A367" s="3" t="s">
        <v>34</v>
      </c>
      <c r="B367" s="25"/>
      <c r="C367" s="30">
        <f t="shared" si="7"/>
        <v>0</v>
      </c>
      <c r="D367" s="14">
        <f t="shared" si="6"/>
        <v>0</v>
      </c>
      <c r="E367" s="14"/>
      <c r="F367" s="38"/>
      <c r="G367" s="38"/>
    </row>
    <row r="368" spans="1:7" ht="15.75" thickBot="1">
      <c r="A368" s="3" t="s">
        <v>35</v>
      </c>
      <c r="B368" s="25"/>
      <c r="C368" s="30">
        <f t="shared" si="7"/>
        <v>0</v>
      </c>
      <c r="D368" s="14">
        <f t="shared" si="6"/>
        <v>0</v>
      </c>
      <c r="E368" s="14"/>
      <c r="F368" s="38"/>
      <c r="G368" s="38"/>
    </row>
    <row r="369" spans="1:7" ht="15.75" thickBot="1">
      <c r="A369" s="3" t="s">
        <v>36</v>
      </c>
      <c r="B369" s="25"/>
      <c r="C369" s="30">
        <f t="shared" si="7"/>
        <v>0</v>
      </c>
      <c r="D369" s="14">
        <f t="shared" si="6"/>
        <v>0</v>
      </c>
      <c r="E369" s="14"/>
      <c r="F369" s="38"/>
      <c r="G369" s="38"/>
    </row>
    <row r="370" spans="1:7" ht="15.75" thickBot="1">
      <c r="A370" s="3" t="s">
        <v>37</v>
      </c>
      <c r="B370" s="25"/>
      <c r="C370" s="30">
        <f t="shared" si="7"/>
        <v>0</v>
      </c>
      <c r="D370" s="14">
        <f t="shared" si="6"/>
        <v>0</v>
      </c>
      <c r="E370" s="14"/>
      <c r="F370" s="38"/>
      <c r="G370" s="38"/>
    </row>
    <row r="371" spans="1:7" ht="15.75" thickBot="1">
      <c r="A371" s="3" t="s">
        <v>38</v>
      </c>
      <c r="B371" s="25"/>
      <c r="C371" s="30">
        <f t="shared" si="7"/>
        <v>0</v>
      </c>
      <c r="D371" s="14">
        <f t="shared" si="6"/>
        <v>0</v>
      </c>
      <c r="E371" s="14"/>
      <c r="F371" s="38"/>
      <c r="G371" s="38"/>
    </row>
    <row r="372" spans="1:7" ht="15.75" thickBot="1">
      <c r="A372" s="3" t="s">
        <v>39</v>
      </c>
      <c r="B372" s="25"/>
      <c r="C372" s="30">
        <f t="shared" si="7"/>
        <v>0</v>
      </c>
      <c r="D372" s="14">
        <f t="shared" si="6"/>
        <v>0</v>
      </c>
      <c r="E372" s="14"/>
      <c r="F372" s="38"/>
      <c r="G372" s="38"/>
    </row>
    <row r="373" spans="1:7" ht="15.75" thickBot="1">
      <c r="A373" s="3" t="s">
        <v>40</v>
      </c>
      <c r="B373" s="25"/>
      <c r="C373" s="30">
        <f t="shared" si="7"/>
        <v>0</v>
      </c>
      <c r="D373" s="14">
        <f t="shared" si="6"/>
        <v>0</v>
      </c>
      <c r="E373" s="14"/>
      <c r="F373" s="38"/>
      <c r="G373" s="38"/>
    </row>
    <row r="374" spans="1:7" ht="15.75" thickBot="1">
      <c r="A374" s="3" t="s">
        <v>41</v>
      </c>
      <c r="B374" s="25"/>
      <c r="C374" s="30">
        <f t="shared" si="7"/>
        <v>0</v>
      </c>
      <c r="D374" s="14">
        <f t="shared" si="6"/>
        <v>0</v>
      </c>
      <c r="E374" s="14"/>
      <c r="F374" s="38"/>
      <c r="G374" s="38"/>
    </row>
    <row r="375" spans="1:7" ht="15.75" thickBot="1">
      <c r="A375" s="3" t="s">
        <v>42</v>
      </c>
      <c r="B375" s="25"/>
      <c r="C375" s="30">
        <f t="shared" si="7"/>
        <v>0</v>
      </c>
      <c r="D375" s="14">
        <f t="shared" si="6"/>
        <v>0</v>
      </c>
      <c r="E375" s="14"/>
      <c r="F375" s="38"/>
      <c r="G375" s="38"/>
    </row>
    <row r="376" spans="1:7" ht="15.75" thickBot="1">
      <c r="A376" s="3" t="s">
        <v>43</v>
      </c>
      <c r="B376" s="25"/>
      <c r="C376" s="30">
        <f t="shared" si="7"/>
        <v>0</v>
      </c>
      <c r="D376" s="14">
        <f t="shared" si="6"/>
        <v>0</v>
      </c>
      <c r="E376" s="14"/>
      <c r="F376" s="38"/>
      <c r="G376" s="38"/>
    </row>
    <row r="377" spans="1:7" ht="15.75" thickBot="1">
      <c r="A377" s="3" t="s">
        <v>44</v>
      </c>
      <c r="B377" s="25"/>
      <c r="C377" s="30">
        <f t="shared" si="7"/>
        <v>0</v>
      </c>
      <c r="D377" s="14">
        <f t="shared" si="6"/>
        <v>0</v>
      </c>
      <c r="E377" s="14"/>
      <c r="F377" s="38"/>
      <c r="G377" s="38"/>
    </row>
    <row r="378" spans="1:7" ht="15.75" thickBot="1">
      <c r="A378" s="3" t="s">
        <v>45</v>
      </c>
      <c r="B378" s="25"/>
      <c r="C378" s="30">
        <f t="shared" si="7"/>
        <v>0</v>
      </c>
      <c r="D378" s="14">
        <f t="shared" si="6"/>
        <v>0</v>
      </c>
      <c r="E378" s="14"/>
      <c r="F378" s="38"/>
      <c r="G378" s="38"/>
    </row>
    <row r="379" spans="1:7" ht="15.75" thickBot="1">
      <c r="A379" s="3" t="s">
        <v>46</v>
      </c>
      <c r="B379" s="25"/>
      <c r="C379" s="30">
        <f t="shared" si="7"/>
        <v>0</v>
      </c>
      <c r="D379" s="14">
        <f t="shared" si="6"/>
        <v>0</v>
      </c>
      <c r="E379" s="14"/>
      <c r="F379" s="38"/>
      <c r="G379" s="38"/>
    </row>
    <row r="380" spans="1:7" ht="15.75" thickBot="1">
      <c r="A380" s="3" t="s">
        <v>47</v>
      </c>
      <c r="B380" s="25"/>
      <c r="C380" s="30">
        <f t="shared" si="7"/>
        <v>0</v>
      </c>
      <c r="D380" s="14">
        <f t="shared" si="6"/>
        <v>0</v>
      </c>
      <c r="E380" s="14"/>
      <c r="F380" s="38"/>
      <c r="G380" s="38"/>
    </row>
    <row r="381" spans="1:7" ht="15.75" thickBot="1">
      <c r="A381" s="3" t="s">
        <v>48</v>
      </c>
      <c r="B381" s="25"/>
      <c r="C381" s="30">
        <f t="shared" si="7"/>
        <v>0</v>
      </c>
      <c r="D381" s="14">
        <f t="shared" si="6"/>
        <v>0</v>
      </c>
      <c r="E381" s="14"/>
      <c r="F381" s="38"/>
      <c r="G381" s="38"/>
    </row>
    <row r="382" spans="1:7" ht="15.75" thickBot="1">
      <c r="A382" s="3" t="s">
        <v>49</v>
      </c>
      <c r="B382" s="25"/>
      <c r="C382" s="30">
        <f t="shared" si="7"/>
        <v>0</v>
      </c>
      <c r="D382" s="14">
        <f t="shared" si="6"/>
        <v>0</v>
      </c>
      <c r="E382" s="14"/>
      <c r="F382" s="38"/>
      <c r="G382" s="38"/>
    </row>
    <row r="383" spans="1:7" ht="15.75" thickBot="1">
      <c r="A383" s="3" t="s">
        <v>50</v>
      </c>
      <c r="B383" s="25"/>
      <c r="C383" s="30">
        <f t="shared" si="7"/>
        <v>0</v>
      </c>
      <c r="D383" s="14">
        <f t="shared" si="6"/>
        <v>0</v>
      </c>
      <c r="E383" s="14"/>
      <c r="F383" s="38"/>
      <c r="G383" s="38"/>
    </row>
    <row r="384" spans="1:7" ht="15.75" thickBot="1">
      <c r="A384" s="3" t="s">
        <v>51</v>
      </c>
      <c r="B384" s="25"/>
      <c r="C384" s="30">
        <f t="shared" si="7"/>
        <v>0</v>
      </c>
      <c r="D384" s="14">
        <f t="shared" si="6"/>
        <v>0</v>
      </c>
      <c r="E384" s="14"/>
      <c r="F384" s="38"/>
      <c r="G384" s="38"/>
    </row>
    <row r="385" spans="1:7" ht="15.75" thickBot="1">
      <c r="A385" s="3" t="s">
        <v>52</v>
      </c>
      <c r="B385" s="25"/>
      <c r="C385" s="30">
        <f t="shared" si="7"/>
        <v>0</v>
      </c>
      <c r="D385" s="14">
        <f t="shared" si="6"/>
        <v>0</v>
      </c>
      <c r="E385" s="14"/>
      <c r="F385" s="38"/>
      <c r="G385" s="38"/>
    </row>
    <row r="386" spans="1:7" ht="15.75" thickBot="1">
      <c r="A386" s="3" t="s">
        <v>53</v>
      </c>
      <c r="B386" s="23"/>
      <c r="C386" s="30">
        <f>B385</f>
        <v>0</v>
      </c>
      <c r="D386" s="14">
        <f>IF(B386=0,0,IF(B386&lt;=E$391,0,B386-E$391)/B386)</f>
        <v>0</v>
      </c>
      <c r="E386" s="14"/>
      <c r="F386" s="38"/>
      <c r="G386" s="38"/>
    </row>
    <row r="387" spans="1:7" ht="15.75" thickBot="1">
      <c r="A387" s="3" t="s">
        <v>53</v>
      </c>
      <c r="B387" s="3"/>
      <c r="C387" s="30">
        <f t="shared" si="7"/>
        <v>0</v>
      </c>
      <c r="D387" s="22" t="s">
        <v>69</v>
      </c>
      <c r="E387" s="1"/>
      <c r="F387" s="37"/>
      <c r="G387" s="39"/>
    </row>
    <row r="388" spans="1:7" ht="15.75" thickBot="1">
      <c r="A388" s="3"/>
      <c r="B388" s="3"/>
      <c r="D388" s="4" t="s">
        <v>69</v>
      </c>
      <c r="E388" s="15"/>
      <c r="F388" s="26"/>
      <c r="G388" s="26"/>
    </row>
    <row r="389" spans="1:7" ht="60.75" thickBot="1">
      <c r="A389" s="5" t="s">
        <v>55</v>
      </c>
      <c r="B389" s="3"/>
      <c r="D389" s="4" t="s">
        <v>69</v>
      </c>
      <c r="E389" s="12"/>
      <c r="F389" s="45"/>
      <c r="G389" s="46"/>
    </row>
    <row r="390" spans="1:7" ht="60.75" thickBot="1">
      <c r="A390" s="5" t="s">
        <v>56</v>
      </c>
      <c r="B390" s="4"/>
      <c r="D390" s="1"/>
      <c r="E390" s="1"/>
      <c r="F390" s="37"/>
      <c r="G390" s="37"/>
    </row>
    <row r="391" spans="1:7" ht="97.5" thickBot="1">
      <c r="A391" s="6" t="s">
        <v>57</v>
      </c>
      <c r="B391" s="4"/>
      <c r="D391" s="1"/>
      <c r="E391" s="1">
        <f>0.6*E389</f>
        <v>0</v>
      </c>
      <c r="F391" s="37">
        <f>0.6*F389</f>
        <v>0</v>
      </c>
      <c r="G391" s="37"/>
    </row>
    <row r="394" spans="1:7">
      <c r="A394" s="16" t="s">
        <v>64</v>
      </c>
      <c r="B394" s="17" t="e">
        <f>AVERAGE(B342:B381)</f>
        <v>#DIV/0!</v>
      </c>
    </row>
    <row r="395" spans="1:7">
      <c r="A395" s="16" t="s">
        <v>65</v>
      </c>
      <c r="B395" s="18" t="e">
        <f>AVERAGE(B347:B376)</f>
        <v>#DIV/0!</v>
      </c>
    </row>
    <row r="396" spans="1:7">
      <c r="A396" s="16" t="s">
        <v>66</v>
      </c>
      <c r="B396" s="18" t="e">
        <f>AVERAGE(B353:B371)</f>
        <v>#DIV/0!</v>
      </c>
    </row>
    <row r="400" spans="1:7" ht="15.75" thickBot="1"/>
    <row r="401" spans="1:7" ht="15.75" thickBot="1">
      <c r="A401" s="522" t="s">
        <v>0</v>
      </c>
      <c r="B401" s="532" t="s">
        <v>71</v>
      </c>
      <c r="C401" s="533"/>
      <c r="D401" s="534"/>
      <c r="E401" s="19">
        <f>(1-E456)^(1/3)-1</f>
        <v>0</v>
      </c>
      <c r="F401" s="19">
        <f>(1-F456)^(1/3)-1</f>
        <v>0</v>
      </c>
      <c r="G401" s="19"/>
    </row>
    <row r="402" spans="1:7" ht="72.75" thickBot="1">
      <c r="A402" s="523"/>
      <c r="B402" s="7" t="s">
        <v>4</v>
      </c>
      <c r="C402">
        <v>0</v>
      </c>
      <c r="D402" s="1" t="s">
        <v>5</v>
      </c>
      <c r="E402" s="1" t="s">
        <v>5</v>
      </c>
      <c r="F402" s="37" t="s">
        <v>5</v>
      </c>
      <c r="G402" s="37"/>
    </row>
    <row r="403" spans="1:7" ht="73.5" thickBot="1">
      <c r="A403" s="524"/>
      <c r="B403" s="4" t="s">
        <v>73</v>
      </c>
      <c r="C403" s="30" t="str">
        <f>B402</f>
        <v>Фактическое удельное годовое потребление</v>
      </c>
      <c r="D403" s="20" t="s">
        <v>7</v>
      </c>
      <c r="E403" s="9" t="s">
        <v>65</v>
      </c>
      <c r="F403" s="47"/>
      <c r="G403" s="48"/>
    </row>
    <row r="404" spans="1:7" ht="25.5" thickBot="1">
      <c r="A404" s="2">
        <v>1</v>
      </c>
      <c r="B404" s="2"/>
      <c r="C404" s="30" t="str">
        <f t="shared" ref="C404:C452" si="8">B403</f>
        <v>кгут / кв. м</v>
      </c>
      <c r="D404" s="4" t="s">
        <v>73</v>
      </c>
      <c r="E404" s="10">
        <v>5</v>
      </c>
      <c r="F404" s="43">
        <v>6</v>
      </c>
      <c r="G404" s="44"/>
    </row>
    <row r="405" spans="1:7" ht="15.75" thickBot="1">
      <c r="A405" s="8" t="s">
        <v>10</v>
      </c>
      <c r="B405" s="3"/>
      <c r="C405" s="30">
        <f t="shared" si="8"/>
        <v>0</v>
      </c>
      <c r="D405" s="21"/>
      <c r="E405" s="14"/>
      <c r="F405" s="38"/>
      <c r="G405" s="38"/>
    </row>
    <row r="406" spans="1:7" ht="15.75" thickBot="1">
      <c r="A406" s="8" t="s">
        <v>58</v>
      </c>
      <c r="B406" s="3"/>
      <c r="C406" s="30">
        <f t="shared" si="8"/>
        <v>0</v>
      </c>
      <c r="D406" s="4"/>
      <c r="E406" s="14"/>
      <c r="F406" s="38"/>
      <c r="G406" s="38"/>
    </row>
    <row r="407" spans="1:7" ht="15.75" thickBot="1">
      <c r="A407" s="8" t="s">
        <v>59</v>
      </c>
      <c r="B407" s="3"/>
      <c r="C407" s="30">
        <f t="shared" si="8"/>
        <v>0</v>
      </c>
      <c r="D407" s="4"/>
      <c r="E407" s="14"/>
      <c r="F407" s="38"/>
      <c r="G407" s="38"/>
    </row>
    <row r="408" spans="1:7" ht="15.75" thickBot="1">
      <c r="A408" s="8" t="s">
        <v>60</v>
      </c>
      <c r="B408" s="3"/>
      <c r="C408" s="30">
        <f t="shared" si="8"/>
        <v>0</v>
      </c>
      <c r="D408" s="4"/>
      <c r="E408" s="14"/>
      <c r="F408" s="38"/>
      <c r="G408" s="38"/>
    </row>
    <row r="409" spans="1:7" ht="15.75" thickBot="1">
      <c r="A409" s="8" t="s">
        <v>61</v>
      </c>
      <c r="B409" s="3"/>
      <c r="C409" s="30">
        <f t="shared" si="8"/>
        <v>0</v>
      </c>
      <c r="D409" s="4"/>
      <c r="E409" s="14"/>
      <c r="F409" s="38"/>
      <c r="G409" s="38"/>
    </row>
    <row r="410" spans="1:7" ht="15.75" thickBot="1">
      <c r="A410" s="8" t="s">
        <v>62</v>
      </c>
      <c r="B410" s="3"/>
      <c r="C410" s="30">
        <f t="shared" si="8"/>
        <v>0</v>
      </c>
      <c r="D410" s="4"/>
      <c r="E410" s="14"/>
      <c r="F410" s="38"/>
      <c r="G410" s="38"/>
    </row>
    <row r="411" spans="1:7" ht="15.75" thickBot="1">
      <c r="A411" s="8" t="s">
        <v>63</v>
      </c>
      <c r="B411" s="3"/>
      <c r="C411" s="30">
        <f t="shared" si="8"/>
        <v>0</v>
      </c>
      <c r="D411" s="4"/>
      <c r="E411" s="14"/>
      <c r="F411" s="38"/>
      <c r="G411" s="38"/>
    </row>
    <row r="412" spans="1:7" ht="15.75" thickBot="1">
      <c r="A412" s="3" t="s">
        <v>11</v>
      </c>
      <c r="B412" s="3"/>
      <c r="C412" s="30">
        <f t="shared" si="8"/>
        <v>0</v>
      </c>
      <c r="D412" s="4"/>
      <c r="E412" s="14"/>
      <c r="F412" s="38"/>
      <c r="G412" s="38"/>
    </row>
    <row r="413" spans="1:7" ht="15.75" thickBot="1">
      <c r="A413" s="3" t="s">
        <v>12</v>
      </c>
      <c r="B413" s="3"/>
      <c r="C413" s="30">
        <f t="shared" si="8"/>
        <v>0</v>
      </c>
      <c r="D413" s="4"/>
      <c r="E413" s="14"/>
      <c r="F413" s="38"/>
      <c r="G413" s="38"/>
    </row>
    <row r="414" spans="1:7" ht="15.75" thickBot="1">
      <c r="A414" s="3" t="s">
        <v>13</v>
      </c>
      <c r="B414" s="3"/>
      <c r="C414" s="30">
        <f t="shared" si="8"/>
        <v>0</v>
      </c>
      <c r="D414" s="4"/>
      <c r="E414" s="14"/>
      <c r="F414" s="38"/>
      <c r="G414" s="38"/>
    </row>
    <row r="415" spans="1:7" ht="15.75" thickBot="1">
      <c r="A415" s="3" t="s">
        <v>14</v>
      </c>
      <c r="B415" s="3"/>
      <c r="C415" s="30">
        <f t="shared" si="8"/>
        <v>0</v>
      </c>
      <c r="D415" s="4"/>
      <c r="E415" s="14"/>
      <c r="F415" s="38"/>
      <c r="G415" s="38"/>
    </row>
    <row r="416" spans="1:7" ht="15.75" thickBot="1">
      <c r="A416" s="3" t="s">
        <v>15</v>
      </c>
      <c r="B416" s="3"/>
      <c r="C416" s="30">
        <f t="shared" si="8"/>
        <v>0</v>
      </c>
      <c r="D416" s="4"/>
      <c r="E416" s="14"/>
      <c r="F416" s="38"/>
      <c r="G416" s="38"/>
    </row>
    <row r="417" spans="1:7" ht="15.75" thickBot="1">
      <c r="A417" s="3" t="s">
        <v>16</v>
      </c>
      <c r="B417" s="3"/>
      <c r="C417" s="30">
        <f t="shared" si="8"/>
        <v>0</v>
      </c>
      <c r="D417" s="4"/>
      <c r="E417" s="14"/>
      <c r="F417" s="38"/>
      <c r="G417" s="38"/>
    </row>
    <row r="418" spans="1:7" ht="15.75" thickBot="1">
      <c r="A418" s="3" t="s">
        <v>17</v>
      </c>
      <c r="B418" s="3"/>
      <c r="C418" s="30">
        <f t="shared" si="8"/>
        <v>0</v>
      </c>
      <c r="D418" s="4"/>
      <c r="E418" s="14"/>
      <c r="F418" s="38"/>
      <c r="G418" s="38"/>
    </row>
    <row r="419" spans="1:7" ht="15.75" thickBot="1">
      <c r="A419" s="3" t="s">
        <v>18</v>
      </c>
      <c r="B419" s="3"/>
      <c r="C419" s="30">
        <f t="shared" si="8"/>
        <v>0</v>
      </c>
      <c r="D419" s="4"/>
      <c r="E419" s="14"/>
      <c r="F419" s="38"/>
      <c r="G419" s="38"/>
    </row>
    <row r="420" spans="1:7" ht="15.75" thickBot="1">
      <c r="A420" s="3" t="s">
        <v>19</v>
      </c>
      <c r="B420" s="3"/>
      <c r="C420" s="30">
        <f t="shared" si="8"/>
        <v>0</v>
      </c>
      <c r="D420" s="4"/>
      <c r="E420" s="14"/>
      <c r="F420" s="38"/>
      <c r="G420" s="38"/>
    </row>
    <row r="421" spans="1:7" ht="15.75" thickBot="1">
      <c r="A421" s="3" t="s">
        <v>20</v>
      </c>
      <c r="B421" s="3"/>
      <c r="C421" s="30">
        <f t="shared" si="8"/>
        <v>0</v>
      </c>
      <c r="D421" s="4"/>
      <c r="E421" s="14"/>
      <c r="F421" s="38"/>
      <c r="G421" s="38"/>
    </row>
    <row r="422" spans="1:7" ht="15.75" thickBot="1">
      <c r="A422" s="3" t="s">
        <v>21</v>
      </c>
      <c r="B422" s="3"/>
      <c r="C422" s="30">
        <f t="shared" si="8"/>
        <v>0</v>
      </c>
      <c r="D422" s="4"/>
      <c r="E422" s="14"/>
      <c r="F422" s="38"/>
      <c r="G422" s="38"/>
    </row>
    <row r="423" spans="1:7" ht="15.75" thickBot="1">
      <c r="A423" s="3" t="s">
        <v>22</v>
      </c>
      <c r="B423" s="3"/>
      <c r="C423" s="30">
        <f t="shared" si="8"/>
        <v>0</v>
      </c>
      <c r="D423" s="4"/>
      <c r="E423" s="14"/>
      <c r="F423" s="38"/>
      <c r="G423" s="38"/>
    </row>
    <row r="424" spans="1:7" ht="15.75" thickBot="1">
      <c r="A424" s="3" t="s">
        <v>23</v>
      </c>
      <c r="B424" s="3"/>
      <c r="C424" s="30">
        <f t="shared" si="8"/>
        <v>0</v>
      </c>
      <c r="D424" s="4"/>
      <c r="E424" s="14"/>
      <c r="F424" s="38"/>
      <c r="G424" s="38"/>
    </row>
    <row r="425" spans="1:7" ht="15.75" thickBot="1">
      <c r="A425" s="3" t="s">
        <v>24</v>
      </c>
      <c r="B425" s="3"/>
      <c r="C425" s="30">
        <f t="shared" si="8"/>
        <v>0</v>
      </c>
      <c r="D425" s="4"/>
      <c r="E425" s="14"/>
      <c r="F425" s="38"/>
      <c r="G425" s="38"/>
    </row>
    <row r="426" spans="1:7" ht="15.75" thickBot="1">
      <c r="A426" s="3" t="s">
        <v>25</v>
      </c>
      <c r="B426" s="3"/>
      <c r="C426" s="30">
        <f t="shared" si="8"/>
        <v>0</v>
      </c>
      <c r="D426" s="4"/>
      <c r="E426" s="14"/>
      <c r="F426" s="38"/>
      <c r="G426" s="38"/>
    </row>
    <row r="427" spans="1:7" ht="15.75" thickBot="1">
      <c r="A427" s="3" t="s">
        <v>26</v>
      </c>
      <c r="B427" s="3"/>
      <c r="C427" s="30">
        <f t="shared" si="8"/>
        <v>0</v>
      </c>
      <c r="D427" s="4"/>
      <c r="E427" s="14"/>
      <c r="F427" s="38"/>
      <c r="G427" s="38"/>
    </row>
    <row r="428" spans="1:7" ht="15.75" thickBot="1">
      <c r="A428" s="3" t="s">
        <v>27</v>
      </c>
      <c r="B428" s="3"/>
      <c r="C428" s="30">
        <f t="shared" si="8"/>
        <v>0</v>
      </c>
      <c r="D428" s="4"/>
      <c r="E428" s="14"/>
      <c r="F428" s="38"/>
      <c r="G428" s="38"/>
    </row>
    <row r="429" spans="1:7" ht="15.75" thickBot="1">
      <c r="A429" s="3" t="s">
        <v>28</v>
      </c>
      <c r="B429" s="3"/>
      <c r="C429" s="30">
        <f t="shared" si="8"/>
        <v>0</v>
      </c>
      <c r="D429" s="4"/>
      <c r="E429" s="14"/>
      <c r="F429" s="38"/>
      <c r="G429" s="38"/>
    </row>
    <row r="430" spans="1:7" ht="15.75" thickBot="1">
      <c r="A430" s="3" t="s">
        <v>29</v>
      </c>
      <c r="B430" s="3"/>
      <c r="C430" s="30">
        <f t="shared" si="8"/>
        <v>0</v>
      </c>
      <c r="D430" s="4"/>
      <c r="E430" s="14"/>
      <c r="F430" s="38"/>
      <c r="G430" s="38"/>
    </row>
    <row r="431" spans="1:7" ht="15.75" thickBot="1">
      <c r="A431" s="3" t="s">
        <v>30</v>
      </c>
      <c r="B431" s="3"/>
      <c r="C431" s="30">
        <f t="shared" si="8"/>
        <v>0</v>
      </c>
      <c r="D431" s="4"/>
      <c r="E431" s="14"/>
      <c r="F431" s="38"/>
      <c r="G431" s="38"/>
    </row>
    <row r="432" spans="1:7" ht="15.75" thickBot="1">
      <c r="A432" s="3" t="s">
        <v>31</v>
      </c>
      <c r="B432" s="3"/>
      <c r="C432" s="30">
        <f t="shared" si="8"/>
        <v>0</v>
      </c>
      <c r="D432" s="4"/>
      <c r="E432" s="14"/>
      <c r="F432" s="38"/>
      <c r="G432" s="38"/>
    </row>
    <row r="433" spans="1:7" ht="15.75" thickBot="1">
      <c r="A433" s="3" t="s">
        <v>32</v>
      </c>
      <c r="B433" s="3"/>
      <c r="C433" s="30">
        <f t="shared" si="8"/>
        <v>0</v>
      </c>
      <c r="D433" s="4"/>
      <c r="E433" s="14"/>
      <c r="F433" s="38"/>
      <c r="G433" s="38"/>
    </row>
    <row r="434" spans="1:7" ht="15.75" thickBot="1">
      <c r="A434" s="3" t="s">
        <v>33</v>
      </c>
      <c r="B434" s="3"/>
      <c r="C434" s="30">
        <f t="shared" si="8"/>
        <v>0</v>
      </c>
      <c r="D434" s="4"/>
      <c r="E434" s="14"/>
      <c r="F434" s="38"/>
      <c r="G434" s="38"/>
    </row>
    <row r="435" spans="1:7" ht="15.75" thickBot="1">
      <c r="A435" s="3" t="s">
        <v>34</v>
      </c>
      <c r="B435" s="3"/>
      <c r="C435" s="30">
        <f t="shared" si="8"/>
        <v>0</v>
      </c>
      <c r="D435" s="4"/>
      <c r="E435" s="14"/>
      <c r="F435" s="38"/>
      <c r="G435" s="38"/>
    </row>
    <row r="436" spans="1:7" ht="15.75" thickBot="1">
      <c r="A436" s="3" t="s">
        <v>35</v>
      </c>
      <c r="B436" s="3"/>
      <c r="C436" s="30">
        <f t="shared" si="8"/>
        <v>0</v>
      </c>
      <c r="D436" s="4"/>
      <c r="E436" s="14"/>
      <c r="F436" s="38"/>
      <c r="G436" s="38"/>
    </row>
    <row r="437" spans="1:7" ht="15.75" thickBot="1">
      <c r="A437" s="3" t="s">
        <v>36</v>
      </c>
      <c r="B437" s="3"/>
      <c r="C437" s="30">
        <f t="shared" si="8"/>
        <v>0</v>
      </c>
      <c r="D437" s="4"/>
      <c r="E437" s="14"/>
      <c r="F437" s="38"/>
      <c r="G437" s="38"/>
    </row>
    <row r="438" spans="1:7" ht="15.75" thickBot="1">
      <c r="A438" s="3" t="s">
        <v>37</v>
      </c>
      <c r="B438" s="3"/>
      <c r="C438" s="30">
        <f t="shared" si="8"/>
        <v>0</v>
      </c>
      <c r="D438" s="4"/>
      <c r="E438" s="14"/>
      <c r="F438" s="38"/>
      <c r="G438" s="38"/>
    </row>
    <row r="439" spans="1:7" ht="15.75" thickBot="1">
      <c r="A439" s="3" t="s">
        <v>38</v>
      </c>
      <c r="B439" s="3"/>
      <c r="C439" s="30">
        <f t="shared" si="8"/>
        <v>0</v>
      </c>
      <c r="D439" s="4"/>
      <c r="E439" s="14"/>
      <c r="F439" s="38"/>
      <c r="G439" s="38"/>
    </row>
    <row r="440" spans="1:7" ht="15.75" thickBot="1">
      <c r="A440" s="3" t="s">
        <v>39</v>
      </c>
      <c r="B440" s="3"/>
      <c r="C440" s="30">
        <f t="shared" si="8"/>
        <v>0</v>
      </c>
      <c r="D440" s="4"/>
      <c r="E440" s="14"/>
      <c r="F440" s="38"/>
      <c r="G440" s="38"/>
    </row>
    <row r="441" spans="1:7" ht="15.75" thickBot="1">
      <c r="A441" s="3" t="s">
        <v>40</v>
      </c>
      <c r="B441" s="3"/>
      <c r="C441" s="30">
        <f t="shared" si="8"/>
        <v>0</v>
      </c>
      <c r="D441" s="4"/>
      <c r="E441" s="14"/>
      <c r="F441" s="38"/>
      <c r="G441" s="38"/>
    </row>
    <row r="442" spans="1:7" ht="15.75" thickBot="1">
      <c r="A442" s="3" t="s">
        <v>41</v>
      </c>
      <c r="B442" s="3"/>
      <c r="C442" s="30">
        <f t="shared" si="8"/>
        <v>0</v>
      </c>
      <c r="D442" s="4"/>
      <c r="E442" s="14"/>
      <c r="F442" s="38"/>
      <c r="G442" s="38"/>
    </row>
    <row r="443" spans="1:7" ht="15.75" thickBot="1">
      <c r="A443" s="3" t="s">
        <v>42</v>
      </c>
      <c r="B443" s="3"/>
      <c r="C443" s="30">
        <f t="shared" si="8"/>
        <v>0</v>
      </c>
      <c r="D443" s="4"/>
      <c r="E443" s="14"/>
      <c r="F443" s="38"/>
      <c r="G443" s="38"/>
    </row>
    <row r="444" spans="1:7" ht="15.75" thickBot="1">
      <c r="A444" s="3" t="s">
        <v>43</v>
      </c>
      <c r="B444" s="3"/>
      <c r="C444" s="30">
        <f t="shared" si="8"/>
        <v>0</v>
      </c>
      <c r="D444" s="4"/>
      <c r="E444" s="14"/>
      <c r="F444" s="38"/>
      <c r="G444" s="38"/>
    </row>
    <row r="445" spans="1:7" ht="15.75" thickBot="1">
      <c r="A445" s="3" t="s">
        <v>44</v>
      </c>
      <c r="B445" s="3"/>
      <c r="C445" s="30">
        <f t="shared" si="8"/>
        <v>0</v>
      </c>
      <c r="D445" s="4"/>
      <c r="E445" s="14"/>
      <c r="F445" s="38"/>
      <c r="G445" s="38"/>
    </row>
    <row r="446" spans="1:7" ht="15.75" thickBot="1">
      <c r="A446" s="3" t="s">
        <v>45</v>
      </c>
      <c r="B446" s="3"/>
      <c r="C446" s="30">
        <f t="shared" si="8"/>
        <v>0</v>
      </c>
      <c r="D446" s="4"/>
      <c r="E446" s="14"/>
      <c r="F446" s="38"/>
      <c r="G446" s="38"/>
    </row>
    <row r="447" spans="1:7" ht="15.75" thickBot="1">
      <c r="A447" s="3" t="s">
        <v>46</v>
      </c>
      <c r="B447" s="3"/>
      <c r="C447" s="30">
        <f t="shared" si="8"/>
        <v>0</v>
      </c>
      <c r="D447" s="4"/>
      <c r="E447" s="14"/>
      <c r="F447" s="38"/>
      <c r="G447" s="38"/>
    </row>
    <row r="448" spans="1:7" ht="15.75" thickBot="1">
      <c r="A448" s="3" t="s">
        <v>47</v>
      </c>
      <c r="B448" s="3"/>
      <c r="C448" s="30">
        <f t="shared" si="8"/>
        <v>0</v>
      </c>
      <c r="D448" s="4"/>
      <c r="E448" s="14"/>
      <c r="F448" s="38"/>
      <c r="G448" s="38"/>
    </row>
    <row r="449" spans="1:7" ht="15.75" thickBot="1">
      <c r="A449" s="3" t="s">
        <v>48</v>
      </c>
      <c r="B449" s="3"/>
      <c r="C449" s="30">
        <f t="shared" si="8"/>
        <v>0</v>
      </c>
      <c r="D449" s="4"/>
      <c r="E449" s="14"/>
      <c r="F449" s="38"/>
      <c r="G449" s="38"/>
    </row>
    <row r="450" spans="1:7" ht="15.75" thickBot="1">
      <c r="A450" s="3" t="s">
        <v>49</v>
      </c>
      <c r="B450" s="3"/>
      <c r="C450" s="30">
        <f t="shared" si="8"/>
        <v>0</v>
      </c>
      <c r="D450" s="4"/>
      <c r="E450" s="14"/>
      <c r="F450" s="38"/>
      <c r="G450" s="38"/>
    </row>
    <row r="451" spans="1:7" ht="15.75" thickBot="1">
      <c r="A451" s="3" t="s">
        <v>50</v>
      </c>
      <c r="B451" s="3"/>
      <c r="C451" s="30">
        <f>B450</f>
        <v>0</v>
      </c>
      <c r="D451" s="4"/>
      <c r="E451" s="14"/>
      <c r="F451" s="38"/>
      <c r="G451" s="38"/>
    </row>
    <row r="452" spans="1:7" ht="15.75" thickBot="1">
      <c r="A452" s="3" t="s">
        <v>51</v>
      </c>
      <c r="B452" s="3"/>
      <c r="C452" s="30">
        <f t="shared" si="8"/>
        <v>0</v>
      </c>
      <c r="D452" s="4"/>
      <c r="E452" s="14"/>
      <c r="F452" s="38"/>
      <c r="G452" s="38"/>
    </row>
    <row r="453" spans="1:7" ht="15.75" thickBot="1">
      <c r="A453" s="3" t="s">
        <v>52</v>
      </c>
      <c r="B453" s="3"/>
      <c r="D453" s="4"/>
      <c r="E453" s="14"/>
      <c r="F453" s="38"/>
      <c r="G453" s="38"/>
    </row>
    <row r="454" spans="1:7" ht="15.75" thickBot="1">
      <c r="A454" s="3" t="s">
        <v>53</v>
      </c>
      <c r="B454" s="3"/>
      <c r="D454" s="4"/>
      <c r="E454" s="14"/>
      <c r="F454" s="38"/>
      <c r="G454" s="38"/>
    </row>
    <row r="455" spans="1:7" ht="15.75" thickBot="1">
      <c r="A455" s="3" t="s">
        <v>53</v>
      </c>
      <c r="B455" s="3"/>
      <c r="D455" s="22"/>
      <c r="E455" s="1"/>
      <c r="F455" s="37"/>
      <c r="G455" s="39"/>
    </row>
    <row r="456" spans="1:7" ht="15.75" thickBot="1">
      <c r="A456" s="3"/>
      <c r="B456" s="3"/>
      <c r="D456" s="4"/>
      <c r="E456" s="15"/>
      <c r="F456" s="26"/>
      <c r="G456" s="26"/>
    </row>
    <row r="457" spans="1:7" ht="60.75" thickBot="1">
      <c r="A457" s="5" t="s">
        <v>55</v>
      </c>
      <c r="B457" s="3"/>
      <c r="D457" s="4"/>
      <c r="E457" s="12" t="e">
        <f>B462</f>
        <v>#DIV/0!</v>
      </c>
      <c r="F457" s="45" t="e">
        <f>B463</f>
        <v>#DIV/0!</v>
      </c>
      <c r="G457" s="46"/>
    </row>
    <row r="458" spans="1:7" ht="60.75" thickBot="1">
      <c r="A458" s="5" t="s">
        <v>56</v>
      </c>
      <c r="B458" s="4"/>
      <c r="D458" s="1"/>
      <c r="E458" s="1"/>
      <c r="F458" s="37"/>
      <c r="G458" s="37"/>
    </row>
    <row r="459" spans="1:7" ht="97.5" thickBot="1">
      <c r="A459" s="6" t="s">
        <v>57</v>
      </c>
      <c r="B459" s="4"/>
      <c r="D459" s="1"/>
      <c r="E459" s="1" t="e">
        <f>0.6*E457</f>
        <v>#DIV/0!</v>
      </c>
      <c r="F459" s="37" t="e">
        <f>0.6*F457</f>
        <v>#DIV/0!</v>
      </c>
      <c r="G459" s="37"/>
    </row>
    <row r="462" spans="1:7">
      <c r="A462" s="16" t="s">
        <v>64</v>
      </c>
      <c r="B462" s="17" t="e">
        <f>AVERAGE(B410:B449)</f>
        <v>#DIV/0!</v>
      </c>
    </row>
    <row r="463" spans="1:7">
      <c r="A463" s="16" t="s">
        <v>65</v>
      </c>
      <c r="B463" s="18" t="e">
        <f>AVERAGE(B415:B444)</f>
        <v>#DIV/0!</v>
      </c>
    </row>
    <row r="464" spans="1:7">
      <c r="A464" s="16" t="s">
        <v>66</v>
      </c>
      <c r="B464" s="18" t="e">
        <f>AVERAGE(B421:B439)</f>
        <v>#DIV/0!</v>
      </c>
    </row>
  </sheetData>
  <mergeCells count="14">
    <mergeCell ref="A401:A403"/>
    <mergeCell ref="B401:D401"/>
    <mergeCell ref="A200:A202"/>
    <mergeCell ref="B200:D200"/>
    <mergeCell ref="A266:A268"/>
    <mergeCell ref="B266:D266"/>
    <mergeCell ref="A333:A335"/>
    <mergeCell ref="B333:D333"/>
    <mergeCell ref="A2:A4"/>
    <mergeCell ref="B2:D2"/>
    <mergeCell ref="A69:A71"/>
    <mergeCell ref="B69:D69"/>
    <mergeCell ref="A134:A136"/>
    <mergeCell ref="B134:D134"/>
  </mergeCells>
  <pageMargins left="0.7" right="0.7" top="0.75" bottom="0.75" header="0.3" footer="0.3"/>
  <pageSetup paperSize="9" orientation="portrait" horizontalDpi="4294967295" verticalDpi="4294967295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Лист13">
    <tabColor rgb="FF92D050"/>
  </sheetPr>
  <dimension ref="A1:G464"/>
  <sheetViews>
    <sheetView topLeftCell="A457" workbookViewId="0">
      <selection activeCell="E81" sqref="E81:E83"/>
    </sheetView>
  </sheetViews>
  <sheetFormatPr defaultColWidth="8.7109375" defaultRowHeight="15"/>
  <cols>
    <col min="3" max="3" width="9.140625"/>
    <col min="5" max="5" width="9.42578125" bestFit="1" customWidth="1"/>
    <col min="6" max="6" width="8.7109375" style="36"/>
    <col min="7" max="7" width="9.42578125" style="36" bestFit="1" customWidth="1"/>
  </cols>
  <sheetData>
    <row r="1" spans="1:7" ht="15.75" thickBot="1">
      <c r="D1" s="13">
        <v>0.1</v>
      </c>
      <c r="E1" s="13">
        <v>0.4</v>
      </c>
    </row>
    <row r="2" spans="1:7" ht="23.25" customHeight="1" thickBot="1">
      <c r="A2" s="522" t="s">
        <v>0</v>
      </c>
      <c r="B2" s="467" t="s">
        <v>1</v>
      </c>
      <c r="C2" s="468"/>
      <c r="D2" s="469"/>
      <c r="E2" s="19">
        <f>(1-E57)^(1/3)-1</f>
        <v>-2.7451195583886312E-2</v>
      </c>
      <c r="F2" s="19">
        <f>(1-F57)^(1/3)-1</f>
        <v>-3.036518561121615E-2</v>
      </c>
      <c r="G2" s="19"/>
    </row>
    <row r="3" spans="1:7" ht="72.75" thickBot="1">
      <c r="A3" s="523"/>
      <c r="B3" s="1" t="s">
        <v>4</v>
      </c>
      <c r="C3" s="1"/>
      <c r="D3" s="1" t="s">
        <v>80</v>
      </c>
      <c r="E3" s="1" t="s">
        <v>5</v>
      </c>
      <c r="F3" s="37" t="s">
        <v>5</v>
      </c>
      <c r="G3" s="37"/>
    </row>
    <row r="4" spans="1:7" ht="16.5" customHeight="1" thickBot="1">
      <c r="A4" s="524"/>
      <c r="B4" s="1" t="s">
        <v>6</v>
      </c>
      <c r="C4" s="1"/>
      <c r="D4" s="1" t="s">
        <v>7</v>
      </c>
      <c r="E4" s="1" t="s">
        <v>7</v>
      </c>
      <c r="F4" s="37" t="s">
        <v>7</v>
      </c>
      <c r="G4" s="37"/>
    </row>
    <row r="5" spans="1:7" ht="15.75" thickBot="1">
      <c r="A5" s="50">
        <v>1</v>
      </c>
      <c r="B5" s="51">
        <v>2</v>
      </c>
      <c r="C5" s="51"/>
      <c r="D5" s="51">
        <v>3</v>
      </c>
      <c r="E5" s="51">
        <v>4</v>
      </c>
      <c r="F5" s="52">
        <v>5</v>
      </c>
      <c r="G5" s="52"/>
    </row>
    <row r="6" spans="1:7" ht="15.75" thickBot="1">
      <c r="A6" s="27" t="s">
        <v>10</v>
      </c>
      <c r="B6" s="24">
        <v>13.6</v>
      </c>
      <c r="C6" s="30">
        <v>0</v>
      </c>
      <c r="D6" s="14">
        <v>0</v>
      </c>
      <c r="E6" s="14">
        <v>0</v>
      </c>
      <c r="F6" s="38">
        <v>0</v>
      </c>
      <c r="G6" s="38">
        <v>0</v>
      </c>
    </row>
    <row r="7" spans="1:7" ht="15.75" thickBot="1">
      <c r="A7" s="27" t="s">
        <v>58</v>
      </c>
      <c r="B7" s="25">
        <v>15.88</v>
      </c>
      <c r="C7" s="30">
        <f>B6</f>
        <v>13.6</v>
      </c>
      <c r="D7" s="14">
        <v>0</v>
      </c>
      <c r="E7" s="14">
        <v>0</v>
      </c>
      <c r="F7" s="38">
        <v>0</v>
      </c>
      <c r="G7" s="38">
        <v>0</v>
      </c>
    </row>
    <row r="8" spans="1:7" ht="15.75" thickBot="1">
      <c r="A8" s="27" t="s">
        <v>59</v>
      </c>
      <c r="B8" s="25">
        <v>17.489999999999998</v>
      </c>
      <c r="C8" s="30">
        <f t="shared" ref="C8:C56" si="0">B7</f>
        <v>15.88</v>
      </c>
      <c r="D8" s="14">
        <v>0</v>
      </c>
      <c r="E8" s="14">
        <v>0</v>
      </c>
      <c r="F8" s="38">
        <v>0</v>
      </c>
      <c r="G8" s="38">
        <v>0</v>
      </c>
    </row>
    <row r="9" spans="1:7" ht="15.75" thickBot="1">
      <c r="A9" s="27" t="s">
        <v>60</v>
      </c>
      <c r="B9" s="25">
        <v>20.09</v>
      </c>
      <c r="C9" s="30">
        <f t="shared" si="0"/>
        <v>17.489999999999998</v>
      </c>
      <c r="D9" s="14">
        <v>0</v>
      </c>
      <c r="E9" s="14">
        <v>0</v>
      </c>
      <c r="F9" s="38">
        <v>0</v>
      </c>
      <c r="G9" s="38">
        <v>1.0403185664509706E-2</v>
      </c>
    </row>
    <row r="10" spans="1:7" ht="15.75" thickBot="1">
      <c r="A10" s="27" t="s">
        <v>61</v>
      </c>
      <c r="B10" s="25">
        <v>21.49</v>
      </c>
      <c r="C10" s="30">
        <f t="shared" si="0"/>
        <v>20.09</v>
      </c>
      <c r="D10" s="14">
        <v>0</v>
      </c>
      <c r="E10" s="14">
        <v>0</v>
      </c>
      <c r="F10" s="38">
        <v>0</v>
      </c>
      <c r="G10" s="38">
        <v>1.624011167985109E-2</v>
      </c>
    </row>
    <row r="11" spans="1:7" ht="15.75" thickBot="1">
      <c r="A11" s="27" t="s">
        <v>62</v>
      </c>
      <c r="B11" s="25">
        <v>23.43</v>
      </c>
      <c r="C11" s="30">
        <f t="shared" si="0"/>
        <v>21.49</v>
      </c>
      <c r="D11" s="14">
        <v>0</v>
      </c>
      <c r="E11" s="14">
        <v>0</v>
      </c>
      <c r="F11" s="38">
        <v>0</v>
      </c>
      <c r="G11" s="38">
        <v>2.3175416133162614E-2</v>
      </c>
    </row>
    <row r="12" spans="1:7" ht="15.75" thickBot="1">
      <c r="A12" s="27" t="s">
        <v>63</v>
      </c>
      <c r="B12" s="25">
        <v>25.98</v>
      </c>
      <c r="C12" s="30">
        <f t="shared" si="0"/>
        <v>23.43</v>
      </c>
      <c r="D12" s="14">
        <v>0</v>
      </c>
      <c r="E12" s="14">
        <v>0</v>
      </c>
      <c r="F12" s="38">
        <v>0</v>
      </c>
      <c r="G12" s="38">
        <v>3.071593533487298E-2</v>
      </c>
    </row>
    <row r="13" spans="1:7" ht="15.75" thickBot="1">
      <c r="A13" s="29" t="s">
        <v>11</v>
      </c>
      <c r="B13" s="25">
        <v>28.46</v>
      </c>
      <c r="C13" s="30">
        <f t="shared" si="0"/>
        <v>25.98</v>
      </c>
      <c r="D13" s="14">
        <v>0</v>
      </c>
      <c r="E13" s="14">
        <v>0</v>
      </c>
      <c r="F13" s="38">
        <v>0</v>
      </c>
      <c r="G13" s="38">
        <v>3.6753338018271256E-2</v>
      </c>
    </row>
    <row r="14" spans="1:7" ht="15.75" thickBot="1">
      <c r="A14" s="29" t="s">
        <v>12</v>
      </c>
      <c r="B14" s="25">
        <v>31.98</v>
      </c>
      <c r="C14" s="30">
        <f t="shared" si="0"/>
        <v>28.46</v>
      </c>
      <c r="D14" s="14">
        <v>0</v>
      </c>
      <c r="E14" s="14">
        <v>0</v>
      </c>
      <c r="F14" s="38">
        <v>0</v>
      </c>
      <c r="G14" s="38">
        <v>6.2288930581613521E-2</v>
      </c>
    </row>
    <row r="15" spans="1:7" ht="15.75" thickBot="1">
      <c r="A15" s="29" t="s">
        <v>13</v>
      </c>
      <c r="B15" s="25">
        <v>32.869999999999997</v>
      </c>
      <c r="C15" s="30">
        <f t="shared" si="0"/>
        <v>31.98</v>
      </c>
      <c r="D15" s="14">
        <v>0</v>
      </c>
      <c r="E15" s="14">
        <v>0</v>
      </c>
      <c r="F15" s="38">
        <v>0</v>
      </c>
      <c r="G15" s="38">
        <v>7.143291755400058E-2</v>
      </c>
    </row>
    <row r="16" spans="1:7" ht="15.75" thickBot="1">
      <c r="A16" s="29" t="s">
        <v>14</v>
      </c>
      <c r="B16" s="25">
        <v>34.28</v>
      </c>
      <c r="C16" s="30">
        <f t="shared" si="0"/>
        <v>32.869999999999997</v>
      </c>
      <c r="D16" s="14">
        <v>0</v>
      </c>
      <c r="E16" s="14">
        <v>0</v>
      </c>
      <c r="F16" s="38">
        <v>0</v>
      </c>
      <c r="G16" s="38">
        <v>8.4947491248541451E-2</v>
      </c>
    </row>
    <row r="17" spans="1:7" ht="15.75" thickBot="1">
      <c r="A17" s="29" t="s">
        <v>15</v>
      </c>
      <c r="B17" s="25">
        <v>35.28</v>
      </c>
      <c r="C17" s="30">
        <f t="shared" si="0"/>
        <v>34.28</v>
      </c>
      <c r="D17" s="14">
        <v>0</v>
      </c>
      <c r="E17" s="14">
        <v>0</v>
      </c>
      <c r="F17" s="38">
        <v>0</v>
      </c>
      <c r="G17" s="38">
        <v>9.3877551020408179E-2</v>
      </c>
    </row>
    <row r="18" spans="1:7" ht="15.75" thickBot="1">
      <c r="A18" s="29" t="s">
        <v>16</v>
      </c>
      <c r="B18" s="25">
        <v>37.299999999999997</v>
      </c>
      <c r="C18" s="30">
        <f t="shared" si="0"/>
        <v>35.28</v>
      </c>
      <c r="D18" s="14">
        <v>0</v>
      </c>
      <c r="E18" s="14">
        <v>0</v>
      </c>
      <c r="F18" s="38">
        <v>3.1983914209115227E-3</v>
      </c>
      <c r="G18" s="38">
        <v>0.11045576407506701</v>
      </c>
    </row>
    <row r="19" spans="1:7" ht="15.75" thickBot="1">
      <c r="A19" s="29" t="s">
        <v>17</v>
      </c>
      <c r="B19" s="25">
        <v>39.130000000000003</v>
      </c>
      <c r="C19" s="30">
        <f t="shared" si="0"/>
        <v>37.299999999999997</v>
      </c>
      <c r="D19" s="14">
        <v>1.204702274469705E-2</v>
      </c>
      <c r="E19" s="14"/>
      <c r="F19" s="38">
        <v>7.7255302836698268E-3</v>
      </c>
      <c r="G19" s="38">
        <v>0.1239969332992589</v>
      </c>
    </row>
    <row r="20" spans="1:7" ht="15.75" thickBot="1">
      <c r="A20" s="29" t="s">
        <v>18</v>
      </c>
      <c r="B20" s="25">
        <v>40.82</v>
      </c>
      <c r="C20" s="30">
        <f t="shared" si="0"/>
        <v>39.130000000000003</v>
      </c>
      <c r="D20" s="14">
        <v>5.2949534541891066E-2</v>
      </c>
      <c r="E20" s="14"/>
      <c r="F20" s="38">
        <v>1.154581087702107E-2</v>
      </c>
      <c r="G20" s="38">
        <v>0.13542381185693289</v>
      </c>
    </row>
    <row r="21" spans="1:7" ht="15.75" thickBot="1">
      <c r="A21" s="29" t="s">
        <v>19</v>
      </c>
      <c r="B21" s="25">
        <v>41.87</v>
      </c>
      <c r="C21" s="30">
        <f t="shared" si="0"/>
        <v>40.82</v>
      </c>
      <c r="D21" s="14">
        <v>7.6699307379985454E-2</v>
      </c>
      <c r="E21" s="14"/>
      <c r="F21" s="38">
        <v>1.3764031526152373E-2</v>
      </c>
      <c r="G21" s="38">
        <v>0.14205875328397422</v>
      </c>
    </row>
    <row r="22" spans="1:7" ht="15.75" thickBot="1">
      <c r="A22" s="29" t="s">
        <v>20</v>
      </c>
      <c r="B22" s="25">
        <v>43.73</v>
      </c>
      <c r="C22" s="30">
        <f t="shared" si="0"/>
        <v>41.87</v>
      </c>
      <c r="D22" s="14">
        <v>0.11597072947633182</v>
      </c>
      <c r="E22" s="14">
        <v>1.1597072947633182E-2</v>
      </c>
      <c r="F22" s="38">
        <v>1.7431968900068599E-2</v>
      </c>
      <c r="G22" s="38">
        <v>0.15302995655156643</v>
      </c>
    </row>
    <row r="23" spans="1:7" ht="15.75" thickBot="1">
      <c r="A23" s="29" t="s">
        <v>21</v>
      </c>
      <c r="B23" s="25">
        <v>46.36</v>
      </c>
      <c r="C23" s="30">
        <f t="shared" si="0"/>
        <v>43.73</v>
      </c>
      <c r="D23" s="14">
        <v>0.16612165660051753</v>
      </c>
      <c r="E23" s="14">
        <v>1.6612165660051754E-2</v>
      </c>
      <c r="F23" s="38">
        <v>2.21160483175151E-2</v>
      </c>
      <c r="G23" s="38">
        <v>0.16704055220017258</v>
      </c>
    </row>
    <row r="24" spans="1:7" ht="15.75" thickBot="1">
      <c r="A24" s="29" t="s">
        <v>22</v>
      </c>
      <c r="B24" s="25">
        <v>48.05</v>
      </c>
      <c r="C24" s="30">
        <f t="shared" si="0"/>
        <v>46.36</v>
      </c>
      <c r="D24" s="14">
        <v>0.19545057232049928</v>
      </c>
      <c r="E24" s="14">
        <v>1.9545057232049929E-2</v>
      </c>
      <c r="F24" s="38">
        <v>2.4855359001040581E-2</v>
      </c>
      <c r="G24" s="38">
        <v>0.17523413111342348</v>
      </c>
    </row>
    <row r="25" spans="1:7" ht="15.75" thickBot="1">
      <c r="A25" s="29" t="s">
        <v>23</v>
      </c>
      <c r="B25" s="25">
        <v>49.71</v>
      </c>
      <c r="C25" s="30">
        <f t="shared" si="0"/>
        <v>48.05</v>
      </c>
      <c r="D25" s="14">
        <v>0.22231744115872046</v>
      </c>
      <c r="E25" s="14">
        <v>2.2231744115872046E-2</v>
      </c>
      <c r="F25" s="38">
        <v>2.7364715349024345E-2</v>
      </c>
      <c r="G25" s="38">
        <v>0.18273989136994567</v>
      </c>
    </row>
    <row r="26" spans="1:7" ht="15.75" thickBot="1">
      <c r="A26" s="29" t="s">
        <v>24</v>
      </c>
      <c r="B26" s="25">
        <v>50.68</v>
      </c>
      <c r="C26" s="30">
        <f t="shared" si="0"/>
        <v>49.71</v>
      </c>
      <c r="D26" s="14">
        <v>0.2372020520915547</v>
      </c>
      <c r="E26" s="14">
        <v>2.3720205209155472E-2</v>
      </c>
      <c r="F26" s="38">
        <v>2.8754932912391475E-2</v>
      </c>
      <c r="G26" s="38">
        <v>0.18689818468823996</v>
      </c>
    </row>
    <row r="27" spans="1:7" ht="15.75" thickBot="1">
      <c r="A27" s="29" t="s">
        <v>25</v>
      </c>
      <c r="B27" s="25">
        <v>51.43</v>
      </c>
      <c r="C27" s="30">
        <f t="shared" si="0"/>
        <v>50.68</v>
      </c>
      <c r="D27" s="14">
        <v>0.24832587983667107</v>
      </c>
      <c r="E27" s="14">
        <v>2.4832587983667106E-2</v>
      </c>
      <c r="F27" s="38">
        <v>2.9793894614038502E-2</v>
      </c>
      <c r="G27" s="38">
        <v>0.19000583317130085</v>
      </c>
    </row>
    <row r="28" spans="1:7" ht="15.75" thickBot="1">
      <c r="A28" s="29" t="s">
        <v>26</v>
      </c>
      <c r="B28" s="25">
        <v>52.18</v>
      </c>
      <c r="C28" s="30">
        <f t="shared" si="0"/>
        <v>51.43</v>
      </c>
      <c r="D28" s="14">
        <v>0.25912993484093511</v>
      </c>
      <c r="E28" s="14">
        <v>2.5912993484093511E-2</v>
      </c>
      <c r="F28" s="38">
        <v>3.0802989651207362E-2</v>
      </c>
      <c r="G28" s="38">
        <v>0.19302414718282865</v>
      </c>
    </row>
    <row r="29" spans="1:7" ht="15.75" thickBot="1">
      <c r="A29" s="29" t="s">
        <v>27</v>
      </c>
      <c r="B29" s="25">
        <v>53.85</v>
      </c>
      <c r="C29" s="30">
        <f t="shared" si="0"/>
        <v>52.18</v>
      </c>
      <c r="D29" s="14">
        <v>0.28210584958217261</v>
      </c>
      <c r="E29" s="14">
        <v>2.8210584958217259E-2</v>
      </c>
      <c r="F29" s="38">
        <v>3.294893221912721E-2</v>
      </c>
      <c r="G29" s="38">
        <v>0.19944289693593317</v>
      </c>
    </row>
    <row r="30" spans="1:7" ht="15.75" thickBot="1">
      <c r="A30" s="29" t="s">
        <v>28</v>
      </c>
      <c r="B30" s="25">
        <v>55.34</v>
      </c>
      <c r="C30" s="30">
        <f t="shared" si="0"/>
        <v>53.85</v>
      </c>
      <c r="D30" s="14">
        <v>0.30143476689555465</v>
      </c>
      <c r="E30" s="14">
        <v>3.0143476689555467E-2</v>
      </c>
      <c r="F30" s="38">
        <v>3.475424647632816E-2</v>
      </c>
      <c r="G30" s="38">
        <v>0.20484279002529818</v>
      </c>
    </row>
    <row r="31" spans="1:7" ht="15.75" thickBot="1">
      <c r="A31" s="29" t="s">
        <v>29</v>
      </c>
      <c r="B31" s="25">
        <v>56.47</v>
      </c>
      <c r="C31" s="30">
        <f t="shared" si="0"/>
        <v>55.34</v>
      </c>
      <c r="D31" s="14">
        <v>0.31541349389056123</v>
      </c>
      <c r="E31" s="14">
        <v>3.1541349389056124E-2</v>
      </c>
      <c r="F31" s="38">
        <v>3.6059854790154069E-2</v>
      </c>
      <c r="G31" s="38">
        <v>0.20874800779174785</v>
      </c>
    </row>
    <row r="32" spans="1:7" ht="15.75" thickBot="1">
      <c r="A32" s="29" t="s">
        <v>30</v>
      </c>
      <c r="B32" s="25">
        <v>57.95</v>
      </c>
      <c r="C32" s="30">
        <f t="shared" si="0"/>
        <v>56.47</v>
      </c>
      <c r="D32" s="14">
        <v>0.33289732528041405</v>
      </c>
      <c r="E32" s="14">
        <v>3.3289732528041405E-2</v>
      </c>
      <c r="F32" s="38">
        <v>3.7692838654012087E-2</v>
      </c>
      <c r="G32" s="38">
        <v>0.21363244176013807</v>
      </c>
    </row>
    <row r="33" spans="1:7" ht="15.75" thickBot="1">
      <c r="A33" s="29" t="s">
        <v>31</v>
      </c>
      <c r="B33" s="25">
        <v>60.96</v>
      </c>
      <c r="C33" s="30">
        <f t="shared" si="0"/>
        <v>57.95</v>
      </c>
      <c r="D33" s="14">
        <v>0.36583661417322821</v>
      </c>
      <c r="E33" s="14">
        <v>3.6583661417322826E-2</v>
      </c>
      <c r="F33" s="38">
        <v>4.4616141732283468E-2</v>
      </c>
      <c r="G33" s="38">
        <v>0.22283464566929134</v>
      </c>
    </row>
    <row r="34" spans="1:7" ht="15.75" thickBot="1">
      <c r="A34" s="29" t="s">
        <v>32</v>
      </c>
      <c r="B34" s="25">
        <v>62.62</v>
      </c>
      <c r="C34" s="30">
        <f t="shared" si="0"/>
        <v>60.96</v>
      </c>
      <c r="D34" s="14">
        <v>0.38264771638454154</v>
      </c>
      <c r="E34" s="14">
        <v>3.8264771638454154E-2</v>
      </c>
      <c r="F34" s="38">
        <v>5.4037048866176926E-2</v>
      </c>
      <c r="G34" s="38">
        <v>0.22753114021079529</v>
      </c>
    </row>
    <row r="35" spans="1:7" ht="15.75" thickBot="1">
      <c r="A35" s="29" t="s">
        <v>33</v>
      </c>
      <c r="B35" s="25">
        <v>63.93</v>
      </c>
      <c r="C35" s="30">
        <f t="shared" si="0"/>
        <v>62.62</v>
      </c>
      <c r="D35" s="14">
        <v>0.39529798216799611</v>
      </c>
      <c r="E35" s="14">
        <v>3.9529798216799611E-2</v>
      </c>
      <c r="F35" s="38">
        <v>6.1126231816048801E-2</v>
      </c>
      <c r="G35" s="38">
        <v>0.23106522759267953</v>
      </c>
    </row>
    <row r="36" spans="1:7" ht="15.75" thickBot="1">
      <c r="A36" s="29" t="s">
        <v>34</v>
      </c>
      <c r="B36" s="25">
        <v>64.819999999999993</v>
      </c>
      <c r="C36" s="30">
        <f t="shared" si="0"/>
        <v>63.93</v>
      </c>
      <c r="D36" s="14">
        <v>0.40360074051218742</v>
      </c>
      <c r="E36" s="14">
        <v>4.2160444307312459E-2</v>
      </c>
      <c r="F36" s="38">
        <v>6.5779080530700362E-2</v>
      </c>
      <c r="G36" s="38">
        <v>0.23338475779080528</v>
      </c>
    </row>
    <row r="37" spans="1:7" ht="15.75" thickBot="1">
      <c r="A37" s="29" t="s">
        <v>35</v>
      </c>
      <c r="B37" s="25">
        <v>69.27</v>
      </c>
      <c r="C37" s="30">
        <f t="shared" si="0"/>
        <v>64.819999999999993</v>
      </c>
      <c r="D37" s="14">
        <v>0.44191424859246414</v>
      </c>
      <c r="E37" s="14">
        <v>6.5148549155478491E-2</v>
      </c>
      <c r="F37" s="38">
        <v>8.7249891728020779E-2</v>
      </c>
      <c r="G37" s="38">
        <v>0.24408834993503678</v>
      </c>
    </row>
    <row r="38" spans="1:7" ht="15.75" thickBot="1">
      <c r="A38" s="29" t="s">
        <v>36</v>
      </c>
      <c r="B38" s="25">
        <v>74.63</v>
      </c>
      <c r="C38" s="30">
        <f t="shared" si="0"/>
        <v>69.27</v>
      </c>
      <c r="D38" s="14">
        <v>0.48199651614632172</v>
      </c>
      <c r="E38" s="14">
        <v>8.9197909687793051E-2</v>
      </c>
      <c r="F38" s="38">
        <v>0.10971191209969181</v>
      </c>
      <c r="G38" s="38">
        <v>0.25528607798472464</v>
      </c>
    </row>
    <row r="39" spans="1:7" ht="15.75" thickBot="1">
      <c r="A39" s="29" t="s">
        <v>37</v>
      </c>
      <c r="B39" s="25">
        <v>78.06</v>
      </c>
      <c r="C39" s="30">
        <f t="shared" si="0"/>
        <v>74.63</v>
      </c>
      <c r="D39" s="14">
        <v>0.50475787855495768</v>
      </c>
      <c r="E39" s="14">
        <v>0.1028547271329746</v>
      </c>
      <c r="F39" s="38">
        <v>0.12246733282090701</v>
      </c>
      <c r="G39" s="38">
        <v>0.26164488854727136</v>
      </c>
    </row>
    <row r="40" spans="1:7" ht="15.75" thickBot="1">
      <c r="A40" s="29" t="s">
        <v>38</v>
      </c>
      <c r="B40" s="25">
        <v>80.010000000000005</v>
      </c>
      <c r="C40" s="30">
        <f t="shared" si="0"/>
        <v>78.06</v>
      </c>
      <c r="D40" s="14">
        <v>0.51682789651293581</v>
      </c>
      <c r="E40" s="14">
        <v>0.1100967379077615</v>
      </c>
      <c r="F40" s="38">
        <v>0.12923134608173981</v>
      </c>
      <c r="G40" s="38">
        <v>0.26501687289088866</v>
      </c>
    </row>
    <row r="41" spans="1:7" ht="15.75" thickBot="1">
      <c r="A41" s="29" t="s">
        <v>39</v>
      </c>
      <c r="B41" s="25">
        <v>81.95</v>
      </c>
      <c r="C41" s="30">
        <f t="shared" si="0"/>
        <v>80.010000000000005</v>
      </c>
      <c r="D41" s="14">
        <v>0.52826601586333122</v>
      </c>
      <c r="E41" s="14">
        <v>0.11695960951799873</v>
      </c>
      <c r="F41" s="38">
        <v>0.13564124466137892</v>
      </c>
      <c r="G41" s="38">
        <v>0.26821232458816352</v>
      </c>
    </row>
    <row r="42" spans="1:7" ht="15.75" thickBot="1">
      <c r="A42" s="29" t="s">
        <v>40</v>
      </c>
      <c r="B42" s="25">
        <v>83.38</v>
      </c>
      <c r="C42" s="30">
        <f t="shared" si="0"/>
        <v>81.95</v>
      </c>
      <c r="D42" s="14">
        <v>0.5363564403933796</v>
      </c>
      <c r="E42" s="14">
        <v>0.12181386423602777</v>
      </c>
      <c r="F42" s="38">
        <v>0.14017510194291197</v>
      </c>
      <c r="G42" s="38">
        <v>0.27047253538018712</v>
      </c>
    </row>
    <row r="43" spans="1:7" ht="15.75" thickBot="1">
      <c r="A43" s="29" t="s">
        <v>41</v>
      </c>
      <c r="B43" s="25">
        <v>89.72</v>
      </c>
      <c r="C43" s="30">
        <f t="shared" si="0"/>
        <v>83.38</v>
      </c>
      <c r="D43" s="14">
        <v>0.56911948283548808</v>
      </c>
      <c r="E43" s="14">
        <v>0.14147168970129287</v>
      </c>
      <c r="F43" s="38">
        <v>0.15853544360231833</v>
      </c>
      <c r="G43" s="38">
        <v>0.27962550156041016</v>
      </c>
    </row>
    <row r="44" spans="1:7" ht="15.75" thickBot="1">
      <c r="A44" s="29" t="s">
        <v>42</v>
      </c>
      <c r="B44" s="25">
        <v>98.17</v>
      </c>
      <c r="C44" s="30">
        <f t="shared" si="0"/>
        <v>89.72</v>
      </c>
      <c r="D44" s="14">
        <v>0.60620759906285004</v>
      </c>
      <c r="E44" s="14">
        <v>0.16372455943771005</v>
      </c>
      <c r="F44" s="38">
        <v>0.17931954772333705</v>
      </c>
      <c r="G44" s="38">
        <v>0.28998675766527454</v>
      </c>
    </row>
    <row r="45" spans="1:7" ht="15.75" thickBot="1">
      <c r="A45" s="29" t="s">
        <v>43</v>
      </c>
      <c r="B45" s="25">
        <v>103.4</v>
      </c>
      <c r="C45" s="30">
        <f t="shared" si="0"/>
        <v>98.17</v>
      </c>
      <c r="D45" s="14">
        <v>0.6261257253384912</v>
      </c>
      <c r="E45" s="14">
        <v>0.17567543520309475</v>
      </c>
      <c r="F45" s="38">
        <v>0.1904816247582205</v>
      </c>
      <c r="G45" s="38">
        <v>0.29555125725338494</v>
      </c>
    </row>
    <row r="46" spans="1:7" ht="15.75" thickBot="1">
      <c r="A46" s="29" t="s">
        <v>44</v>
      </c>
      <c r="B46" s="25">
        <v>109.54</v>
      </c>
      <c r="C46" s="30">
        <f t="shared" si="0"/>
        <v>103.4</v>
      </c>
      <c r="D46" s="14">
        <v>0.64708234434909617</v>
      </c>
      <c r="E46" s="14">
        <v>0.18824940660945769</v>
      </c>
      <c r="F46" s="38">
        <v>0.20222567098776706</v>
      </c>
      <c r="G46" s="38">
        <v>0.3014058791309111</v>
      </c>
    </row>
    <row r="47" spans="1:7" ht="15.75" thickBot="1">
      <c r="A47" s="29" t="s">
        <v>45</v>
      </c>
      <c r="B47" s="25">
        <v>121.55</v>
      </c>
      <c r="C47" s="30">
        <f t="shared" si="0"/>
        <v>109.54</v>
      </c>
      <c r="D47" s="14">
        <v>0.68195310571781154</v>
      </c>
      <c r="E47" s="14">
        <v>0.20917186343068694</v>
      </c>
      <c r="F47" s="38">
        <v>0.22176717400246812</v>
      </c>
      <c r="G47" s="38">
        <v>0.31114767585355824</v>
      </c>
    </row>
    <row r="48" spans="1:7" ht="15.75" thickBot="1">
      <c r="A48" s="29" t="s">
        <v>46</v>
      </c>
      <c r="B48" s="25">
        <v>128.63</v>
      </c>
      <c r="C48" s="30">
        <f t="shared" si="0"/>
        <v>121.55</v>
      </c>
      <c r="D48" s="14">
        <v>0.69945891316178177</v>
      </c>
      <c r="E48" s="14">
        <v>0.21967534789706908</v>
      </c>
      <c r="F48" s="38">
        <v>0.23157739252118478</v>
      </c>
      <c r="G48" s="38">
        <v>0.31603824924201201</v>
      </c>
    </row>
    <row r="49" spans="1:7" ht="15.75" thickBot="1">
      <c r="A49" s="29" t="s">
        <v>47</v>
      </c>
      <c r="B49" s="25">
        <v>132.16</v>
      </c>
      <c r="C49" s="30">
        <f t="shared" si="0"/>
        <v>128.63</v>
      </c>
      <c r="D49" s="14">
        <v>0.70748638014527843</v>
      </c>
      <c r="E49" s="14">
        <v>0.22449182808716706</v>
      </c>
      <c r="F49" s="38">
        <v>0.23607596852300239</v>
      </c>
      <c r="G49" s="38">
        <v>0.31828087167070224</v>
      </c>
    </row>
    <row r="50" spans="1:7" ht="15.75" thickBot="1">
      <c r="A50" s="29" t="s">
        <v>48</v>
      </c>
      <c r="B50" s="25">
        <v>137.29</v>
      </c>
      <c r="C50" s="30">
        <f t="shared" si="0"/>
        <v>132.16</v>
      </c>
      <c r="D50" s="14">
        <v>0.71841649064025048</v>
      </c>
      <c r="E50" s="14">
        <v>0.2310498943841503</v>
      </c>
      <c r="F50" s="38">
        <v>0.2422011799839755</v>
      </c>
      <c r="G50" s="38">
        <v>0.32133440163158278</v>
      </c>
    </row>
    <row r="51" spans="1:7" ht="15.75" thickBot="1">
      <c r="A51" s="29" t="s">
        <v>49</v>
      </c>
      <c r="B51" s="25">
        <v>160.66</v>
      </c>
      <c r="C51" s="30">
        <f t="shared" si="0"/>
        <v>137.29</v>
      </c>
      <c r="D51" s="14">
        <v>0.75937632266899036</v>
      </c>
      <c r="E51" s="14">
        <v>0.25562579360139426</v>
      </c>
      <c r="F51" s="38">
        <v>0.26515498568405332</v>
      </c>
      <c r="G51" s="38">
        <v>0.33277729366363756</v>
      </c>
    </row>
    <row r="52" spans="1:7" ht="15.75" thickBot="1">
      <c r="A52" s="29" t="s">
        <v>50</v>
      </c>
      <c r="B52" s="25">
        <v>173.97</v>
      </c>
      <c r="C52" s="30">
        <f t="shared" si="0"/>
        <v>160.66</v>
      </c>
      <c r="D52" s="14">
        <v>0.77778582514226591</v>
      </c>
      <c r="E52" s="14">
        <v>0.26667149508535953</v>
      </c>
      <c r="F52" s="38">
        <v>0.27547163304017935</v>
      </c>
      <c r="G52" s="38">
        <v>0.33792033109156755</v>
      </c>
    </row>
    <row r="53" spans="1:7" ht="15.75" thickBot="1">
      <c r="A53" s="29" t="s">
        <v>51</v>
      </c>
      <c r="B53" s="25">
        <v>188.04</v>
      </c>
      <c r="C53" s="30">
        <f t="shared" si="0"/>
        <v>173.97</v>
      </c>
      <c r="D53" s="14">
        <v>0.79441289087428202</v>
      </c>
      <c r="E53" s="14">
        <v>0.27664773452456926</v>
      </c>
      <c r="F53" s="38">
        <v>0.28478940650925338</v>
      </c>
      <c r="G53" s="38">
        <v>0.34256541161455012</v>
      </c>
    </row>
    <row r="54" spans="1:7" ht="15.75" thickBot="1">
      <c r="A54" s="29" t="s">
        <v>52</v>
      </c>
      <c r="B54" s="25">
        <v>212.45</v>
      </c>
      <c r="C54" s="30">
        <f t="shared" si="0"/>
        <v>188.04</v>
      </c>
      <c r="D54" s="14">
        <v>0.8180343610261237</v>
      </c>
      <c r="E54" s="14">
        <v>0.29082061661567427</v>
      </c>
      <c r="F54" s="38">
        <v>0.29802682984231582</v>
      </c>
      <c r="G54" s="38">
        <v>0.34916450929630505</v>
      </c>
    </row>
    <row r="55" spans="1:7">
      <c r="A55" s="29" t="s">
        <v>53</v>
      </c>
      <c r="B55" s="28">
        <v>282.82</v>
      </c>
      <c r="C55" s="30">
        <f>B54</f>
        <v>212.45</v>
      </c>
      <c r="D55" s="14">
        <v>0.8633102326568135</v>
      </c>
      <c r="E55" s="14">
        <v>0.31798613959408811</v>
      </c>
      <c r="F55" s="38">
        <v>0.32339933526624709</v>
      </c>
      <c r="G55" s="38">
        <v>0.36181316738561631</v>
      </c>
    </row>
    <row r="56" spans="1:7">
      <c r="A56" s="29" t="s">
        <v>53</v>
      </c>
      <c r="B56" s="31" t="s">
        <v>124</v>
      </c>
      <c r="C56" s="30">
        <f t="shared" si="0"/>
        <v>282.82</v>
      </c>
      <c r="D56" s="14" t="e">
        <v>#VALUE!</v>
      </c>
      <c r="E56" s="11"/>
      <c r="F56" s="39"/>
      <c r="G56" s="39"/>
    </row>
    <row r="57" spans="1:7">
      <c r="A57" s="29"/>
      <c r="B57" s="31"/>
      <c r="C57" s="31"/>
      <c r="D57" s="11"/>
      <c r="E57" s="32">
        <v>8.0113568681073749E-2</v>
      </c>
      <c r="F57" s="40">
        <v>8.8357421394336888E-2</v>
      </c>
      <c r="G57" s="40">
        <v>0.19307114200380832</v>
      </c>
    </row>
    <row r="58" spans="1:7" ht="60.75" thickBot="1">
      <c r="A58" s="33" t="s">
        <v>55</v>
      </c>
      <c r="B58" s="200">
        <v>30</v>
      </c>
      <c r="C58" s="31"/>
      <c r="D58" s="11"/>
      <c r="E58" s="34">
        <v>64.431000000000012</v>
      </c>
      <c r="F58" s="41">
        <v>60.178333333333335</v>
      </c>
      <c r="G58" s="42">
        <v>30</v>
      </c>
    </row>
    <row r="59" spans="1:7" ht="60.75" thickBot="1">
      <c r="A59" s="33" t="s">
        <v>56</v>
      </c>
      <c r="B59" s="200">
        <v>81.05</v>
      </c>
      <c r="C59" s="31"/>
      <c r="D59" s="11"/>
      <c r="E59" s="11"/>
      <c r="F59" s="39"/>
      <c r="G59" s="39"/>
    </row>
    <row r="60" spans="1:7" ht="97.5" thickBot="1">
      <c r="A60" s="35" t="s">
        <v>57</v>
      </c>
      <c r="B60" s="4">
        <v>18</v>
      </c>
      <c r="C60" s="29"/>
      <c r="D60" s="11"/>
      <c r="E60" s="11">
        <v>38.658600000000007</v>
      </c>
      <c r="F60" s="39">
        <v>36.106999999999999</v>
      </c>
      <c r="G60" s="39">
        <v>18</v>
      </c>
    </row>
    <row r="62" spans="1:7" ht="60.75" thickBot="1">
      <c r="A62" s="5" t="s">
        <v>56</v>
      </c>
      <c r="B62">
        <f>B59</f>
        <v>81.05</v>
      </c>
    </row>
    <row r="63" spans="1:7">
      <c r="A63" s="16" t="s">
        <v>64</v>
      </c>
      <c r="B63" s="17">
        <f>AVERAGE(B11:B50)</f>
        <v>64.431000000000012</v>
      </c>
      <c r="C63" s="17"/>
    </row>
    <row r="64" spans="1:7">
      <c r="A64" s="16" t="s">
        <v>65</v>
      </c>
      <c r="B64" s="18">
        <f>AVERAGE(B16:B45)</f>
        <v>60.178333333333335</v>
      </c>
      <c r="C64" s="18"/>
    </row>
    <row r="65" spans="1:7">
      <c r="A65" s="16" t="s">
        <v>66</v>
      </c>
      <c r="B65" s="18">
        <f>AVERAGE(B22:B40)</f>
        <v>58.95000000000001</v>
      </c>
      <c r="C65" s="18"/>
    </row>
    <row r="69" spans="1:7" ht="15" customHeight="1">
      <c r="A69" s="473" t="s">
        <v>0</v>
      </c>
      <c r="B69" s="473" t="s">
        <v>2</v>
      </c>
      <c r="C69" s="473"/>
      <c r="D69" s="473"/>
      <c r="E69" s="49">
        <f>(1-E124)^(1/3)-1</f>
        <v>-2.6090320329746564E-2</v>
      </c>
      <c r="F69" s="49">
        <f>(1-F124)^(1/3)-1</f>
        <v>-2.7633977028077461E-2</v>
      </c>
      <c r="G69" s="49"/>
    </row>
    <row r="70" spans="1:7" ht="72">
      <c r="A70" s="473"/>
      <c r="B70" s="11" t="s">
        <v>4</v>
      </c>
      <c r="C70" s="11"/>
      <c r="D70" s="11" t="s">
        <v>80</v>
      </c>
      <c r="E70" s="11" t="s">
        <v>5</v>
      </c>
      <c r="F70" s="39" t="s">
        <v>5</v>
      </c>
      <c r="G70" s="39"/>
    </row>
    <row r="71" spans="1:7" ht="24">
      <c r="A71" s="473"/>
      <c r="B71" s="11" t="s">
        <v>8</v>
      </c>
      <c r="C71" s="11"/>
      <c r="D71" s="11" t="s">
        <v>7</v>
      </c>
      <c r="E71" s="11" t="s">
        <v>7</v>
      </c>
      <c r="F71" s="39" t="s">
        <v>7</v>
      </c>
      <c r="G71" s="39"/>
    </row>
    <row r="72" spans="1:7" ht="15.75" thickBot="1">
      <c r="A72" s="50">
        <v>1</v>
      </c>
      <c r="B72" s="51">
        <v>2</v>
      </c>
      <c r="C72" s="51"/>
      <c r="D72" s="51">
        <v>3</v>
      </c>
      <c r="E72" s="51">
        <v>4</v>
      </c>
      <c r="F72" s="52">
        <v>5</v>
      </c>
      <c r="G72" s="52"/>
    </row>
    <row r="73" spans="1:7" ht="15.75" thickBot="1">
      <c r="A73" s="27" t="s">
        <v>10</v>
      </c>
      <c r="B73" s="24">
        <v>21.47</v>
      </c>
      <c r="C73" s="253">
        <v>0</v>
      </c>
      <c r="D73" s="14">
        <v>0</v>
      </c>
      <c r="E73" s="14">
        <v>0</v>
      </c>
      <c r="F73" s="38">
        <v>0</v>
      </c>
      <c r="G73" s="38">
        <v>5.5426176059618134E-3</v>
      </c>
    </row>
    <row r="74" spans="1:7" ht="15.75" thickBot="1">
      <c r="A74" s="27" t="s">
        <v>58</v>
      </c>
      <c r="B74" s="25">
        <v>21.66</v>
      </c>
      <c r="C74" s="30">
        <f>B73</f>
        <v>21.47</v>
      </c>
      <c r="D74" s="14">
        <v>0</v>
      </c>
      <c r="E74" s="14">
        <v>0</v>
      </c>
      <c r="F74" s="38">
        <v>0</v>
      </c>
      <c r="G74" s="38">
        <v>6.3711911357340837E-3</v>
      </c>
    </row>
    <row r="75" spans="1:7" ht="15.75" thickBot="1">
      <c r="A75" s="27" t="s">
        <v>59</v>
      </c>
      <c r="B75" s="25">
        <v>22.53</v>
      </c>
      <c r="C75" s="30">
        <f t="shared" ref="C75:C123" si="1">B74</f>
        <v>21.66</v>
      </c>
      <c r="D75" s="14">
        <v>0</v>
      </c>
      <c r="E75" s="14">
        <v>0</v>
      </c>
      <c r="F75" s="38">
        <v>0</v>
      </c>
      <c r="G75" s="38">
        <v>9.9866844207723189E-3</v>
      </c>
    </row>
    <row r="76" spans="1:7" ht="15.75" thickBot="1">
      <c r="A76" s="27" t="s">
        <v>60</v>
      </c>
      <c r="B76" s="25">
        <v>23.24</v>
      </c>
      <c r="C76" s="30">
        <f t="shared" si="1"/>
        <v>22.53</v>
      </c>
      <c r="D76" s="14">
        <v>0</v>
      </c>
      <c r="E76" s="14">
        <v>0</v>
      </c>
      <c r="F76" s="38">
        <v>0</v>
      </c>
      <c r="G76" s="38">
        <v>1.273666092943202E-2</v>
      </c>
    </row>
    <row r="77" spans="1:7" ht="15.75" thickBot="1">
      <c r="A77" s="27" t="s">
        <v>61</v>
      </c>
      <c r="B77" s="25">
        <v>25.16</v>
      </c>
      <c r="C77" s="30">
        <f t="shared" si="1"/>
        <v>23.24</v>
      </c>
      <c r="D77" s="14">
        <v>0</v>
      </c>
      <c r="E77" s="14">
        <v>0</v>
      </c>
      <c r="F77" s="38">
        <v>0</v>
      </c>
      <c r="G77" s="38">
        <v>1.9395866454689995E-2</v>
      </c>
    </row>
    <row r="78" spans="1:7" ht="15.75" thickBot="1">
      <c r="A78" s="27" t="s">
        <v>62</v>
      </c>
      <c r="B78" s="25">
        <v>26.24</v>
      </c>
      <c r="C78" s="30">
        <f t="shared" si="1"/>
        <v>25.16</v>
      </c>
      <c r="D78" s="14">
        <v>0</v>
      </c>
      <c r="E78" s="14">
        <v>0</v>
      </c>
      <c r="F78" s="38">
        <v>0</v>
      </c>
      <c r="G78" s="38">
        <v>2.2713414634146348E-2</v>
      </c>
    </row>
    <row r="79" spans="1:7" ht="15.75" thickBot="1">
      <c r="A79" s="27" t="s">
        <v>63</v>
      </c>
      <c r="B79" s="25">
        <v>27.34</v>
      </c>
      <c r="C79" s="30">
        <f t="shared" si="1"/>
        <v>26.24</v>
      </c>
      <c r="D79" s="14">
        <v>0</v>
      </c>
      <c r="E79" s="14">
        <v>0</v>
      </c>
      <c r="F79" s="38">
        <v>2.4213606437456327E-4</v>
      </c>
      <c r="G79" s="38">
        <v>2.5822970007315298E-2</v>
      </c>
    </row>
    <row r="80" spans="1:7" ht="15.75" thickBot="1">
      <c r="A80" s="29" t="s">
        <v>11</v>
      </c>
      <c r="B80" s="25">
        <v>28.18</v>
      </c>
      <c r="C80" s="30">
        <f t="shared" si="1"/>
        <v>27.34</v>
      </c>
      <c r="D80" s="14">
        <v>3.8733144073811085E-3</v>
      </c>
      <c r="E80" s="14">
        <v>3.8733144073811087E-4</v>
      </c>
      <c r="F80" s="38">
        <v>3.2157558552164851E-3</v>
      </c>
      <c r="G80" s="38">
        <v>2.8034066713981558E-2</v>
      </c>
    </row>
    <row r="81" spans="1:7" ht="15.75" thickBot="1">
      <c r="A81" s="29" t="s">
        <v>12</v>
      </c>
      <c r="B81" s="25">
        <v>29.69</v>
      </c>
      <c r="C81" s="30">
        <f t="shared" si="1"/>
        <v>28.18</v>
      </c>
      <c r="D81" s="14">
        <v>5.453519703603911E-2</v>
      </c>
      <c r="E81" s="14"/>
      <c r="F81" s="38">
        <v>8.1380936342203003E-3</v>
      </c>
      <c r="G81" s="38">
        <v>3.16941731222634E-2</v>
      </c>
    </row>
    <row r="82" spans="1:7" ht="15.75" thickBot="1">
      <c r="A82" s="29" t="s">
        <v>13</v>
      </c>
      <c r="B82" s="25">
        <v>30.18</v>
      </c>
      <c r="C82" s="30">
        <f t="shared" si="1"/>
        <v>29.69</v>
      </c>
      <c r="D82" s="14">
        <v>6.9885685884691837E-2</v>
      </c>
      <c r="E82" s="14"/>
      <c r="F82" s="38">
        <v>9.6295559973492567E-3</v>
      </c>
      <c r="G82" s="38">
        <v>3.2803180914512932E-2</v>
      </c>
    </row>
    <row r="83" spans="1:7" ht="15.75" thickBot="1">
      <c r="A83" s="29" t="s">
        <v>14</v>
      </c>
      <c r="B83" s="25">
        <v>30.71</v>
      </c>
      <c r="C83" s="30">
        <f t="shared" si="1"/>
        <v>30.18</v>
      </c>
      <c r="D83" s="14">
        <v>8.5937805275154697E-2</v>
      </c>
      <c r="E83" s="14"/>
      <c r="F83" s="38">
        <v>1.1189189189189212E-2</v>
      </c>
      <c r="G83" s="38">
        <v>3.3962878541191809E-2</v>
      </c>
    </row>
    <row r="84" spans="1:7" ht="15.75" thickBot="1">
      <c r="A84" s="29" t="s">
        <v>15</v>
      </c>
      <c r="B84" s="25">
        <v>31.08</v>
      </c>
      <c r="C84" s="30">
        <f t="shared" si="1"/>
        <v>30.71</v>
      </c>
      <c r="D84" s="14">
        <v>9.6819498069498022E-2</v>
      </c>
      <c r="E84" s="14">
        <v>9.6819498069498026E-3</v>
      </c>
      <c r="F84" s="38">
        <v>1.224646074646076E-2</v>
      </c>
      <c r="G84" s="38">
        <v>3.4749034749034756E-2</v>
      </c>
    </row>
    <row r="85" spans="1:7" ht="15.75" thickBot="1">
      <c r="A85" s="29" t="s">
        <v>16</v>
      </c>
      <c r="B85" s="25">
        <v>31.42</v>
      </c>
      <c r="C85" s="30">
        <f t="shared" si="1"/>
        <v>31.08</v>
      </c>
      <c r="D85" s="14">
        <v>0.10659293443666459</v>
      </c>
      <c r="E85" s="14">
        <v>1.065929344366646E-2</v>
      </c>
      <c r="F85" s="38">
        <v>1.3196053469127968E-2</v>
      </c>
      <c r="G85" s="38">
        <v>3.5455124124761317E-2</v>
      </c>
    </row>
    <row r="86" spans="1:7" ht="15.75" thickBot="1">
      <c r="A86" s="29" t="s">
        <v>17</v>
      </c>
      <c r="B86" s="25">
        <v>32.46</v>
      </c>
      <c r="C86" s="30">
        <f t="shared" si="1"/>
        <v>31.42</v>
      </c>
      <c r="D86" s="14">
        <v>0.13521719038817007</v>
      </c>
      <c r="E86" s="14">
        <v>1.3521719038817008E-2</v>
      </c>
      <c r="F86" s="38">
        <v>1.5977202711028978E-2</v>
      </c>
      <c r="G86" s="38">
        <v>3.7523105360443634E-2</v>
      </c>
    </row>
    <row r="87" spans="1:7" ht="15.75" thickBot="1">
      <c r="A87" s="29" t="s">
        <v>18</v>
      </c>
      <c r="B87" s="25">
        <v>33.19</v>
      </c>
      <c r="C87" s="30">
        <f t="shared" si="1"/>
        <v>32.46</v>
      </c>
      <c r="D87" s="14">
        <v>0.15423772220548351</v>
      </c>
      <c r="E87" s="14">
        <v>1.5423772220548353E-2</v>
      </c>
      <c r="F87" s="38">
        <v>1.7825248568846052E-2</v>
      </c>
      <c r="G87" s="38">
        <v>3.8897258210304313E-2</v>
      </c>
    </row>
    <row r="88" spans="1:7" ht="15.75" thickBot="1">
      <c r="A88" s="29" t="s">
        <v>19</v>
      </c>
      <c r="B88" s="25">
        <v>34.14</v>
      </c>
      <c r="C88" s="30">
        <f t="shared" si="1"/>
        <v>33.19</v>
      </c>
      <c r="D88" s="14">
        <v>0.17777240773286468</v>
      </c>
      <c r="E88" s="14">
        <v>1.7777240773286469E-2</v>
      </c>
      <c r="F88" s="38">
        <v>2.0111892208553035E-2</v>
      </c>
      <c r="G88" s="38">
        <v>4.3585237258348022E-2</v>
      </c>
    </row>
    <row r="89" spans="1:7" ht="15.75" thickBot="1">
      <c r="A89" s="29" t="s">
        <v>20</v>
      </c>
      <c r="B89" s="25">
        <v>35.71</v>
      </c>
      <c r="C89" s="30">
        <f t="shared" si="1"/>
        <v>34.14</v>
      </c>
      <c r="D89" s="14">
        <v>0.21392187062447496</v>
      </c>
      <c r="E89" s="14">
        <v>2.1392187062447495E-2</v>
      </c>
      <c r="F89" s="38">
        <v>2.3624194903388424E-2</v>
      </c>
      <c r="G89" s="38">
        <v>5.9255110613273633E-2</v>
      </c>
    </row>
    <row r="90" spans="1:7" ht="15.75" thickBot="1">
      <c r="A90" s="29" t="s">
        <v>21</v>
      </c>
      <c r="B90" s="25">
        <v>36.340000000000003</v>
      </c>
      <c r="C90" s="30">
        <f t="shared" si="1"/>
        <v>35.71</v>
      </c>
      <c r="D90" s="14">
        <v>0.22754953219592741</v>
      </c>
      <c r="E90" s="14">
        <v>2.2754953219592745E-2</v>
      </c>
      <c r="F90" s="38">
        <v>2.4948266373142566E-2</v>
      </c>
      <c r="G90" s="38">
        <v>6.516235553109527E-2</v>
      </c>
    </row>
    <row r="91" spans="1:7" ht="15.75" thickBot="1">
      <c r="A91" s="29" t="s">
        <v>22</v>
      </c>
      <c r="B91" s="25">
        <v>37.049999999999997</v>
      </c>
      <c r="C91" s="30">
        <f t="shared" si="1"/>
        <v>36.340000000000003</v>
      </c>
      <c r="D91" s="14">
        <v>0.24235222672064771</v>
      </c>
      <c r="E91" s="14">
        <v>2.4235222672064773E-2</v>
      </c>
      <c r="F91" s="38">
        <v>2.6386504723346842E-2</v>
      </c>
      <c r="G91" s="38">
        <v>7.1578947368421061E-2</v>
      </c>
    </row>
    <row r="92" spans="1:7" ht="15.75" thickBot="1">
      <c r="A92" s="29" t="s">
        <v>23</v>
      </c>
      <c r="B92" s="25">
        <v>40.04</v>
      </c>
      <c r="C92" s="30">
        <f t="shared" si="1"/>
        <v>37.049999999999997</v>
      </c>
      <c r="D92" s="14">
        <v>0.29892982017982017</v>
      </c>
      <c r="E92" s="14">
        <v>2.9892982017982017E-2</v>
      </c>
      <c r="F92" s="38">
        <v>3.1883616383616399E-2</v>
      </c>
      <c r="G92" s="38">
        <v>9.6103896103896122E-2</v>
      </c>
    </row>
    <row r="93" spans="1:7" ht="15.75" thickBot="1">
      <c r="A93" s="29" t="s">
        <v>24</v>
      </c>
      <c r="B93" s="25">
        <v>41.51</v>
      </c>
      <c r="C93" s="30">
        <f t="shared" si="1"/>
        <v>40.04</v>
      </c>
      <c r="D93" s="14">
        <v>0.32375692604191758</v>
      </c>
      <c r="E93" s="14">
        <v>3.2375692604191764E-2</v>
      </c>
      <c r="F93" s="38">
        <v>3.4295832329559156E-2</v>
      </c>
      <c r="G93" s="38">
        <v>0.10686581546615276</v>
      </c>
    </row>
    <row r="94" spans="1:7" ht="15.75" thickBot="1">
      <c r="A94" s="29" t="s">
        <v>25</v>
      </c>
      <c r="B94" s="25">
        <v>42.09</v>
      </c>
      <c r="C94" s="30">
        <f t="shared" si="1"/>
        <v>41.51</v>
      </c>
      <c r="D94" s="14">
        <v>0.33307555238774061</v>
      </c>
      <c r="E94" s="14">
        <v>3.3307555238774066E-2</v>
      </c>
      <c r="F94" s="38">
        <v>3.5201235447849866E-2</v>
      </c>
      <c r="G94" s="38">
        <v>0.1109052031361369</v>
      </c>
    </row>
    <row r="95" spans="1:7" ht="15.75" thickBot="1">
      <c r="A95" s="29" t="s">
        <v>26</v>
      </c>
      <c r="B95" s="25">
        <v>42.4</v>
      </c>
      <c r="C95" s="30">
        <f t="shared" si="1"/>
        <v>42.09</v>
      </c>
      <c r="D95" s="14">
        <v>0.33795165094339619</v>
      </c>
      <c r="E95" s="14">
        <v>3.3795165094339621E-2</v>
      </c>
      <c r="F95" s="38">
        <v>3.5675000000000012E-2</v>
      </c>
      <c r="G95" s="38">
        <v>0.11301886792452832</v>
      </c>
    </row>
    <row r="96" spans="1:7" ht="15.75" thickBot="1">
      <c r="A96" s="29" t="s">
        <v>27</v>
      </c>
      <c r="B96" s="25">
        <v>43.94</v>
      </c>
      <c r="C96" s="30">
        <f t="shared" si="1"/>
        <v>42.4</v>
      </c>
      <c r="D96" s="14">
        <v>0.36115498406918523</v>
      </c>
      <c r="E96" s="14">
        <v>3.6115498406918523E-2</v>
      </c>
      <c r="F96" s="38">
        <v>3.7929449248975886E-2</v>
      </c>
      <c r="G96" s="38">
        <v>0.1230769230769231</v>
      </c>
    </row>
    <row r="97" spans="1:7" ht="15.75" thickBot="1">
      <c r="A97" s="29" t="s">
        <v>28</v>
      </c>
      <c r="B97" s="25">
        <v>44.67</v>
      </c>
      <c r="C97" s="30">
        <f t="shared" si="1"/>
        <v>43.94</v>
      </c>
      <c r="D97" s="14">
        <v>0.37159503022162527</v>
      </c>
      <c r="E97" s="14">
        <v>3.7159503022162532E-2</v>
      </c>
      <c r="F97" s="38">
        <v>3.8943810163420654E-2</v>
      </c>
      <c r="G97" s="38">
        <v>0.12760241773002018</v>
      </c>
    </row>
    <row r="98" spans="1:7" ht="15.75" thickBot="1">
      <c r="A98" s="29" t="s">
        <v>29</v>
      </c>
      <c r="B98" s="25">
        <v>45.57</v>
      </c>
      <c r="C98" s="30">
        <f t="shared" si="1"/>
        <v>44.67</v>
      </c>
      <c r="D98" s="14">
        <v>0.38400592495062541</v>
      </c>
      <c r="E98" s="14">
        <v>3.8400592495062544E-2</v>
      </c>
      <c r="F98" s="38">
        <v>4.0897959183673532E-2</v>
      </c>
      <c r="G98" s="38">
        <v>0.1329822251481238</v>
      </c>
    </row>
    <row r="99" spans="1:7" ht="15.75" thickBot="1">
      <c r="A99" s="29" t="s">
        <v>30</v>
      </c>
      <c r="B99" s="25">
        <v>47.1</v>
      </c>
      <c r="C99" s="30">
        <f t="shared" si="1"/>
        <v>45.57</v>
      </c>
      <c r="D99" s="14">
        <v>0.40401592356687899</v>
      </c>
      <c r="E99" s="14">
        <v>4.2409554140127384E-2</v>
      </c>
      <c r="F99" s="38">
        <v>5.2563057324840838E-2</v>
      </c>
      <c r="G99" s="38">
        <v>0.14165605095541406</v>
      </c>
    </row>
    <row r="100" spans="1:7" ht="15.75" thickBot="1">
      <c r="A100" s="29" t="s">
        <v>31</v>
      </c>
      <c r="B100" s="25">
        <v>48.35</v>
      </c>
      <c r="C100" s="30">
        <f t="shared" si="1"/>
        <v>47.1</v>
      </c>
      <c r="D100" s="14">
        <v>0.41942399172699069</v>
      </c>
      <c r="E100" s="14">
        <v>5.1654395036194414E-2</v>
      </c>
      <c r="F100" s="38">
        <v>6.1545398138572974E-2</v>
      </c>
      <c r="G100" s="38">
        <v>0.14833505687693904</v>
      </c>
    </row>
    <row r="101" spans="1:7" ht="15.75" thickBot="1">
      <c r="A101" s="29" t="s">
        <v>32</v>
      </c>
      <c r="B101" s="25">
        <v>49.12</v>
      </c>
      <c r="C101" s="30">
        <f t="shared" si="1"/>
        <v>48.35</v>
      </c>
      <c r="D101" s="14">
        <v>0.42852504071661235</v>
      </c>
      <c r="E101" s="14">
        <v>5.7115024429967402E-2</v>
      </c>
      <c r="F101" s="38">
        <v>6.6850977198697106E-2</v>
      </c>
      <c r="G101" s="38">
        <v>0.15228013029315962</v>
      </c>
    </row>
    <row r="102" spans="1:7" ht="15.75" thickBot="1">
      <c r="A102" s="29" t="s">
        <v>33</v>
      </c>
      <c r="B102" s="25">
        <v>49.35</v>
      </c>
      <c r="C102" s="30">
        <f t="shared" si="1"/>
        <v>49.12</v>
      </c>
      <c r="D102" s="14">
        <v>0.43118844984802435</v>
      </c>
      <c r="E102" s="14">
        <v>5.8713069908814586E-2</v>
      </c>
      <c r="F102" s="38">
        <v>6.8403647416413443E-2</v>
      </c>
      <c r="G102" s="38">
        <v>0.15343465045592711</v>
      </c>
    </row>
    <row r="103" spans="1:7" ht="15.75" thickBot="1">
      <c r="A103" s="29" t="s">
        <v>34</v>
      </c>
      <c r="B103" s="25">
        <v>49.76</v>
      </c>
      <c r="C103" s="30">
        <f t="shared" si="1"/>
        <v>49.35</v>
      </c>
      <c r="D103" s="14">
        <v>0.43587520096463023</v>
      </c>
      <c r="E103" s="14">
        <v>6.1525120578778104E-2</v>
      </c>
      <c r="F103" s="38">
        <v>7.1135852090032203E-2</v>
      </c>
      <c r="G103" s="38">
        <v>0.15546623794212219</v>
      </c>
    </row>
    <row r="104" spans="1:7" ht="15.75" thickBot="1">
      <c r="A104" s="29" t="s">
        <v>35</v>
      </c>
      <c r="B104" s="25">
        <v>50.44</v>
      </c>
      <c r="C104" s="30">
        <f t="shared" si="1"/>
        <v>49.76</v>
      </c>
      <c r="D104" s="14">
        <v>0.44348037272006341</v>
      </c>
      <c r="E104" s="14">
        <v>6.6088223632038035E-2</v>
      </c>
      <c r="F104" s="38">
        <v>7.5569389373513124E-2</v>
      </c>
      <c r="G104" s="38">
        <v>0.15876288659793816</v>
      </c>
    </row>
    <row r="105" spans="1:7" ht="15.75" thickBot="1">
      <c r="A105" s="29" t="s">
        <v>36</v>
      </c>
      <c r="B105" s="25">
        <v>51.72</v>
      </c>
      <c r="C105" s="30">
        <f t="shared" si="1"/>
        <v>50.44</v>
      </c>
      <c r="D105" s="14">
        <v>0.45725348027842228</v>
      </c>
      <c r="E105" s="14">
        <v>7.435208816705334E-2</v>
      </c>
      <c r="F105" s="38">
        <v>8.3598607888631146E-2</v>
      </c>
      <c r="G105" s="38">
        <v>0.16473317865429238</v>
      </c>
    </row>
    <row r="106" spans="1:7" ht="15.75" thickBot="1">
      <c r="A106" s="29" t="s">
        <v>37</v>
      </c>
      <c r="B106" s="25">
        <v>56.41</v>
      </c>
      <c r="C106" s="30">
        <f t="shared" si="1"/>
        <v>51.72</v>
      </c>
      <c r="D106" s="14">
        <v>0.50237812444602015</v>
      </c>
      <c r="E106" s="14">
        <v>0.10142687466761209</v>
      </c>
      <c r="F106" s="38">
        <v>0.10990462683921293</v>
      </c>
      <c r="G106" s="38">
        <v>0.18429356497074989</v>
      </c>
    </row>
    <row r="107" spans="1:7" ht="15.75" thickBot="1">
      <c r="A107" s="29" t="s">
        <v>38</v>
      </c>
      <c r="B107" s="25">
        <v>56.96</v>
      </c>
      <c r="C107" s="30">
        <f t="shared" si="1"/>
        <v>56.41</v>
      </c>
      <c r="D107" s="14">
        <v>0.50718311095505619</v>
      </c>
      <c r="E107" s="14">
        <v>0.1043098665730337</v>
      </c>
      <c r="F107" s="38">
        <v>0.11270575842696635</v>
      </c>
      <c r="G107" s="38">
        <v>0.18637640449438206</v>
      </c>
    </row>
    <row r="108" spans="1:7" ht="15.75" thickBot="1">
      <c r="A108" s="29" t="s">
        <v>39</v>
      </c>
      <c r="B108" s="25">
        <v>57.56</v>
      </c>
      <c r="C108" s="30">
        <f t="shared" si="1"/>
        <v>56.96</v>
      </c>
      <c r="D108" s="14">
        <v>0.51232018763029885</v>
      </c>
      <c r="E108" s="14">
        <v>0.10739211257817929</v>
      </c>
      <c r="F108" s="38">
        <v>0.11570048644892292</v>
      </c>
      <c r="G108" s="38">
        <v>0.1886031966643503</v>
      </c>
    </row>
    <row r="109" spans="1:7" ht="15.75" thickBot="1">
      <c r="A109" s="29" t="s">
        <v>40</v>
      </c>
      <c r="B109" s="25">
        <v>60.09</v>
      </c>
      <c r="C109" s="30">
        <f t="shared" si="1"/>
        <v>57.56</v>
      </c>
      <c r="D109" s="14">
        <v>0.53285322016974546</v>
      </c>
      <c r="E109" s="14">
        <v>0.11971193210184723</v>
      </c>
      <c r="F109" s="38">
        <v>0.12767049425861215</v>
      </c>
      <c r="G109" s="38">
        <v>0.19750374438342491</v>
      </c>
    </row>
    <row r="110" spans="1:7" ht="15.75" thickBot="1">
      <c r="A110" s="29" t="s">
        <v>41</v>
      </c>
      <c r="B110" s="25">
        <v>60.73</v>
      </c>
      <c r="C110" s="30">
        <f t="shared" si="1"/>
        <v>60.09</v>
      </c>
      <c r="D110" s="14">
        <v>0.53777622262473235</v>
      </c>
      <c r="E110" s="14">
        <v>0.12266573357483944</v>
      </c>
      <c r="F110" s="38">
        <v>0.13054042483122019</v>
      </c>
      <c r="G110" s="38">
        <v>0.19963774082002309</v>
      </c>
    </row>
    <row r="111" spans="1:7" ht="15.75" thickBot="1">
      <c r="A111" s="29" t="s">
        <v>42</v>
      </c>
      <c r="B111" s="25">
        <v>61.45</v>
      </c>
      <c r="C111" s="30">
        <f t="shared" si="1"/>
        <v>60.73</v>
      </c>
      <c r="D111" s="14">
        <v>0.54319202603742878</v>
      </c>
      <c r="E111" s="14">
        <v>0.1259152156224573</v>
      </c>
      <c r="F111" s="38">
        <v>0.13369764035801471</v>
      </c>
      <c r="G111" s="38">
        <v>0.20198535394629782</v>
      </c>
    </row>
    <row r="112" spans="1:7" ht="15.75" thickBot="1">
      <c r="A112" s="29" t="s">
        <v>43</v>
      </c>
      <c r="B112" s="25">
        <v>62.33</v>
      </c>
      <c r="C112" s="30">
        <f t="shared" si="1"/>
        <v>61.45</v>
      </c>
      <c r="D112" s="14">
        <v>0.54964142467511634</v>
      </c>
      <c r="E112" s="14">
        <v>0.12978485480506979</v>
      </c>
      <c r="F112" s="38">
        <v>0.13745740413925883</v>
      </c>
      <c r="G112" s="38">
        <v>0.20478100433178248</v>
      </c>
    </row>
    <row r="113" spans="1:7" ht="15.75" thickBot="1">
      <c r="A113" s="29" t="s">
        <v>44</v>
      </c>
      <c r="B113" s="25">
        <v>64.45</v>
      </c>
      <c r="C113" s="30">
        <f t="shared" si="1"/>
        <v>62.33</v>
      </c>
      <c r="D113" s="14">
        <v>0.564455391776571</v>
      </c>
      <c r="E113" s="14">
        <v>0.13867323506594259</v>
      </c>
      <c r="F113" s="38">
        <v>0.14609340574088445</v>
      </c>
      <c r="G113" s="38">
        <v>0.21120248254460827</v>
      </c>
    </row>
    <row r="114" spans="1:7" ht="15.75" thickBot="1">
      <c r="A114" s="29" t="s">
        <v>45</v>
      </c>
      <c r="B114" s="25">
        <v>67.760000000000005</v>
      </c>
      <c r="C114" s="30">
        <f t="shared" si="1"/>
        <v>64.45</v>
      </c>
      <c r="D114" s="14">
        <v>0.58573125737898468</v>
      </c>
      <c r="E114" s="14">
        <v>0.1514387544273908</v>
      </c>
      <c r="F114" s="38">
        <v>0.15849645808736726</v>
      </c>
      <c r="G114" s="38">
        <v>0.22042502951593865</v>
      </c>
    </row>
    <row r="115" spans="1:7" ht="15.75" thickBot="1">
      <c r="A115" s="29" t="s">
        <v>46</v>
      </c>
      <c r="B115" s="25">
        <v>72.09</v>
      </c>
      <c r="C115" s="30">
        <f t="shared" si="1"/>
        <v>67.760000000000005</v>
      </c>
      <c r="D115" s="14">
        <v>0.61061381606325427</v>
      </c>
      <c r="E115" s="14">
        <v>0.16636828963795258</v>
      </c>
      <c r="F115" s="38">
        <v>0.17300208073241788</v>
      </c>
      <c r="G115" s="38">
        <v>0.23121098626716607</v>
      </c>
    </row>
    <row r="116" spans="1:7" ht="15.75" thickBot="1">
      <c r="A116" s="29" t="s">
        <v>47</v>
      </c>
      <c r="B116" s="25">
        <v>76.72</v>
      </c>
      <c r="C116" s="30">
        <f t="shared" si="1"/>
        <v>72.09</v>
      </c>
      <c r="D116" s="14">
        <v>0.63411300834202289</v>
      </c>
      <c r="E116" s="14">
        <v>0.18046780500521376</v>
      </c>
      <c r="F116" s="38">
        <v>0.18670125130344112</v>
      </c>
      <c r="G116" s="38">
        <v>0.24139728884254436</v>
      </c>
    </row>
    <row r="117" spans="1:7" ht="15.75" thickBot="1">
      <c r="A117" s="29" t="s">
        <v>48</v>
      </c>
      <c r="B117" s="25">
        <v>85.05</v>
      </c>
      <c r="C117" s="30">
        <f t="shared" si="1"/>
        <v>76.72</v>
      </c>
      <c r="D117" s="14">
        <v>0.66994885361552026</v>
      </c>
      <c r="E117" s="14">
        <v>0.20196931216931216</v>
      </c>
      <c r="F117" s="38">
        <v>0.20759223985890657</v>
      </c>
      <c r="G117" s="38">
        <v>0.25693121693121695</v>
      </c>
    </row>
    <row r="118" spans="1:7" ht="15.75" thickBot="1">
      <c r="A118" s="29" t="s">
        <v>49</v>
      </c>
      <c r="B118" s="25">
        <v>94.56</v>
      </c>
      <c r="C118" s="30">
        <f t="shared" si="1"/>
        <v>85.05</v>
      </c>
      <c r="D118" s="14">
        <v>0.7031424492385786</v>
      </c>
      <c r="E118" s="14">
        <v>0.22188546954314722</v>
      </c>
      <c r="F118" s="38">
        <v>0.22694289340101531</v>
      </c>
      <c r="G118" s="38">
        <v>0.27131979695431474</v>
      </c>
    </row>
    <row r="119" spans="1:7" ht="15.75" thickBot="1">
      <c r="A119" s="29" t="s">
        <v>50</v>
      </c>
      <c r="B119" s="25">
        <v>108.11</v>
      </c>
      <c r="C119" s="30">
        <f t="shared" si="1"/>
        <v>94.56</v>
      </c>
      <c r="D119" s="14">
        <v>0.74034918138932571</v>
      </c>
      <c r="E119" s="14">
        <v>0.24420950883359543</v>
      </c>
      <c r="F119" s="38">
        <v>0.24863305892146892</v>
      </c>
      <c r="G119" s="38">
        <v>0.28744796966053099</v>
      </c>
    </row>
    <row r="120" spans="1:7" ht="15.75" thickBot="1">
      <c r="A120" s="29" t="s">
        <v>51</v>
      </c>
      <c r="B120" s="25">
        <v>123.95</v>
      </c>
      <c r="C120" s="30">
        <f t="shared" si="1"/>
        <v>108.11</v>
      </c>
      <c r="D120" s="14">
        <v>0.77353085921742648</v>
      </c>
      <c r="E120" s="14">
        <v>0.26411851553045584</v>
      </c>
      <c r="F120" s="38">
        <v>0.26797676482452604</v>
      </c>
      <c r="G120" s="38">
        <v>0.3018313836224284</v>
      </c>
    </row>
    <row r="121" spans="1:7" ht="15.75" thickBot="1">
      <c r="A121" s="29" t="s">
        <v>52</v>
      </c>
      <c r="B121" s="25">
        <v>175.05</v>
      </c>
      <c r="C121" s="30">
        <f t="shared" si="1"/>
        <v>123.95</v>
      </c>
      <c r="D121" s="14">
        <v>0.83964095972579256</v>
      </c>
      <c r="E121" s="14">
        <v>0.30378457583547558</v>
      </c>
      <c r="F121" s="38">
        <v>0.30651653813196228</v>
      </c>
      <c r="G121" s="38">
        <v>0.33048843187660665</v>
      </c>
    </row>
    <row r="122" spans="1:7" ht="15.75" thickBot="1">
      <c r="A122" s="29" t="s">
        <v>53</v>
      </c>
      <c r="B122" s="201">
        <v>206.49</v>
      </c>
      <c r="C122" s="30">
        <f>B121</f>
        <v>175.05</v>
      </c>
      <c r="D122" s="14">
        <v>0.86405709719599011</v>
      </c>
      <c r="E122" s="14">
        <v>0.31843425831759414</v>
      </c>
      <c r="F122" s="38">
        <v>0.32075025424960052</v>
      </c>
      <c r="G122" s="38">
        <v>0.34107220688653206</v>
      </c>
    </row>
    <row r="123" spans="1:7" ht="15.75" thickBot="1">
      <c r="A123" s="29" t="s">
        <v>53</v>
      </c>
      <c r="B123" s="4" t="s">
        <v>125</v>
      </c>
      <c r="C123" s="30">
        <f t="shared" si="1"/>
        <v>206.49</v>
      </c>
      <c r="D123" s="11" t="s">
        <v>81</v>
      </c>
      <c r="E123" s="11"/>
      <c r="F123" s="39"/>
      <c r="G123" s="39"/>
    </row>
    <row r="124" spans="1:7">
      <c r="A124" s="29"/>
      <c r="B124" s="29"/>
      <c r="C124" s="29"/>
      <c r="D124" s="11"/>
      <c r="E124" s="32">
        <v>7.6246606351184465E-2</v>
      </c>
      <c r="F124" s="40">
        <v>8.0632123343716791E-2</v>
      </c>
      <c r="G124" s="40">
        <v>0.13114002441540309</v>
      </c>
    </row>
    <row r="125" spans="1:7" ht="60.75" thickBot="1">
      <c r="A125" s="33" t="s">
        <v>55</v>
      </c>
      <c r="B125" s="4">
        <v>33.799999999999997</v>
      </c>
      <c r="C125" s="29"/>
      <c r="D125" s="11"/>
      <c r="E125" s="34">
        <v>46.784750000000003</v>
      </c>
      <c r="F125" s="41">
        <v>45.456333333333326</v>
      </c>
      <c r="G125" s="42">
        <v>33.799999999999997</v>
      </c>
    </row>
    <row r="126" spans="1:7" ht="60.75" thickBot="1">
      <c r="A126" s="33" t="s">
        <v>56</v>
      </c>
      <c r="B126" s="4">
        <v>52.47</v>
      </c>
      <c r="C126" s="29"/>
      <c r="D126" s="11"/>
      <c r="E126" s="11"/>
      <c r="F126" s="39"/>
      <c r="G126" s="39"/>
    </row>
    <row r="127" spans="1:7" ht="97.5" thickBot="1">
      <c r="A127" s="35" t="s">
        <v>57</v>
      </c>
      <c r="B127" s="4">
        <v>20.279999999999998</v>
      </c>
      <c r="C127" s="29"/>
      <c r="D127" s="11"/>
      <c r="E127" s="11">
        <v>28.07085</v>
      </c>
      <c r="F127" s="39">
        <v>27.273799999999994</v>
      </c>
      <c r="G127" s="39">
        <v>20.279999999999998</v>
      </c>
    </row>
    <row r="129" spans="1:7" ht="60.75" thickBot="1">
      <c r="A129" s="5" t="s">
        <v>56</v>
      </c>
      <c r="B129">
        <f>B126</f>
        <v>52.47</v>
      </c>
    </row>
    <row r="130" spans="1:7">
      <c r="A130" s="16" t="s">
        <v>64</v>
      </c>
      <c r="B130" s="17">
        <f>AVERAGE(B78:B117)</f>
        <v>46.784750000000003</v>
      </c>
      <c r="C130" s="17"/>
    </row>
    <row r="131" spans="1:7">
      <c r="A131" s="16" t="s">
        <v>65</v>
      </c>
      <c r="B131" s="18">
        <f>AVERAGE(B83:B112)</f>
        <v>45.456333333333326</v>
      </c>
      <c r="C131" s="18"/>
    </row>
    <row r="132" spans="1:7">
      <c r="A132" s="16" t="s">
        <v>66</v>
      </c>
      <c r="B132" s="18">
        <f>AVERAGE(B89:B107)</f>
        <v>45.712105263157902</v>
      </c>
      <c r="C132" s="18"/>
    </row>
    <row r="133" spans="1:7" ht="15.75" thickBot="1"/>
    <row r="134" spans="1:7" ht="15.75" thickBot="1">
      <c r="A134" s="522" t="s">
        <v>0</v>
      </c>
      <c r="B134" s="467" t="s">
        <v>78</v>
      </c>
      <c r="C134" s="468"/>
      <c r="D134" s="469"/>
      <c r="E134" s="19" t="e">
        <f>(1-E189)^(1/3)-1</f>
        <v>#DIV/0!</v>
      </c>
      <c r="F134" s="19" t="e">
        <f>(1-F189)^(1/3)-1</f>
        <v>#DIV/0!</v>
      </c>
      <c r="G134" s="19"/>
    </row>
    <row r="135" spans="1:7" ht="72.75" thickBot="1">
      <c r="A135" s="523"/>
      <c r="B135" s="1" t="s">
        <v>4</v>
      </c>
      <c r="C135" s="254"/>
      <c r="D135" s="11" t="s">
        <v>80</v>
      </c>
      <c r="E135" s="11" t="s">
        <v>5</v>
      </c>
      <c r="F135" s="39" t="s">
        <v>5</v>
      </c>
      <c r="G135" s="39"/>
    </row>
    <row r="136" spans="1:7" ht="24.75" thickBot="1">
      <c r="A136" s="524"/>
      <c r="B136" s="1" t="s">
        <v>9</v>
      </c>
      <c r="C136" s="254"/>
      <c r="D136" s="11" t="s">
        <v>7</v>
      </c>
      <c r="E136" s="11" t="s">
        <v>7</v>
      </c>
      <c r="F136" s="39" t="s">
        <v>7</v>
      </c>
      <c r="G136" s="39"/>
    </row>
    <row r="137" spans="1:7" ht="15.75" thickBot="1">
      <c r="A137" s="50">
        <v>1</v>
      </c>
      <c r="B137" s="51">
        <v>2</v>
      </c>
      <c r="C137" s="51"/>
      <c r="D137" s="51">
        <v>3</v>
      </c>
      <c r="E137" s="51">
        <v>4</v>
      </c>
      <c r="F137" s="52">
        <v>5</v>
      </c>
      <c r="G137" s="52"/>
    </row>
    <row r="138" spans="1:7" ht="15.75" thickBot="1">
      <c r="A138" s="8" t="s">
        <v>10</v>
      </c>
      <c r="B138" s="24"/>
      <c r="C138" s="255">
        <v>0</v>
      </c>
      <c r="D138" s="14">
        <f t="shared" ref="D138:D186" si="2">IF(B138=0,0,IF(B138&lt;=E$192,0,B138-E$192)/B138)</f>
        <v>0</v>
      </c>
      <c r="E138" s="14"/>
      <c r="F138" s="38"/>
      <c r="G138" s="38"/>
    </row>
    <row r="139" spans="1:7" ht="15.75" thickBot="1">
      <c r="A139" s="8" t="s">
        <v>58</v>
      </c>
      <c r="B139" s="25"/>
      <c r="C139" s="30">
        <f>B138</f>
        <v>0</v>
      </c>
      <c r="D139" s="14">
        <f t="shared" si="2"/>
        <v>0</v>
      </c>
      <c r="E139" s="14"/>
      <c r="F139" s="38"/>
      <c r="G139" s="38"/>
    </row>
    <row r="140" spans="1:7" ht="15.75" thickBot="1">
      <c r="A140" s="8" t="s">
        <v>59</v>
      </c>
      <c r="B140" s="25"/>
      <c r="C140" s="30">
        <f t="shared" ref="C140:C188" si="3">B139</f>
        <v>0</v>
      </c>
      <c r="D140" s="14">
        <f t="shared" si="2"/>
        <v>0</v>
      </c>
      <c r="E140" s="14"/>
      <c r="F140" s="38"/>
      <c r="G140" s="38"/>
    </row>
    <row r="141" spans="1:7" ht="15.75" thickBot="1">
      <c r="A141" s="8" t="s">
        <v>60</v>
      </c>
      <c r="B141" s="25"/>
      <c r="C141" s="30">
        <f t="shared" si="3"/>
        <v>0</v>
      </c>
      <c r="D141" s="14">
        <f t="shared" si="2"/>
        <v>0</v>
      </c>
      <c r="E141" s="14"/>
      <c r="F141" s="38"/>
      <c r="G141" s="38"/>
    </row>
    <row r="142" spans="1:7" ht="15.75" thickBot="1">
      <c r="A142" s="8" t="s">
        <v>61</v>
      </c>
      <c r="B142" s="25"/>
      <c r="C142" s="30">
        <f t="shared" si="3"/>
        <v>0</v>
      </c>
      <c r="D142" s="14">
        <f t="shared" si="2"/>
        <v>0</v>
      </c>
      <c r="E142" s="14"/>
      <c r="F142" s="38"/>
      <c r="G142" s="38"/>
    </row>
    <row r="143" spans="1:7" ht="15.75" thickBot="1">
      <c r="A143" s="8" t="s">
        <v>62</v>
      </c>
      <c r="B143" s="25"/>
      <c r="C143" s="30">
        <f t="shared" si="3"/>
        <v>0</v>
      </c>
      <c r="D143" s="14">
        <f t="shared" si="2"/>
        <v>0</v>
      </c>
      <c r="E143" s="14"/>
      <c r="F143" s="38"/>
      <c r="G143" s="38"/>
    </row>
    <row r="144" spans="1:7" ht="15.75" thickBot="1">
      <c r="A144" s="8" t="s">
        <v>63</v>
      </c>
      <c r="B144" s="25"/>
      <c r="C144" s="30">
        <f t="shared" si="3"/>
        <v>0</v>
      </c>
      <c r="D144" s="14">
        <f t="shared" si="2"/>
        <v>0</v>
      </c>
      <c r="E144" s="14"/>
      <c r="F144" s="38"/>
      <c r="G144" s="38"/>
    </row>
    <row r="145" spans="1:7" ht="15.75" thickBot="1">
      <c r="A145" s="3" t="s">
        <v>11</v>
      </c>
      <c r="B145" s="25"/>
      <c r="C145" s="30">
        <f t="shared" si="3"/>
        <v>0</v>
      </c>
      <c r="D145" s="14">
        <f t="shared" si="2"/>
        <v>0</v>
      </c>
      <c r="E145" s="14"/>
      <c r="F145" s="38"/>
      <c r="G145" s="38"/>
    </row>
    <row r="146" spans="1:7" ht="15.75" thickBot="1">
      <c r="A146" s="3" t="s">
        <v>12</v>
      </c>
      <c r="B146" s="25"/>
      <c r="C146" s="30">
        <f t="shared" si="3"/>
        <v>0</v>
      </c>
      <c r="D146" s="14">
        <f t="shared" si="2"/>
        <v>0</v>
      </c>
      <c r="E146" s="14"/>
      <c r="F146" s="38"/>
      <c r="G146" s="38"/>
    </row>
    <row r="147" spans="1:7" ht="15.75" thickBot="1">
      <c r="A147" s="3" t="s">
        <v>13</v>
      </c>
      <c r="B147" s="25"/>
      <c r="C147" s="30">
        <f t="shared" si="3"/>
        <v>0</v>
      </c>
      <c r="D147" s="14">
        <f t="shared" si="2"/>
        <v>0</v>
      </c>
      <c r="E147" s="14"/>
      <c r="F147" s="38"/>
      <c r="G147" s="38"/>
    </row>
    <row r="148" spans="1:7" ht="15.75" thickBot="1">
      <c r="A148" s="3" t="s">
        <v>14</v>
      </c>
      <c r="B148" s="25"/>
      <c r="C148" s="30">
        <f t="shared" si="3"/>
        <v>0</v>
      </c>
      <c r="D148" s="14">
        <f t="shared" si="2"/>
        <v>0</v>
      </c>
      <c r="E148" s="14"/>
      <c r="F148" s="38"/>
      <c r="G148" s="38"/>
    </row>
    <row r="149" spans="1:7" ht="15.75" thickBot="1">
      <c r="A149" s="3" t="s">
        <v>15</v>
      </c>
      <c r="B149" s="25"/>
      <c r="C149" s="30">
        <f t="shared" si="3"/>
        <v>0</v>
      </c>
      <c r="D149" s="14">
        <f t="shared" si="2"/>
        <v>0</v>
      </c>
      <c r="E149" s="14"/>
      <c r="F149" s="38"/>
      <c r="G149" s="38"/>
    </row>
    <row r="150" spans="1:7" ht="15.75" thickBot="1">
      <c r="A150" s="3" t="s">
        <v>16</v>
      </c>
      <c r="B150" s="25"/>
      <c r="C150" s="30">
        <f t="shared" si="3"/>
        <v>0</v>
      </c>
      <c r="D150" s="14">
        <f t="shared" si="2"/>
        <v>0</v>
      </c>
      <c r="E150" s="14"/>
      <c r="F150" s="38"/>
      <c r="G150" s="38"/>
    </row>
    <row r="151" spans="1:7" ht="15.75" thickBot="1">
      <c r="A151" s="3" t="s">
        <v>17</v>
      </c>
      <c r="B151" s="25"/>
      <c r="C151" s="30">
        <f t="shared" si="3"/>
        <v>0</v>
      </c>
      <c r="D151" s="14">
        <f t="shared" si="2"/>
        <v>0</v>
      </c>
      <c r="E151" s="14"/>
      <c r="F151" s="38"/>
      <c r="G151" s="38"/>
    </row>
    <row r="152" spans="1:7" ht="15.75" thickBot="1">
      <c r="A152" s="3" t="s">
        <v>18</v>
      </c>
      <c r="B152" s="25"/>
      <c r="C152" s="30">
        <f t="shared" si="3"/>
        <v>0</v>
      </c>
      <c r="D152" s="14">
        <f t="shared" si="2"/>
        <v>0</v>
      </c>
      <c r="E152" s="14"/>
      <c r="F152" s="38"/>
      <c r="G152" s="38"/>
    </row>
    <row r="153" spans="1:7" ht="15.75" thickBot="1">
      <c r="A153" s="3" t="s">
        <v>19</v>
      </c>
      <c r="B153" s="25"/>
      <c r="C153" s="30">
        <f t="shared" si="3"/>
        <v>0</v>
      </c>
      <c r="D153" s="14">
        <f t="shared" si="2"/>
        <v>0</v>
      </c>
      <c r="E153" s="14"/>
      <c r="F153" s="38"/>
      <c r="G153" s="38"/>
    </row>
    <row r="154" spans="1:7" ht="15.75" thickBot="1">
      <c r="A154" s="3" t="s">
        <v>20</v>
      </c>
      <c r="B154" s="25"/>
      <c r="C154" s="30">
        <f t="shared" si="3"/>
        <v>0</v>
      </c>
      <c r="D154" s="14">
        <f t="shared" si="2"/>
        <v>0</v>
      </c>
      <c r="E154" s="14"/>
      <c r="F154" s="38"/>
      <c r="G154" s="38"/>
    </row>
    <row r="155" spans="1:7" ht="15.75" thickBot="1">
      <c r="A155" s="3" t="s">
        <v>21</v>
      </c>
      <c r="B155" s="25"/>
      <c r="C155" s="30">
        <f t="shared" si="3"/>
        <v>0</v>
      </c>
      <c r="D155" s="14">
        <f t="shared" si="2"/>
        <v>0</v>
      </c>
      <c r="E155" s="14"/>
      <c r="F155" s="38"/>
      <c r="G155" s="38"/>
    </row>
    <row r="156" spans="1:7" ht="15.75" thickBot="1">
      <c r="A156" s="3" t="s">
        <v>22</v>
      </c>
      <c r="B156" s="25"/>
      <c r="C156" s="30">
        <f t="shared" si="3"/>
        <v>0</v>
      </c>
      <c r="D156" s="14">
        <f t="shared" si="2"/>
        <v>0</v>
      </c>
      <c r="E156" s="14"/>
      <c r="F156" s="38"/>
      <c r="G156" s="38"/>
    </row>
    <row r="157" spans="1:7" ht="15.75" thickBot="1">
      <c r="A157" s="3" t="s">
        <v>23</v>
      </c>
      <c r="B157" s="25"/>
      <c r="C157" s="30">
        <f t="shared" si="3"/>
        <v>0</v>
      </c>
      <c r="D157" s="14">
        <f t="shared" si="2"/>
        <v>0</v>
      </c>
      <c r="E157" s="14"/>
      <c r="F157" s="38"/>
      <c r="G157" s="38"/>
    </row>
    <row r="158" spans="1:7" ht="15.75" thickBot="1">
      <c r="A158" s="3" t="s">
        <v>24</v>
      </c>
      <c r="B158" s="25"/>
      <c r="C158" s="30">
        <f t="shared" si="3"/>
        <v>0</v>
      </c>
      <c r="D158" s="14">
        <f t="shared" si="2"/>
        <v>0</v>
      </c>
      <c r="E158" s="14"/>
      <c r="F158" s="38"/>
      <c r="G158" s="38"/>
    </row>
    <row r="159" spans="1:7" ht="15.75" thickBot="1">
      <c r="A159" s="3" t="s">
        <v>25</v>
      </c>
      <c r="B159" s="25"/>
      <c r="C159" s="30">
        <f t="shared" si="3"/>
        <v>0</v>
      </c>
      <c r="D159" s="14">
        <f t="shared" si="2"/>
        <v>0</v>
      </c>
      <c r="E159" s="14"/>
      <c r="F159" s="38"/>
      <c r="G159" s="38"/>
    </row>
    <row r="160" spans="1:7" ht="15.75" thickBot="1">
      <c r="A160" s="3" t="s">
        <v>26</v>
      </c>
      <c r="B160" s="25"/>
      <c r="C160" s="30">
        <f t="shared" si="3"/>
        <v>0</v>
      </c>
      <c r="D160" s="14">
        <f t="shared" si="2"/>
        <v>0</v>
      </c>
      <c r="E160" s="14"/>
      <c r="F160" s="38"/>
      <c r="G160" s="38"/>
    </row>
    <row r="161" spans="1:7" ht="15.75" thickBot="1">
      <c r="A161" s="3" t="s">
        <v>27</v>
      </c>
      <c r="B161" s="25"/>
      <c r="C161" s="30">
        <f t="shared" si="3"/>
        <v>0</v>
      </c>
      <c r="D161" s="14">
        <f t="shared" si="2"/>
        <v>0</v>
      </c>
      <c r="E161" s="14"/>
      <c r="F161" s="38"/>
      <c r="G161" s="38"/>
    </row>
    <row r="162" spans="1:7" ht="15.75" thickBot="1">
      <c r="A162" s="3" t="s">
        <v>28</v>
      </c>
      <c r="B162" s="25"/>
      <c r="C162" s="30">
        <f t="shared" si="3"/>
        <v>0</v>
      </c>
      <c r="D162" s="14">
        <f t="shared" si="2"/>
        <v>0</v>
      </c>
      <c r="E162" s="14"/>
      <c r="F162" s="38"/>
      <c r="G162" s="38"/>
    </row>
    <row r="163" spans="1:7" ht="15.75" thickBot="1">
      <c r="A163" s="3" t="s">
        <v>29</v>
      </c>
      <c r="B163" s="25"/>
      <c r="C163" s="30">
        <f t="shared" si="3"/>
        <v>0</v>
      </c>
      <c r="D163" s="14">
        <f t="shared" si="2"/>
        <v>0</v>
      </c>
      <c r="E163" s="14"/>
      <c r="F163" s="38"/>
      <c r="G163" s="38"/>
    </row>
    <row r="164" spans="1:7" ht="15.75" thickBot="1">
      <c r="A164" s="3" t="s">
        <v>30</v>
      </c>
      <c r="B164" s="25"/>
      <c r="C164" s="30">
        <f t="shared" si="3"/>
        <v>0</v>
      </c>
      <c r="D164" s="14">
        <f t="shared" si="2"/>
        <v>0</v>
      </c>
      <c r="E164" s="14"/>
      <c r="F164" s="38"/>
      <c r="G164" s="38"/>
    </row>
    <row r="165" spans="1:7" ht="15.75" thickBot="1">
      <c r="A165" s="3" t="s">
        <v>31</v>
      </c>
      <c r="B165" s="25"/>
      <c r="C165" s="30">
        <f t="shared" si="3"/>
        <v>0</v>
      </c>
      <c r="D165" s="14">
        <f t="shared" si="2"/>
        <v>0</v>
      </c>
      <c r="E165" s="14"/>
      <c r="F165" s="38"/>
      <c r="G165" s="38"/>
    </row>
    <row r="166" spans="1:7" ht="15.75" thickBot="1">
      <c r="A166" s="3" t="s">
        <v>32</v>
      </c>
      <c r="B166" s="25"/>
      <c r="C166" s="30">
        <f t="shared" si="3"/>
        <v>0</v>
      </c>
      <c r="D166" s="14">
        <f t="shared" si="2"/>
        <v>0</v>
      </c>
      <c r="E166" s="14"/>
      <c r="F166" s="38"/>
      <c r="G166" s="38"/>
    </row>
    <row r="167" spans="1:7" ht="15.75" thickBot="1">
      <c r="A167" s="3" t="s">
        <v>33</v>
      </c>
      <c r="B167" s="25"/>
      <c r="C167" s="30">
        <f t="shared" si="3"/>
        <v>0</v>
      </c>
      <c r="D167" s="14">
        <f t="shared" si="2"/>
        <v>0</v>
      </c>
      <c r="E167" s="14"/>
      <c r="F167" s="38"/>
      <c r="G167" s="38"/>
    </row>
    <row r="168" spans="1:7" ht="15.75" thickBot="1">
      <c r="A168" s="3" t="s">
        <v>34</v>
      </c>
      <c r="B168" s="25"/>
      <c r="C168" s="30">
        <f t="shared" si="3"/>
        <v>0</v>
      </c>
      <c r="D168" s="14">
        <f t="shared" si="2"/>
        <v>0</v>
      </c>
      <c r="E168" s="14"/>
      <c r="F168" s="38"/>
      <c r="G168" s="38"/>
    </row>
    <row r="169" spans="1:7" ht="15.75" thickBot="1">
      <c r="A169" s="3" t="s">
        <v>35</v>
      </c>
      <c r="B169" s="25"/>
      <c r="C169" s="30">
        <f t="shared" si="3"/>
        <v>0</v>
      </c>
      <c r="D169" s="14">
        <f t="shared" si="2"/>
        <v>0</v>
      </c>
      <c r="E169" s="14"/>
      <c r="F169" s="38"/>
      <c r="G169" s="38"/>
    </row>
    <row r="170" spans="1:7" ht="15.75" thickBot="1">
      <c r="A170" s="3" t="s">
        <v>36</v>
      </c>
      <c r="B170" s="25"/>
      <c r="C170" s="30">
        <f t="shared" si="3"/>
        <v>0</v>
      </c>
      <c r="D170" s="14">
        <f t="shared" si="2"/>
        <v>0</v>
      </c>
      <c r="E170" s="14"/>
      <c r="F170" s="38"/>
      <c r="G170" s="38"/>
    </row>
    <row r="171" spans="1:7" ht="15.75" thickBot="1">
      <c r="A171" s="3" t="s">
        <v>37</v>
      </c>
      <c r="B171" s="25"/>
      <c r="C171" s="30">
        <f t="shared" si="3"/>
        <v>0</v>
      </c>
      <c r="D171" s="14">
        <f t="shared" si="2"/>
        <v>0</v>
      </c>
      <c r="E171" s="14"/>
      <c r="F171" s="38"/>
      <c r="G171" s="38"/>
    </row>
    <row r="172" spans="1:7" ht="15.75" thickBot="1">
      <c r="A172" s="3" t="s">
        <v>38</v>
      </c>
      <c r="B172" s="25"/>
      <c r="C172" s="30">
        <f t="shared" si="3"/>
        <v>0</v>
      </c>
      <c r="D172" s="14">
        <f t="shared" si="2"/>
        <v>0</v>
      </c>
      <c r="E172" s="14"/>
      <c r="F172" s="38"/>
      <c r="G172" s="38"/>
    </row>
    <row r="173" spans="1:7" ht="15.75" thickBot="1">
      <c r="A173" s="3" t="s">
        <v>39</v>
      </c>
      <c r="B173" s="25"/>
      <c r="C173" s="30">
        <f t="shared" si="3"/>
        <v>0</v>
      </c>
      <c r="D173" s="14">
        <f t="shared" si="2"/>
        <v>0</v>
      </c>
      <c r="E173" s="14"/>
      <c r="F173" s="38"/>
      <c r="G173" s="38"/>
    </row>
    <row r="174" spans="1:7" ht="15.75" thickBot="1">
      <c r="A174" s="3" t="s">
        <v>40</v>
      </c>
      <c r="B174" s="25"/>
      <c r="C174" s="30">
        <f t="shared" si="3"/>
        <v>0</v>
      </c>
      <c r="D174" s="14">
        <f t="shared" si="2"/>
        <v>0</v>
      </c>
      <c r="E174" s="14"/>
      <c r="F174" s="38"/>
      <c r="G174" s="38"/>
    </row>
    <row r="175" spans="1:7" ht="15.75" thickBot="1">
      <c r="A175" s="3" t="s">
        <v>41</v>
      </c>
      <c r="B175" s="25"/>
      <c r="C175" s="30">
        <f t="shared" si="3"/>
        <v>0</v>
      </c>
      <c r="D175" s="14">
        <f t="shared" si="2"/>
        <v>0</v>
      </c>
      <c r="E175" s="14"/>
      <c r="F175" s="38"/>
      <c r="G175" s="38"/>
    </row>
    <row r="176" spans="1:7" ht="15.75" thickBot="1">
      <c r="A176" s="3" t="s">
        <v>42</v>
      </c>
      <c r="B176" s="25"/>
      <c r="C176" s="30">
        <f t="shared" si="3"/>
        <v>0</v>
      </c>
      <c r="D176" s="14">
        <f t="shared" si="2"/>
        <v>0</v>
      </c>
      <c r="E176" s="14"/>
      <c r="F176" s="38"/>
      <c r="G176" s="38"/>
    </row>
    <row r="177" spans="1:7" ht="15.75" thickBot="1">
      <c r="A177" s="3" t="s">
        <v>43</v>
      </c>
      <c r="B177" s="25"/>
      <c r="C177" s="30">
        <f t="shared" si="3"/>
        <v>0</v>
      </c>
      <c r="D177" s="14">
        <f t="shared" si="2"/>
        <v>0</v>
      </c>
      <c r="E177" s="14"/>
      <c r="F177" s="38"/>
      <c r="G177" s="38"/>
    </row>
    <row r="178" spans="1:7" ht="15.75" thickBot="1">
      <c r="A178" s="3" t="s">
        <v>44</v>
      </c>
      <c r="B178" s="25"/>
      <c r="C178" s="30">
        <f t="shared" si="3"/>
        <v>0</v>
      </c>
      <c r="D178" s="14">
        <f t="shared" si="2"/>
        <v>0</v>
      </c>
      <c r="E178" s="14"/>
      <c r="F178" s="38"/>
      <c r="G178" s="38"/>
    </row>
    <row r="179" spans="1:7" ht="15.75" thickBot="1">
      <c r="A179" s="3" t="s">
        <v>45</v>
      </c>
      <c r="B179" s="25"/>
      <c r="C179" s="30">
        <f t="shared" si="3"/>
        <v>0</v>
      </c>
      <c r="D179" s="14">
        <f t="shared" si="2"/>
        <v>0</v>
      </c>
      <c r="E179" s="14"/>
      <c r="F179" s="38"/>
      <c r="G179" s="38"/>
    </row>
    <row r="180" spans="1:7" ht="15.75" thickBot="1">
      <c r="A180" s="3" t="s">
        <v>46</v>
      </c>
      <c r="B180" s="25"/>
      <c r="C180" s="30">
        <f t="shared" si="3"/>
        <v>0</v>
      </c>
      <c r="D180" s="14">
        <f t="shared" si="2"/>
        <v>0</v>
      </c>
      <c r="E180" s="14"/>
      <c r="F180" s="38"/>
      <c r="G180" s="38"/>
    </row>
    <row r="181" spans="1:7" ht="15.75" thickBot="1">
      <c r="A181" s="3" t="s">
        <v>47</v>
      </c>
      <c r="B181" s="25"/>
      <c r="C181" s="30">
        <f t="shared" si="3"/>
        <v>0</v>
      </c>
      <c r="D181" s="14">
        <f t="shared" si="2"/>
        <v>0</v>
      </c>
      <c r="E181" s="14"/>
      <c r="F181" s="38"/>
      <c r="G181" s="38"/>
    </row>
    <row r="182" spans="1:7" ht="15.75" thickBot="1">
      <c r="A182" s="3" t="s">
        <v>48</v>
      </c>
      <c r="B182" s="25"/>
      <c r="C182" s="30">
        <f t="shared" si="3"/>
        <v>0</v>
      </c>
      <c r="D182" s="14">
        <f t="shared" si="2"/>
        <v>0</v>
      </c>
      <c r="E182" s="14"/>
      <c r="F182" s="38"/>
      <c r="G182" s="38"/>
    </row>
    <row r="183" spans="1:7" ht="15.75" thickBot="1">
      <c r="A183" s="3" t="s">
        <v>49</v>
      </c>
      <c r="B183" s="25"/>
      <c r="C183" s="30">
        <f t="shared" si="3"/>
        <v>0</v>
      </c>
      <c r="D183" s="14">
        <f t="shared" si="2"/>
        <v>0</v>
      </c>
      <c r="E183" s="14"/>
      <c r="F183" s="38"/>
      <c r="G183" s="38"/>
    </row>
    <row r="184" spans="1:7" ht="15.75" thickBot="1">
      <c r="A184" s="3" t="s">
        <v>50</v>
      </c>
      <c r="B184" s="25"/>
      <c r="C184" s="30">
        <f t="shared" si="3"/>
        <v>0</v>
      </c>
      <c r="D184" s="14">
        <f t="shared" si="2"/>
        <v>0</v>
      </c>
      <c r="E184" s="14"/>
      <c r="F184" s="38"/>
      <c r="G184" s="38"/>
    </row>
    <row r="185" spans="1:7" ht="15.75" thickBot="1">
      <c r="A185" s="3" t="s">
        <v>51</v>
      </c>
      <c r="B185" s="25"/>
      <c r="C185" s="30">
        <f t="shared" si="3"/>
        <v>0</v>
      </c>
      <c r="D185" s="14">
        <f t="shared" si="2"/>
        <v>0</v>
      </c>
      <c r="E185" s="14"/>
      <c r="F185" s="38"/>
      <c r="G185" s="38"/>
    </row>
    <row r="186" spans="1:7" ht="15.75" thickBot="1">
      <c r="A186" s="3" t="s">
        <v>52</v>
      </c>
      <c r="B186" s="25"/>
      <c r="C186" s="30">
        <f t="shared" si="3"/>
        <v>0</v>
      </c>
      <c r="D186" s="14">
        <f t="shared" si="2"/>
        <v>0</v>
      </c>
      <c r="E186" s="14"/>
      <c r="F186" s="38"/>
      <c r="G186" s="38"/>
    </row>
    <row r="187" spans="1:7" ht="15.75" thickBot="1">
      <c r="A187" s="3" t="s">
        <v>53</v>
      </c>
      <c r="B187" s="201"/>
      <c r="C187" s="30">
        <f>B186</f>
        <v>0</v>
      </c>
      <c r="D187" s="14">
        <f>IF(B187=0,0,IF(B187&lt;=E$192,0,B187-E$192)/B187)</f>
        <v>0</v>
      </c>
      <c r="E187" s="14"/>
      <c r="F187" s="38"/>
      <c r="G187" s="38"/>
    </row>
    <row r="188" spans="1:7" ht="15.75" thickBot="1">
      <c r="A188" s="3" t="s">
        <v>53</v>
      </c>
      <c r="B188" s="3"/>
      <c r="C188" s="30">
        <f t="shared" si="3"/>
        <v>0</v>
      </c>
      <c r="D188" s="22"/>
      <c r="E188" s="1"/>
      <c r="F188" s="37"/>
      <c r="G188" s="39"/>
    </row>
    <row r="189" spans="1:7" ht="15.75" thickBot="1">
      <c r="A189" s="3"/>
      <c r="B189" s="3"/>
      <c r="C189" s="4"/>
      <c r="D189" s="22"/>
      <c r="E189" s="15" t="e">
        <f>AVERAGE(E138:E187)</f>
        <v>#DIV/0!</v>
      </c>
      <c r="F189" s="26" t="e">
        <f>AVERAGE(F138:F187)</f>
        <v>#DIV/0!</v>
      </c>
      <c r="G189" s="26"/>
    </row>
    <row r="190" spans="1:7" ht="60.75" thickBot="1">
      <c r="A190" s="5" t="s">
        <v>55</v>
      </c>
      <c r="B190" s="202"/>
      <c r="C190" s="4"/>
      <c r="D190" s="22"/>
      <c r="E190" s="12" t="e">
        <f>B195</f>
        <v>#DIV/0!</v>
      </c>
      <c r="F190" s="45" t="e">
        <f>B196</f>
        <v>#DIV/0!</v>
      </c>
      <c r="G190" s="46"/>
    </row>
    <row r="191" spans="1:7" ht="60.75" thickBot="1">
      <c r="A191" s="5" t="s">
        <v>56</v>
      </c>
      <c r="B191" s="201"/>
      <c r="C191" s="4"/>
      <c r="D191" s="1"/>
      <c r="E191" s="1"/>
      <c r="F191" s="37"/>
      <c r="G191" s="37"/>
    </row>
    <row r="192" spans="1:7" ht="97.5" thickBot="1">
      <c r="A192" s="6" t="s">
        <v>57</v>
      </c>
      <c r="B192" s="4"/>
      <c r="C192" s="4"/>
      <c r="D192" s="1"/>
      <c r="E192" s="1" t="e">
        <f>0.6*E190</f>
        <v>#DIV/0!</v>
      </c>
      <c r="F192" s="37" t="e">
        <f>0.6*F190</f>
        <v>#DIV/0!</v>
      </c>
      <c r="G192" s="37"/>
    </row>
    <row r="195" spans="1:7">
      <c r="A195" s="16" t="s">
        <v>64</v>
      </c>
      <c r="B195" s="17" t="e">
        <f>AVERAGE(B143:B182)</f>
        <v>#DIV/0!</v>
      </c>
      <c r="C195" s="17"/>
    </row>
    <row r="196" spans="1:7">
      <c r="A196" s="16" t="s">
        <v>65</v>
      </c>
      <c r="B196" s="18" t="e">
        <f>AVERAGE(B148:B177)</f>
        <v>#DIV/0!</v>
      </c>
      <c r="C196" s="18"/>
    </row>
    <row r="197" spans="1:7">
      <c r="A197" s="16" t="s">
        <v>66</v>
      </c>
      <c r="B197" s="18" t="e">
        <f>AVERAGE(B154:B172)</f>
        <v>#DIV/0!</v>
      </c>
      <c r="C197" s="18"/>
    </row>
    <row r="200" spans="1:7" ht="15" customHeight="1">
      <c r="A200" s="473" t="s">
        <v>0</v>
      </c>
      <c r="B200" s="473" t="s">
        <v>3</v>
      </c>
      <c r="C200" s="473"/>
      <c r="D200" s="473"/>
      <c r="E200" s="40">
        <f>(1-E255)^(1/3)-1</f>
        <v>-3.3067440706019635E-2</v>
      </c>
      <c r="F200" s="40">
        <f>(1-F255)^(1/3)-1</f>
        <v>-4.1212873651707449E-2</v>
      </c>
      <c r="G200" s="40"/>
    </row>
    <row r="201" spans="1:7" ht="72">
      <c r="A201" s="473"/>
      <c r="B201" s="11" t="s">
        <v>4</v>
      </c>
      <c r="C201" s="11"/>
      <c r="D201" s="11" t="s">
        <v>80</v>
      </c>
      <c r="E201" s="11" t="s">
        <v>5</v>
      </c>
      <c r="F201" s="39" t="s">
        <v>5</v>
      </c>
      <c r="G201" s="39"/>
    </row>
    <row r="202" spans="1:7" ht="24">
      <c r="A202" s="473"/>
      <c r="B202" s="11" t="s">
        <v>9</v>
      </c>
      <c r="C202" s="11"/>
      <c r="D202" s="11" t="s">
        <v>7</v>
      </c>
      <c r="E202" s="55" t="s">
        <v>65</v>
      </c>
      <c r="F202" s="39"/>
      <c r="G202" s="56"/>
    </row>
    <row r="203" spans="1:7" ht="15.75" thickBot="1">
      <c r="A203" s="50">
        <v>1</v>
      </c>
      <c r="B203" s="51">
        <v>2</v>
      </c>
      <c r="C203" s="51"/>
      <c r="D203" s="51">
        <v>3</v>
      </c>
      <c r="E203" s="51">
        <v>4</v>
      </c>
      <c r="F203" s="52">
        <v>5</v>
      </c>
      <c r="G203" s="52"/>
    </row>
    <row r="204" spans="1:7" ht="15.75" thickBot="1">
      <c r="A204" s="27" t="s">
        <v>10</v>
      </c>
      <c r="B204" s="24">
        <v>1E-3</v>
      </c>
      <c r="C204" s="163">
        <v>0</v>
      </c>
      <c r="D204" s="14">
        <v>0</v>
      </c>
      <c r="E204" s="14">
        <v>0</v>
      </c>
      <c r="F204" s="38">
        <v>0</v>
      </c>
      <c r="G204" s="38">
        <v>0</v>
      </c>
    </row>
    <row r="205" spans="1:7" ht="15.75" thickBot="1">
      <c r="A205" s="27" t="s">
        <v>58</v>
      </c>
      <c r="B205" s="24">
        <v>1E-3</v>
      </c>
      <c r="C205" s="30">
        <f>B204</f>
        <v>1E-3</v>
      </c>
      <c r="D205" s="14">
        <v>0</v>
      </c>
      <c r="E205" s="14">
        <v>0</v>
      </c>
      <c r="F205" s="38">
        <v>0</v>
      </c>
      <c r="G205" s="38">
        <v>0</v>
      </c>
    </row>
    <row r="206" spans="1:7" ht="15.75" thickBot="1">
      <c r="A206" s="27" t="s">
        <v>59</v>
      </c>
      <c r="B206" s="24">
        <v>1E-3</v>
      </c>
      <c r="C206" s="30">
        <f t="shared" ref="C206:C254" si="4">B205</f>
        <v>1E-3</v>
      </c>
      <c r="D206" s="14">
        <v>0</v>
      </c>
      <c r="E206" s="14">
        <v>0</v>
      </c>
      <c r="F206" s="38">
        <v>0</v>
      </c>
      <c r="G206" s="38">
        <v>0</v>
      </c>
    </row>
    <row r="207" spans="1:7" ht="15.75" thickBot="1">
      <c r="A207" s="27" t="s">
        <v>60</v>
      </c>
      <c r="B207" s="24">
        <v>2E-3</v>
      </c>
      <c r="C207" s="30">
        <f t="shared" si="4"/>
        <v>1E-3</v>
      </c>
      <c r="D207" s="14">
        <v>0</v>
      </c>
      <c r="E207" s="14">
        <v>0</v>
      </c>
      <c r="F207" s="38">
        <v>0</v>
      </c>
      <c r="G207" s="38">
        <v>0</v>
      </c>
    </row>
    <row r="208" spans="1:7" ht="15.75" thickBot="1">
      <c r="A208" s="27" t="s">
        <v>61</v>
      </c>
      <c r="B208" s="24">
        <v>2E-3</v>
      </c>
      <c r="C208" s="30">
        <f t="shared" si="4"/>
        <v>2E-3</v>
      </c>
      <c r="D208" s="14">
        <v>0</v>
      </c>
      <c r="E208" s="14">
        <v>0</v>
      </c>
      <c r="F208" s="38">
        <v>0</v>
      </c>
      <c r="G208" s="38">
        <v>0</v>
      </c>
    </row>
    <row r="209" spans="1:7" ht="15.75" thickBot="1">
      <c r="A209" s="27" t="s">
        <v>62</v>
      </c>
      <c r="B209" s="24">
        <v>2E-3</v>
      </c>
      <c r="C209" s="30">
        <f t="shared" si="4"/>
        <v>2E-3</v>
      </c>
      <c r="D209" s="14">
        <v>0</v>
      </c>
      <c r="E209" s="14">
        <v>0</v>
      </c>
      <c r="F209" s="38">
        <v>0</v>
      </c>
      <c r="G209" s="38">
        <v>0</v>
      </c>
    </row>
    <row r="210" spans="1:7" ht="15.75" thickBot="1">
      <c r="A210" s="27" t="s">
        <v>63</v>
      </c>
      <c r="B210" s="24">
        <v>3.0000000000000001E-3</v>
      </c>
      <c r="C210" s="30">
        <f t="shared" si="4"/>
        <v>2E-3</v>
      </c>
      <c r="D210" s="14">
        <v>0</v>
      </c>
      <c r="E210" s="14">
        <v>0</v>
      </c>
      <c r="F210" s="38">
        <v>0</v>
      </c>
      <c r="G210" s="38">
        <v>0</v>
      </c>
    </row>
    <row r="211" spans="1:7" ht="15.75" thickBot="1">
      <c r="A211" s="29" t="s">
        <v>11</v>
      </c>
      <c r="B211" s="24">
        <v>4.0000000000000001E-3</v>
      </c>
      <c r="C211" s="30">
        <f t="shared" si="4"/>
        <v>3.0000000000000001E-3</v>
      </c>
      <c r="D211" s="14">
        <v>0</v>
      </c>
      <c r="E211" s="14">
        <v>0</v>
      </c>
      <c r="F211" s="38">
        <v>0</v>
      </c>
      <c r="G211" s="38">
        <v>0</v>
      </c>
    </row>
    <row r="212" spans="1:7" ht="15.75" thickBot="1">
      <c r="A212" s="29" t="s">
        <v>12</v>
      </c>
      <c r="B212" s="24">
        <v>6.0000000000000001E-3</v>
      </c>
      <c r="C212" s="30">
        <f t="shared" si="4"/>
        <v>4.0000000000000001E-3</v>
      </c>
      <c r="D212" s="14">
        <v>0</v>
      </c>
      <c r="E212" s="14">
        <v>0</v>
      </c>
      <c r="F212" s="38">
        <v>0</v>
      </c>
      <c r="G212" s="38">
        <v>0</v>
      </c>
    </row>
    <row r="213" spans="1:7" ht="15.75" thickBot="1">
      <c r="A213" s="29" t="s">
        <v>13</v>
      </c>
      <c r="B213" s="24">
        <v>8.0000000000000002E-3</v>
      </c>
      <c r="C213" s="30">
        <f t="shared" si="4"/>
        <v>6.0000000000000001E-3</v>
      </c>
      <c r="D213" s="14">
        <v>0</v>
      </c>
      <c r="E213" s="14">
        <v>0</v>
      </c>
      <c r="F213" s="38">
        <v>0</v>
      </c>
      <c r="G213" s="38">
        <v>0</v>
      </c>
    </row>
    <row r="214" spans="1:7" ht="15.75" thickBot="1">
      <c r="A214" s="29" t="s">
        <v>14</v>
      </c>
      <c r="B214" s="24">
        <v>0.01</v>
      </c>
      <c r="C214" s="30">
        <f t="shared" si="4"/>
        <v>8.0000000000000002E-3</v>
      </c>
      <c r="D214" s="14">
        <v>0</v>
      </c>
      <c r="E214" s="14">
        <v>0</v>
      </c>
      <c r="F214" s="38">
        <v>0</v>
      </c>
      <c r="G214" s="38">
        <v>0</v>
      </c>
    </row>
    <row r="215" spans="1:7" ht="15.75" thickBot="1">
      <c r="A215" s="29" t="s">
        <v>15</v>
      </c>
      <c r="B215" s="24">
        <v>1.4E-2</v>
      </c>
      <c r="C215" s="30">
        <f t="shared" si="4"/>
        <v>0.01</v>
      </c>
      <c r="D215" s="14">
        <v>0</v>
      </c>
      <c r="E215" s="14">
        <v>0</v>
      </c>
      <c r="F215" s="38">
        <v>0</v>
      </c>
      <c r="G215" s="38">
        <v>0</v>
      </c>
    </row>
    <row r="216" spans="1:7" ht="15.75" thickBot="1">
      <c r="A216" s="29" t="s">
        <v>16</v>
      </c>
      <c r="B216" s="25">
        <v>2.8000000000000001E-2</v>
      </c>
      <c r="C216" s="30">
        <f t="shared" si="4"/>
        <v>1.4E-2</v>
      </c>
      <c r="D216" s="14">
        <v>0</v>
      </c>
      <c r="E216" s="14">
        <v>0</v>
      </c>
      <c r="F216" s="38">
        <v>0</v>
      </c>
      <c r="G216" s="38">
        <v>0</v>
      </c>
    </row>
    <row r="217" spans="1:7" ht="15.75" thickBot="1">
      <c r="A217" s="29" t="s">
        <v>17</v>
      </c>
      <c r="B217" s="25">
        <v>6.6000000000000003E-2</v>
      </c>
      <c r="C217" s="30">
        <f t="shared" si="4"/>
        <v>2.8000000000000001E-2</v>
      </c>
      <c r="D217" s="14">
        <v>0</v>
      </c>
      <c r="E217" s="14">
        <v>0</v>
      </c>
      <c r="F217" s="38">
        <v>0</v>
      </c>
      <c r="G217" s="38">
        <v>0</v>
      </c>
    </row>
    <row r="218" spans="1:7" ht="15.75" thickBot="1">
      <c r="A218" s="29" t="s">
        <v>18</v>
      </c>
      <c r="B218" s="25">
        <v>8.8999999999999996E-2</v>
      </c>
      <c r="C218" s="30">
        <f t="shared" si="4"/>
        <v>6.6000000000000003E-2</v>
      </c>
      <c r="D218" s="14">
        <v>0</v>
      </c>
      <c r="E218" s="14">
        <v>0</v>
      </c>
      <c r="F218" s="38">
        <v>0</v>
      </c>
      <c r="G218" s="38">
        <v>0</v>
      </c>
    </row>
    <row r="219" spans="1:7" ht="15.75" thickBot="1">
      <c r="A219" s="29" t="s">
        <v>19</v>
      </c>
      <c r="B219" s="25">
        <v>0.14899999999999999</v>
      </c>
      <c r="C219" s="30">
        <f t="shared" si="4"/>
        <v>8.8999999999999996E-2</v>
      </c>
      <c r="D219" s="14">
        <v>0</v>
      </c>
      <c r="E219" s="14">
        <v>0</v>
      </c>
      <c r="F219" s="38">
        <v>0</v>
      </c>
      <c r="G219" s="38">
        <v>0</v>
      </c>
    </row>
    <row r="220" spans="1:7" ht="15.75" thickBot="1">
      <c r="A220" s="29" t="s">
        <v>20</v>
      </c>
      <c r="B220" s="25">
        <v>0.222</v>
      </c>
      <c r="C220" s="30">
        <f t="shared" si="4"/>
        <v>0.14899999999999999</v>
      </c>
      <c r="D220" s="14">
        <v>0</v>
      </c>
      <c r="E220" s="14">
        <v>0</v>
      </c>
      <c r="F220" s="38">
        <v>0</v>
      </c>
      <c r="G220" s="38">
        <v>0</v>
      </c>
    </row>
    <row r="221" spans="1:7" ht="15.75" thickBot="1">
      <c r="A221" s="29" t="s">
        <v>21</v>
      </c>
      <c r="B221" s="25">
        <v>0.29499999999999998</v>
      </c>
      <c r="C221" s="30">
        <f t="shared" si="4"/>
        <v>0.222</v>
      </c>
      <c r="D221" s="14">
        <v>0</v>
      </c>
      <c r="E221" s="14">
        <v>0</v>
      </c>
      <c r="F221" s="38">
        <v>0</v>
      </c>
      <c r="G221" s="38">
        <v>0</v>
      </c>
    </row>
    <row r="222" spans="1:7" ht="15.75" thickBot="1">
      <c r="A222" s="29" t="s">
        <v>22</v>
      </c>
      <c r="B222" s="25">
        <v>0.63600000000000001</v>
      </c>
      <c r="C222" s="30">
        <f t="shared" si="4"/>
        <v>0.29499999999999998</v>
      </c>
      <c r="D222" s="14">
        <v>0</v>
      </c>
      <c r="E222" s="14">
        <v>0</v>
      </c>
      <c r="F222" s="38">
        <v>0</v>
      </c>
      <c r="G222" s="38">
        <v>0</v>
      </c>
    </row>
    <row r="223" spans="1:7" ht="15.75" thickBot="1">
      <c r="A223" s="29" t="s">
        <v>23</v>
      </c>
      <c r="B223" s="25">
        <v>0.79400000000000004</v>
      </c>
      <c r="C223" s="30">
        <f t="shared" si="4"/>
        <v>0.63600000000000001</v>
      </c>
      <c r="D223" s="14">
        <v>0</v>
      </c>
      <c r="E223" s="14">
        <v>0</v>
      </c>
      <c r="F223" s="38">
        <v>0</v>
      </c>
      <c r="G223" s="38">
        <v>0</v>
      </c>
    </row>
    <row r="224" spans="1:7" ht="15.75" thickBot="1">
      <c r="A224" s="29" t="s">
        <v>24</v>
      </c>
      <c r="B224" s="25">
        <v>0.91</v>
      </c>
      <c r="C224" s="30">
        <f t="shared" si="4"/>
        <v>0.79400000000000004</v>
      </c>
      <c r="D224" s="14">
        <v>0</v>
      </c>
      <c r="E224" s="14">
        <v>0</v>
      </c>
      <c r="F224" s="38">
        <v>0</v>
      </c>
      <c r="G224" s="38">
        <v>0</v>
      </c>
    </row>
    <row r="225" spans="1:7" ht="15.75" thickBot="1">
      <c r="A225" s="29" t="s">
        <v>25</v>
      </c>
      <c r="B225" s="25">
        <v>1.1040000000000001</v>
      </c>
      <c r="C225" s="30">
        <f t="shared" si="4"/>
        <v>0.91</v>
      </c>
      <c r="D225" s="14">
        <v>0</v>
      </c>
      <c r="E225" s="14">
        <v>0</v>
      </c>
      <c r="F225" s="38">
        <v>0</v>
      </c>
      <c r="G225" s="38">
        <v>0</v>
      </c>
    </row>
    <row r="226" spans="1:7" ht="15.75" thickBot="1">
      <c r="A226" s="29" t="s">
        <v>26</v>
      </c>
      <c r="B226" s="25">
        <v>1.409</v>
      </c>
      <c r="C226" s="30">
        <f t="shared" si="4"/>
        <v>1.1040000000000001</v>
      </c>
      <c r="D226" s="14">
        <v>0</v>
      </c>
      <c r="E226" s="14">
        <v>0</v>
      </c>
      <c r="F226" s="38">
        <v>0</v>
      </c>
      <c r="G226" s="38">
        <v>0</v>
      </c>
    </row>
    <row r="227" spans="1:7" ht="15.75" thickBot="1">
      <c r="A227" s="29" t="s">
        <v>27</v>
      </c>
      <c r="B227" s="25">
        <v>1.7969999999999999</v>
      </c>
      <c r="C227" s="30">
        <f t="shared" si="4"/>
        <v>1.409</v>
      </c>
      <c r="D227" s="14">
        <v>0</v>
      </c>
      <c r="E227" s="14">
        <v>0</v>
      </c>
      <c r="F227" s="38">
        <v>0</v>
      </c>
      <c r="G227" s="38">
        <v>0</v>
      </c>
    </row>
    <row r="228" spans="1:7" ht="15.75" thickBot="1">
      <c r="A228" s="29" t="s">
        <v>28</v>
      </c>
      <c r="B228" s="25">
        <v>2.097</v>
      </c>
      <c r="C228" s="30">
        <f t="shared" si="4"/>
        <v>1.7969999999999999</v>
      </c>
      <c r="D228" s="14">
        <v>0</v>
      </c>
      <c r="E228" s="14">
        <v>0</v>
      </c>
      <c r="F228" s="38">
        <v>0</v>
      </c>
      <c r="G228" s="38">
        <v>0</v>
      </c>
    </row>
    <row r="229" spans="1:7" ht="15.75" thickBot="1">
      <c r="A229" s="29" t="s">
        <v>29</v>
      </c>
      <c r="B229" s="25">
        <v>2.3889999999999998</v>
      </c>
      <c r="C229" s="30">
        <f t="shared" si="4"/>
        <v>2.097</v>
      </c>
      <c r="D229" s="14">
        <v>0</v>
      </c>
      <c r="E229" s="14">
        <v>0</v>
      </c>
      <c r="F229" s="38">
        <v>0</v>
      </c>
      <c r="G229" s="38">
        <v>0</v>
      </c>
    </row>
    <row r="230" spans="1:7" ht="15.75" thickBot="1">
      <c r="A230" s="29" t="s">
        <v>30</v>
      </c>
      <c r="B230" s="25">
        <v>3.0259999999999998</v>
      </c>
      <c r="C230" s="30">
        <f t="shared" si="4"/>
        <v>2.3889999999999998</v>
      </c>
      <c r="D230" s="14">
        <v>0</v>
      </c>
      <c r="E230" s="14">
        <v>0</v>
      </c>
      <c r="F230" s="38">
        <v>3.7547918043621966E-3</v>
      </c>
      <c r="G230" s="38">
        <v>0</v>
      </c>
    </row>
    <row r="231" spans="1:7" ht="15.75" thickBot="1">
      <c r="A231" s="29" t="s">
        <v>31</v>
      </c>
      <c r="B231" s="25">
        <v>3.823</v>
      </c>
      <c r="C231" s="30">
        <f t="shared" si="4"/>
        <v>3.0259999999999998</v>
      </c>
      <c r="D231" s="14">
        <v>0</v>
      </c>
      <c r="E231" s="14">
        <v>0</v>
      </c>
      <c r="F231" s="38">
        <v>2.3819513471096006E-2</v>
      </c>
      <c r="G231" s="38">
        <v>0</v>
      </c>
    </row>
    <row r="232" spans="1:7" ht="15.75" thickBot="1">
      <c r="A232" s="29" t="s">
        <v>32</v>
      </c>
      <c r="B232" s="25">
        <v>4.3920000000000003</v>
      </c>
      <c r="C232" s="30">
        <f t="shared" si="4"/>
        <v>3.823</v>
      </c>
      <c r="D232" s="14">
        <v>0</v>
      </c>
      <c r="E232" s="14">
        <v>0</v>
      </c>
      <c r="F232" s="38">
        <v>3.3688979963570141E-2</v>
      </c>
      <c r="G232" s="38">
        <v>1.6393442622950833E-3</v>
      </c>
    </row>
    <row r="233" spans="1:7" ht="15.75" thickBot="1">
      <c r="A233" s="29" t="s">
        <v>33</v>
      </c>
      <c r="B233" s="25">
        <v>5.1459999999999999</v>
      </c>
      <c r="C233" s="30">
        <f t="shared" si="4"/>
        <v>4.3920000000000003</v>
      </c>
      <c r="D233" s="14">
        <v>0.12229595802565085</v>
      </c>
      <c r="E233" s="14">
        <v>1.2229595802565087E-2</v>
      </c>
      <c r="F233" s="38">
        <v>6.042984842596192E-2</v>
      </c>
      <c r="G233" s="38">
        <v>1.605130198212203E-2</v>
      </c>
    </row>
    <row r="234" spans="1:7" ht="15.75" thickBot="1">
      <c r="A234" s="29" t="s">
        <v>34</v>
      </c>
      <c r="B234" s="25">
        <v>5.7750000000000004</v>
      </c>
      <c r="C234" s="30">
        <f t="shared" si="4"/>
        <v>5.1459999999999999</v>
      </c>
      <c r="D234" s="14">
        <v>0.21789350649350644</v>
      </c>
      <c r="E234" s="14">
        <v>2.1789350649350645E-2</v>
      </c>
      <c r="F234" s="38">
        <v>9.7415064935064979E-2</v>
      </c>
      <c r="G234" s="38">
        <v>2.5194805194805197E-2</v>
      </c>
    </row>
    <row r="235" spans="1:7" ht="15.75" thickBot="1">
      <c r="A235" s="29" t="s">
        <v>35</v>
      </c>
      <c r="B235" s="25">
        <v>6</v>
      </c>
      <c r="C235" s="30">
        <f t="shared" si="4"/>
        <v>5.7750000000000004</v>
      </c>
      <c r="D235" s="14">
        <v>0.2472224999999999</v>
      </c>
      <c r="E235" s="14">
        <v>2.4722249999999991E-2</v>
      </c>
      <c r="F235" s="38">
        <v>0.10876200000000003</v>
      </c>
      <c r="G235" s="38">
        <v>2.7999999999999997E-2</v>
      </c>
    </row>
    <row r="236" spans="1:7" ht="15.75" thickBot="1">
      <c r="A236" s="29" t="s">
        <v>36</v>
      </c>
      <c r="B236" s="25">
        <v>7.1420000000000003</v>
      </c>
      <c r="C236" s="30">
        <f t="shared" si="4"/>
        <v>6</v>
      </c>
      <c r="D236" s="14">
        <v>0.36759101092131052</v>
      </c>
      <c r="E236" s="14">
        <v>3.6759101092131048E-2</v>
      </c>
      <c r="F236" s="38">
        <v>0.15533071968636239</v>
      </c>
      <c r="G236" s="38">
        <v>3.9512741528983479E-2</v>
      </c>
    </row>
    <row r="237" spans="1:7" ht="15.75" thickBot="1">
      <c r="A237" s="29" t="s">
        <v>37</v>
      </c>
      <c r="B237" s="25">
        <v>8.125</v>
      </c>
      <c r="C237" s="30">
        <f t="shared" si="4"/>
        <v>7.1420000000000003</v>
      </c>
      <c r="D237" s="14">
        <v>0.44410276923076913</v>
      </c>
      <c r="E237" s="14">
        <v>6.6461661538461503E-2</v>
      </c>
      <c r="F237" s="38">
        <v>0.18493193846153849</v>
      </c>
      <c r="G237" s="38">
        <v>8.0984615384615377E-2</v>
      </c>
    </row>
    <row r="238" spans="1:7" ht="15.75" thickBot="1">
      <c r="A238" s="29" t="s">
        <v>38</v>
      </c>
      <c r="B238" s="25">
        <v>9.52</v>
      </c>
      <c r="C238" s="30">
        <f t="shared" si="4"/>
        <v>8.125</v>
      </c>
      <c r="D238" s="14">
        <v>0.52556039915966379</v>
      </c>
      <c r="E238" s="14">
        <v>0.11533623949579828</v>
      </c>
      <c r="F238" s="38">
        <v>0.21644663865546221</v>
      </c>
      <c r="G238" s="38">
        <v>0.12773109243697478</v>
      </c>
    </row>
    <row r="239" spans="1:7" ht="15.75" thickBot="1">
      <c r="A239" s="29" t="s">
        <v>39</v>
      </c>
      <c r="B239" s="25">
        <v>11.875</v>
      </c>
      <c r="C239" s="30">
        <f t="shared" si="4"/>
        <v>9.52</v>
      </c>
      <c r="D239" s="14">
        <v>0.6196492631578947</v>
      </c>
      <c r="E239" s="14">
        <v>0.17178955789473682</v>
      </c>
      <c r="F239" s="38">
        <v>0.25284816842105268</v>
      </c>
      <c r="G239" s="38">
        <v>0.18172631578947368</v>
      </c>
    </row>
    <row r="240" spans="1:7" ht="15.75" thickBot="1">
      <c r="A240" s="29" t="s">
        <v>40</v>
      </c>
      <c r="B240" s="25">
        <v>13.933999999999999</v>
      </c>
      <c r="C240" s="30">
        <f t="shared" si="4"/>
        <v>11.875</v>
      </c>
      <c r="D240" s="14">
        <v>0.67585294961963527</v>
      </c>
      <c r="E240" s="14">
        <v>0.20551176977178123</v>
      </c>
      <c r="F240" s="38">
        <v>0.27459250753552461</v>
      </c>
      <c r="G240" s="38">
        <v>0.21398019233529497</v>
      </c>
    </row>
    <row r="241" spans="1:7" ht="15.75" thickBot="1">
      <c r="A241" s="29" t="s">
        <v>41</v>
      </c>
      <c r="B241" s="25">
        <v>15.337</v>
      </c>
      <c r="C241" s="30">
        <f t="shared" si="4"/>
        <v>13.933999999999999</v>
      </c>
      <c r="D241" s="14">
        <v>0.70550531394666494</v>
      </c>
      <c r="E241" s="14">
        <v>0.22330318836799895</v>
      </c>
      <c r="F241" s="38">
        <v>0.28606454978157397</v>
      </c>
      <c r="G241" s="38">
        <v>0.23099693551542025</v>
      </c>
    </row>
    <row r="242" spans="1:7" ht="15.75" thickBot="1">
      <c r="A242" s="29" t="s">
        <v>42</v>
      </c>
      <c r="B242" s="25">
        <v>18.911000000000001</v>
      </c>
      <c r="C242" s="30">
        <f t="shared" si="4"/>
        <v>15.337</v>
      </c>
      <c r="D242" s="14">
        <v>0.76116202210353767</v>
      </c>
      <c r="E242" s="14">
        <v>0.25669721326212253</v>
      </c>
      <c r="F242" s="38">
        <v>0.30759727142932686</v>
      </c>
      <c r="G242" s="38">
        <v>0.26293691502300254</v>
      </c>
    </row>
    <row r="243" spans="1:7" ht="15.75" thickBot="1">
      <c r="A243" s="29" t="s">
        <v>43</v>
      </c>
      <c r="B243" s="25">
        <v>20.603999999999999</v>
      </c>
      <c r="C243" s="30">
        <f t="shared" si="4"/>
        <v>18.911000000000001</v>
      </c>
      <c r="D243" s="14">
        <v>0.78078698311007577</v>
      </c>
      <c r="E243" s="14">
        <v>0.26847218986604543</v>
      </c>
      <c r="F243" s="38">
        <v>0.31518986604542809</v>
      </c>
      <c r="G243" s="38">
        <v>0.27419918462434484</v>
      </c>
    </row>
    <row r="244" spans="1:7" ht="15.75" thickBot="1">
      <c r="A244" s="29" t="s">
        <v>44</v>
      </c>
      <c r="B244" s="25">
        <v>23.614000000000001</v>
      </c>
      <c r="C244" s="30">
        <f t="shared" si="4"/>
        <v>20.603999999999999</v>
      </c>
      <c r="D244" s="14">
        <v>0.80872935546709579</v>
      </c>
      <c r="E244" s="14">
        <v>0.28523761328025748</v>
      </c>
      <c r="F244" s="38">
        <v>0.3260003387820784</v>
      </c>
      <c r="G244" s="38">
        <v>0.29023460658931144</v>
      </c>
    </row>
    <row r="245" spans="1:7" ht="15.75" thickBot="1">
      <c r="A245" s="29" t="s">
        <v>45</v>
      </c>
      <c r="B245" s="25">
        <v>27.152999999999999</v>
      </c>
      <c r="C245" s="30">
        <f t="shared" si="4"/>
        <v>23.614000000000001</v>
      </c>
      <c r="D245" s="14">
        <v>0.83365871174455863</v>
      </c>
      <c r="E245" s="14">
        <v>0.30019522704673512</v>
      </c>
      <c r="F245" s="38">
        <v>0.33564512208595743</v>
      </c>
      <c r="G245" s="38">
        <v>0.3045409347033477</v>
      </c>
    </row>
    <row r="246" spans="1:7" ht="15.75" thickBot="1">
      <c r="A246" s="29" t="s">
        <v>46</v>
      </c>
      <c r="B246" s="25">
        <v>30.364999999999998</v>
      </c>
      <c r="C246" s="30">
        <f t="shared" si="4"/>
        <v>27.152999999999999</v>
      </c>
      <c r="D246" s="14">
        <v>0.85125424007903838</v>
      </c>
      <c r="E246" s="14">
        <v>0.31075254404742303</v>
      </c>
      <c r="F246" s="38">
        <v>0.34245256051374939</v>
      </c>
      <c r="G246" s="38">
        <v>0.31463856413634123</v>
      </c>
    </row>
    <row r="247" spans="1:7" ht="15.75" thickBot="1">
      <c r="A247" s="29" t="s">
        <v>47</v>
      </c>
      <c r="B247" s="25">
        <v>36.148000000000003</v>
      </c>
      <c r="C247" s="30">
        <f t="shared" si="4"/>
        <v>30.364999999999998</v>
      </c>
      <c r="D247" s="14">
        <v>0.87505076352771938</v>
      </c>
      <c r="E247" s="14">
        <v>0.32503045811663162</v>
      </c>
      <c r="F247" s="38">
        <v>0.35165906827487003</v>
      </c>
      <c r="G247" s="38">
        <v>0.32829478809339385</v>
      </c>
    </row>
    <row r="248" spans="1:7" ht="15.75" thickBot="1">
      <c r="A248" s="29" t="s">
        <v>48</v>
      </c>
      <c r="B248" s="25">
        <v>38.189</v>
      </c>
      <c r="C248" s="30">
        <f t="shared" si="4"/>
        <v>36.148000000000003</v>
      </c>
      <c r="D248" s="14">
        <v>0.88172863913692412</v>
      </c>
      <c r="E248" s="14">
        <v>0.32903718348215455</v>
      </c>
      <c r="F248" s="38">
        <v>0.35424263531383388</v>
      </c>
      <c r="G248" s="38">
        <v>0.33212705229254502</v>
      </c>
    </row>
    <row r="249" spans="1:7" ht="15.75" thickBot="1">
      <c r="A249" s="29" t="s">
        <v>49</v>
      </c>
      <c r="B249" s="25">
        <v>52.822000000000003</v>
      </c>
      <c r="C249" s="30">
        <f t="shared" si="4"/>
        <v>38.189</v>
      </c>
      <c r="D249" s="14">
        <v>0.91449273030176814</v>
      </c>
      <c r="E249" s="14">
        <v>0.34869563818106092</v>
      </c>
      <c r="F249" s="38">
        <v>0.36691855666199691</v>
      </c>
      <c r="G249" s="38">
        <v>0.35092953693536783</v>
      </c>
    </row>
    <row r="250" spans="1:7" ht="15.75" thickBot="1">
      <c r="A250" s="29" t="s">
        <v>50</v>
      </c>
      <c r="B250" s="25">
        <v>66.236999999999995</v>
      </c>
      <c r="C250" s="30">
        <f t="shared" si="4"/>
        <v>52.822000000000003</v>
      </c>
      <c r="D250" s="14">
        <v>0.93181054395579499</v>
      </c>
      <c r="E250" s="14">
        <v>0.35908632637347704</v>
      </c>
      <c r="F250" s="38">
        <v>0.37361855156483537</v>
      </c>
      <c r="G250" s="38">
        <v>0.36086779292540427</v>
      </c>
    </row>
    <row r="251" spans="1:7" ht="15.75" thickBot="1">
      <c r="A251" s="29" t="s">
        <v>51</v>
      </c>
      <c r="B251" s="25">
        <v>91.885999999999996</v>
      </c>
      <c r="C251" s="30">
        <f t="shared" si="4"/>
        <v>66.236999999999995</v>
      </c>
      <c r="D251" s="14">
        <v>0.95084490564395008</v>
      </c>
      <c r="E251" s="14">
        <v>0.37050694338637002</v>
      </c>
      <c r="F251" s="38">
        <v>0.38098265241712553</v>
      </c>
      <c r="G251" s="38">
        <v>0.37179113249025969</v>
      </c>
    </row>
    <row r="252" spans="1:7" ht="15.75" thickBot="1">
      <c r="A252" s="29" t="s">
        <v>52</v>
      </c>
      <c r="B252" s="25">
        <v>129.083</v>
      </c>
      <c r="C252" s="30">
        <f t="shared" si="4"/>
        <v>91.885999999999996</v>
      </c>
      <c r="D252" s="14">
        <v>0.96500960622235299</v>
      </c>
      <c r="E252" s="14">
        <v>0.37900576373341183</v>
      </c>
      <c r="F252" s="38">
        <v>0.38646275652099815</v>
      </c>
      <c r="G252" s="38">
        <v>0.37991989650070107</v>
      </c>
    </row>
    <row r="253" spans="1:7" ht="15.75" thickBot="1">
      <c r="A253" s="29" t="s">
        <v>53</v>
      </c>
      <c r="B253" s="25">
        <v>213.148</v>
      </c>
      <c r="C253" s="30">
        <f>B252</f>
        <v>129.083</v>
      </c>
      <c r="D253" s="14">
        <v>0.97880972376001651</v>
      </c>
      <c r="E253" s="14">
        <v>0.38728583425600999</v>
      </c>
      <c r="F253" s="38">
        <v>0.39180180907163098</v>
      </c>
      <c r="G253" s="38">
        <v>0.38783943550959898</v>
      </c>
    </row>
    <row r="254" spans="1:7" ht="15.75" thickBot="1">
      <c r="A254" s="29" t="s">
        <v>53</v>
      </c>
      <c r="B254" s="25" t="s">
        <v>126</v>
      </c>
      <c r="C254" s="30">
        <f t="shared" si="4"/>
        <v>213.148</v>
      </c>
      <c r="D254" s="58"/>
      <c r="E254" s="11"/>
      <c r="F254" s="39"/>
      <c r="G254" s="39"/>
    </row>
    <row r="255" spans="1:7">
      <c r="A255" s="29"/>
      <c r="B255" s="29"/>
      <c r="C255" s="29"/>
      <c r="D255" s="58"/>
      <c r="E255" s="32">
        <v>9.5958112992890462E-2</v>
      </c>
      <c r="F255" s="40">
        <v>0.11861311819646798</v>
      </c>
      <c r="G255" s="40">
        <v>9.8082743685072055E-2</v>
      </c>
    </row>
    <row r="256" spans="1:7" ht="60.75" thickBot="1">
      <c r="A256" s="33" t="s">
        <v>55</v>
      </c>
      <c r="B256" s="3">
        <v>7.2</v>
      </c>
      <c r="C256" s="29"/>
      <c r="D256" s="58"/>
      <c r="E256" s="34">
        <v>7.527775000000001</v>
      </c>
      <c r="F256" s="41">
        <v>4.8539666666666665</v>
      </c>
      <c r="G256" s="42">
        <v>7.2</v>
      </c>
    </row>
    <row r="257" spans="1:7" ht="60.75" thickBot="1">
      <c r="A257" s="33" t="s">
        <v>56</v>
      </c>
      <c r="B257" s="4">
        <v>29.55</v>
      </c>
      <c r="C257" s="29"/>
      <c r="D257" s="11"/>
      <c r="E257" s="11"/>
      <c r="F257" s="39"/>
      <c r="G257" s="39"/>
    </row>
    <row r="258" spans="1:7" ht="97.5" thickBot="1">
      <c r="A258" s="35" t="s">
        <v>57</v>
      </c>
      <c r="B258" s="4">
        <v>4.32</v>
      </c>
      <c r="C258" s="29"/>
      <c r="D258" s="11"/>
      <c r="E258" s="11">
        <v>4.5166650000000006</v>
      </c>
      <c r="F258" s="39">
        <v>2.9123799999999997</v>
      </c>
      <c r="G258" s="39">
        <v>4.32</v>
      </c>
    </row>
    <row r="261" spans="1:7">
      <c r="A261" s="16" t="s">
        <v>64</v>
      </c>
      <c r="B261" s="17">
        <f>AVERAGE(B209:B248)</f>
        <v>7.527775000000001</v>
      </c>
      <c r="C261" s="17"/>
    </row>
    <row r="262" spans="1:7">
      <c r="A262" s="16" t="s">
        <v>65</v>
      </c>
      <c r="B262" s="18">
        <f>AVERAGE(B214:B243)</f>
        <v>4.8539666666666665</v>
      </c>
      <c r="C262" s="18"/>
    </row>
    <row r="263" spans="1:7">
      <c r="A263" s="16" t="s">
        <v>66</v>
      </c>
      <c r="B263" s="18">
        <f>AVERAGE(B220:B238)</f>
        <v>3.400105263157895</v>
      </c>
      <c r="C263" s="18"/>
    </row>
    <row r="265" spans="1:7" ht="15.75" thickBot="1"/>
    <row r="266" spans="1:7" ht="15" customHeight="1" thickBot="1">
      <c r="A266" s="522" t="s">
        <v>0</v>
      </c>
      <c r="B266" s="525" t="s">
        <v>67</v>
      </c>
      <c r="C266" s="526"/>
      <c r="D266" s="527"/>
      <c r="E266" s="19">
        <f>(1-E321)^(1/3)-1</f>
        <v>0</v>
      </c>
      <c r="F266" s="19">
        <f>(1-F321)^(1/3)-1</f>
        <v>0</v>
      </c>
      <c r="G266" s="19"/>
    </row>
    <row r="267" spans="1:7" ht="72.75" thickBot="1">
      <c r="A267" s="523"/>
      <c r="B267" s="11" t="s">
        <v>4</v>
      </c>
      <c r="C267" s="65"/>
      <c r="D267" s="11" t="s">
        <v>80</v>
      </c>
      <c r="E267" s="11" t="s">
        <v>5</v>
      </c>
      <c r="F267" s="39" t="s">
        <v>5</v>
      </c>
      <c r="G267" s="39"/>
    </row>
    <row r="268" spans="1:7" ht="25.5" thickBot="1">
      <c r="A268" s="524"/>
      <c r="B268" s="3" t="s">
        <v>68</v>
      </c>
      <c r="D268" s="20" t="s">
        <v>7</v>
      </c>
      <c r="E268" s="20" t="s">
        <v>7</v>
      </c>
      <c r="F268" s="20" t="s">
        <v>7</v>
      </c>
      <c r="G268" s="20"/>
    </row>
    <row r="269" spans="1:7" ht="15.75" thickBot="1">
      <c r="A269" s="50">
        <v>1</v>
      </c>
      <c r="B269" s="51">
        <v>2</v>
      </c>
      <c r="D269" s="51">
        <v>3</v>
      </c>
      <c r="E269" s="51">
        <v>4</v>
      </c>
      <c r="F269" s="52">
        <v>5</v>
      </c>
      <c r="G269" s="52"/>
    </row>
    <row r="270" spans="1:7" ht="15.75" thickBot="1">
      <c r="A270" s="8" t="s">
        <v>10</v>
      </c>
      <c r="B270" s="24"/>
      <c r="C270">
        <v>0</v>
      </c>
      <c r="D270" s="14">
        <f t="shared" ref="D270:D318" si="5">IF(B270=0,0,IF(B270&lt;=E$324,0,B270-E$324)/B270)</f>
        <v>0</v>
      </c>
      <c r="E270" s="14"/>
      <c r="F270" s="38"/>
      <c r="G270" s="38"/>
    </row>
    <row r="271" spans="1:7" ht="15.75" thickBot="1">
      <c r="A271" s="8" t="s">
        <v>58</v>
      </c>
      <c r="B271" s="25"/>
      <c r="C271" s="30">
        <f>B270</f>
        <v>0</v>
      </c>
      <c r="D271" s="14">
        <f t="shared" si="5"/>
        <v>0</v>
      </c>
      <c r="E271" s="14"/>
      <c r="F271" s="38"/>
      <c r="G271" s="38"/>
    </row>
    <row r="272" spans="1:7" ht="15.75" thickBot="1">
      <c r="A272" s="8" t="s">
        <v>59</v>
      </c>
      <c r="B272" s="25"/>
      <c r="C272" s="30">
        <f t="shared" ref="C272:C320" si="6">B271</f>
        <v>0</v>
      </c>
      <c r="D272" s="14">
        <f t="shared" si="5"/>
        <v>0</v>
      </c>
      <c r="E272" s="14"/>
      <c r="F272" s="38"/>
      <c r="G272" s="38"/>
    </row>
    <row r="273" spans="1:7" ht="15.75" thickBot="1">
      <c r="A273" s="8" t="s">
        <v>60</v>
      </c>
      <c r="B273" s="25"/>
      <c r="C273" s="30">
        <f t="shared" si="6"/>
        <v>0</v>
      </c>
      <c r="D273" s="14">
        <f t="shared" si="5"/>
        <v>0</v>
      </c>
      <c r="E273" s="14"/>
      <c r="F273" s="38"/>
      <c r="G273" s="38"/>
    </row>
    <row r="274" spans="1:7" ht="15.75" thickBot="1">
      <c r="A274" s="8" t="s">
        <v>61</v>
      </c>
      <c r="B274" s="25"/>
      <c r="C274" s="30">
        <f t="shared" si="6"/>
        <v>0</v>
      </c>
      <c r="D274" s="14">
        <f t="shared" si="5"/>
        <v>0</v>
      </c>
      <c r="E274" s="14"/>
      <c r="F274" s="38"/>
      <c r="G274" s="38"/>
    </row>
    <row r="275" spans="1:7" ht="15.75" thickBot="1">
      <c r="A275" s="8" t="s">
        <v>62</v>
      </c>
      <c r="B275" s="25"/>
      <c r="C275" s="30">
        <f t="shared" si="6"/>
        <v>0</v>
      </c>
      <c r="D275" s="14">
        <f t="shared" si="5"/>
        <v>0</v>
      </c>
      <c r="E275" s="14"/>
      <c r="F275" s="38"/>
      <c r="G275" s="38"/>
    </row>
    <row r="276" spans="1:7" ht="15.75" thickBot="1">
      <c r="A276" s="8" t="s">
        <v>63</v>
      </c>
      <c r="B276" s="25"/>
      <c r="C276" s="30">
        <f t="shared" si="6"/>
        <v>0</v>
      </c>
      <c r="D276" s="14">
        <f t="shared" si="5"/>
        <v>0</v>
      </c>
      <c r="E276" s="14"/>
      <c r="F276" s="38"/>
      <c r="G276" s="38"/>
    </row>
    <row r="277" spans="1:7" ht="15.75" thickBot="1">
      <c r="A277" s="3" t="s">
        <v>11</v>
      </c>
      <c r="B277" s="25"/>
      <c r="C277" s="30">
        <f t="shared" si="6"/>
        <v>0</v>
      </c>
      <c r="D277" s="14">
        <f t="shared" si="5"/>
        <v>0</v>
      </c>
      <c r="E277" s="14"/>
      <c r="F277" s="38"/>
      <c r="G277" s="38"/>
    </row>
    <row r="278" spans="1:7" ht="15.75" thickBot="1">
      <c r="A278" s="3" t="s">
        <v>12</v>
      </c>
      <c r="B278" s="25"/>
      <c r="C278" s="30">
        <f t="shared" si="6"/>
        <v>0</v>
      </c>
      <c r="D278" s="14">
        <f t="shared" si="5"/>
        <v>0</v>
      </c>
      <c r="E278" s="14"/>
      <c r="F278" s="38"/>
      <c r="G278" s="38"/>
    </row>
    <row r="279" spans="1:7" ht="15.75" thickBot="1">
      <c r="A279" s="3" t="s">
        <v>13</v>
      </c>
      <c r="B279" s="25"/>
      <c r="C279" s="30">
        <f t="shared" si="6"/>
        <v>0</v>
      </c>
      <c r="D279" s="14">
        <f t="shared" si="5"/>
        <v>0</v>
      </c>
      <c r="E279" s="14"/>
      <c r="F279" s="38"/>
      <c r="G279" s="38"/>
    </row>
    <row r="280" spans="1:7" ht="15.75" thickBot="1">
      <c r="A280" s="3" t="s">
        <v>14</v>
      </c>
      <c r="B280" s="25"/>
      <c r="C280" s="30">
        <f t="shared" si="6"/>
        <v>0</v>
      </c>
      <c r="D280" s="14">
        <f t="shared" si="5"/>
        <v>0</v>
      </c>
      <c r="E280" s="14"/>
      <c r="F280" s="38"/>
      <c r="G280" s="38"/>
    </row>
    <row r="281" spans="1:7" ht="15.75" thickBot="1">
      <c r="A281" s="3" t="s">
        <v>15</v>
      </c>
      <c r="B281" s="25"/>
      <c r="C281" s="30">
        <f t="shared" si="6"/>
        <v>0</v>
      </c>
      <c r="D281" s="14">
        <f t="shared" si="5"/>
        <v>0</v>
      </c>
      <c r="E281" s="14"/>
      <c r="F281" s="38"/>
      <c r="G281" s="38"/>
    </row>
    <row r="282" spans="1:7" ht="15.75" thickBot="1">
      <c r="A282" s="3" t="s">
        <v>16</v>
      </c>
      <c r="B282" s="25"/>
      <c r="C282" s="30">
        <f t="shared" si="6"/>
        <v>0</v>
      </c>
      <c r="D282" s="14">
        <f t="shared" si="5"/>
        <v>0</v>
      </c>
      <c r="E282" s="14"/>
      <c r="F282" s="38"/>
      <c r="G282" s="38"/>
    </row>
    <row r="283" spans="1:7" ht="15.75" thickBot="1">
      <c r="A283" s="3" t="s">
        <v>17</v>
      </c>
      <c r="B283" s="25"/>
      <c r="C283" s="30">
        <f t="shared" si="6"/>
        <v>0</v>
      </c>
      <c r="D283" s="14">
        <f t="shared" si="5"/>
        <v>0</v>
      </c>
      <c r="E283" s="14"/>
      <c r="F283" s="38"/>
      <c r="G283" s="38"/>
    </row>
    <row r="284" spans="1:7" ht="15.75" thickBot="1">
      <c r="A284" s="3" t="s">
        <v>18</v>
      </c>
      <c r="B284" s="25"/>
      <c r="C284" s="30">
        <f t="shared" si="6"/>
        <v>0</v>
      </c>
      <c r="D284" s="14">
        <f t="shared" si="5"/>
        <v>0</v>
      </c>
      <c r="E284" s="14"/>
      <c r="F284" s="38"/>
      <c r="G284" s="38"/>
    </row>
    <row r="285" spans="1:7" ht="15.75" thickBot="1">
      <c r="A285" s="3" t="s">
        <v>19</v>
      </c>
      <c r="B285" s="25"/>
      <c r="C285" s="30">
        <f t="shared" si="6"/>
        <v>0</v>
      </c>
      <c r="D285" s="14">
        <f t="shared" si="5"/>
        <v>0</v>
      </c>
      <c r="E285" s="14"/>
      <c r="F285" s="38"/>
      <c r="G285" s="38"/>
    </row>
    <row r="286" spans="1:7" ht="15.75" thickBot="1">
      <c r="A286" s="3" t="s">
        <v>20</v>
      </c>
      <c r="B286" s="25"/>
      <c r="C286" s="30">
        <f t="shared" si="6"/>
        <v>0</v>
      </c>
      <c r="D286" s="14">
        <f t="shared" si="5"/>
        <v>0</v>
      </c>
      <c r="E286" s="14"/>
      <c r="F286" s="38"/>
      <c r="G286" s="38"/>
    </row>
    <row r="287" spans="1:7" ht="15.75" thickBot="1">
      <c r="A287" s="3" t="s">
        <v>21</v>
      </c>
      <c r="B287" s="25"/>
      <c r="C287" s="30">
        <f t="shared" si="6"/>
        <v>0</v>
      </c>
      <c r="D287" s="14">
        <f t="shared" si="5"/>
        <v>0</v>
      </c>
      <c r="E287" s="14"/>
      <c r="F287" s="38"/>
      <c r="G287" s="38"/>
    </row>
    <row r="288" spans="1:7" ht="15.75" thickBot="1">
      <c r="A288" s="3" t="s">
        <v>22</v>
      </c>
      <c r="B288" s="25"/>
      <c r="C288" s="30">
        <f t="shared" si="6"/>
        <v>0</v>
      </c>
      <c r="D288" s="14">
        <f t="shared" si="5"/>
        <v>0</v>
      </c>
      <c r="E288" s="14"/>
      <c r="F288" s="38"/>
      <c r="G288" s="38"/>
    </row>
    <row r="289" spans="1:7" ht="15.75" thickBot="1">
      <c r="A289" s="3" t="s">
        <v>23</v>
      </c>
      <c r="B289" s="25"/>
      <c r="C289" s="30">
        <f t="shared" si="6"/>
        <v>0</v>
      </c>
      <c r="D289" s="14">
        <f t="shared" si="5"/>
        <v>0</v>
      </c>
      <c r="E289" s="14"/>
      <c r="F289" s="38"/>
      <c r="G289" s="38"/>
    </row>
    <row r="290" spans="1:7" ht="15.75" thickBot="1">
      <c r="A290" s="3" t="s">
        <v>24</v>
      </c>
      <c r="B290" s="25"/>
      <c r="C290" s="30">
        <f t="shared" si="6"/>
        <v>0</v>
      </c>
      <c r="D290" s="14">
        <f t="shared" si="5"/>
        <v>0</v>
      </c>
      <c r="E290" s="14"/>
      <c r="F290" s="38"/>
      <c r="G290" s="38"/>
    </row>
    <row r="291" spans="1:7" ht="15.75" thickBot="1">
      <c r="A291" s="3" t="s">
        <v>25</v>
      </c>
      <c r="B291" s="25"/>
      <c r="C291" s="30">
        <f t="shared" si="6"/>
        <v>0</v>
      </c>
      <c r="D291" s="14">
        <f t="shared" si="5"/>
        <v>0</v>
      </c>
      <c r="E291" s="14"/>
      <c r="F291" s="38"/>
      <c r="G291" s="38"/>
    </row>
    <row r="292" spans="1:7" ht="15.75" thickBot="1">
      <c r="A292" s="3" t="s">
        <v>26</v>
      </c>
      <c r="B292" s="25"/>
      <c r="C292" s="30">
        <f t="shared" si="6"/>
        <v>0</v>
      </c>
      <c r="D292" s="14">
        <f t="shared" si="5"/>
        <v>0</v>
      </c>
      <c r="E292" s="14"/>
      <c r="F292" s="38"/>
      <c r="G292" s="38"/>
    </row>
    <row r="293" spans="1:7" ht="15.75" thickBot="1">
      <c r="A293" s="3" t="s">
        <v>27</v>
      </c>
      <c r="B293" s="25"/>
      <c r="C293" s="30">
        <f t="shared" si="6"/>
        <v>0</v>
      </c>
      <c r="D293" s="14">
        <f t="shared" si="5"/>
        <v>0</v>
      </c>
      <c r="E293" s="14"/>
      <c r="F293" s="38"/>
      <c r="G293" s="38"/>
    </row>
    <row r="294" spans="1:7" ht="15.75" thickBot="1">
      <c r="A294" s="3" t="s">
        <v>28</v>
      </c>
      <c r="B294" s="25"/>
      <c r="C294" s="30">
        <f t="shared" si="6"/>
        <v>0</v>
      </c>
      <c r="D294" s="14">
        <f t="shared" si="5"/>
        <v>0</v>
      </c>
      <c r="E294" s="14"/>
      <c r="F294" s="38"/>
      <c r="G294" s="38"/>
    </row>
    <row r="295" spans="1:7" ht="15.75" thickBot="1">
      <c r="A295" s="3" t="s">
        <v>29</v>
      </c>
      <c r="B295" s="25"/>
      <c r="C295" s="30">
        <f t="shared" si="6"/>
        <v>0</v>
      </c>
      <c r="D295" s="14">
        <f t="shared" si="5"/>
        <v>0</v>
      </c>
      <c r="E295" s="14"/>
      <c r="F295" s="38"/>
      <c r="G295" s="38"/>
    </row>
    <row r="296" spans="1:7" ht="15.75" thickBot="1">
      <c r="A296" s="3" t="s">
        <v>30</v>
      </c>
      <c r="B296" s="25"/>
      <c r="C296" s="30">
        <f t="shared" si="6"/>
        <v>0</v>
      </c>
      <c r="D296" s="14">
        <f t="shared" si="5"/>
        <v>0</v>
      </c>
      <c r="E296" s="14"/>
      <c r="F296" s="38"/>
      <c r="G296" s="38"/>
    </row>
    <row r="297" spans="1:7" ht="15.75" thickBot="1">
      <c r="A297" s="3" t="s">
        <v>31</v>
      </c>
      <c r="B297" s="25"/>
      <c r="C297" s="30">
        <f t="shared" si="6"/>
        <v>0</v>
      </c>
      <c r="D297" s="14">
        <f t="shared" si="5"/>
        <v>0</v>
      </c>
      <c r="E297" s="14"/>
      <c r="F297" s="38"/>
      <c r="G297" s="38"/>
    </row>
    <row r="298" spans="1:7" ht="15.75" thickBot="1">
      <c r="A298" s="3" t="s">
        <v>32</v>
      </c>
      <c r="B298" s="25"/>
      <c r="C298" s="30">
        <f t="shared" si="6"/>
        <v>0</v>
      </c>
      <c r="D298" s="14">
        <f t="shared" si="5"/>
        <v>0</v>
      </c>
      <c r="E298" s="14"/>
      <c r="F298" s="38"/>
      <c r="G298" s="38"/>
    </row>
    <row r="299" spans="1:7" ht="15.75" thickBot="1">
      <c r="A299" s="3" t="s">
        <v>33</v>
      </c>
      <c r="B299" s="25"/>
      <c r="C299" s="30">
        <f t="shared" si="6"/>
        <v>0</v>
      </c>
      <c r="D299" s="14">
        <f t="shared" si="5"/>
        <v>0</v>
      </c>
      <c r="E299" s="14"/>
      <c r="F299" s="38"/>
      <c r="G299" s="38"/>
    </row>
    <row r="300" spans="1:7" ht="15.75" thickBot="1">
      <c r="A300" s="3" t="s">
        <v>34</v>
      </c>
      <c r="B300" s="25"/>
      <c r="C300" s="30">
        <f t="shared" si="6"/>
        <v>0</v>
      </c>
      <c r="D300" s="14">
        <f t="shared" si="5"/>
        <v>0</v>
      </c>
      <c r="E300" s="14"/>
      <c r="F300" s="38"/>
      <c r="G300" s="38"/>
    </row>
    <row r="301" spans="1:7" ht="15.75" thickBot="1">
      <c r="A301" s="3" t="s">
        <v>35</v>
      </c>
      <c r="B301" s="25"/>
      <c r="C301" s="30">
        <f t="shared" si="6"/>
        <v>0</v>
      </c>
      <c r="D301" s="14">
        <f t="shared" si="5"/>
        <v>0</v>
      </c>
      <c r="E301" s="14"/>
      <c r="F301" s="38"/>
      <c r="G301" s="38"/>
    </row>
    <row r="302" spans="1:7" ht="15.75" thickBot="1">
      <c r="A302" s="3" t="s">
        <v>36</v>
      </c>
      <c r="B302" s="25"/>
      <c r="C302" s="30">
        <f t="shared" si="6"/>
        <v>0</v>
      </c>
      <c r="D302" s="14">
        <f t="shared" si="5"/>
        <v>0</v>
      </c>
      <c r="E302" s="14"/>
      <c r="F302" s="38"/>
      <c r="G302" s="38"/>
    </row>
    <row r="303" spans="1:7" ht="15.75" thickBot="1">
      <c r="A303" s="3" t="s">
        <v>37</v>
      </c>
      <c r="B303" s="25"/>
      <c r="C303" s="30">
        <f t="shared" si="6"/>
        <v>0</v>
      </c>
      <c r="D303" s="14">
        <f t="shared" si="5"/>
        <v>0</v>
      </c>
      <c r="E303" s="14"/>
      <c r="F303" s="38"/>
      <c r="G303" s="38"/>
    </row>
    <row r="304" spans="1:7" ht="15.75" thickBot="1">
      <c r="A304" s="3" t="s">
        <v>38</v>
      </c>
      <c r="B304" s="25"/>
      <c r="C304" s="30">
        <f t="shared" si="6"/>
        <v>0</v>
      </c>
      <c r="D304" s="14">
        <f t="shared" si="5"/>
        <v>0</v>
      </c>
      <c r="E304" s="14"/>
      <c r="F304" s="38"/>
      <c r="G304" s="38"/>
    </row>
    <row r="305" spans="1:7" ht="15.75" thickBot="1">
      <c r="A305" s="3" t="s">
        <v>39</v>
      </c>
      <c r="B305" s="25"/>
      <c r="C305" s="30">
        <f t="shared" si="6"/>
        <v>0</v>
      </c>
      <c r="D305" s="14">
        <f t="shared" si="5"/>
        <v>0</v>
      </c>
      <c r="E305" s="14"/>
      <c r="F305" s="38"/>
      <c r="G305" s="38"/>
    </row>
    <row r="306" spans="1:7" ht="15.75" thickBot="1">
      <c r="A306" s="3" t="s">
        <v>40</v>
      </c>
      <c r="B306" s="25"/>
      <c r="C306" s="30">
        <f t="shared" si="6"/>
        <v>0</v>
      </c>
      <c r="D306" s="14">
        <f t="shared" si="5"/>
        <v>0</v>
      </c>
      <c r="E306" s="14"/>
      <c r="F306" s="38"/>
      <c r="G306" s="38"/>
    </row>
    <row r="307" spans="1:7" ht="15.75" thickBot="1">
      <c r="A307" s="3" t="s">
        <v>41</v>
      </c>
      <c r="B307" s="25"/>
      <c r="C307" s="30">
        <f t="shared" si="6"/>
        <v>0</v>
      </c>
      <c r="D307" s="14">
        <f t="shared" si="5"/>
        <v>0</v>
      </c>
      <c r="E307" s="14"/>
      <c r="F307" s="38"/>
      <c r="G307" s="38"/>
    </row>
    <row r="308" spans="1:7" ht="15.75" thickBot="1">
      <c r="A308" s="3" t="s">
        <v>42</v>
      </c>
      <c r="B308" s="25"/>
      <c r="C308" s="30">
        <f t="shared" si="6"/>
        <v>0</v>
      </c>
      <c r="D308" s="14">
        <f t="shared" si="5"/>
        <v>0</v>
      </c>
      <c r="E308" s="14"/>
      <c r="F308" s="38"/>
      <c r="G308" s="38"/>
    </row>
    <row r="309" spans="1:7" ht="15.75" thickBot="1">
      <c r="A309" s="3" t="s">
        <v>43</v>
      </c>
      <c r="B309" s="25"/>
      <c r="C309" s="30">
        <f t="shared" si="6"/>
        <v>0</v>
      </c>
      <c r="D309" s="14">
        <f t="shared" si="5"/>
        <v>0</v>
      </c>
      <c r="E309" s="14"/>
      <c r="F309" s="38"/>
      <c r="G309" s="38"/>
    </row>
    <row r="310" spans="1:7" ht="15.75" thickBot="1">
      <c r="A310" s="3" t="s">
        <v>44</v>
      </c>
      <c r="B310" s="25"/>
      <c r="C310" s="30">
        <f t="shared" si="6"/>
        <v>0</v>
      </c>
      <c r="D310" s="14">
        <f t="shared" si="5"/>
        <v>0</v>
      </c>
      <c r="E310" s="14"/>
      <c r="F310" s="38"/>
      <c r="G310" s="38"/>
    </row>
    <row r="311" spans="1:7" ht="15.75" thickBot="1">
      <c r="A311" s="3" t="s">
        <v>45</v>
      </c>
      <c r="B311" s="25"/>
      <c r="C311" s="30">
        <f t="shared" si="6"/>
        <v>0</v>
      </c>
      <c r="D311" s="14">
        <f t="shared" si="5"/>
        <v>0</v>
      </c>
      <c r="E311" s="14"/>
      <c r="F311" s="38"/>
      <c r="G311" s="38"/>
    </row>
    <row r="312" spans="1:7" ht="15.75" thickBot="1">
      <c r="A312" s="3" t="s">
        <v>46</v>
      </c>
      <c r="B312" s="25"/>
      <c r="C312" s="30">
        <f t="shared" si="6"/>
        <v>0</v>
      </c>
      <c r="D312" s="14">
        <f t="shared" si="5"/>
        <v>0</v>
      </c>
      <c r="E312" s="14"/>
      <c r="F312" s="38"/>
      <c r="G312" s="38"/>
    </row>
    <row r="313" spans="1:7" ht="15.75" thickBot="1">
      <c r="A313" s="3" t="s">
        <v>47</v>
      </c>
      <c r="B313" s="25"/>
      <c r="C313" s="30">
        <f t="shared" si="6"/>
        <v>0</v>
      </c>
      <c r="D313" s="14">
        <f t="shared" si="5"/>
        <v>0</v>
      </c>
      <c r="E313" s="14"/>
      <c r="F313" s="38"/>
      <c r="G313" s="38"/>
    </row>
    <row r="314" spans="1:7" ht="15.75" thickBot="1">
      <c r="A314" s="3" t="s">
        <v>48</v>
      </c>
      <c r="B314" s="25"/>
      <c r="C314" s="30">
        <f t="shared" si="6"/>
        <v>0</v>
      </c>
      <c r="D314" s="14">
        <f t="shared" si="5"/>
        <v>0</v>
      </c>
      <c r="E314" s="14"/>
      <c r="F314" s="38"/>
      <c r="G314" s="38"/>
    </row>
    <row r="315" spans="1:7" ht="15.75" thickBot="1">
      <c r="A315" s="3" t="s">
        <v>49</v>
      </c>
      <c r="B315" s="25"/>
      <c r="C315" s="30">
        <f t="shared" si="6"/>
        <v>0</v>
      </c>
      <c r="D315" s="14">
        <f t="shared" si="5"/>
        <v>0</v>
      </c>
      <c r="E315" s="14"/>
      <c r="F315" s="38"/>
      <c r="G315" s="38"/>
    </row>
    <row r="316" spans="1:7" ht="15.75" thickBot="1">
      <c r="A316" s="3" t="s">
        <v>50</v>
      </c>
      <c r="B316" s="25"/>
      <c r="C316" s="30">
        <f t="shared" si="6"/>
        <v>0</v>
      </c>
      <c r="D316" s="14">
        <f t="shared" si="5"/>
        <v>0</v>
      </c>
      <c r="E316" s="14"/>
      <c r="F316" s="38"/>
      <c r="G316" s="38"/>
    </row>
    <row r="317" spans="1:7" ht="15.75" thickBot="1">
      <c r="A317" s="3" t="s">
        <v>51</v>
      </c>
      <c r="B317" s="25"/>
      <c r="C317" s="30">
        <f t="shared" si="6"/>
        <v>0</v>
      </c>
      <c r="D317" s="14">
        <f t="shared" si="5"/>
        <v>0</v>
      </c>
      <c r="E317" s="14"/>
      <c r="F317" s="38"/>
      <c r="G317" s="38"/>
    </row>
    <row r="318" spans="1:7" ht="15.75" thickBot="1">
      <c r="A318" s="3" t="s">
        <v>52</v>
      </c>
      <c r="B318" s="25"/>
      <c r="C318" s="30">
        <f t="shared" si="6"/>
        <v>0</v>
      </c>
      <c r="D318" s="14">
        <f t="shared" si="5"/>
        <v>0</v>
      </c>
      <c r="E318" s="14"/>
      <c r="F318" s="38"/>
      <c r="G318" s="38"/>
    </row>
    <row r="319" spans="1:7" ht="15.75" thickBot="1">
      <c r="A319" s="3" t="s">
        <v>53</v>
      </c>
      <c r="B319" s="25"/>
      <c r="C319" s="30">
        <f>B318</f>
        <v>0</v>
      </c>
      <c r="D319" s="14">
        <f>IF(B319=0,0,IF(B319&lt;=E$324,0,B319-E$324)/B319)</f>
        <v>0</v>
      </c>
      <c r="E319" s="14"/>
      <c r="F319" s="38"/>
      <c r="G319" s="38"/>
    </row>
    <row r="320" spans="1:7" ht="15.75" thickBot="1">
      <c r="A320" s="3" t="s">
        <v>53</v>
      </c>
      <c r="B320" s="3"/>
      <c r="C320" s="30">
        <f t="shared" si="6"/>
        <v>0</v>
      </c>
      <c r="D320" s="22"/>
      <c r="E320" s="1"/>
      <c r="F320" s="37"/>
      <c r="G320" s="39"/>
    </row>
    <row r="321" spans="1:7" ht="15.75" thickBot="1">
      <c r="A321" s="3"/>
      <c r="B321" s="3"/>
      <c r="D321" s="4"/>
      <c r="E321" s="15"/>
      <c r="F321" s="26"/>
      <c r="G321" s="26"/>
    </row>
    <row r="322" spans="1:7" ht="60.75" thickBot="1">
      <c r="A322" s="5" t="s">
        <v>55</v>
      </c>
      <c r="B322" s="3"/>
      <c r="D322" s="4"/>
      <c r="E322" s="12"/>
      <c r="F322" s="45"/>
      <c r="G322" s="46"/>
    </row>
    <row r="323" spans="1:7" ht="60.75" thickBot="1">
      <c r="A323" s="5" t="s">
        <v>56</v>
      </c>
      <c r="B323" s="4"/>
      <c r="D323" s="1"/>
      <c r="E323" s="1"/>
      <c r="F323" s="37"/>
      <c r="G323" s="37"/>
    </row>
    <row r="324" spans="1:7" ht="97.5" thickBot="1">
      <c r="A324" s="6" t="s">
        <v>57</v>
      </c>
      <c r="B324" s="4"/>
      <c r="D324" s="1"/>
      <c r="E324" s="1"/>
      <c r="F324" s="37"/>
      <c r="G324" s="37"/>
    </row>
    <row r="327" spans="1:7">
      <c r="A327" s="16" t="s">
        <v>64</v>
      </c>
      <c r="B327" s="17" t="e">
        <f>AVERAGE(B275:B314)</f>
        <v>#DIV/0!</v>
      </c>
    </row>
    <row r="328" spans="1:7">
      <c r="A328" s="16" t="s">
        <v>65</v>
      </c>
      <c r="B328" s="18" t="e">
        <f>AVERAGE(B280:B309)</f>
        <v>#DIV/0!</v>
      </c>
    </row>
    <row r="329" spans="1:7">
      <c r="A329" s="16" t="s">
        <v>66</v>
      </c>
      <c r="B329" s="18" t="e">
        <f>AVERAGE(B286:B304)</f>
        <v>#DIV/0!</v>
      </c>
    </row>
    <row r="332" spans="1:7" ht="15.75" thickBot="1"/>
    <row r="333" spans="1:7" ht="15" customHeight="1" thickBot="1">
      <c r="A333" s="522" t="s">
        <v>0</v>
      </c>
      <c r="B333" s="525" t="s">
        <v>70</v>
      </c>
      <c r="C333" s="526"/>
      <c r="D333" s="527"/>
      <c r="E333" s="19">
        <f>(1-E388)^(1/3)-1</f>
        <v>0</v>
      </c>
      <c r="F333" s="19">
        <f>(1-F388)^(1/3)-1</f>
        <v>0</v>
      </c>
      <c r="G333" s="19"/>
    </row>
    <row r="334" spans="1:7" ht="72.75" thickBot="1">
      <c r="A334" s="523"/>
      <c r="B334" s="7" t="s">
        <v>4</v>
      </c>
      <c r="D334" s="11" t="s">
        <v>80</v>
      </c>
      <c r="E334" s="11" t="s">
        <v>5</v>
      </c>
      <c r="F334" s="39" t="s">
        <v>5</v>
      </c>
      <c r="G334" s="39"/>
    </row>
    <row r="335" spans="1:7" ht="25.5" thickBot="1">
      <c r="A335" s="524"/>
      <c r="B335" s="3" t="s">
        <v>72</v>
      </c>
      <c r="D335" s="20" t="s">
        <v>7</v>
      </c>
      <c r="E335" s="20" t="s">
        <v>7</v>
      </c>
      <c r="F335" s="20" t="s">
        <v>7</v>
      </c>
      <c r="G335" s="20"/>
    </row>
    <row r="336" spans="1:7" ht="15.75" thickBot="1">
      <c r="A336" s="50">
        <v>1</v>
      </c>
      <c r="B336" s="51">
        <v>2</v>
      </c>
      <c r="C336" s="117"/>
      <c r="D336" s="51">
        <v>3</v>
      </c>
      <c r="E336" s="51">
        <v>4</v>
      </c>
      <c r="F336" s="52">
        <v>5</v>
      </c>
      <c r="G336" s="52"/>
    </row>
    <row r="337" spans="1:7" ht="15.75" thickBot="1">
      <c r="A337" s="8" t="s">
        <v>10</v>
      </c>
      <c r="B337" s="24"/>
      <c r="C337">
        <v>0</v>
      </c>
      <c r="D337" s="14">
        <f t="shared" ref="D337:D385" si="7">IF(B337=0,0,IF(B337&lt;=E$391,0,B337-E$391)/B337)</f>
        <v>0</v>
      </c>
      <c r="E337" s="14"/>
      <c r="F337" s="38"/>
      <c r="G337" s="38"/>
    </row>
    <row r="338" spans="1:7" ht="15.75" thickBot="1">
      <c r="A338" s="8" t="s">
        <v>58</v>
      </c>
      <c r="B338" s="25"/>
      <c r="C338" s="30">
        <f>B337</f>
        <v>0</v>
      </c>
      <c r="D338" s="14">
        <f t="shared" si="7"/>
        <v>0</v>
      </c>
      <c r="E338" s="14"/>
      <c r="F338" s="38"/>
      <c r="G338" s="38"/>
    </row>
    <row r="339" spans="1:7" ht="15.75" thickBot="1">
      <c r="A339" s="8" t="s">
        <v>59</v>
      </c>
      <c r="B339" s="25"/>
      <c r="C339" s="30">
        <f t="shared" ref="C339:C387" si="8">B338</f>
        <v>0</v>
      </c>
      <c r="D339" s="14">
        <f t="shared" si="7"/>
        <v>0</v>
      </c>
      <c r="E339" s="14"/>
      <c r="F339" s="38"/>
      <c r="G339" s="38"/>
    </row>
    <row r="340" spans="1:7" ht="15.75" thickBot="1">
      <c r="A340" s="8" t="s">
        <v>60</v>
      </c>
      <c r="B340" s="25"/>
      <c r="C340" s="30">
        <f t="shared" si="8"/>
        <v>0</v>
      </c>
      <c r="D340" s="14">
        <f t="shared" si="7"/>
        <v>0</v>
      </c>
      <c r="E340" s="14"/>
      <c r="F340" s="38"/>
      <c r="G340" s="38"/>
    </row>
    <row r="341" spans="1:7" ht="15.75" thickBot="1">
      <c r="A341" s="8" t="s">
        <v>61</v>
      </c>
      <c r="B341" s="25"/>
      <c r="C341" s="30">
        <f t="shared" si="8"/>
        <v>0</v>
      </c>
      <c r="D341" s="14">
        <f t="shared" si="7"/>
        <v>0</v>
      </c>
      <c r="E341" s="14"/>
      <c r="F341" s="38"/>
      <c r="G341" s="38"/>
    </row>
    <row r="342" spans="1:7" ht="15.75" thickBot="1">
      <c r="A342" s="8" t="s">
        <v>62</v>
      </c>
      <c r="B342" s="25"/>
      <c r="C342" s="30">
        <f t="shared" si="8"/>
        <v>0</v>
      </c>
      <c r="D342" s="14">
        <f t="shared" si="7"/>
        <v>0</v>
      </c>
      <c r="E342" s="14"/>
      <c r="F342" s="38"/>
      <c r="G342" s="38"/>
    </row>
    <row r="343" spans="1:7" ht="15.75" thickBot="1">
      <c r="A343" s="8" t="s">
        <v>63</v>
      </c>
      <c r="B343" s="25"/>
      <c r="C343" s="30">
        <f t="shared" si="8"/>
        <v>0</v>
      </c>
      <c r="D343" s="14">
        <f t="shared" si="7"/>
        <v>0</v>
      </c>
      <c r="E343" s="14"/>
      <c r="F343" s="38"/>
      <c r="G343" s="38"/>
    </row>
    <row r="344" spans="1:7" ht="15.75" thickBot="1">
      <c r="A344" s="3" t="s">
        <v>11</v>
      </c>
      <c r="B344" s="25"/>
      <c r="C344" s="30">
        <f t="shared" si="8"/>
        <v>0</v>
      </c>
      <c r="D344" s="14">
        <f t="shared" si="7"/>
        <v>0</v>
      </c>
      <c r="E344" s="14"/>
      <c r="F344" s="38"/>
      <c r="G344" s="38"/>
    </row>
    <row r="345" spans="1:7" ht="15.75" thickBot="1">
      <c r="A345" s="3" t="s">
        <v>12</v>
      </c>
      <c r="B345" s="25"/>
      <c r="C345" s="30">
        <f t="shared" si="8"/>
        <v>0</v>
      </c>
      <c r="D345" s="14">
        <f t="shared" si="7"/>
        <v>0</v>
      </c>
      <c r="E345" s="14"/>
      <c r="F345" s="38"/>
      <c r="G345" s="38"/>
    </row>
    <row r="346" spans="1:7" ht="15.75" thickBot="1">
      <c r="A346" s="3" t="s">
        <v>13</v>
      </c>
      <c r="B346" s="25"/>
      <c r="C346" s="30">
        <f t="shared" si="8"/>
        <v>0</v>
      </c>
      <c r="D346" s="14">
        <f t="shared" si="7"/>
        <v>0</v>
      </c>
      <c r="E346" s="14"/>
      <c r="F346" s="38"/>
      <c r="G346" s="38"/>
    </row>
    <row r="347" spans="1:7" ht="15.75" thickBot="1">
      <c r="A347" s="3" t="s">
        <v>14</v>
      </c>
      <c r="B347" s="25"/>
      <c r="C347" s="30">
        <f t="shared" si="8"/>
        <v>0</v>
      </c>
      <c r="D347" s="14">
        <f t="shared" si="7"/>
        <v>0</v>
      </c>
      <c r="E347" s="14"/>
      <c r="F347" s="38"/>
      <c r="G347" s="38"/>
    </row>
    <row r="348" spans="1:7" ht="15.75" thickBot="1">
      <c r="A348" s="3" t="s">
        <v>15</v>
      </c>
      <c r="B348" s="25"/>
      <c r="C348" s="30">
        <f t="shared" si="8"/>
        <v>0</v>
      </c>
      <c r="D348" s="14">
        <f t="shared" si="7"/>
        <v>0</v>
      </c>
      <c r="E348" s="14"/>
      <c r="F348" s="38"/>
      <c r="G348" s="38"/>
    </row>
    <row r="349" spans="1:7" ht="15.75" thickBot="1">
      <c r="A349" s="3" t="s">
        <v>16</v>
      </c>
      <c r="B349" s="25"/>
      <c r="C349" s="30">
        <f t="shared" si="8"/>
        <v>0</v>
      </c>
      <c r="D349" s="14">
        <f t="shared" si="7"/>
        <v>0</v>
      </c>
      <c r="E349" s="14"/>
      <c r="F349" s="38"/>
      <c r="G349" s="38"/>
    </row>
    <row r="350" spans="1:7" ht="15.75" thickBot="1">
      <c r="A350" s="3" t="s">
        <v>17</v>
      </c>
      <c r="B350" s="25"/>
      <c r="C350" s="30">
        <f t="shared" si="8"/>
        <v>0</v>
      </c>
      <c r="D350" s="14">
        <f t="shared" si="7"/>
        <v>0</v>
      </c>
      <c r="E350" s="14"/>
      <c r="F350" s="38"/>
      <c r="G350" s="38"/>
    </row>
    <row r="351" spans="1:7" ht="15.75" thickBot="1">
      <c r="A351" s="3" t="s">
        <v>18</v>
      </c>
      <c r="B351" s="25"/>
      <c r="C351" s="30">
        <f t="shared" si="8"/>
        <v>0</v>
      </c>
      <c r="D351" s="14">
        <f t="shared" si="7"/>
        <v>0</v>
      </c>
      <c r="E351" s="14"/>
      <c r="F351" s="38"/>
      <c r="G351" s="38"/>
    </row>
    <row r="352" spans="1:7" ht="15.75" thickBot="1">
      <c r="A352" s="3" t="s">
        <v>19</v>
      </c>
      <c r="B352" s="25"/>
      <c r="C352" s="30">
        <f t="shared" si="8"/>
        <v>0</v>
      </c>
      <c r="D352" s="14">
        <f t="shared" si="7"/>
        <v>0</v>
      </c>
      <c r="E352" s="14"/>
      <c r="F352" s="38"/>
      <c r="G352" s="38"/>
    </row>
    <row r="353" spans="1:7" ht="15.75" thickBot="1">
      <c r="A353" s="3" t="s">
        <v>20</v>
      </c>
      <c r="B353" s="25"/>
      <c r="C353" s="30">
        <f t="shared" si="8"/>
        <v>0</v>
      </c>
      <c r="D353" s="14">
        <f t="shared" si="7"/>
        <v>0</v>
      </c>
      <c r="E353" s="14"/>
      <c r="F353" s="38"/>
      <c r="G353" s="38"/>
    </row>
    <row r="354" spans="1:7" ht="15.75" thickBot="1">
      <c r="A354" s="3" t="s">
        <v>21</v>
      </c>
      <c r="B354" s="25"/>
      <c r="C354" s="30">
        <f t="shared" si="8"/>
        <v>0</v>
      </c>
      <c r="D354" s="14">
        <f t="shared" si="7"/>
        <v>0</v>
      </c>
      <c r="E354" s="14"/>
      <c r="F354" s="38"/>
      <c r="G354" s="38"/>
    </row>
    <row r="355" spans="1:7" ht="15.75" thickBot="1">
      <c r="A355" s="3" t="s">
        <v>22</v>
      </c>
      <c r="B355" s="25"/>
      <c r="C355" s="30">
        <f t="shared" si="8"/>
        <v>0</v>
      </c>
      <c r="D355" s="14">
        <f t="shared" si="7"/>
        <v>0</v>
      </c>
      <c r="E355" s="14"/>
      <c r="F355" s="38"/>
      <c r="G355" s="38"/>
    </row>
    <row r="356" spans="1:7" ht="15.75" thickBot="1">
      <c r="A356" s="3" t="s">
        <v>23</v>
      </c>
      <c r="B356" s="25"/>
      <c r="C356" s="30">
        <f t="shared" si="8"/>
        <v>0</v>
      </c>
      <c r="D356" s="14">
        <f t="shared" si="7"/>
        <v>0</v>
      </c>
      <c r="E356" s="14"/>
      <c r="F356" s="38"/>
      <c r="G356" s="38"/>
    </row>
    <row r="357" spans="1:7" ht="15.75" thickBot="1">
      <c r="A357" s="3" t="s">
        <v>24</v>
      </c>
      <c r="B357" s="25"/>
      <c r="C357" s="30">
        <f t="shared" si="8"/>
        <v>0</v>
      </c>
      <c r="D357" s="14">
        <f t="shared" si="7"/>
        <v>0</v>
      </c>
      <c r="E357" s="14"/>
      <c r="F357" s="38"/>
      <c r="G357" s="38"/>
    </row>
    <row r="358" spans="1:7" ht="15.75" thickBot="1">
      <c r="A358" s="3" t="s">
        <v>25</v>
      </c>
      <c r="B358" s="25"/>
      <c r="C358" s="30">
        <f t="shared" si="8"/>
        <v>0</v>
      </c>
      <c r="D358" s="14">
        <f t="shared" si="7"/>
        <v>0</v>
      </c>
      <c r="E358" s="14"/>
      <c r="F358" s="38"/>
      <c r="G358" s="38"/>
    </row>
    <row r="359" spans="1:7" ht="15.75" thickBot="1">
      <c r="A359" s="3" t="s">
        <v>26</v>
      </c>
      <c r="B359" s="25"/>
      <c r="C359" s="30">
        <f t="shared" si="8"/>
        <v>0</v>
      </c>
      <c r="D359" s="14">
        <f t="shared" si="7"/>
        <v>0</v>
      </c>
      <c r="E359" s="14"/>
      <c r="F359" s="38"/>
      <c r="G359" s="38"/>
    </row>
    <row r="360" spans="1:7" ht="15.75" thickBot="1">
      <c r="A360" s="3" t="s">
        <v>27</v>
      </c>
      <c r="B360" s="25"/>
      <c r="C360" s="30">
        <f t="shared" si="8"/>
        <v>0</v>
      </c>
      <c r="D360" s="14">
        <f t="shared" si="7"/>
        <v>0</v>
      </c>
      <c r="E360" s="14"/>
      <c r="F360" s="38"/>
      <c r="G360" s="38"/>
    </row>
    <row r="361" spans="1:7" ht="15.75" thickBot="1">
      <c r="A361" s="3" t="s">
        <v>28</v>
      </c>
      <c r="B361" s="25"/>
      <c r="C361" s="30">
        <f t="shared" si="8"/>
        <v>0</v>
      </c>
      <c r="D361" s="14">
        <f t="shared" si="7"/>
        <v>0</v>
      </c>
      <c r="E361" s="14"/>
      <c r="F361" s="38"/>
      <c r="G361" s="38"/>
    </row>
    <row r="362" spans="1:7" ht="15.75" thickBot="1">
      <c r="A362" s="3" t="s">
        <v>29</v>
      </c>
      <c r="B362" s="25"/>
      <c r="C362" s="30">
        <f t="shared" si="8"/>
        <v>0</v>
      </c>
      <c r="D362" s="14">
        <f t="shared" si="7"/>
        <v>0</v>
      </c>
      <c r="E362" s="14"/>
      <c r="F362" s="38"/>
      <c r="G362" s="38"/>
    </row>
    <row r="363" spans="1:7" ht="15.75" thickBot="1">
      <c r="A363" s="3" t="s">
        <v>30</v>
      </c>
      <c r="B363" s="25"/>
      <c r="C363" s="30">
        <f t="shared" si="8"/>
        <v>0</v>
      </c>
      <c r="D363" s="14">
        <f t="shared" si="7"/>
        <v>0</v>
      </c>
      <c r="E363" s="14"/>
      <c r="F363" s="38"/>
      <c r="G363" s="38"/>
    </row>
    <row r="364" spans="1:7" ht="15.75" thickBot="1">
      <c r="A364" s="3" t="s">
        <v>31</v>
      </c>
      <c r="B364" s="25"/>
      <c r="C364" s="30">
        <f t="shared" si="8"/>
        <v>0</v>
      </c>
      <c r="D364" s="14">
        <f t="shared" si="7"/>
        <v>0</v>
      </c>
      <c r="E364" s="14"/>
      <c r="F364" s="38"/>
      <c r="G364" s="38"/>
    </row>
    <row r="365" spans="1:7" ht="15.75" thickBot="1">
      <c r="A365" s="3" t="s">
        <v>32</v>
      </c>
      <c r="B365" s="25"/>
      <c r="C365" s="30">
        <f t="shared" si="8"/>
        <v>0</v>
      </c>
      <c r="D365" s="14">
        <f t="shared" si="7"/>
        <v>0</v>
      </c>
      <c r="E365" s="14"/>
      <c r="F365" s="38"/>
      <c r="G365" s="38"/>
    </row>
    <row r="366" spans="1:7" ht="15.75" thickBot="1">
      <c r="A366" s="3" t="s">
        <v>33</v>
      </c>
      <c r="B366" s="25"/>
      <c r="C366" s="30">
        <f t="shared" si="8"/>
        <v>0</v>
      </c>
      <c r="D366" s="14">
        <f t="shared" si="7"/>
        <v>0</v>
      </c>
      <c r="E366" s="14"/>
      <c r="F366" s="38"/>
      <c r="G366" s="38"/>
    </row>
    <row r="367" spans="1:7" ht="15.75" thickBot="1">
      <c r="A367" s="3" t="s">
        <v>34</v>
      </c>
      <c r="B367" s="25"/>
      <c r="C367" s="30">
        <f t="shared" si="8"/>
        <v>0</v>
      </c>
      <c r="D367" s="14">
        <f t="shared" si="7"/>
        <v>0</v>
      </c>
      <c r="E367" s="14"/>
      <c r="F367" s="38"/>
      <c r="G367" s="38"/>
    </row>
    <row r="368" spans="1:7" ht="15.75" thickBot="1">
      <c r="A368" s="3" t="s">
        <v>35</v>
      </c>
      <c r="B368" s="25"/>
      <c r="C368" s="30">
        <f t="shared" si="8"/>
        <v>0</v>
      </c>
      <c r="D368" s="14">
        <f t="shared" si="7"/>
        <v>0</v>
      </c>
      <c r="E368" s="14"/>
      <c r="F368" s="38"/>
      <c r="G368" s="38"/>
    </row>
    <row r="369" spans="1:7" ht="15.75" thickBot="1">
      <c r="A369" s="3" t="s">
        <v>36</v>
      </c>
      <c r="B369" s="25"/>
      <c r="C369" s="30">
        <f t="shared" si="8"/>
        <v>0</v>
      </c>
      <c r="D369" s="14">
        <f t="shared" si="7"/>
        <v>0</v>
      </c>
      <c r="E369" s="14"/>
      <c r="F369" s="38"/>
      <c r="G369" s="38"/>
    </row>
    <row r="370" spans="1:7" ht="15.75" thickBot="1">
      <c r="A370" s="3" t="s">
        <v>37</v>
      </c>
      <c r="B370" s="25"/>
      <c r="C370" s="30">
        <f t="shared" si="8"/>
        <v>0</v>
      </c>
      <c r="D370" s="14">
        <f t="shared" si="7"/>
        <v>0</v>
      </c>
      <c r="E370" s="14"/>
      <c r="F370" s="38"/>
      <c r="G370" s="38"/>
    </row>
    <row r="371" spans="1:7" ht="15.75" thickBot="1">
      <c r="A371" s="3" t="s">
        <v>38</v>
      </c>
      <c r="B371" s="25"/>
      <c r="C371" s="30">
        <f t="shared" si="8"/>
        <v>0</v>
      </c>
      <c r="D371" s="14">
        <f t="shared" si="7"/>
        <v>0</v>
      </c>
      <c r="E371" s="14"/>
      <c r="F371" s="38"/>
      <c r="G371" s="38"/>
    </row>
    <row r="372" spans="1:7" ht="15.75" thickBot="1">
      <c r="A372" s="3" t="s">
        <v>39</v>
      </c>
      <c r="B372" s="25"/>
      <c r="C372" s="30">
        <f t="shared" si="8"/>
        <v>0</v>
      </c>
      <c r="D372" s="14">
        <f t="shared" si="7"/>
        <v>0</v>
      </c>
      <c r="E372" s="14"/>
      <c r="F372" s="38"/>
      <c r="G372" s="38"/>
    </row>
    <row r="373" spans="1:7" ht="15.75" thickBot="1">
      <c r="A373" s="3" t="s">
        <v>40</v>
      </c>
      <c r="B373" s="25"/>
      <c r="C373" s="30">
        <f t="shared" si="8"/>
        <v>0</v>
      </c>
      <c r="D373" s="14">
        <f t="shared" si="7"/>
        <v>0</v>
      </c>
      <c r="E373" s="14"/>
      <c r="F373" s="38"/>
      <c r="G373" s="38"/>
    </row>
    <row r="374" spans="1:7" ht="15.75" thickBot="1">
      <c r="A374" s="3" t="s">
        <v>41</v>
      </c>
      <c r="B374" s="25"/>
      <c r="C374" s="30">
        <f t="shared" si="8"/>
        <v>0</v>
      </c>
      <c r="D374" s="14">
        <f t="shared" si="7"/>
        <v>0</v>
      </c>
      <c r="E374" s="14"/>
      <c r="F374" s="38"/>
      <c r="G374" s="38"/>
    </row>
    <row r="375" spans="1:7" ht="15.75" thickBot="1">
      <c r="A375" s="3" t="s">
        <v>42</v>
      </c>
      <c r="B375" s="25"/>
      <c r="C375" s="30">
        <f t="shared" si="8"/>
        <v>0</v>
      </c>
      <c r="D375" s="14">
        <f t="shared" si="7"/>
        <v>0</v>
      </c>
      <c r="E375" s="14"/>
      <c r="F375" s="38"/>
      <c r="G375" s="38"/>
    </row>
    <row r="376" spans="1:7" ht="15.75" thickBot="1">
      <c r="A376" s="3" t="s">
        <v>43</v>
      </c>
      <c r="B376" s="25"/>
      <c r="C376" s="30">
        <f t="shared" si="8"/>
        <v>0</v>
      </c>
      <c r="D376" s="14">
        <f t="shared" si="7"/>
        <v>0</v>
      </c>
      <c r="E376" s="14"/>
      <c r="F376" s="38"/>
      <c r="G376" s="38"/>
    </row>
    <row r="377" spans="1:7" ht="15.75" thickBot="1">
      <c r="A377" s="3" t="s">
        <v>44</v>
      </c>
      <c r="B377" s="25"/>
      <c r="C377" s="30">
        <f t="shared" si="8"/>
        <v>0</v>
      </c>
      <c r="D377" s="14">
        <f t="shared" si="7"/>
        <v>0</v>
      </c>
      <c r="E377" s="14"/>
      <c r="F377" s="38"/>
      <c r="G377" s="38"/>
    </row>
    <row r="378" spans="1:7" ht="15.75" thickBot="1">
      <c r="A378" s="3" t="s">
        <v>45</v>
      </c>
      <c r="B378" s="25"/>
      <c r="C378" s="30">
        <f t="shared" si="8"/>
        <v>0</v>
      </c>
      <c r="D378" s="14">
        <f t="shared" si="7"/>
        <v>0</v>
      </c>
      <c r="E378" s="14"/>
      <c r="F378" s="38"/>
      <c r="G378" s="38"/>
    </row>
    <row r="379" spans="1:7" ht="15.75" thickBot="1">
      <c r="A379" s="3" t="s">
        <v>46</v>
      </c>
      <c r="B379" s="25"/>
      <c r="C379" s="30">
        <f t="shared" si="8"/>
        <v>0</v>
      </c>
      <c r="D379" s="14">
        <f t="shared" si="7"/>
        <v>0</v>
      </c>
      <c r="E379" s="14"/>
      <c r="F379" s="38"/>
      <c r="G379" s="38"/>
    </row>
    <row r="380" spans="1:7" ht="15.75" thickBot="1">
      <c r="A380" s="3" t="s">
        <v>47</v>
      </c>
      <c r="B380" s="25"/>
      <c r="C380" s="30">
        <f t="shared" si="8"/>
        <v>0</v>
      </c>
      <c r="D380" s="14">
        <f t="shared" si="7"/>
        <v>0</v>
      </c>
      <c r="E380" s="14"/>
      <c r="F380" s="38"/>
      <c r="G380" s="38"/>
    </row>
    <row r="381" spans="1:7" ht="15.75" thickBot="1">
      <c r="A381" s="3" t="s">
        <v>48</v>
      </c>
      <c r="B381" s="25"/>
      <c r="C381" s="30">
        <f t="shared" si="8"/>
        <v>0</v>
      </c>
      <c r="D381" s="14">
        <f t="shared" si="7"/>
        <v>0</v>
      </c>
      <c r="E381" s="14"/>
      <c r="F381" s="38"/>
      <c r="G381" s="38"/>
    </row>
    <row r="382" spans="1:7" ht="15.75" thickBot="1">
      <c r="A382" s="3" t="s">
        <v>49</v>
      </c>
      <c r="B382" s="25"/>
      <c r="C382" s="30">
        <f t="shared" si="8"/>
        <v>0</v>
      </c>
      <c r="D382" s="14">
        <f t="shared" si="7"/>
        <v>0</v>
      </c>
      <c r="E382" s="14"/>
      <c r="F382" s="38"/>
      <c r="G382" s="38"/>
    </row>
    <row r="383" spans="1:7" ht="15.75" thickBot="1">
      <c r="A383" s="3" t="s">
        <v>50</v>
      </c>
      <c r="B383" s="25"/>
      <c r="C383" s="30">
        <f t="shared" si="8"/>
        <v>0</v>
      </c>
      <c r="D383" s="14">
        <f t="shared" si="7"/>
        <v>0</v>
      </c>
      <c r="E383" s="14"/>
      <c r="F383" s="38"/>
      <c r="G383" s="38"/>
    </row>
    <row r="384" spans="1:7" ht="15.75" thickBot="1">
      <c r="A384" s="3" t="s">
        <v>51</v>
      </c>
      <c r="B384" s="25"/>
      <c r="C384" s="30">
        <f t="shared" si="8"/>
        <v>0</v>
      </c>
      <c r="D384" s="14">
        <f t="shared" si="7"/>
        <v>0</v>
      </c>
      <c r="E384" s="14"/>
      <c r="F384" s="38"/>
      <c r="G384" s="38"/>
    </row>
    <row r="385" spans="1:7" ht="15.75" thickBot="1">
      <c r="A385" s="3" t="s">
        <v>52</v>
      </c>
      <c r="B385" s="25"/>
      <c r="C385" s="30">
        <f t="shared" si="8"/>
        <v>0</v>
      </c>
      <c r="D385" s="14">
        <f t="shared" si="7"/>
        <v>0</v>
      </c>
      <c r="E385" s="14"/>
      <c r="F385" s="38"/>
      <c r="G385" s="38"/>
    </row>
    <row r="386" spans="1:7" ht="15.75" thickBot="1">
      <c r="A386" s="3" t="s">
        <v>53</v>
      </c>
      <c r="B386" s="23"/>
      <c r="C386" s="30">
        <f>B385</f>
        <v>0</v>
      </c>
      <c r="D386" s="14">
        <f>IF(B386=0,0,IF(B386&lt;=E$391,0,B386-E$391)/B386)</f>
        <v>0</v>
      </c>
      <c r="E386" s="14"/>
      <c r="F386" s="38"/>
      <c r="G386" s="38"/>
    </row>
    <row r="387" spans="1:7" ht="15.75" thickBot="1">
      <c r="A387" s="3" t="s">
        <v>53</v>
      </c>
      <c r="B387" s="3"/>
      <c r="C387" s="30">
        <f t="shared" si="8"/>
        <v>0</v>
      </c>
      <c r="D387" s="22" t="s">
        <v>69</v>
      </c>
      <c r="E387" s="1"/>
      <c r="F387" s="37"/>
      <c r="G387" s="39"/>
    </row>
    <row r="388" spans="1:7" ht="15.75" thickBot="1">
      <c r="A388" s="3"/>
      <c r="B388" s="3"/>
      <c r="D388" s="4" t="s">
        <v>69</v>
      </c>
      <c r="E388" s="15"/>
      <c r="F388" s="26"/>
      <c r="G388" s="26"/>
    </row>
    <row r="389" spans="1:7" ht="60.75" thickBot="1">
      <c r="A389" s="5" t="s">
        <v>55</v>
      </c>
      <c r="B389" s="3"/>
      <c r="D389" s="4" t="s">
        <v>69</v>
      </c>
      <c r="E389" s="12"/>
      <c r="F389" s="45"/>
      <c r="G389" s="46"/>
    </row>
    <row r="390" spans="1:7" ht="60.75" thickBot="1">
      <c r="A390" s="5" t="s">
        <v>56</v>
      </c>
      <c r="B390" s="4"/>
      <c r="D390" s="1"/>
      <c r="E390" s="1"/>
      <c r="F390" s="37"/>
      <c r="G390" s="37"/>
    </row>
    <row r="391" spans="1:7" ht="97.5" thickBot="1">
      <c r="A391" s="6" t="s">
        <v>57</v>
      </c>
      <c r="B391" s="4"/>
      <c r="D391" s="1"/>
      <c r="E391" s="1"/>
      <c r="F391" s="37"/>
      <c r="G391" s="37"/>
    </row>
    <row r="394" spans="1:7">
      <c r="A394" s="16" t="s">
        <v>64</v>
      </c>
      <c r="B394" s="17" t="e">
        <f>AVERAGE(B342:B381)</f>
        <v>#DIV/0!</v>
      </c>
    </row>
    <row r="395" spans="1:7">
      <c r="A395" s="16" t="s">
        <v>65</v>
      </c>
      <c r="B395" s="18" t="e">
        <f>AVERAGE(B347:B376)</f>
        <v>#DIV/0!</v>
      </c>
    </row>
    <row r="396" spans="1:7">
      <c r="A396" s="16" t="s">
        <v>66</v>
      </c>
      <c r="B396" s="18" t="e">
        <f>AVERAGE(B353:B371)</f>
        <v>#DIV/0!</v>
      </c>
    </row>
    <row r="400" spans="1:7" ht="15.75" thickBot="1"/>
    <row r="401" spans="1:7" ht="15.75" thickBot="1">
      <c r="A401" s="522" t="s">
        <v>0</v>
      </c>
      <c r="B401" s="532" t="s">
        <v>71</v>
      </c>
      <c r="C401" s="533"/>
      <c r="D401" s="534"/>
      <c r="E401" s="19" t="e">
        <f>(1-E456)^(1/3)-1</f>
        <v>#DIV/0!</v>
      </c>
      <c r="F401" s="19" t="e">
        <f>(1-F456)^(1/3)-1</f>
        <v>#DIV/0!</v>
      </c>
      <c r="G401" s="19"/>
    </row>
    <row r="402" spans="1:7" ht="72.75" thickBot="1">
      <c r="A402" s="523"/>
      <c r="B402" s="7" t="s">
        <v>4</v>
      </c>
      <c r="C402">
        <v>0</v>
      </c>
      <c r="D402" s="1" t="s">
        <v>5</v>
      </c>
      <c r="E402" s="1" t="s">
        <v>5</v>
      </c>
      <c r="F402" s="37" t="s">
        <v>5</v>
      </c>
      <c r="G402" s="37"/>
    </row>
    <row r="403" spans="1:7" ht="73.5" thickBot="1">
      <c r="A403" s="524"/>
      <c r="B403" s="4" t="s">
        <v>73</v>
      </c>
      <c r="C403" s="30" t="str">
        <f>B402</f>
        <v>Фактическое удельное годовое потребление</v>
      </c>
      <c r="D403" s="20" t="s">
        <v>7</v>
      </c>
      <c r="E403" s="9" t="s">
        <v>65</v>
      </c>
      <c r="F403" s="47"/>
      <c r="G403" s="48"/>
    </row>
    <row r="404" spans="1:7" ht="25.5" thickBot="1">
      <c r="A404" s="2">
        <v>1</v>
      </c>
      <c r="B404" s="2"/>
      <c r="C404" s="30" t="str">
        <f t="shared" ref="C404:C452" si="9">B403</f>
        <v>кгут / кв. м</v>
      </c>
      <c r="D404" s="4" t="s">
        <v>73</v>
      </c>
      <c r="E404" s="10">
        <v>5</v>
      </c>
      <c r="F404" s="43">
        <v>6</v>
      </c>
      <c r="G404" s="44"/>
    </row>
    <row r="405" spans="1:7" ht="15.75" thickBot="1">
      <c r="A405" s="8" t="s">
        <v>10</v>
      </c>
      <c r="B405" s="3"/>
      <c r="C405" s="30">
        <f t="shared" si="9"/>
        <v>0</v>
      </c>
      <c r="D405" s="21"/>
      <c r="E405" s="14"/>
      <c r="F405" s="38"/>
      <c r="G405" s="38"/>
    </row>
    <row r="406" spans="1:7" ht="15.75" thickBot="1">
      <c r="A406" s="8" t="s">
        <v>58</v>
      </c>
      <c r="B406" s="3"/>
      <c r="C406" s="30">
        <f t="shared" si="9"/>
        <v>0</v>
      </c>
      <c r="D406" s="4"/>
      <c r="E406" s="14"/>
      <c r="F406" s="38"/>
      <c r="G406" s="38"/>
    </row>
    <row r="407" spans="1:7" ht="15.75" thickBot="1">
      <c r="A407" s="8" t="s">
        <v>59</v>
      </c>
      <c r="B407" s="3"/>
      <c r="C407" s="30">
        <f t="shared" si="9"/>
        <v>0</v>
      </c>
      <c r="D407" s="4"/>
      <c r="E407" s="14"/>
      <c r="F407" s="38"/>
      <c r="G407" s="38"/>
    </row>
    <row r="408" spans="1:7" ht="15.75" thickBot="1">
      <c r="A408" s="8" t="s">
        <v>60</v>
      </c>
      <c r="B408" s="3"/>
      <c r="C408" s="30">
        <f t="shared" si="9"/>
        <v>0</v>
      </c>
      <c r="D408" s="4"/>
      <c r="E408" s="14"/>
      <c r="F408" s="38"/>
      <c r="G408" s="38"/>
    </row>
    <row r="409" spans="1:7" ht="15.75" thickBot="1">
      <c r="A409" s="8" t="s">
        <v>61</v>
      </c>
      <c r="B409" s="3"/>
      <c r="C409" s="30">
        <f t="shared" si="9"/>
        <v>0</v>
      </c>
      <c r="D409" s="4"/>
      <c r="E409" s="14"/>
      <c r="F409" s="38"/>
      <c r="G409" s="38"/>
    </row>
    <row r="410" spans="1:7" ht="15.75" thickBot="1">
      <c r="A410" s="8" t="s">
        <v>62</v>
      </c>
      <c r="B410" s="3"/>
      <c r="C410" s="30">
        <f t="shared" si="9"/>
        <v>0</v>
      </c>
      <c r="D410" s="4"/>
      <c r="E410" s="14"/>
      <c r="F410" s="38"/>
      <c r="G410" s="38"/>
    </row>
    <row r="411" spans="1:7" ht="15.75" thickBot="1">
      <c r="A411" s="8" t="s">
        <v>63</v>
      </c>
      <c r="B411" s="3"/>
      <c r="C411" s="30">
        <f t="shared" si="9"/>
        <v>0</v>
      </c>
      <c r="D411" s="4"/>
      <c r="E411" s="14"/>
      <c r="F411" s="38"/>
      <c r="G411" s="38"/>
    </row>
    <row r="412" spans="1:7" ht="15.75" thickBot="1">
      <c r="A412" s="3" t="s">
        <v>11</v>
      </c>
      <c r="B412" s="3"/>
      <c r="C412" s="30">
        <f t="shared" si="9"/>
        <v>0</v>
      </c>
      <c r="D412" s="4"/>
      <c r="E412" s="14"/>
      <c r="F412" s="38"/>
      <c r="G412" s="38"/>
    </row>
    <row r="413" spans="1:7" ht="15.75" thickBot="1">
      <c r="A413" s="3" t="s">
        <v>12</v>
      </c>
      <c r="B413" s="3"/>
      <c r="C413" s="30">
        <f t="shared" si="9"/>
        <v>0</v>
      </c>
      <c r="D413" s="4"/>
      <c r="E413" s="14"/>
      <c r="F413" s="38"/>
      <c r="G413" s="38"/>
    </row>
    <row r="414" spans="1:7" ht="15.75" thickBot="1">
      <c r="A414" s="3" t="s">
        <v>13</v>
      </c>
      <c r="B414" s="3"/>
      <c r="C414" s="30">
        <f t="shared" si="9"/>
        <v>0</v>
      </c>
      <c r="D414" s="4"/>
      <c r="E414" s="14"/>
      <c r="F414" s="38"/>
      <c r="G414" s="38"/>
    </row>
    <row r="415" spans="1:7" ht="15.75" thickBot="1">
      <c r="A415" s="3" t="s">
        <v>14</v>
      </c>
      <c r="B415" s="3"/>
      <c r="C415" s="30">
        <f t="shared" si="9"/>
        <v>0</v>
      </c>
      <c r="D415" s="4"/>
      <c r="E415" s="14"/>
      <c r="F415" s="38"/>
      <c r="G415" s="38"/>
    </row>
    <row r="416" spans="1:7" ht="15.75" thickBot="1">
      <c r="A416" s="3" t="s">
        <v>15</v>
      </c>
      <c r="B416" s="3"/>
      <c r="C416" s="30">
        <f t="shared" si="9"/>
        <v>0</v>
      </c>
      <c r="D416" s="4"/>
      <c r="E416" s="14"/>
      <c r="F416" s="38"/>
      <c r="G416" s="38"/>
    </row>
    <row r="417" spans="1:7" ht="15.75" thickBot="1">
      <c r="A417" s="3" t="s">
        <v>16</v>
      </c>
      <c r="B417" s="3"/>
      <c r="C417" s="30">
        <f t="shared" si="9"/>
        <v>0</v>
      </c>
      <c r="D417" s="4"/>
      <c r="E417" s="14"/>
      <c r="F417" s="38"/>
      <c r="G417" s="38"/>
    </row>
    <row r="418" spans="1:7" ht="15.75" thickBot="1">
      <c r="A418" s="3" t="s">
        <v>17</v>
      </c>
      <c r="B418" s="3"/>
      <c r="C418" s="30">
        <f t="shared" si="9"/>
        <v>0</v>
      </c>
      <c r="D418" s="4"/>
      <c r="E418" s="14"/>
      <c r="F418" s="38"/>
      <c r="G418" s="38"/>
    </row>
    <row r="419" spans="1:7" ht="15.75" thickBot="1">
      <c r="A419" s="3" t="s">
        <v>18</v>
      </c>
      <c r="B419" s="3"/>
      <c r="C419" s="30">
        <f t="shared" si="9"/>
        <v>0</v>
      </c>
      <c r="D419" s="4"/>
      <c r="E419" s="14"/>
      <c r="F419" s="38"/>
      <c r="G419" s="38"/>
    </row>
    <row r="420" spans="1:7" ht="15.75" thickBot="1">
      <c r="A420" s="3" t="s">
        <v>19</v>
      </c>
      <c r="B420" s="3"/>
      <c r="C420" s="30">
        <f t="shared" si="9"/>
        <v>0</v>
      </c>
      <c r="D420" s="4"/>
      <c r="E420" s="14"/>
      <c r="F420" s="38"/>
      <c r="G420" s="38"/>
    </row>
    <row r="421" spans="1:7" ht="15.75" thickBot="1">
      <c r="A421" s="3" t="s">
        <v>20</v>
      </c>
      <c r="B421" s="3"/>
      <c r="C421" s="30">
        <f t="shared" si="9"/>
        <v>0</v>
      </c>
      <c r="D421" s="4"/>
      <c r="E421" s="14"/>
      <c r="F421" s="38"/>
      <c r="G421" s="38"/>
    </row>
    <row r="422" spans="1:7" ht="15.75" thickBot="1">
      <c r="A422" s="3" t="s">
        <v>21</v>
      </c>
      <c r="B422" s="3"/>
      <c r="C422" s="30">
        <f t="shared" si="9"/>
        <v>0</v>
      </c>
      <c r="D422" s="4"/>
      <c r="E422" s="14"/>
      <c r="F422" s="38"/>
      <c r="G422" s="38"/>
    </row>
    <row r="423" spans="1:7" ht="15.75" thickBot="1">
      <c r="A423" s="3" t="s">
        <v>22</v>
      </c>
      <c r="B423" s="3"/>
      <c r="C423" s="30">
        <f t="shared" si="9"/>
        <v>0</v>
      </c>
      <c r="D423" s="4"/>
      <c r="E423" s="14"/>
      <c r="F423" s="38"/>
      <c r="G423" s="38"/>
    </row>
    <row r="424" spans="1:7" ht="15.75" thickBot="1">
      <c r="A424" s="3" t="s">
        <v>23</v>
      </c>
      <c r="B424" s="3"/>
      <c r="C424" s="30">
        <f t="shared" si="9"/>
        <v>0</v>
      </c>
      <c r="D424" s="4"/>
      <c r="E424" s="14"/>
      <c r="F424" s="38"/>
      <c r="G424" s="38"/>
    </row>
    <row r="425" spans="1:7" ht="15.75" thickBot="1">
      <c r="A425" s="3" t="s">
        <v>24</v>
      </c>
      <c r="B425" s="3"/>
      <c r="C425" s="30">
        <f t="shared" si="9"/>
        <v>0</v>
      </c>
      <c r="D425" s="4"/>
      <c r="E425" s="14"/>
      <c r="F425" s="38"/>
      <c r="G425" s="38"/>
    </row>
    <row r="426" spans="1:7" ht="15.75" thickBot="1">
      <c r="A426" s="3" t="s">
        <v>25</v>
      </c>
      <c r="B426" s="3"/>
      <c r="C426" s="30">
        <f t="shared" si="9"/>
        <v>0</v>
      </c>
      <c r="D426" s="4"/>
      <c r="E426" s="14"/>
      <c r="F426" s="38"/>
      <c r="G426" s="38"/>
    </row>
    <row r="427" spans="1:7" ht="15.75" thickBot="1">
      <c r="A427" s="3" t="s">
        <v>26</v>
      </c>
      <c r="B427" s="3"/>
      <c r="C427" s="30">
        <f t="shared" si="9"/>
        <v>0</v>
      </c>
      <c r="D427" s="4"/>
      <c r="E427" s="14"/>
      <c r="F427" s="38"/>
      <c r="G427" s="38"/>
    </row>
    <row r="428" spans="1:7" ht="15.75" thickBot="1">
      <c r="A428" s="3" t="s">
        <v>27</v>
      </c>
      <c r="B428" s="3"/>
      <c r="C428" s="30">
        <f t="shared" si="9"/>
        <v>0</v>
      </c>
      <c r="D428" s="4"/>
      <c r="E428" s="14"/>
      <c r="F428" s="38"/>
      <c r="G428" s="38"/>
    </row>
    <row r="429" spans="1:7" ht="15.75" thickBot="1">
      <c r="A429" s="3" t="s">
        <v>28</v>
      </c>
      <c r="B429" s="3"/>
      <c r="C429" s="30">
        <f t="shared" si="9"/>
        <v>0</v>
      </c>
      <c r="D429" s="4"/>
      <c r="E429" s="14"/>
      <c r="F429" s="38"/>
      <c r="G429" s="38"/>
    </row>
    <row r="430" spans="1:7" ht="15.75" thickBot="1">
      <c r="A430" s="3" t="s">
        <v>29</v>
      </c>
      <c r="B430" s="3"/>
      <c r="C430" s="30">
        <f t="shared" si="9"/>
        <v>0</v>
      </c>
      <c r="D430" s="4"/>
      <c r="E430" s="14"/>
      <c r="F430" s="38"/>
      <c r="G430" s="38"/>
    </row>
    <row r="431" spans="1:7" ht="15.75" thickBot="1">
      <c r="A431" s="3" t="s">
        <v>30</v>
      </c>
      <c r="B431" s="3"/>
      <c r="C431" s="30">
        <f t="shared" si="9"/>
        <v>0</v>
      </c>
      <c r="D431" s="4"/>
      <c r="E431" s="14"/>
      <c r="F431" s="38"/>
      <c r="G431" s="38"/>
    </row>
    <row r="432" spans="1:7" ht="15.75" thickBot="1">
      <c r="A432" s="3" t="s">
        <v>31</v>
      </c>
      <c r="B432" s="3"/>
      <c r="C432" s="30">
        <f t="shared" si="9"/>
        <v>0</v>
      </c>
      <c r="D432" s="4"/>
      <c r="E432" s="14"/>
      <c r="F432" s="38"/>
      <c r="G432" s="38"/>
    </row>
    <row r="433" spans="1:7" ht="15.75" thickBot="1">
      <c r="A433" s="3" t="s">
        <v>32</v>
      </c>
      <c r="B433" s="3"/>
      <c r="C433" s="30">
        <f t="shared" si="9"/>
        <v>0</v>
      </c>
      <c r="D433" s="4"/>
      <c r="E433" s="14"/>
      <c r="F433" s="38"/>
      <c r="G433" s="38"/>
    </row>
    <row r="434" spans="1:7" ht="15.75" thickBot="1">
      <c r="A434" s="3" t="s">
        <v>33</v>
      </c>
      <c r="B434" s="3"/>
      <c r="C434" s="30">
        <f t="shared" si="9"/>
        <v>0</v>
      </c>
      <c r="D434" s="4"/>
      <c r="E434" s="14"/>
      <c r="F434" s="38"/>
      <c r="G434" s="38"/>
    </row>
    <row r="435" spans="1:7" ht="15.75" thickBot="1">
      <c r="A435" s="3" t="s">
        <v>34</v>
      </c>
      <c r="B435" s="3"/>
      <c r="C435" s="30">
        <f t="shared" si="9"/>
        <v>0</v>
      </c>
      <c r="D435" s="4"/>
      <c r="E435" s="14"/>
      <c r="F435" s="38"/>
      <c r="G435" s="38"/>
    </row>
    <row r="436" spans="1:7" ht="15.75" thickBot="1">
      <c r="A436" s="3" t="s">
        <v>35</v>
      </c>
      <c r="B436" s="3"/>
      <c r="C436" s="30">
        <f t="shared" si="9"/>
        <v>0</v>
      </c>
      <c r="D436" s="4"/>
      <c r="E436" s="14"/>
      <c r="F436" s="38"/>
      <c r="G436" s="38"/>
    </row>
    <row r="437" spans="1:7" ht="15.75" thickBot="1">
      <c r="A437" s="3" t="s">
        <v>36</v>
      </c>
      <c r="B437" s="3"/>
      <c r="C437" s="30">
        <f t="shared" si="9"/>
        <v>0</v>
      </c>
      <c r="D437" s="4"/>
      <c r="E437" s="14"/>
      <c r="F437" s="38"/>
      <c r="G437" s="38"/>
    </row>
    <row r="438" spans="1:7" ht="15.75" thickBot="1">
      <c r="A438" s="3" t="s">
        <v>37</v>
      </c>
      <c r="B438" s="3"/>
      <c r="C438" s="30">
        <f t="shared" si="9"/>
        <v>0</v>
      </c>
      <c r="D438" s="4"/>
      <c r="E438" s="14"/>
      <c r="F438" s="38"/>
      <c r="G438" s="38"/>
    </row>
    <row r="439" spans="1:7" ht="15.75" thickBot="1">
      <c r="A439" s="3" t="s">
        <v>38</v>
      </c>
      <c r="B439" s="3"/>
      <c r="C439" s="30">
        <f t="shared" si="9"/>
        <v>0</v>
      </c>
      <c r="D439" s="4"/>
      <c r="E439" s="14"/>
      <c r="F439" s="38"/>
      <c r="G439" s="38"/>
    </row>
    <row r="440" spans="1:7" ht="15.75" thickBot="1">
      <c r="A440" s="3" t="s">
        <v>39</v>
      </c>
      <c r="B440" s="3"/>
      <c r="C440" s="30">
        <f t="shared" si="9"/>
        <v>0</v>
      </c>
      <c r="D440" s="4"/>
      <c r="E440" s="14"/>
      <c r="F440" s="38"/>
      <c r="G440" s="38"/>
    </row>
    <row r="441" spans="1:7" ht="15.75" thickBot="1">
      <c r="A441" s="3" t="s">
        <v>40</v>
      </c>
      <c r="B441" s="3"/>
      <c r="C441" s="30">
        <f t="shared" si="9"/>
        <v>0</v>
      </c>
      <c r="D441" s="4"/>
      <c r="E441" s="14"/>
      <c r="F441" s="38"/>
      <c r="G441" s="38"/>
    </row>
    <row r="442" spans="1:7" ht="15.75" thickBot="1">
      <c r="A442" s="3" t="s">
        <v>41</v>
      </c>
      <c r="B442" s="3"/>
      <c r="C442" s="30">
        <f t="shared" si="9"/>
        <v>0</v>
      </c>
      <c r="D442" s="4"/>
      <c r="E442" s="14"/>
      <c r="F442" s="38"/>
      <c r="G442" s="38"/>
    </row>
    <row r="443" spans="1:7" ht="15.75" thickBot="1">
      <c r="A443" s="3" t="s">
        <v>42</v>
      </c>
      <c r="B443" s="3"/>
      <c r="C443" s="30">
        <f t="shared" si="9"/>
        <v>0</v>
      </c>
      <c r="D443" s="4"/>
      <c r="E443" s="14"/>
      <c r="F443" s="38"/>
      <c r="G443" s="38"/>
    </row>
    <row r="444" spans="1:7" ht="15.75" thickBot="1">
      <c r="A444" s="3" t="s">
        <v>43</v>
      </c>
      <c r="B444" s="3"/>
      <c r="C444" s="30">
        <f t="shared" si="9"/>
        <v>0</v>
      </c>
      <c r="D444" s="4"/>
      <c r="E444" s="14"/>
      <c r="F444" s="38"/>
      <c r="G444" s="38"/>
    </row>
    <row r="445" spans="1:7" ht="15.75" thickBot="1">
      <c r="A445" s="3" t="s">
        <v>44</v>
      </c>
      <c r="B445" s="3"/>
      <c r="C445" s="30">
        <f t="shared" si="9"/>
        <v>0</v>
      </c>
      <c r="D445" s="4"/>
      <c r="E445" s="14"/>
      <c r="F445" s="38"/>
      <c r="G445" s="38"/>
    </row>
    <row r="446" spans="1:7" ht="15.75" thickBot="1">
      <c r="A446" s="3" t="s">
        <v>45</v>
      </c>
      <c r="B446" s="3"/>
      <c r="C446" s="30">
        <f t="shared" si="9"/>
        <v>0</v>
      </c>
      <c r="D446" s="4"/>
      <c r="E446" s="14"/>
      <c r="F446" s="38"/>
      <c r="G446" s="38"/>
    </row>
    <row r="447" spans="1:7" ht="15.75" thickBot="1">
      <c r="A447" s="3" t="s">
        <v>46</v>
      </c>
      <c r="B447" s="3"/>
      <c r="C447" s="30">
        <f t="shared" si="9"/>
        <v>0</v>
      </c>
      <c r="D447" s="4"/>
      <c r="E447" s="14"/>
      <c r="F447" s="38"/>
      <c r="G447" s="38"/>
    </row>
    <row r="448" spans="1:7" ht="15.75" thickBot="1">
      <c r="A448" s="3" t="s">
        <v>47</v>
      </c>
      <c r="B448" s="3"/>
      <c r="C448" s="30">
        <f t="shared" si="9"/>
        <v>0</v>
      </c>
      <c r="D448" s="4"/>
      <c r="E448" s="14"/>
      <c r="F448" s="38"/>
      <c r="G448" s="38"/>
    </row>
    <row r="449" spans="1:7" ht="15.75" thickBot="1">
      <c r="A449" s="3" t="s">
        <v>48</v>
      </c>
      <c r="B449" s="3"/>
      <c r="C449" s="30">
        <f t="shared" si="9"/>
        <v>0</v>
      </c>
      <c r="D449" s="4"/>
      <c r="E449" s="14"/>
      <c r="F449" s="38"/>
      <c r="G449" s="38"/>
    </row>
    <row r="450" spans="1:7" ht="15.75" thickBot="1">
      <c r="A450" s="3" t="s">
        <v>49</v>
      </c>
      <c r="B450" s="3"/>
      <c r="C450" s="30">
        <f t="shared" si="9"/>
        <v>0</v>
      </c>
      <c r="D450" s="4"/>
      <c r="E450" s="14"/>
      <c r="F450" s="38"/>
      <c r="G450" s="38"/>
    </row>
    <row r="451" spans="1:7" ht="15.75" thickBot="1">
      <c r="A451" s="3" t="s">
        <v>50</v>
      </c>
      <c r="B451" s="3"/>
      <c r="C451" s="30">
        <f>B450</f>
        <v>0</v>
      </c>
      <c r="D451" s="4"/>
      <c r="E451" s="14"/>
      <c r="F451" s="38"/>
      <c r="G451" s="38"/>
    </row>
    <row r="452" spans="1:7" ht="15.75" thickBot="1">
      <c r="A452" s="3" t="s">
        <v>51</v>
      </c>
      <c r="B452" s="3"/>
      <c r="C452" s="30">
        <f t="shared" si="9"/>
        <v>0</v>
      </c>
      <c r="D452" s="4"/>
      <c r="E452" s="14"/>
      <c r="F452" s="38"/>
      <c r="G452" s="38"/>
    </row>
    <row r="453" spans="1:7" ht="15.75" thickBot="1">
      <c r="A453" s="3" t="s">
        <v>52</v>
      </c>
      <c r="B453" s="3"/>
      <c r="D453" s="4"/>
      <c r="E453" s="14"/>
      <c r="F453" s="38"/>
      <c r="G453" s="38"/>
    </row>
    <row r="454" spans="1:7" ht="15.75" thickBot="1">
      <c r="A454" s="3" t="s">
        <v>53</v>
      </c>
      <c r="B454" s="3"/>
      <c r="D454" s="4"/>
      <c r="E454" s="14"/>
      <c r="F454" s="38"/>
      <c r="G454" s="38"/>
    </row>
    <row r="455" spans="1:7" ht="15.75" thickBot="1">
      <c r="A455" s="3" t="s">
        <v>53</v>
      </c>
      <c r="B455" s="3"/>
      <c r="D455" s="22"/>
      <c r="E455" s="1"/>
      <c r="F455" s="37"/>
      <c r="G455" s="39"/>
    </row>
    <row r="456" spans="1:7" ht="15.75" thickBot="1">
      <c r="A456" s="3"/>
      <c r="B456" s="3"/>
      <c r="D456" s="4"/>
      <c r="E456" s="15" t="e">
        <f>AVERAGE(E405:E454)</f>
        <v>#DIV/0!</v>
      </c>
      <c r="F456" s="26" t="e">
        <f>AVERAGE(F405:F454)</f>
        <v>#DIV/0!</v>
      </c>
      <c r="G456" s="26"/>
    </row>
    <row r="457" spans="1:7" ht="60.75" thickBot="1">
      <c r="A457" s="5" t="s">
        <v>55</v>
      </c>
      <c r="B457" s="3"/>
      <c r="D457" s="4"/>
      <c r="E457" s="12" t="e">
        <f>B462</f>
        <v>#DIV/0!</v>
      </c>
      <c r="F457" s="45" t="e">
        <f>B463</f>
        <v>#DIV/0!</v>
      </c>
      <c r="G457" s="46"/>
    </row>
    <row r="458" spans="1:7" ht="60.75" thickBot="1">
      <c r="A458" s="5" t="s">
        <v>56</v>
      </c>
      <c r="B458" s="4"/>
      <c r="D458" s="1"/>
      <c r="E458" s="1"/>
      <c r="F458" s="37"/>
      <c r="G458" s="37"/>
    </row>
    <row r="459" spans="1:7" ht="97.5" thickBot="1">
      <c r="A459" s="6" t="s">
        <v>57</v>
      </c>
      <c r="B459" s="4"/>
      <c r="D459" s="1"/>
      <c r="E459" s="1" t="e">
        <f>0.6*E457</f>
        <v>#DIV/0!</v>
      </c>
      <c r="F459" s="37" t="e">
        <f>0.6*F457</f>
        <v>#DIV/0!</v>
      </c>
      <c r="G459" s="37"/>
    </row>
    <row r="462" spans="1:7">
      <c r="A462" s="16" t="s">
        <v>64</v>
      </c>
      <c r="B462" s="17" t="e">
        <f>AVERAGE(B410:B449)</f>
        <v>#DIV/0!</v>
      </c>
    </row>
    <row r="463" spans="1:7">
      <c r="A463" s="16" t="s">
        <v>65</v>
      </c>
      <c r="B463" s="18" t="e">
        <f>AVERAGE(B415:B444)</f>
        <v>#DIV/0!</v>
      </c>
    </row>
    <row r="464" spans="1:7">
      <c r="A464" s="16" t="s">
        <v>66</v>
      </c>
      <c r="B464" s="18" t="e">
        <f>AVERAGE(B421:B439)</f>
        <v>#DIV/0!</v>
      </c>
    </row>
  </sheetData>
  <mergeCells count="14">
    <mergeCell ref="A401:A403"/>
    <mergeCell ref="B401:D401"/>
    <mergeCell ref="A200:A202"/>
    <mergeCell ref="B200:D200"/>
    <mergeCell ref="A266:A268"/>
    <mergeCell ref="B266:D266"/>
    <mergeCell ref="A333:A335"/>
    <mergeCell ref="B333:D333"/>
    <mergeCell ref="A2:A4"/>
    <mergeCell ref="B2:D2"/>
    <mergeCell ref="A69:A71"/>
    <mergeCell ref="B69:D69"/>
    <mergeCell ref="A134:A136"/>
    <mergeCell ref="B134:D134"/>
  </mergeCells>
  <pageMargins left="0.7" right="0.7" top="0.75" bottom="0.75" header="0.3" footer="0.3"/>
  <pageSetup paperSize="9" orientation="portrait" horizontalDpi="4294967295" verticalDpi="4294967295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Лист14">
    <tabColor rgb="FF92D050"/>
  </sheetPr>
  <dimension ref="A1:G464"/>
  <sheetViews>
    <sheetView topLeftCell="A487" workbookViewId="0">
      <selection activeCell="E354" sqref="E353:E354"/>
    </sheetView>
  </sheetViews>
  <sheetFormatPr defaultColWidth="8.7109375" defaultRowHeight="15"/>
  <cols>
    <col min="3" max="3" width="9.140625"/>
    <col min="5" max="5" width="9.42578125" bestFit="1" customWidth="1"/>
    <col min="6" max="6" width="8.7109375" style="36"/>
    <col min="7" max="7" width="9.42578125" style="36" bestFit="1" customWidth="1"/>
  </cols>
  <sheetData>
    <row r="1" spans="1:7" ht="15.75" thickBot="1">
      <c r="D1" s="13">
        <v>0.1</v>
      </c>
      <c r="E1" s="13">
        <v>0.4</v>
      </c>
    </row>
    <row r="2" spans="1:7" ht="23.25" customHeight="1" thickBot="1">
      <c r="A2" s="522" t="s">
        <v>0</v>
      </c>
      <c r="B2" s="467" t="s">
        <v>1</v>
      </c>
      <c r="C2" s="468"/>
      <c r="D2" s="469"/>
      <c r="E2" s="19">
        <f>(1-E57)^(1/3)-1</f>
        <v>-3.0446495698125187E-2</v>
      </c>
      <c r="F2" s="19">
        <f>(1-F57)^(1/3)-1</f>
        <v>-3.7547948890700233E-2</v>
      </c>
      <c r="G2" s="19"/>
    </row>
    <row r="3" spans="1:7" ht="72.75" thickBot="1">
      <c r="A3" s="523"/>
      <c r="B3" s="1" t="s">
        <v>4</v>
      </c>
      <c r="C3" s="1"/>
      <c r="D3" s="1" t="s">
        <v>80</v>
      </c>
      <c r="E3" s="1" t="s">
        <v>5</v>
      </c>
      <c r="F3" s="37" t="s">
        <v>5</v>
      </c>
      <c r="G3" s="37"/>
    </row>
    <row r="4" spans="1:7" ht="16.5" customHeight="1" thickBot="1">
      <c r="A4" s="524"/>
      <c r="B4" s="1" t="s">
        <v>6</v>
      </c>
      <c r="C4" s="1"/>
      <c r="D4" s="1" t="s">
        <v>7</v>
      </c>
      <c r="E4" s="1" t="s">
        <v>7</v>
      </c>
      <c r="F4" s="37" t="s">
        <v>7</v>
      </c>
      <c r="G4" s="37"/>
    </row>
    <row r="5" spans="1:7">
      <c r="A5" s="50">
        <v>1</v>
      </c>
      <c r="B5" s="51">
        <v>2</v>
      </c>
      <c r="C5" s="51"/>
      <c r="D5" s="51">
        <v>3</v>
      </c>
      <c r="E5" s="51">
        <v>4</v>
      </c>
      <c r="F5" s="52">
        <v>5</v>
      </c>
      <c r="G5" s="52"/>
    </row>
    <row r="6" spans="1:7">
      <c r="A6" s="27" t="s">
        <v>10</v>
      </c>
      <c r="B6" s="30">
        <v>1</v>
      </c>
      <c r="C6" s="30">
        <v>0</v>
      </c>
      <c r="D6" s="14">
        <v>0</v>
      </c>
      <c r="E6" s="14">
        <v>0</v>
      </c>
      <c r="F6" s="38">
        <v>0</v>
      </c>
      <c r="G6" s="38">
        <v>0</v>
      </c>
    </row>
    <row r="7" spans="1:7">
      <c r="A7" s="27" t="s">
        <v>58</v>
      </c>
      <c r="B7" s="28">
        <v>1.7</v>
      </c>
      <c r="C7" s="30">
        <f>B6</f>
        <v>1</v>
      </c>
      <c r="D7" s="14">
        <v>0</v>
      </c>
      <c r="E7" s="14">
        <v>0</v>
      </c>
      <c r="F7" s="38">
        <v>0</v>
      </c>
      <c r="G7" s="38">
        <v>0</v>
      </c>
    </row>
    <row r="8" spans="1:7">
      <c r="A8" s="27" t="s">
        <v>59</v>
      </c>
      <c r="B8" s="30">
        <v>2</v>
      </c>
      <c r="C8" s="30">
        <f t="shared" ref="C8:C56" si="0">B7</f>
        <v>1.7</v>
      </c>
      <c r="D8" s="14">
        <v>0</v>
      </c>
      <c r="E8" s="14">
        <v>0</v>
      </c>
      <c r="F8" s="38">
        <v>0</v>
      </c>
      <c r="G8" s="38">
        <v>0</v>
      </c>
    </row>
    <row r="9" spans="1:7">
      <c r="A9" s="27" t="s">
        <v>60</v>
      </c>
      <c r="B9" s="28">
        <v>2.2999999999999998</v>
      </c>
      <c r="C9" s="30">
        <f t="shared" si="0"/>
        <v>2</v>
      </c>
      <c r="D9" s="14">
        <v>0</v>
      </c>
      <c r="E9" s="14">
        <v>0</v>
      </c>
      <c r="F9" s="38">
        <v>0</v>
      </c>
      <c r="G9" s="38">
        <v>0</v>
      </c>
    </row>
    <row r="10" spans="1:7">
      <c r="A10" s="27" t="s">
        <v>61</v>
      </c>
      <c r="B10" s="28">
        <v>2.6</v>
      </c>
      <c r="C10" s="30">
        <f t="shared" si="0"/>
        <v>2.2999999999999998</v>
      </c>
      <c r="D10" s="14">
        <v>0</v>
      </c>
      <c r="E10" s="14">
        <v>0</v>
      </c>
      <c r="F10" s="38">
        <v>0</v>
      </c>
      <c r="G10" s="38">
        <v>0</v>
      </c>
    </row>
    <row r="11" spans="1:7">
      <c r="A11" s="27" t="s">
        <v>62</v>
      </c>
      <c r="B11" s="28">
        <v>2.9</v>
      </c>
      <c r="C11" s="30">
        <f t="shared" si="0"/>
        <v>2.6</v>
      </c>
      <c r="D11" s="14">
        <v>0</v>
      </c>
      <c r="E11" s="14">
        <v>0</v>
      </c>
      <c r="F11" s="38">
        <v>0</v>
      </c>
      <c r="G11" s="38">
        <v>0</v>
      </c>
    </row>
    <row r="12" spans="1:7">
      <c r="A12" s="27" t="s">
        <v>63</v>
      </c>
      <c r="B12" s="28">
        <v>3.2</v>
      </c>
      <c r="C12" s="30">
        <f t="shared" si="0"/>
        <v>2.9</v>
      </c>
      <c r="D12" s="14">
        <v>0</v>
      </c>
      <c r="E12" s="14">
        <v>0</v>
      </c>
      <c r="F12" s="38">
        <v>0</v>
      </c>
      <c r="G12" s="38">
        <v>0</v>
      </c>
    </row>
    <row r="13" spans="1:7">
      <c r="A13" s="29" t="s">
        <v>11</v>
      </c>
      <c r="B13" s="28">
        <v>3.4</v>
      </c>
      <c r="C13" s="30">
        <f t="shared" si="0"/>
        <v>3.2</v>
      </c>
      <c r="D13" s="14">
        <v>0</v>
      </c>
      <c r="E13" s="14">
        <v>0</v>
      </c>
      <c r="F13" s="38">
        <v>0</v>
      </c>
      <c r="G13" s="38">
        <v>0</v>
      </c>
    </row>
    <row r="14" spans="1:7">
      <c r="A14" s="29" t="s">
        <v>12</v>
      </c>
      <c r="B14" s="28">
        <v>3.7</v>
      </c>
      <c r="C14" s="30">
        <f t="shared" si="0"/>
        <v>3.4</v>
      </c>
      <c r="D14" s="14">
        <v>0</v>
      </c>
      <c r="E14" s="14">
        <v>0</v>
      </c>
      <c r="F14" s="38">
        <v>0</v>
      </c>
      <c r="G14" s="38">
        <v>0</v>
      </c>
    </row>
    <row r="15" spans="1:7">
      <c r="A15" s="29" t="s">
        <v>13</v>
      </c>
      <c r="B15" s="30">
        <v>4</v>
      </c>
      <c r="C15" s="30">
        <f t="shared" si="0"/>
        <v>3.7</v>
      </c>
      <c r="D15" s="14">
        <v>0</v>
      </c>
      <c r="E15" s="14">
        <v>0</v>
      </c>
      <c r="F15" s="38">
        <v>0</v>
      </c>
      <c r="G15" s="38">
        <v>0</v>
      </c>
    </row>
    <row r="16" spans="1:7">
      <c r="A16" s="29" t="s">
        <v>14</v>
      </c>
      <c r="B16" s="28">
        <v>4.3</v>
      </c>
      <c r="C16" s="30">
        <f t="shared" si="0"/>
        <v>4</v>
      </c>
      <c r="D16" s="14">
        <v>0</v>
      </c>
      <c r="E16" s="14">
        <v>0</v>
      </c>
      <c r="F16" s="38">
        <v>0</v>
      </c>
      <c r="G16" s="38">
        <v>0</v>
      </c>
    </row>
    <row r="17" spans="1:7">
      <c r="A17" s="29" t="s">
        <v>15</v>
      </c>
      <c r="B17" s="28">
        <v>4.5</v>
      </c>
      <c r="C17" s="30">
        <f t="shared" si="0"/>
        <v>4.3</v>
      </c>
      <c r="D17" s="14">
        <v>0</v>
      </c>
      <c r="E17" s="14">
        <v>0</v>
      </c>
      <c r="F17" s="38">
        <v>0</v>
      </c>
      <c r="G17" s="38">
        <v>0</v>
      </c>
    </row>
    <row r="18" spans="1:7">
      <c r="A18" s="29" t="s">
        <v>16</v>
      </c>
      <c r="B18" s="28">
        <v>4.8</v>
      </c>
      <c r="C18" s="30">
        <f t="shared" si="0"/>
        <v>4.5</v>
      </c>
      <c r="D18" s="14">
        <v>0</v>
      </c>
      <c r="E18" s="14">
        <v>0</v>
      </c>
      <c r="F18" s="38">
        <v>0</v>
      </c>
      <c r="G18" s="38">
        <v>0</v>
      </c>
    </row>
    <row r="19" spans="1:7">
      <c r="A19" s="29" t="s">
        <v>17</v>
      </c>
      <c r="B19" s="28">
        <v>5.0999999999999996</v>
      </c>
      <c r="C19" s="30">
        <f t="shared" si="0"/>
        <v>4.8</v>
      </c>
      <c r="D19" s="14">
        <v>0</v>
      </c>
      <c r="E19" s="14">
        <v>0</v>
      </c>
      <c r="F19" s="38">
        <v>0</v>
      </c>
      <c r="G19" s="38">
        <v>0</v>
      </c>
    </row>
    <row r="20" spans="1:7">
      <c r="A20" s="29" t="s">
        <v>18</v>
      </c>
      <c r="B20" s="28">
        <v>5.5</v>
      </c>
      <c r="C20" s="30">
        <f t="shared" si="0"/>
        <v>5.0999999999999996</v>
      </c>
      <c r="D20" s="14">
        <v>0</v>
      </c>
      <c r="E20" s="14">
        <v>0</v>
      </c>
      <c r="F20" s="38">
        <v>0</v>
      </c>
      <c r="G20" s="38">
        <v>0</v>
      </c>
    </row>
    <row r="21" spans="1:7">
      <c r="A21" s="29" t="s">
        <v>19</v>
      </c>
      <c r="B21" s="28">
        <v>5.8</v>
      </c>
      <c r="C21" s="30">
        <f t="shared" si="0"/>
        <v>5.5</v>
      </c>
      <c r="D21" s="14">
        <v>0</v>
      </c>
      <c r="E21" s="14">
        <v>0</v>
      </c>
      <c r="F21" s="38">
        <v>0</v>
      </c>
      <c r="G21" s="38">
        <v>0</v>
      </c>
    </row>
    <row r="22" spans="1:7">
      <c r="A22" s="29" t="s">
        <v>20</v>
      </c>
      <c r="B22" s="28">
        <v>6.2</v>
      </c>
      <c r="C22" s="30">
        <f t="shared" si="0"/>
        <v>5.8</v>
      </c>
      <c r="D22" s="14">
        <v>0</v>
      </c>
      <c r="E22" s="14">
        <v>0</v>
      </c>
      <c r="F22" s="38">
        <v>0</v>
      </c>
      <c r="G22" s="38">
        <v>0</v>
      </c>
    </row>
    <row r="23" spans="1:7">
      <c r="A23" s="29" t="s">
        <v>21</v>
      </c>
      <c r="B23" s="28">
        <v>6.5</v>
      </c>
      <c r="C23" s="30">
        <f t="shared" si="0"/>
        <v>6.2</v>
      </c>
      <c r="D23" s="14">
        <v>0</v>
      </c>
      <c r="E23" s="14">
        <v>0</v>
      </c>
      <c r="F23" s="38">
        <v>0</v>
      </c>
      <c r="G23" s="38">
        <v>0</v>
      </c>
    </row>
    <row r="24" spans="1:7">
      <c r="A24" s="29" t="s">
        <v>22</v>
      </c>
      <c r="B24" s="30">
        <v>6.9</v>
      </c>
      <c r="C24" s="30">
        <f t="shared" si="0"/>
        <v>6.5</v>
      </c>
      <c r="D24" s="14">
        <v>0</v>
      </c>
      <c r="E24" s="14">
        <v>0</v>
      </c>
      <c r="F24" s="38">
        <v>0</v>
      </c>
      <c r="G24" s="38">
        <v>0</v>
      </c>
    </row>
    <row r="25" spans="1:7">
      <c r="A25" s="29" t="s">
        <v>23</v>
      </c>
      <c r="B25" s="28">
        <v>7.3</v>
      </c>
      <c r="C25" s="30">
        <f t="shared" si="0"/>
        <v>6.9</v>
      </c>
      <c r="D25" s="14">
        <v>0</v>
      </c>
      <c r="E25" s="14">
        <v>0</v>
      </c>
      <c r="F25" s="38">
        <v>1.8904109589041205E-3</v>
      </c>
      <c r="G25" s="38">
        <v>0</v>
      </c>
    </row>
    <row r="26" spans="1:7">
      <c r="A26" s="29" t="s">
        <v>24</v>
      </c>
      <c r="B26" s="28">
        <v>7.8</v>
      </c>
      <c r="C26" s="30">
        <f t="shared" si="0"/>
        <v>7.3</v>
      </c>
      <c r="D26" s="14">
        <v>0</v>
      </c>
      <c r="E26" s="14">
        <v>0</v>
      </c>
      <c r="F26" s="38">
        <v>8.1794871794871899E-3</v>
      </c>
      <c r="G26" s="38">
        <v>0</v>
      </c>
    </row>
    <row r="27" spans="1:7">
      <c r="A27" s="29" t="s">
        <v>25</v>
      </c>
      <c r="B27" s="28">
        <v>8.1999999999999993</v>
      </c>
      <c r="C27" s="30">
        <f t="shared" si="0"/>
        <v>7.8</v>
      </c>
      <c r="D27" s="14">
        <v>0</v>
      </c>
      <c r="E27" s="14">
        <v>0</v>
      </c>
      <c r="F27" s="38">
        <v>1.2658536585365858E-2</v>
      </c>
      <c r="G27" s="38">
        <v>0</v>
      </c>
    </row>
    <row r="28" spans="1:7">
      <c r="A28" s="29" t="s">
        <v>26</v>
      </c>
      <c r="B28" s="28">
        <v>8.6</v>
      </c>
      <c r="C28" s="30">
        <f t="shared" si="0"/>
        <v>8.1999999999999993</v>
      </c>
      <c r="D28" s="14">
        <v>0</v>
      </c>
      <c r="E28" s="14">
        <v>0</v>
      </c>
      <c r="F28" s="38">
        <v>1.6720930232558148E-2</v>
      </c>
      <c r="G28" s="38">
        <v>0</v>
      </c>
    </row>
    <row r="29" spans="1:7">
      <c r="A29" s="29" t="s">
        <v>27</v>
      </c>
      <c r="B29" s="28">
        <v>9.1</v>
      </c>
      <c r="C29" s="30">
        <f t="shared" si="0"/>
        <v>8.6</v>
      </c>
      <c r="D29" s="14">
        <v>0</v>
      </c>
      <c r="E29" s="14">
        <v>0</v>
      </c>
      <c r="F29" s="38">
        <v>2.1296703296703308E-2</v>
      </c>
      <c r="G29" s="38">
        <v>0</v>
      </c>
    </row>
    <row r="30" spans="1:7">
      <c r="A30" s="29" t="s">
        <v>28</v>
      </c>
      <c r="B30" s="28">
        <v>9.5</v>
      </c>
      <c r="C30" s="30">
        <f t="shared" si="0"/>
        <v>9.1</v>
      </c>
      <c r="D30" s="14">
        <v>2.5789473684210817E-2</v>
      </c>
      <c r="E30" s="14"/>
      <c r="F30" s="38">
        <v>2.4610526315789485E-2</v>
      </c>
      <c r="G30" s="38">
        <v>0</v>
      </c>
    </row>
    <row r="31" spans="1:7">
      <c r="A31" s="29" t="s">
        <v>29</v>
      </c>
      <c r="B31" s="30">
        <v>10</v>
      </c>
      <c r="C31" s="30">
        <f t="shared" si="0"/>
        <v>9.5</v>
      </c>
      <c r="D31" s="14">
        <v>7.4500000000000274E-2</v>
      </c>
      <c r="E31" s="14"/>
      <c r="F31" s="38">
        <v>2.8380000000000009E-2</v>
      </c>
      <c r="G31" s="38">
        <v>0</v>
      </c>
    </row>
    <row r="32" spans="1:7">
      <c r="A32" s="29" t="s">
        <v>30</v>
      </c>
      <c r="B32" s="28">
        <v>10.6</v>
      </c>
      <c r="C32" s="30">
        <f t="shared" si="0"/>
        <v>10</v>
      </c>
      <c r="D32" s="14">
        <v>0.12688679245283041</v>
      </c>
      <c r="E32" s="14">
        <v>1.2688679245283043E-2</v>
      </c>
      <c r="F32" s="38">
        <v>3.2433962264150955E-2</v>
      </c>
      <c r="G32" s="38">
        <v>0</v>
      </c>
    </row>
    <row r="33" spans="1:7">
      <c r="A33" s="29" t="s">
        <v>31</v>
      </c>
      <c r="B33" s="28">
        <v>11.3</v>
      </c>
      <c r="C33" s="30">
        <f t="shared" si="0"/>
        <v>10.6</v>
      </c>
      <c r="D33" s="14">
        <v>0.18097345132743392</v>
      </c>
      <c r="E33" s="14">
        <v>1.8097345132743393E-2</v>
      </c>
      <c r="F33" s="38">
        <v>3.6619469026548689E-2</v>
      </c>
      <c r="G33" s="38">
        <v>0</v>
      </c>
    </row>
    <row r="34" spans="1:7">
      <c r="A34" s="29" t="s">
        <v>32</v>
      </c>
      <c r="B34" s="28">
        <v>12.2</v>
      </c>
      <c r="C34" s="30">
        <f t="shared" si="0"/>
        <v>11.3</v>
      </c>
      <c r="D34" s="14">
        <v>0.24139344262295101</v>
      </c>
      <c r="E34" s="14">
        <v>2.4139344262295099E-2</v>
      </c>
      <c r="F34" s="38">
        <v>4.7770491803278706E-2</v>
      </c>
      <c r="G34" s="38">
        <v>1.6393442622950763E-3</v>
      </c>
    </row>
    <row r="35" spans="1:7">
      <c r="A35" s="29" t="s">
        <v>33</v>
      </c>
      <c r="B35" s="28">
        <v>12.9</v>
      </c>
      <c r="C35" s="30">
        <f t="shared" si="0"/>
        <v>12.2</v>
      </c>
      <c r="D35" s="14">
        <v>0.28255813953488396</v>
      </c>
      <c r="E35" s="14">
        <v>2.8255813953488397E-2</v>
      </c>
      <c r="F35" s="38">
        <v>6.6883720930232607E-2</v>
      </c>
      <c r="G35" s="38">
        <v>6.9767441860465141E-3</v>
      </c>
    </row>
    <row r="36" spans="1:7">
      <c r="A36" s="29" t="s">
        <v>34</v>
      </c>
      <c r="B36" s="28">
        <v>13.8</v>
      </c>
      <c r="C36" s="30">
        <f t="shared" si="0"/>
        <v>12.9</v>
      </c>
      <c r="D36" s="14">
        <v>0.32934782608695673</v>
      </c>
      <c r="E36" s="14">
        <v>3.2934782608695673E-2</v>
      </c>
      <c r="F36" s="38">
        <v>8.8608695652173969E-2</v>
      </c>
      <c r="G36" s="38">
        <v>1.304347826086957E-2</v>
      </c>
    </row>
    <row r="37" spans="1:7">
      <c r="A37" s="29" t="s">
        <v>35</v>
      </c>
      <c r="B37" s="28">
        <v>14.7</v>
      </c>
      <c r="C37" s="30">
        <f t="shared" si="0"/>
        <v>13.8</v>
      </c>
      <c r="D37" s="14">
        <v>0.37040816326530629</v>
      </c>
      <c r="E37" s="14">
        <v>3.7040816326530626E-2</v>
      </c>
      <c r="F37" s="38">
        <v>0.10767346938775513</v>
      </c>
      <c r="G37" s="38">
        <v>1.8367346938775508E-2</v>
      </c>
    </row>
    <row r="38" spans="1:7">
      <c r="A38" s="29" t="s">
        <v>36</v>
      </c>
      <c r="B38" s="28">
        <v>15.8</v>
      </c>
      <c r="C38" s="30">
        <f t="shared" si="0"/>
        <v>14.7</v>
      </c>
      <c r="D38" s="14">
        <v>0.41424050632911413</v>
      </c>
      <c r="E38" s="14">
        <v>4.8544303797468442E-2</v>
      </c>
      <c r="F38" s="38">
        <v>0.12802531645569626</v>
      </c>
      <c r="G38" s="38">
        <v>2.4050632911392412E-2</v>
      </c>
    </row>
    <row r="39" spans="1:7">
      <c r="A39" s="29" t="s">
        <v>37</v>
      </c>
      <c r="B39" s="28">
        <v>17.2</v>
      </c>
      <c r="C39" s="30">
        <f t="shared" si="0"/>
        <v>15.8</v>
      </c>
      <c r="D39" s="14">
        <v>0.46191860465116291</v>
      </c>
      <c r="E39" s="14">
        <v>7.7151162790697725E-2</v>
      </c>
      <c r="F39" s="38">
        <v>0.15016279069767446</v>
      </c>
      <c r="G39" s="38">
        <v>3.023255813953488E-2</v>
      </c>
    </row>
    <row r="40" spans="1:7">
      <c r="A40" s="29" t="s">
        <v>38</v>
      </c>
      <c r="B40" s="28">
        <v>18.5</v>
      </c>
      <c r="C40" s="30">
        <f t="shared" si="0"/>
        <v>17.2</v>
      </c>
      <c r="D40" s="14">
        <v>0.4997297297297299</v>
      </c>
      <c r="E40" s="14">
        <v>9.9837837837837909E-2</v>
      </c>
      <c r="F40" s="38">
        <v>0.16771891891891894</v>
      </c>
      <c r="G40" s="38">
        <v>3.5135135135135137E-2</v>
      </c>
    </row>
    <row r="41" spans="1:7">
      <c r="A41" s="29" t="s">
        <v>39</v>
      </c>
      <c r="B41" s="28">
        <v>20.2</v>
      </c>
      <c r="C41" s="30">
        <f t="shared" si="0"/>
        <v>18.5</v>
      </c>
      <c r="D41" s="14">
        <v>0.54183168316831698</v>
      </c>
      <c r="E41" s="14">
        <v>0.12509900990099015</v>
      </c>
      <c r="F41" s="38">
        <v>0.18726732673267327</v>
      </c>
      <c r="G41" s="38">
        <v>4.3564356435643554E-2</v>
      </c>
    </row>
    <row r="42" spans="1:7">
      <c r="A42" s="29" t="s">
        <v>40</v>
      </c>
      <c r="B42" s="28">
        <v>21.9</v>
      </c>
      <c r="C42" s="30">
        <f t="shared" si="0"/>
        <v>20.2</v>
      </c>
      <c r="D42" s="14">
        <v>0.57739726027397276</v>
      </c>
      <c r="E42" s="14">
        <v>0.14643835616438361</v>
      </c>
      <c r="F42" s="38">
        <v>0.20378082191780822</v>
      </c>
      <c r="G42" s="38">
        <v>7.1232876712328752E-2</v>
      </c>
    </row>
    <row r="43" spans="1:7">
      <c r="A43" s="29" t="s">
        <v>41</v>
      </c>
      <c r="B43" s="28">
        <v>23.8</v>
      </c>
      <c r="C43" s="30">
        <f t="shared" si="0"/>
        <v>21.9</v>
      </c>
      <c r="D43" s="14">
        <v>0.61113445378151277</v>
      </c>
      <c r="E43" s="14">
        <v>0.16668067226890762</v>
      </c>
      <c r="F43" s="38">
        <v>0.2194453781512605</v>
      </c>
      <c r="G43" s="38">
        <v>9.747899159663867E-2</v>
      </c>
    </row>
    <row r="44" spans="1:7">
      <c r="A44" s="29" t="s">
        <v>42</v>
      </c>
      <c r="B44" s="28">
        <v>26.2</v>
      </c>
      <c r="C44" s="30">
        <f t="shared" si="0"/>
        <v>23.8</v>
      </c>
      <c r="D44" s="14">
        <v>0.64675572519083968</v>
      </c>
      <c r="E44" s="14">
        <v>0.18805343511450387</v>
      </c>
      <c r="F44" s="38">
        <v>0.2359847328244275</v>
      </c>
      <c r="G44" s="38">
        <v>0.1251908396946565</v>
      </c>
    </row>
    <row r="45" spans="1:7">
      <c r="A45" s="29" t="s">
        <v>43</v>
      </c>
      <c r="B45" s="28">
        <v>28.9</v>
      </c>
      <c r="C45" s="30">
        <f t="shared" si="0"/>
        <v>26.2</v>
      </c>
      <c r="D45" s="14">
        <v>0.67975778546712817</v>
      </c>
      <c r="E45" s="14">
        <v>0.20785467128027685</v>
      </c>
      <c r="F45" s="38">
        <v>0.25130795847750864</v>
      </c>
      <c r="G45" s="38">
        <v>0.15086505190311417</v>
      </c>
    </row>
    <row r="46" spans="1:7">
      <c r="A46" s="29" t="s">
        <v>44</v>
      </c>
      <c r="B46" s="30">
        <v>33</v>
      </c>
      <c r="C46" s="30">
        <f t="shared" si="0"/>
        <v>28.9</v>
      </c>
      <c r="D46" s="14">
        <v>0.71954545454545471</v>
      </c>
      <c r="E46" s="14">
        <v>0.23172727272727275</v>
      </c>
      <c r="F46" s="38">
        <v>0.26978181818181818</v>
      </c>
      <c r="G46" s="38">
        <v>0.18181818181818182</v>
      </c>
    </row>
    <row r="47" spans="1:7">
      <c r="A47" s="29" t="s">
        <v>45</v>
      </c>
      <c r="B47" s="30">
        <v>38</v>
      </c>
      <c r="C47" s="30">
        <f t="shared" si="0"/>
        <v>33</v>
      </c>
      <c r="D47" s="14">
        <v>0.75644736842105276</v>
      </c>
      <c r="E47" s="14">
        <v>0.25386842105263163</v>
      </c>
      <c r="F47" s="38">
        <v>0.28691578947368424</v>
      </c>
      <c r="G47" s="38">
        <v>0.21052631578947367</v>
      </c>
    </row>
    <row r="48" spans="1:7">
      <c r="A48" s="29" t="s">
        <v>46</v>
      </c>
      <c r="B48" s="28">
        <v>45.5</v>
      </c>
      <c r="C48" s="30">
        <f t="shared" si="0"/>
        <v>38</v>
      </c>
      <c r="D48" s="14">
        <v>0.79659340659340672</v>
      </c>
      <c r="E48" s="14">
        <v>0.27795604395604401</v>
      </c>
      <c r="F48" s="38">
        <v>0.30555604395604397</v>
      </c>
      <c r="G48" s="38">
        <v>0.24175824175824179</v>
      </c>
    </row>
    <row r="49" spans="1:7">
      <c r="A49" s="29" t="s">
        <v>47</v>
      </c>
      <c r="B49" s="28">
        <v>55.4</v>
      </c>
      <c r="C49" s="30">
        <f t="shared" si="0"/>
        <v>45.5</v>
      </c>
      <c r="D49" s="14">
        <v>0.83294223826714808</v>
      </c>
      <c r="E49" s="14">
        <v>0.29976534296028889</v>
      </c>
      <c r="F49" s="38">
        <v>0.32243321299638988</v>
      </c>
      <c r="G49" s="38">
        <v>0.2700361010830325</v>
      </c>
    </row>
    <row r="50" spans="1:7">
      <c r="A50" s="29" t="s">
        <v>48</v>
      </c>
      <c r="B50" s="28">
        <v>69.8</v>
      </c>
      <c r="C50" s="30">
        <f t="shared" si="0"/>
        <v>55.4</v>
      </c>
      <c r="D50" s="14">
        <v>0.86740687679083106</v>
      </c>
      <c r="E50" s="14">
        <v>0.32044412607449857</v>
      </c>
      <c r="F50" s="38">
        <v>0.33843553008595995</v>
      </c>
      <c r="G50" s="38">
        <v>0.29684813753581668</v>
      </c>
    </row>
    <row r="51" spans="1:7">
      <c r="A51" s="29" t="s">
        <v>49</v>
      </c>
      <c r="B51" s="28">
        <v>93.2</v>
      </c>
      <c r="C51" s="30">
        <f t="shared" si="0"/>
        <v>69.8</v>
      </c>
      <c r="D51" s="14">
        <v>0.90069742489270388</v>
      </c>
      <c r="E51" s="14">
        <v>0.34041845493562234</v>
      </c>
      <c r="F51" s="38">
        <v>0.35389270386266092</v>
      </c>
      <c r="G51" s="38">
        <v>0.32274678111587984</v>
      </c>
    </row>
    <row r="52" spans="1:7">
      <c r="A52" s="29" t="s">
        <v>50</v>
      </c>
      <c r="B52" s="28">
        <v>127.4</v>
      </c>
      <c r="C52" s="30">
        <f t="shared" si="0"/>
        <v>93.2</v>
      </c>
      <c r="D52" s="14">
        <v>0.92735478806907379</v>
      </c>
      <c r="E52" s="14">
        <v>0.35641287284144429</v>
      </c>
      <c r="F52" s="38">
        <v>0.36627001569858714</v>
      </c>
      <c r="G52" s="38">
        <v>0.34348508634222924</v>
      </c>
    </row>
    <row r="53" spans="1:7">
      <c r="A53" s="29" t="s">
        <v>51</v>
      </c>
      <c r="B53" s="28">
        <v>174.8</v>
      </c>
      <c r="C53" s="30">
        <f t="shared" si="0"/>
        <v>127.4</v>
      </c>
      <c r="D53" s="14">
        <v>0.94705377574370708</v>
      </c>
      <c r="E53" s="14">
        <v>0.36823226544622428</v>
      </c>
      <c r="F53" s="38">
        <v>0.37541647597254008</v>
      </c>
      <c r="G53" s="38">
        <v>0.35881006864988557</v>
      </c>
    </row>
    <row r="54" spans="1:7">
      <c r="A54" s="29" t="s">
        <v>52</v>
      </c>
      <c r="B54" s="28">
        <v>231.2</v>
      </c>
      <c r="C54" s="30">
        <f t="shared" si="0"/>
        <v>174.8</v>
      </c>
      <c r="D54" s="14">
        <v>0.95996972318339102</v>
      </c>
      <c r="E54" s="14">
        <v>0.37598183391003465</v>
      </c>
      <c r="F54" s="38">
        <v>0.38141349480968861</v>
      </c>
      <c r="G54" s="38">
        <v>0.36885813148788932</v>
      </c>
    </row>
    <row r="55" spans="1:7">
      <c r="A55" s="29" t="s">
        <v>53</v>
      </c>
      <c r="B55" s="28">
        <v>303.2</v>
      </c>
      <c r="C55" s="30">
        <f>B54</f>
        <v>231.2</v>
      </c>
      <c r="D55" s="14">
        <v>0.96947559366754621</v>
      </c>
      <c r="E55" s="14">
        <v>0.38168535620052774</v>
      </c>
      <c r="F55" s="38">
        <v>0.3858271767810027</v>
      </c>
      <c r="G55" s="38">
        <v>0.37625329815303432</v>
      </c>
    </row>
    <row r="56" spans="1:7">
      <c r="A56" s="29" t="s">
        <v>53</v>
      </c>
      <c r="B56" s="31" t="s">
        <v>107</v>
      </c>
      <c r="C56" s="30">
        <f t="shared" si="0"/>
        <v>303.2</v>
      </c>
      <c r="D56" s="11">
        <v>49.1</v>
      </c>
      <c r="E56" s="11"/>
      <c r="F56" s="39"/>
      <c r="G56" s="39"/>
    </row>
    <row r="57" spans="1:7">
      <c r="A57" s="29"/>
      <c r="B57" s="31"/>
      <c r="C57" s="31"/>
      <c r="D57" s="11"/>
      <c r="E57" s="32">
        <v>8.8586743363142248E-2</v>
      </c>
      <c r="F57" s="40">
        <v>0.10846723819254585</v>
      </c>
      <c r="G57" s="40">
        <v>7.1778353998201913E-2</v>
      </c>
    </row>
    <row r="58" spans="1:7" ht="60">
      <c r="A58" s="33" t="s">
        <v>55</v>
      </c>
      <c r="B58" s="31">
        <v>20</v>
      </c>
      <c r="C58" s="31"/>
      <c r="D58" s="11"/>
      <c r="E58" s="34">
        <v>15.424999999999997</v>
      </c>
      <c r="F58" s="41">
        <v>11.936666666666666</v>
      </c>
      <c r="G58" s="42">
        <v>20</v>
      </c>
    </row>
    <row r="59" spans="1:7" ht="60">
      <c r="A59" s="33" t="s">
        <v>56</v>
      </c>
      <c r="B59" s="31">
        <v>29.7</v>
      </c>
      <c r="C59" s="31"/>
      <c r="D59" s="11"/>
      <c r="E59" s="11"/>
      <c r="F59" s="39"/>
      <c r="G59" s="39"/>
    </row>
    <row r="60" spans="1:7" ht="96.75">
      <c r="A60" s="35" t="s">
        <v>57</v>
      </c>
      <c r="B60" s="29">
        <v>12</v>
      </c>
      <c r="C60" s="29"/>
      <c r="D60" s="11"/>
      <c r="E60" s="11">
        <v>9.2549999999999972</v>
      </c>
      <c r="F60" s="39">
        <v>7.161999999999999</v>
      </c>
      <c r="G60" s="39">
        <v>12</v>
      </c>
    </row>
    <row r="62" spans="1:7" ht="60.75" thickBot="1">
      <c r="A62" s="5" t="s">
        <v>56</v>
      </c>
      <c r="B62">
        <f>B59</f>
        <v>29.7</v>
      </c>
    </row>
    <row r="63" spans="1:7">
      <c r="A63" s="16" t="s">
        <v>64</v>
      </c>
      <c r="B63" s="17">
        <f>AVERAGE(B11:B50)</f>
        <v>15.424999999999997</v>
      </c>
      <c r="C63" s="17"/>
    </row>
    <row r="64" spans="1:7">
      <c r="A64" s="16" t="s">
        <v>65</v>
      </c>
      <c r="B64" s="18">
        <f>AVERAGE(B16:B45)</f>
        <v>11.936666666666666</v>
      </c>
      <c r="C64" s="18"/>
    </row>
    <row r="65" spans="1:7">
      <c r="A65" s="16" t="s">
        <v>66</v>
      </c>
      <c r="B65" s="18">
        <f>AVERAGE(B22:B40)</f>
        <v>10.9</v>
      </c>
      <c r="C65" s="18"/>
    </row>
    <row r="69" spans="1:7" ht="15" customHeight="1">
      <c r="A69" s="473" t="s">
        <v>0</v>
      </c>
      <c r="B69" s="473" t="s">
        <v>2</v>
      </c>
      <c r="C69" s="473"/>
      <c r="D69" s="473"/>
      <c r="E69" s="49">
        <f>(1-E124)^(1/3)-1</f>
        <v>-2.5264325092882234E-2</v>
      </c>
      <c r="F69" s="49">
        <f>(1-F124)^(1/3)-1</f>
        <v>-2.675854066519634E-2</v>
      </c>
      <c r="G69" s="49"/>
    </row>
    <row r="70" spans="1:7" ht="72">
      <c r="A70" s="473"/>
      <c r="B70" s="11" t="s">
        <v>4</v>
      </c>
      <c r="C70" s="11"/>
      <c r="D70" s="11" t="s">
        <v>80</v>
      </c>
      <c r="E70" s="11" t="s">
        <v>5</v>
      </c>
      <c r="F70" s="39" t="s">
        <v>5</v>
      </c>
      <c r="G70" s="39"/>
    </row>
    <row r="71" spans="1:7" ht="24">
      <c r="A71" s="473"/>
      <c r="B71" s="11" t="s">
        <v>8</v>
      </c>
      <c r="C71" s="11"/>
      <c r="D71" s="11" t="s">
        <v>7</v>
      </c>
      <c r="E71" s="11" t="s">
        <v>7</v>
      </c>
      <c r="F71" s="39" t="s">
        <v>7</v>
      </c>
      <c r="G71" s="39"/>
    </row>
    <row r="72" spans="1:7">
      <c r="A72" s="50">
        <v>1</v>
      </c>
      <c r="B72" s="51">
        <v>2</v>
      </c>
      <c r="C72" s="51"/>
      <c r="D72" s="51">
        <v>3</v>
      </c>
      <c r="E72" s="51">
        <v>4</v>
      </c>
      <c r="F72" s="52">
        <v>5</v>
      </c>
      <c r="G72" s="52"/>
    </row>
    <row r="73" spans="1:7">
      <c r="A73" s="27" t="s">
        <v>10</v>
      </c>
      <c r="B73" s="153">
        <v>8</v>
      </c>
      <c r="C73" s="253">
        <v>0</v>
      </c>
      <c r="D73" s="14">
        <v>0</v>
      </c>
      <c r="E73" s="14">
        <v>0</v>
      </c>
      <c r="F73" s="38">
        <v>0</v>
      </c>
      <c r="G73" s="38">
        <v>0</v>
      </c>
    </row>
    <row r="74" spans="1:7">
      <c r="A74" s="27" t="s">
        <v>58</v>
      </c>
      <c r="B74" s="53">
        <v>16.600000000000001</v>
      </c>
      <c r="C74" s="30">
        <f>B73</f>
        <v>8</v>
      </c>
      <c r="D74" s="14">
        <v>0</v>
      </c>
      <c r="E74" s="14">
        <v>0</v>
      </c>
      <c r="F74" s="38">
        <v>0</v>
      </c>
      <c r="G74" s="38">
        <v>4.9397590361446224E-4</v>
      </c>
    </row>
    <row r="75" spans="1:7">
      <c r="A75" s="27" t="s">
        <v>59</v>
      </c>
      <c r="B75" s="53">
        <v>20.7</v>
      </c>
      <c r="C75" s="30">
        <f t="shared" ref="C75:C123" si="1">B74</f>
        <v>16.600000000000001</v>
      </c>
      <c r="D75" s="14">
        <v>0</v>
      </c>
      <c r="E75" s="14">
        <v>0</v>
      </c>
      <c r="F75" s="38">
        <v>0</v>
      </c>
      <c r="G75" s="38">
        <v>2.0202898550724633E-2</v>
      </c>
    </row>
    <row r="76" spans="1:7">
      <c r="A76" s="27" t="s">
        <v>60</v>
      </c>
      <c r="B76" s="53">
        <v>23.3</v>
      </c>
      <c r="C76" s="30">
        <f t="shared" si="1"/>
        <v>20.7</v>
      </c>
      <c r="D76" s="14">
        <v>0</v>
      </c>
      <c r="E76" s="14">
        <v>0</v>
      </c>
      <c r="F76" s="38">
        <v>0</v>
      </c>
      <c r="G76" s="38">
        <v>2.9107296137339055E-2</v>
      </c>
    </row>
    <row r="77" spans="1:7">
      <c r="A77" s="27" t="s">
        <v>61</v>
      </c>
      <c r="B77" s="53">
        <v>25.2</v>
      </c>
      <c r="C77" s="30">
        <f t="shared" si="1"/>
        <v>23.3</v>
      </c>
      <c r="D77" s="14">
        <v>0</v>
      </c>
      <c r="E77" s="14">
        <v>0</v>
      </c>
      <c r="F77" s="38">
        <v>0</v>
      </c>
      <c r="G77" s="38">
        <v>3.445238095238095E-2</v>
      </c>
    </row>
    <row r="78" spans="1:7">
      <c r="A78" s="27" t="s">
        <v>62</v>
      </c>
      <c r="B78" s="53">
        <v>27.1</v>
      </c>
      <c r="C78" s="30">
        <f t="shared" si="1"/>
        <v>25.2</v>
      </c>
      <c r="D78" s="14">
        <v>0</v>
      </c>
      <c r="E78" s="14">
        <v>0</v>
      </c>
      <c r="F78" s="38">
        <v>0</v>
      </c>
      <c r="G78" s="38">
        <v>3.9047970479704798E-2</v>
      </c>
    </row>
    <row r="79" spans="1:7">
      <c r="A79" s="27" t="s">
        <v>63</v>
      </c>
      <c r="B79" s="53">
        <v>28.7</v>
      </c>
      <c r="C79" s="30">
        <f t="shared" si="1"/>
        <v>27.1</v>
      </c>
      <c r="D79" s="14">
        <v>0</v>
      </c>
      <c r="E79" s="14">
        <v>0</v>
      </c>
      <c r="F79" s="38">
        <v>0</v>
      </c>
      <c r="G79" s="38">
        <v>5.4675958188153295E-2</v>
      </c>
    </row>
    <row r="80" spans="1:7">
      <c r="A80" s="29" t="s">
        <v>11</v>
      </c>
      <c r="B80" s="53">
        <v>30.1</v>
      </c>
      <c r="C80" s="30">
        <f t="shared" si="1"/>
        <v>28.7</v>
      </c>
      <c r="D80" s="14">
        <v>0</v>
      </c>
      <c r="E80" s="14">
        <v>0</v>
      </c>
      <c r="F80" s="38">
        <v>1.1960132890365784E-3</v>
      </c>
      <c r="G80" s="38">
        <v>7.0737541528239217E-2</v>
      </c>
    </row>
    <row r="81" spans="1:7">
      <c r="A81" s="29" t="s">
        <v>12</v>
      </c>
      <c r="B81" s="53">
        <v>31.4</v>
      </c>
      <c r="C81" s="30">
        <f t="shared" si="1"/>
        <v>30.1</v>
      </c>
      <c r="D81" s="14">
        <v>2.5382165605095673E-2</v>
      </c>
      <c r="E81" s="14"/>
      <c r="F81" s="38">
        <v>5.2866242038216793E-3</v>
      </c>
      <c r="G81" s="38">
        <v>8.4369426751592341E-2</v>
      </c>
    </row>
    <row r="82" spans="1:7">
      <c r="A82" s="29" t="s">
        <v>13</v>
      </c>
      <c r="B82" s="53">
        <v>32.6</v>
      </c>
      <c r="C82" s="30">
        <f t="shared" si="1"/>
        <v>31.4</v>
      </c>
      <c r="D82" s="14">
        <v>6.1257668711656652E-2</v>
      </c>
      <c r="E82" s="14"/>
      <c r="F82" s="38">
        <v>8.7730061349693567E-3</v>
      </c>
      <c r="G82" s="38">
        <v>9.5987730061349683E-2</v>
      </c>
    </row>
    <row r="83" spans="1:7">
      <c r="A83" s="29" t="s">
        <v>14</v>
      </c>
      <c r="B83" s="53">
        <v>33.6</v>
      </c>
      <c r="C83" s="30">
        <f t="shared" si="1"/>
        <v>32.6</v>
      </c>
      <c r="D83" s="14">
        <v>8.9196428571428774E-2</v>
      </c>
      <c r="E83" s="14"/>
      <c r="F83" s="38">
        <v>1.1488095238095268E-2</v>
      </c>
      <c r="G83" s="38">
        <v>0.10503571428571429</v>
      </c>
    </row>
    <row r="84" spans="1:7">
      <c r="A84" s="29" t="s">
        <v>15</v>
      </c>
      <c r="B84" s="53">
        <v>34.9</v>
      </c>
      <c r="C84" s="30">
        <f t="shared" si="1"/>
        <v>33.6</v>
      </c>
      <c r="D84" s="14">
        <v>0.12312320916905456</v>
      </c>
      <c r="E84" s="14">
        <v>1.2312320916905456E-2</v>
      </c>
      <c r="F84" s="38">
        <v>1.4785100286532975E-2</v>
      </c>
      <c r="G84" s="38">
        <v>0.11602292263610313</v>
      </c>
    </row>
    <row r="85" spans="1:7">
      <c r="A85" s="29" t="s">
        <v>16</v>
      </c>
      <c r="B85" s="53">
        <v>35.799999999999997</v>
      </c>
      <c r="C85" s="30">
        <f t="shared" si="1"/>
        <v>34.9</v>
      </c>
      <c r="D85" s="14">
        <v>0.14516759776536323</v>
      </c>
      <c r="E85" s="14">
        <v>1.4516759776536322E-2</v>
      </c>
      <c r="F85" s="38">
        <v>1.6927374301675999E-2</v>
      </c>
      <c r="G85" s="38">
        <v>0.12316201117318433</v>
      </c>
    </row>
    <row r="86" spans="1:7">
      <c r="A86" s="29" t="s">
        <v>17</v>
      </c>
      <c r="B86" s="53">
        <v>36.6</v>
      </c>
      <c r="C86" s="30">
        <f t="shared" si="1"/>
        <v>35.799999999999997</v>
      </c>
      <c r="D86" s="14">
        <v>0.16385245901639361</v>
      </c>
      <c r="E86" s="14">
        <v>1.6385245901639364E-2</v>
      </c>
      <c r="F86" s="38">
        <v>1.8743169398907134E-2</v>
      </c>
      <c r="G86" s="38">
        <v>0.12921311475409836</v>
      </c>
    </row>
    <row r="87" spans="1:7">
      <c r="A87" s="29" t="s">
        <v>18</v>
      </c>
      <c r="B87" s="53">
        <v>37.299999999999997</v>
      </c>
      <c r="C87" s="30">
        <f t="shared" si="1"/>
        <v>36.6</v>
      </c>
      <c r="D87" s="14">
        <v>0.17954423592493307</v>
      </c>
      <c r="E87" s="14">
        <v>1.7954423592493308E-2</v>
      </c>
      <c r="F87" s="38">
        <v>2.0268096514745329E-2</v>
      </c>
      <c r="G87" s="38">
        <v>0.13429490616621984</v>
      </c>
    </row>
    <row r="88" spans="1:7">
      <c r="A88" s="29" t="s">
        <v>19</v>
      </c>
      <c r="B88" s="53">
        <v>38.1</v>
      </c>
      <c r="C88" s="30">
        <f t="shared" si="1"/>
        <v>37.299999999999997</v>
      </c>
      <c r="D88" s="14">
        <v>0.19677165354330725</v>
      </c>
      <c r="E88" s="14">
        <v>1.9677165354330728E-2</v>
      </c>
      <c r="F88" s="38">
        <v>2.1942257217847795E-2</v>
      </c>
      <c r="G88" s="38">
        <v>0.13987401574803152</v>
      </c>
    </row>
    <row r="89" spans="1:7">
      <c r="A89" s="29" t="s">
        <v>20</v>
      </c>
      <c r="B89" s="53">
        <v>38.9</v>
      </c>
      <c r="C89" s="30">
        <f t="shared" si="1"/>
        <v>38.1</v>
      </c>
      <c r="D89" s="14">
        <v>0.21329048843187673</v>
      </c>
      <c r="E89" s="14">
        <v>2.1329048843187672E-2</v>
      </c>
      <c r="F89" s="38">
        <v>2.3547557840616989E-2</v>
      </c>
      <c r="G89" s="38">
        <v>0.14522365038560411</v>
      </c>
    </row>
    <row r="90" spans="1:7">
      <c r="A90" s="29" t="s">
        <v>21</v>
      </c>
      <c r="B90" s="53">
        <v>39.799999999999997</v>
      </c>
      <c r="C90" s="30">
        <f t="shared" si="1"/>
        <v>38.9</v>
      </c>
      <c r="D90" s="14">
        <v>0.23108040201005034</v>
      </c>
      <c r="E90" s="14">
        <v>2.3108040201005035E-2</v>
      </c>
      <c r="F90" s="38">
        <v>2.5276381909547757E-2</v>
      </c>
      <c r="G90" s="38">
        <v>0.15098492462311555</v>
      </c>
    </row>
    <row r="91" spans="1:7">
      <c r="A91" s="29" t="s">
        <v>22</v>
      </c>
      <c r="B91" s="53">
        <v>41.1</v>
      </c>
      <c r="C91" s="30">
        <f t="shared" si="1"/>
        <v>39.799999999999997</v>
      </c>
      <c r="D91" s="14">
        <v>0.25540145985401475</v>
      </c>
      <c r="E91" s="14">
        <v>2.5540145985401476E-2</v>
      </c>
      <c r="F91" s="38">
        <v>2.7639902676399049E-2</v>
      </c>
      <c r="G91" s="38">
        <v>0.15886131386861316</v>
      </c>
    </row>
    <row r="92" spans="1:7">
      <c r="A92" s="29" t="s">
        <v>23</v>
      </c>
      <c r="B92" s="53">
        <v>42.4</v>
      </c>
      <c r="C92" s="30">
        <f t="shared" si="1"/>
        <v>41.1</v>
      </c>
      <c r="D92" s="14">
        <v>0.27823113207547179</v>
      </c>
      <c r="E92" s="14">
        <v>2.7823113207547181E-2</v>
      </c>
      <c r="F92" s="38">
        <v>2.985849056603776E-2</v>
      </c>
      <c r="G92" s="38">
        <v>0.16625471698113209</v>
      </c>
    </row>
    <row r="93" spans="1:7">
      <c r="A93" s="29" t="s">
        <v>24</v>
      </c>
      <c r="B93" s="53">
        <v>43.4</v>
      </c>
      <c r="C93" s="30">
        <f t="shared" si="1"/>
        <v>42.4</v>
      </c>
      <c r="D93" s="14">
        <v>0.29486175115207386</v>
      </c>
      <c r="E93" s="14">
        <v>2.9486175115207385E-2</v>
      </c>
      <c r="F93" s="38">
        <v>3.1474654377880204E-2</v>
      </c>
      <c r="G93" s="38">
        <v>0.17164055299539169</v>
      </c>
    </row>
    <row r="94" spans="1:7">
      <c r="A94" s="29" t="s">
        <v>25</v>
      </c>
      <c r="B94" s="53">
        <v>44.6</v>
      </c>
      <c r="C94" s="30">
        <f t="shared" si="1"/>
        <v>43.4</v>
      </c>
      <c r="D94" s="14">
        <v>0.31383408071748892</v>
      </c>
      <c r="E94" s="14">
        <v>3.13834080717489E-2</v>
      </c>
      <c r="F94" s="38">
        <v>3.3318385650224241E-2</v>
      </c>
      <c r="G94" s="38">
        <v>0.17778475336322871</v>
      </c>
    </row>
    <row r="95" spans="1:7">
      <c r="A95" s="29" t="s">
        <v>26</v>
      </c>
      <c r="B95" s="53">
        <v>45.6</v>
      </c>
      <c r="C95" s="30">
        <f t="shared" si="1"/>
        <v>44.6</v>
      </c>
      <c r="D95" s="14">
        <v>0.32888157894736858</v>
      </c>
      <c r="E95" s="14">
        <v>3.2888157894736855E-2</v>
      </c>
      <c r="F95" s="38">
        <v>3.4780701754385988E-2</v>
      </c>
      <c r="G95" s="38">
        <v>0.1826578947368421</v>
      </c>
    </row>
    <row r="96" spans="1:7">
      <c r="A96" s="29" t="s">
        <v>27</v>
      </c>
      <c r="B96" s="53">
        <v>46.8</v>
      </c>
      <c r="C96" s="30">
        <f t="shared" si="1"/>
        <v>45.6</v>
      </c>
      <c r="D96" s="14">
        <v>0.34608974358974365</v>
      </c>
      <c r="E96" s="14">
        <v>3.4608974358974372E-2</v>
      </c>
      <c r="F96" s="38">
        <v>3.6452991452991468E-2</v>
      </c>
      <c r="G96" s="38">
        <v>0.18823076923076923</v>
      </c>
    </row>
    <row r="97" spans="1:7">
      <c r="A97" s="29" t="s">
        <v>28</v>
      </c>
      <c r="B97" s="53">
        <v>47.9</v>
      </c>
      <c r="C97" s="30">
        <f t="shared" si="1"/>
        <v>46.8</v>
      </c>
      <c r="D97" s="14">
        <v>0.36110647181628402</v>
      </c>
      <c r="E97" s="14">
        <v>3.6110647181628402E-2</v>
      </c>
      <c r="F97" s="38">
        <v>3.7912317327766197E-2</v>
      </c>
      <c r="G97" s="38">
        <v>0.19309394572025054</v>
      </c>
    </row>
    <row r="98" spans="1:7">
      <c r="A98" s="29" t="s">
        <v>29</v>
      </c>
      <c r="B98" s="53">
        <v>48.9</v>
      </c>
      <c r="C98" s="30">
        <f t="shared" si="1"/>
        <v>47.9</v>
      </c>
      <c r="D98" s="14">
        <v>0.37417177914110439</v>
      </c>
      <c r="E98" s="14">
        <v>3.7417177914110443E-2</v>
      </c>
      <c r="F98" s="38">
        <v>3.9182004089979565E-2</v>
      </c>
      <c r="G98" s="38">
        <v>0.19732515337423315</v>
      </c>
    </row>
    <row r="99" spans="1:7">
      <c r="A99" s="29" t="s">
        <v>30</v>
      </c>
      <c r="B99" s="153">
        <v>50</v>
      </c>
      <c r="C99" s="30">
        <f t="shared" si="1"/>
        <v>48.9</v>
      </c>
      <c r="D99" s="14">
        <v>0.38794000000000012</v>
      </c>
      <c r="E99" s="14">
        <v>3.8794000000000016E-2</v>
      </c>
      <c r="F99" s="38">
        <v>4.3120000000000082E-2</v>
      </c>
      <c r="G99" s="38">
        <v>0.20178399999999999</v>
      </c>
    </row>
    <row r="100" spans="1:7">
      <c r="A100" s="29" t="s">
        <v>31</v>
      </c>
      <c r="B100" s="53">
        <v>51.2</v>
      </c>
      <c r="C100" s="30">
        <f t="shared" si="1"/>
        <v>50</v>
      </c>
      <c r="D100" s="14">
        <v>0.40228515625000016</v>
      </c>
      <c r="E100" s="14">
        <v>4.1371093750000053E-2</v>
      </c>
      <c r="F100" s="38">
        <v>5.1484375000000103E-2</v>
      </c>
      <c r="G100" s="38">
        <v>0.20642968750000004</v>
      </c>
    </row>
    <row r="101" spans="1:7">
      <c r="A101" s="29" t="s">
        <v>32</v>
      </c>
      <c r="B101" s="53">
        <v>52.7</v>
      </c>
      <c r="C101" s="30">
        <f t="shared" si="1"/>
        <v>51.2</v>
      </c>
      <c r="D101" s="14">
        <v>0.41929791271347261</v>
      </c>
      <c r="E101" s="14">
        <v>5.1578747628083545E-2</v>
      </c>
      <c r="F101" s="38">
        <v>6.140417457305513E-2</v>
      </c>
      <c r="G101" s="38">
        <v>0.21193927893738143</v>
      </c>
    </row>
    <row r="102" spans="1:7">
      <c r="A102" s="29" t="s">
        <v>33</v>
      </c>
      <c r="B102" s="153">
        <v>54</v>
      </c>
      <c r="C102" s="30">
        <f t="shared" si="1"/>
        <v>52.7</v>
      </c>
      <c r="D102" s="14">
        <v>0.43327777777777787</v>
      </c>
      <c r="E102" s="14">
        <v>5.9966666666666696E-2</v>
      </c>
      <c r="F102" s="38">
        <v>6.9555555555555648E-2</v>
      </c>
      <c r="G102" s="38">
        <v>0.2164666666666667</v>
      </c>
    </row>
    <row r="103" spans="1:7">
      <c r="A103" s="29" t="s">
        <v>34</v>
      </c>
      <c r="B103" s="53">
        <v>55.3</v>
      </c>
      <c r="C103" s="30">
        <f t="shared" si="1"/>
        <v>54</v>
      </c>
      <c r="D103" s="14">
        <v>0.44660036166365286</v>
      </c>
      <c r="E103" s="14">
        <v>6.79602169981917E-2</v>
      </c>
      <c r="F103" s="38">
        <v>7.7323688969258661E-2</v>
      </c>
      <c r="G103" s="38">
        <v>0.22078119349005423</v>
      </c>
    </row>
    <row r="104" spans="1:7">
      <c r="A104" s="29" t="s">
        <v>35</v>
      </c>
      <c r="B104" s="53">
        <v>56.8</v>
      </c>
      <c r="C104" s="30">
        <f t="shared" si="1"/>
        <v>55.3</v>
      </c>
      <c r="D104" s="14">
        <v>0.46121478873239447</v>
      </c>
      <c r="E104" s="14">
        <v>7.672887323943664E-2</v>
      </c>
      <c r="F104" s="38">
        <v>8.5845070422535266E-2</v>
      </c>
      <c r="G104" s="38">
        <v>0.22551408450704225</v>
      </c>
    </row>
    <row r="105" spans="1:7">
      <c r="A105" s="29" t="s">
        <v>36</v>
      </c>
      <c r="B105" s="153">
        <v>58</v>
      </c>
      <c r="C105" s="30">
        <f t="shared" si="1"/>
        <v>56.8</v>
      </c>
      <c r="D105" s="14">
        <v>0.47236206896551736</v>
      </c>
      <c r="E105" s="14">
        <v>8.3417241379310378E-2</v>
      </c>
      <c r="F105" s="38">
        <v>9.2344827586206976E-2</v>
      </c>
      <c r="G105" s="38">
        <v>0.2291241379310345</v>
      </c>
    </row>
    <row r="106" spans="1:7">
      <c r="A106" s="29" t="s">
        <v>37</v>
      </c>
      <c r="B106" s="53">
        <v>59.4</v>
      </c>
      <c r="C106" s="30">
        <f t="shared" si="1"/>
        <v>58</v>
      </c>
      <c r="D106" s="14">
        <v>0.48479797979797989</v>
      </c>
      <c r="E106" s="14">
        <v>9.0878787878787892E-2</v>
      </c>
      <c r="F106" s="38">
        <v>9.9595959595959668E-2</v>
      </c>
      <c r="G106" s="38">
        <v>0.23315151515151517</v>
      </c>
    </row>
    <row r="107" spans="1:7">
      <c r="A107" s="29" t="s">
        <v>38</v>
      </c>
      <c r="B107" s="53">
        <v>61.1</v>
      </c>
      <c r="C107" s="30">
        <f t="shared" si="1"/>
        <v>59.4</v>
      </c>
      <c r="D107" s="14">
        <v>0.49913256955810159</v>
      </c>
      <c r="E107" s="14">
        <v>9.9479541734860927E-2</v>
      </c>
      <c r="F107" s="38">
        <v>0.10795417348608846</v>
      </c>
      <c r="G107" s="38">
        <v>0.23779378068739773</v>
      </c>
    </row>
    <row r="108" spans="1:7">
      <c r="A108" s="29" t="s">
        <v>39</v>
      </c>
      <c r="B108" s="53">
        <v>62.7</v>
      </c>
      <c r="C108" s="30">
        <f t="shared" si="1"/>
        <v>61.1</v>
      </c>
      <c r="D108" s="14">
        <v>0.51191387559808621</v>
      </c>
      <c r="E108" s="14">
        <v>0.10714832535885171</v>
      </c>
      <c r="F108" s="38">
        <v>0.11540669856459339</v>
      </c>
      <c r="G108" s="38">
        <v>0.241933014354067</v>
      </c>
    </row>
    <row r="109" spans="1:7">
      <c r="A109" s="29" t="s">
        <v>40</v>
      </c>
      <c r="B109" s="53">
        <v>64.5</v>
      </c>
      <c r="C109" s="30">
        <f t="shared" si="1"/>
        <v>62.7</v>
      </c>
      <c r="D109" s="14">
        <v>0.52553488372093027</v>
      </c>
      <c r="E109" s="14">
        <v>0.11532093023255817</v>
      </c>
      <c r="F109" s="38">
        <v>0.1233488372093024</v>
      </c>
      <c r="G109" s="38">
        <v>0.24634418604651165</v>
      </c>
    </row>
    <row r="110" spans="1:7">
      <c r="A110" s="29" t="s">
        <v>41</v>
      </c>
      <c r="B110" s="53">
        <v>66.599999999999994</v>
      </c>
      <c r="C110" s="30">
        <f t="shared" si="1"/>
        <v>64.5</v>
      </c>
      <c r="D110" s="14">
        <v>0.54049549549549558</v>
      </c>
      <c r="E110" s="14">
        <v>0.12429729729729731</v>
      </c>
      <c r="F110" s="38">
        <v>0.13207207207207214</v>
      </c>
      <c r="G110" s="38">
        <v>0.2511891891891892</v>
      </c>
    </row>
    <row r="111" spans="1:7">
      <c r="A111" s="29" t="s">
        <v>42</v>
      </c>
      <c r="B111" s="53">
        <v>68.5</v>
      </c>
      <c r="C111" s="30">
        <f t="shared" si="1"/>
        <v>66.599999999999994</v>
      </c>
      <c r="D111" s="14">
        <v>0.55324087591240889</v>
      </c>
      <c r="E111" s="14">
        <v>0.13194452554744529</v>
      </c>
      <c r="F111" s="38">
        <v>0.13950364963503656</v>
      </c>
      <c r="G111" s="38">
        <v>0.25531678832116789</v>
      </c>
    </row>
    <row r="112" spans="1:7">
      <c r="A112" s="29" t="s">
        <v>43</v>
      </c>
      <c r="B112" s="53">
        <v>70.5</v>
      </c>
      <c r="C112" s="30">
        <f t="shared" si="1"/>
        <v>68.5</v>
      </c>
      <c r="D112" s="14">
        <v>0.56591489361702141</v>
      </c>
      <c r="E112" s="14">
        <v>0.1395489361702128</v>
      </c>
      <c r="F112" s="38">
        <v>0.14689361702127668</v>
      </c>
      <c r="G112" s="38">
        <v>0.25942127659574465</v>
      </c>
    </row>
    <row r="113" spans="1:7">
      <c r="A113" s="29" t="s">
        <v>44</v>
      </c>
      <c r="B113" s="53">
        <v>73.599999999999994</v>
      </c>
      <c r="C113" s="30">
        <f t="shared" si="1"/>
        <v>70.5</v>
      </c>
      <c r="D113" s="14">
        <v>0.58419836956521742</v>
      </c>
      <c r="E113" s="14">
        <v>0.15051902173913045</v>
      </c>
      <c r="F113" s="38">
        <v>0.15755434782608702</v>
      </c>
      <c r="G113" s="38">
        <v>0.26534239130434778</v>
      </c>
    </row>
    <row r="114" spans="1:7">
      <c r="A114" s="29" t="s">
        <v>45</v>
      </c>
      <c r="B114" s="53">
        <v>76.8</v>
      </c>
      <c r="C114" s="30">
        <f t="shared" si="1"/>
        <v>73.599999999999994</v>
      </c>
      <c r="D114" s="14">
        <v>0.60152343750000004</v>
      </c>
      <c r="E114" s="14">
        <v>0.16091406250000004</v>
      </c>
      <c r="F114" s="38">
        <v>0.16765625000000006</v>
      </c>
      <c r="G114" s="38">
        <v>0.27095312499999996</v>
      </c>
    </row>
    <row r="115" spans="1:7">
      <c r="A115" s="29" t="s">
        <v>46</v>
      </c>
      <c r="B115" s="53">
        <v>80.8</v>
      </c>
      <c r="C115" s="30">
        <f t="shared" si="1"/>
        <v>76.8</v>
      </c>
      <c r="D115" s="14">
        <v>0.62125000000000008</v>
      </c>
      <c r="E115" s="14">
        <v>0.17275000000000001</v>
      </c>
      <c r="F115" s="38">
        <v>0.17915841584158421</v>
      </c>
      <c r="G115" s="38">
        <v>0.27734158415841581</v>
      </c>
    </row>
    <row r="116" spans="1:7">
      <c r="A116" s="29" t="s">
        <v>47</v>
      </c>
      <c r="B116" s="53">
        <v>84.5</v>
      </c>
      <c r="C116" s="30">
        <f t="shared" si="1"/>
        <v>80.8</v>
      </c>
      <c r="D116" s="14">
        <v>0.63783431952662728</v>
      </c>
      <c r="E116" s="14">
        <v>0.18270059171597638</v>
      </c>
      <c r="F116" s="38">
        <v>0.18882840236686396</v>
      </c>
      <c r="G116" s="38">
        <v>0.28271242603550295</v>
      </c>
    </row>
    <row r="117" spans="1:7">
      <c r="A117" s="29" t="s">
        <v>48</v>
      </c>
      <c r="B117" s="53">
        <v>87.6</v>
      </c>
      <c r="C117" s="30">
        <f t="shared" si="1"/>
        <v>84.5</v>
      </c>
      <c r="D117" s="14">
        <v>0.65065068493150691</v>
      </c>
      <c r="E117" s="14">
        <v>0.19039041095890413</v>
      </c>
      <c r="F117" s="38">
        <v>0.19630136986301372</v>
      </c>
      <c r="G117" s="38">
        <v>0.2868630136986301</v>
      </c>
    </row>
    <row r="118" spans="1:7">
      <c r="A118" s="29" t="s">
        <v>49</v>
      </c>
      <c r="B118" s="53">
        <v>93.9</v>
      </c>
      <c r="C118" s="30">
        <f t="shared" si="1"/>
        <v>87.6</v>
      </c>
      <c r="D118" s="14">
        <v>0.67408945686900967</v>
      </c>
      <c r="E118" s="14">
        <v>0.20445367412140578</v>
      </c>
      <c r="F118" s="38">
        <v>0.20996805111821093</v>
      </c>
      <c r="G118" s="38">
        <v>0.29445367412140572</v>
      </c>
    </row>
    <row r="119" spans="1:7">
      <c r="A119" s="29" t="s">
        <v>50</v>
      </c>
      <c r="B119" s="53">
        <v>100.2</v>
      </c>
      <c r="C119" s="30">
        <f t="shared" si="1"/>
        <v>93.9</v>
      </c>
      <c r="D119" s="14">
        <v>0.69458083832335338</v>
      </c>
      <c r="E119" s="14">
        <v>0.21674850299401199</v>
      </c>
      <c r="F119" s="38">
        <v>0.22191616766467073</v>
      </c>
      <c r="G119" s="38">
        <v>0.30108982035928145</v>
      </c>
    </row>
    <row r="120" spans="1:7">
      <c r="A120" s="29" t="s">
        <v>51</v>
      </c>
      <c r="B120" s="53">
        <v>111.3</v>
      </c>
      <c r="C120" s="30">
        <f t="shared" si="1"/>
        <v>100.2</v>
      </c>
      <c r="D120" s="14">
        <v>0.72504043126684636</v>
      </c>
      <c r="E120" s="14">
        <v>0.23502425876010782</v>
      </c>
      <c r="F120" s="38">
        <v>0.23967654986522915</v>
      </c>
      <c r="G120" s="38">
        <v>0.31095417789757412</v>
      </c>
    </row>
    <row r="121" spans="1:7">
      <c r="A121" s="29" t="s">
        <v>52</v>
      </c>
      <c r="B121" s="53">
        <v>125.5</v>
      </c>
      <c r="C121" s="30">
        <f t="shared" si="1"/>
        <v>111.3</v>
      </c>
      <c r="D121" s="14">
        <v>0.75615139442231083</v>
      </c>
      <c r="E121" s="14">
        <v>0.25369083665338643</v>
      </c>
      <c r="F121" s="38">
        <v>0.25781673306772912</v>
      </c>
      <c r="G121" s="38">
        <v>0.32102948207171317</v>
      </c>
    </row>
    <row r="122" spans="1:7">
      <c r="A122" s="29" t="s">
        <v>53</v>
      </c>
      <c r="B122" s="53">
        <v>185.4</v>
      </c>
      <c r="C122" s="30">
        <f>B121</f>
        <v>125.5</v>
      </c>
      <c r="D122" s="14">
        <v>0.83493527508090626</v>
      </c>
      <c r="E122" s="14">
        <v>0.3009611650485437</v>
      </c>
      <c r="F122" s="38">
        <v>0.30375404530744343</v>
      </c>
      <c r="G122" s="38">
        <v>0.34654368932038837</v>
      </c>
    </row>
    <row r="123" spans="1:7">
      <c r="A123" s="29" t="s">
        <v>53</v>
      </c>
      <c r="B123" s="29" t="s">
        <v>108</v>
      </c>
      <c r="C123" s="30">
        <f t="shared" si="1"/>
        <v>185.4</v>
      </c>
      <c r="D123" s="11" t="s">
        <v>81</v>
      </c>
      <c r="E123" s="11"/>
      <c r="F123" s="39"/>
      <c r="G123" s="39"/>
    </row>
    <row r="124" spans="1:7">
      <c r="A124" s="29"/>
      <c r="B124" s="29"/>
      <c r="C124" s="29"/>
      <c r="D124" s="11"/>
      <c r="E124" s="32">
        <v>7.3894242779548813E-2</v>
      </c>
      <c r="F124" s="40">
        <v>7.8146723136864701E-2</v>
      </c>
      <c r="G124" s="40">
        <v>0.18206415443881321</v>
      </c>
    </row>
    <row r="125" spans="1:7" ht="60">
      <c r="A125" s="33" t="s">
        <v>55</v>
      </c>
      <c r="B125" s="154">
        <v>27.53</v>
      </c>
      <c r="C125" s="29"/>
      <c r="D125" s="11"/>
      <c r="E125" s="34">
        <v>51.004999999999995</v>
      </c>
      <c r="F125" s="41">
        <v>49.566666666666656</v>
      </c>
      <c r="G125" s="42">
        <v>27.53</v>
      </c>
    </row>
    <row r="126" spans="1:7" ht="60">
      <c r="A126" s="33" t="s">
        <v>56</v>
      </c>
      <c r="B126" s="154">
        <v>54.16</v>
      </c>
      <c r="C126" s="29"/>
      <c r="D126" s="11"/>
      <c r="E126" s="11"/>
      <c r="F126" s="39"/>
      <c r="G126" s="39"/>
    </row>
    <row r="127" spans="1:7" ht="96.75">
      <c r="A127" s="35" t="s">
        <v>57</v>
      </c>
      <c r="B127" s="29">
        <v>16.5</v>
      </c>
      <c r="C127" s="29"/>
      <c r="D127" s="11"/>
      <c r="E127" s="11">
        <v>30.602999999999994</v>
      </c>
      <c r="F127" s="39">
        <v>29.739999999999991</v>
      </c>
      <c r="G127" s="39">
        <v>16.518000000000001</v>
      </c>
    </row>
    <row r="129" spans="1:7" ht="60.75" thickBot="1">
      <c r="A129" s="5" t="s">
        <v>56</v>
      </c>
      <c r="B129">
        <f>B126</f>
        <v>54.16</v>
      </c>
    </row>
    <row r="130" spans="1:7">
      <c r="A130" s="16" t="s">
        <v>64</v>
      </c>
      <c r="B130" s="17">
        <f>AVERAGE(B78:B117)</f>
        <v>51.004999999999995</v>
      </c>
      <c r="C130" s="17"/>
    </row>
    <row r="131" spans="1:7">
      <c r="A131" s="16" t="s">
        <v>65</v>
      </c>
      <c r="B131" s="18">
        <f>AVERAGE(B83:B112)</f>
        <v>49.566666666666656</v>
      </c>
      <c r="C131" s="18"/>
    </row>
    <row r="132" spans="1:7">
      <c r="A132" s="16" t="s">
        <v>66</v>
      </c>
      <c r="B132" s="18">
        <f>AVERAGE(B89:B107)</f>
        <v>49.363157894736844</v>
      </c>
      <c r="C132" s="18"/>
    </row>
    <row r="133" spans="1:7" ht="15.75" thickBot="1"/>
    <row r="134" spans="1:7" ht="15.75" thickBot="1">
      <c r="A134" s="522" t="s">
        <v>0</v>
      </c>
      <c r="B134" s="467" t="s">
        <v>78</v>
      </c>
      <c r="C134" s="468"/>
      <c r="D134" s="469"/>
      <c r="E134" s="19">
        <f>(1-E189)^(1/3)-1</f>
        <v>-3.3464193805795572E-2</v>
      </c>
      <c r="F134" s="19">
        <f>(1-F189)^(1/3)-1</f>
        <v>-4.1106525998288679E-2</v>
      </c>
      <c r="G134" s="19"/>
    </row>
    <row r="135" spans="1:7" ht="72.75" thickBot="1">
      <c r="A135" s="523"/>
      <c r="B135" s="1" t="s">
        <v>4</v>
      </c>
      <c r="C135" s="254"/>
      <c r="D135" s="11" t="s">
        <v>80</v>
      </c>
      <c r="E135" s="11" t="s">
        <v>5</v>
      </c>
      <c r="F135" s="39" t="s">
        <v>5</v>
      </c>
      <c r="G135" s="39"/>
    </row>
    <row r="136" spans="1:7" ht="24.75" thickBot="1">
      <c r="A136" s="524"/>
      <c r="B136" s="1" t="s">
        <v>9</v>
      </c>
      <c r="C136" s="254"/>
      <c r="D136" s="11" t="s">
        <v>7</v>
      </c>
      <c r="E136" s="11" t="s">
        <v>7</v>
      </c>
      <c r="F136" s="39" t="s">
        <v>7</v>
      </c>
      <c r="G136" s="39"/>
    </row>
    <row r="137" spans="1:7">
      <c r="A137" s="50">
        <v>1</v>
      </c>
      <c r="B137" s="51">
        <v>2</v>
      </c>
      <c r="C137" s="51"/>
      <c r="D137" s="51">
        <v>3</v>
      </c>
      <c r="E137" s="51">
        <v>4</v>
      </c>
      <c r="F137" s="52">
        <v>5</v>
      </c>
      <c r="G137" s="52"/>
    </row>
    <row r="138" spans="1:7" ht="15.75" thickBot="1">
      <c r="A138" s="8" t="s">
        <v>10</v>
      </c>
      <c r="B138" s="54">
        <v>1E-3</v>
      </c>
      <c r="C138" s="255">
        <v>0</v>
      </c>
      <c r="D138" s="14">
        <v>0</v>
      </c>
      <c r="E138" s="14">
        <v>0</v>
      </c>
      <c r="F138" s="38">
        <v>0</v>
      </c>
      <c r="G138" s="38">
        <v>0</v>
      </c>
    </row>
    <row r="139" spans="1:7" ht="15.75" thickBot="1">
      <c r="A139" s="8" t="s">
        <v>58</v>
      </c>
      <c r="B139" s="54">
        <v>1E-3</v>
      </c>
      <c r="C139" s="30">
        <f>B138</f>
        <v>1E-3</v>
      </c>
      <c r="D139" s="14">
        <v>0</v>
      </c>
      <c r="E139" s="14">
        <v>0</v>
      </c>
      <c r="F139" s="38">
        <v>0</v>
      </c>
      <c r="G139" s="38">
        <v>0</v>
      </c>
    </row>
    <row r="140" spans="1:7" ht="15.75" thickBot="1">
      <c r="A140" s="8" t="s">
        <v>59</v>
      </c>
      <c r="B140" s="54">
        <v>1E-3</v>
      </c>
      <c r="C140" s="30">
        <f t="shared" ref="C140:C188" si="2">B139</f>
        <v>1E-3</v>
      </c>
      <c r="D140" s="14">
        <v>0</v>
      </c>
      <c r="E140" s="14">
        <v>0</v>
      </c>
      <c r="F140" s="38">
        <v>0</v>
      </c>
      <c r="G140" s="38">
        <v>0</v>
      </c>
    </row>
    <row r="141" spans="1:7" ht="15.75" thickBot="1">
      <c r="A141" s="8" t="s">
        <v>60</v>
      </c>
      <c r="B141" s="54">
        <v>1E-3</v>
      </c>
      <c r="C141" s="30">
        <f t="shared" si="2"/>
        <v>1E-3</v>
      </c>
      <c r="D141" s="14">
        <v>0</v>
      </c>
      <c r="E141" s="14">
        <v>0</v>
      </c>
      <c r="F141" s="38">
        <v>0</v>
      </c>
      <c r="G141" s="38">
        <v>0</v>
      </c>
    </row>
    <row r="142" spans="1:7" ht="15.75" thickBot="1">
      <c r="A142" s="8" t="s">
        <v>61</v>
      </c>
      <c r="B142" s="54">
        <v>2E-3</v>
      </c>
      <c r="C142" s="30">
        <f t="shared" si="2"/>
        <v>1E-3</v>
      </c>
      <c r="D142" s="14">
        <v>0</v>
      </c>
      <c r="E142" s="14">
        <v>0</v>
      </c>
      <c r="F142" s="38">
        <v>0</v>
      </c>
      <c r="G142" s="38">
        <v>0</v>
      </c>
    </row>
    <row r="143" spans="1:7" ht="15.75" thickBot="1">
      <c r="A143" s="8" t="s">
        <v>62</v>
      </c>
      <c r="B143" s="54">
        <v>2E-3</v>
      </c>
      <c r="C143" s="30">
        <f t="shared" si="2"/>
        <v>2E-3</v>
      </c>
      <c r="D143" s="14">
        <v>0</v>
      </c>
      <c r="E143" s="14">
        <v>0</v>
      </c>
      <c r="F143" s="38">
        <v>0</v>
      </c>
      <c r="G143" s="38">
        <v>0</v>
      </c>
    </row>
    <row r="144" spans="1:7" ht="15.75" thickBot="1">
      <c r="A144" s="8" t="s">
        <v>63</v>
      </c>
      <c r="B144" s="54">
        <v>2E-3</v>
      </c>
      <c r="C144" s="30">
        <f t="shared" si="2"/>
        <v>2E-3</v>
      </c>
      <c r="D144" s="14">
        <v>0</v>
      </c>
      <c r="E144" s="14">
        <v>0</v>
      </c>
      <c r="F144" s="38">
        <v>0</v>
      </c>
      <c r="G144" s="38">
        <v>0</v>
      </c>
    </row>
    <row r="145" spans="1:7" ht="15.75" thickBot="1">
      <c r="A145" s="3" t="s">
        <v>11</v>
      </c>
      <c r="B145" s="54">
        <v>2E-3</v>
      </c>
      <c r="C145" s="30">
        <f t="shared" si="2"/>
        <v>2E-3</v>
      </c>
      <c r="D145" s="14">
        <v>0</v>
      </c>
      <c r="E145" s="14">
        <v>0</v>
      </c>
      <c r="F145" s="38">
        <v>0</v>
      </c>
      <c r="G145" s="38">
        <v>0</v>
      </c>
    </row>
    <row r="146" spans="1:7" ht="15.75" thickBot="1">
      <c r="A146" s="3" t="s">
        <v>12</v>
      </c>
      <c r="B146" s="54">
        <v>3.0000000000000001E-3</v>
      </c>
      <c r="C146" s="30">
        <f t="shared" si="2"/>
        <v>2E-3</v>
      </c>
      <c r="D146" s="14">
        <v>0</v>
      </c>
      <c r="E146" s="14">
        <v>0</v>
      </c>
      <c r="F146" s="38">
        <v>0</v>
      </c>
      <c r="G146" s="38">
        <v>0</v>
      </c>
    </row>
    <row r="147" spans="1:7" ht="15.75" thickBot="1">
      <c r="A147" s="3" t="s">
        <v>13</v>
      </c>
      <c r="B147" s="54">
        <v>4.0000000000000001E-3</v>
      </c>
      <c r="C147" s="30">
        <f t="shared" si="2"/>
        <v>3.0000000000000001E-3</v>
      </c>
      <c r="D147" s="14">
        <v>0</v>
      </c>
      <c r="E147" s="14">
        <v>0</v>
      </c>
      <c r="F147" s="38">
        <v>0</v>
      </c>
      <c r="G147" s="38">
        <v>0</v>
      </c>
    </row>
    <row r="148" spans="1:7" ht="15.75" thickBot="1">
      <c r="A148" s="3" t="s">
        <v>14</v>
      </c>
      <c r="B148" s="54">
        <v>4.0000000000000001E-3</v>
      </c>
      <c r="C148" s="30">
        <f t="shared" si="2"/>
        <v>4.0000000000000001E-3</v>
      </c>
      <c r="D148" s="14">
        <v>0</v>
      </c>
      <c r="E148" s="14">
        <v>0</v>
      </c>
      <c r="F148" s="38">
        <v>0</v>
      </c>
      <c r="G148" s="38">
        <v>0</v>
      </c>
    </row>
    <row r="149" spans="1:7" ht="15.75" thickBot="1">
      <c r="A149" s="3" t="s">
        <v>15</v>
      </c>
      <c r="B149" s="54">
        <v>4.0000000000000001E-3</v>
      </c>
      <c r="C149" s="30">
        <f t="shared" si="2"/>
        <v>4.0000000000000001E-3</v>
      </c>
      <c r="D149" s="14">
        <v>0</v>
      </c>
      <c r="E149" s="14">
        <v>0</v>
      </c>
      <c r="F149" s="38">
        <v>0</v>
      </c>
      <c r="G149" s="38">
        <v>0</v>
      </c>
    </row>
    <row r="150" spans="1:7" ht="15.75" thickBot="1">
      <c r="A150" s="3" t="s">
        <v>16</v>
      </c>
      <c r="B150" s="54">
        <v>4.0000000000000001E-3</v>
      </c>
      <c r="C150" s="30">
        <f t="shared" si="2"/>
        <v>4.0000000000000001E-3</v>
      </c>
      <c r="D150" s="14">
        <v>0</v>
      </c>
      <c r="E150" s="14">
        <v>0</v>
      </c>
      <c r="F150" s="38">
        <v>0</v>
      </c>
      <c r="G150" s="38">
        <v>0</v>
      </c>
    </row>
    <row r="151" spans="1:7" ht="15.75" thickBot="1">
      <c r="A151" s="3" t="s">
        <v>17</v>
      </c>
      <c r="B151" s="54">
        <v>4.0000000000000001E-3</v>
      </c>
      <c r="C151" s="30">
        <f t="shared" si="2"/>
        <v>4.0000000000000001E-3</v>
      </c>
      <c r="D151" s="14">
        <v>0</v>
      </c>
      <c r="E151" s="14">
        <v>0</v>
      </c>
      <c r="F151" s="38">
        <v>0</v>
      </c>
      <c r="G151" s="38">
        <v>0</v>
      </c>
    </row>
    <row r="152" spans="1:7" ht="15.75" thickBot="1">
      <c r="A152" s="3" t="s">
        <v>18</v>
      </c>
      <c r="B152" s="54">
        <v>5.0000000000000001E-3</v>
      </c>
      <c r="C152" s="30">
        <f t="shared" si="2"/>
        <v>4.0000000000000001E-3</v>
      </c>
      <c r="D152" s="14">
        <v>0</v>
      </c>
      <c r="E152" s="14">
        <v>0</v>
      </c>
      <c r="F152" s="38">
        <v>0</v>
      </c>
      <c r="G152" s="38">
        <v>0</v>
      </c>
    </row>
    <row r="153" spans="1:7" ht="15.75" thickBot="1">
      <c r="A153" s="3" t="s">
        <v>19</v>
      </c>
      <c r="B153" s="54">
        <v>6.0000000000000001E-3</v>
      </c>
      <c r="C153" s="30">
        <f t="shared" si="2"/>
        <v>5.0000000000000001E-3</v>
      </c>
      <c r="D153" s="14">
        <v>0</v>
      </c>
      <c r="E153" s="14">
        <v>0</v>
      </c>
      <c r="F153" s="38">
        <v>0</v>
      </c>
      <c r="G153" s="38">
        <v>0</v>
      </c>
    </row>
    <row r="154" spans="1:7" ht="15.75" thickBot="1">
      <c r="A154" s="3" t="s">
        <v>20</v>
      </c>
      <c r="B154" s="54">
        <v>6.0000000000000001E-3</v>
      </c>
      <c r="C154" s="30">
        <f t="shared" si="2"/>
        <v>6.0000000000000001E-3</v>
      </c>
      <c r="D154" s="14">
        <v>0</v>
      </c>
      <c r="E154" s="14">
        <v>0</v>
      </c>
      <c r="F154" s="38">
        <v>0</v>
      </c>
      <c r="G154" s="38">
        <v>0</v>
      </c>
    </row>
    <row r="155" spans="1:7" ht="15.75" thickBot="1">
      <c r="A155" s="3" t="s">
        <v>21</v>
      </c>
      <c r="B155" s="54">
        <v>7.0000000000000001E-3</v>
      </c>
      <c r="C155" s="30">
        <f t="shared" si="2"/>
        <v>6.0000000000000001E-3</v>
      </c>
      <c r="D155" s="14">
        <v>0</v>
      </c>
      <c r="E155" s="14">
        <v>0</v>
      </c>
      <c r="F155" s="38">
        <v>0</v>
      </c>
      <c r="G155" s="38">
        <v>0</v>
      </c>
    </row>
    <row r="156" spans="1:7" ht="15.75" thickBot="1">
      <c r="A156" s="3" t="s">
        <v>22</v>
      </c>
      <c r="B156" s="54">
        <v>0.01</v>
      </c>
      <c r="C156" s="30">
        <f t="shared" si="2"/>
        <v>7.0000000000000001E-3</v>
      </c>
      <c r="D156" s="14">
        <v>0</v>
      </c>
      <c r="E156" s="14">
        <v>0</v>
      </c>
      <c r="F156" s="38">
        <v>0</v>
      </c>
      <c r="G156" s="38">
        <v>0</v>
      </c>
    </row>
    <row r="157" spans="1:7" ht="15.75" thickBot="1">
      <c r="A157" s="3" t="s">
        <v>23</v>
      </c>
      <c r="B157" s="54">
        <v>1.2E-2</v>
      </c>
      <c r="C157" s="30">
        <f t="shared" si="2"/>
        <v>0.01</v>
      </c>
      <c r="D157" s="14">
        <v>0</v>
      </c>
      <c r="E157" s="14">
        <v>0</v>
      </c>
      <c r="F157" s="38">
        <v>0</v>
      </c>
      <c r="G157" s="38">
        <v>0</v>
      </c>
    </row>
    <row r="158" spans="1:7" ht="15.75" thickBot="1">
      <c r="A158" s="3" t="s">
        <v>24</v>
      </c>
      <c r="B158" s="54">
        <v>1.6E-2</v>
      </c>
      <c r="C158" s="30">
        <f t="shared" si="2"/>
        <v>1.2E-2</v>
      </c>
      <c r="D158" s="14">
        <v>0</v>
      </c>
      <c r="E158" s="14">
        <v>0</v>
      </c>
      <c r="F158" s="38">
        <v>0</v>
      </c>
      <c r="G158" s="38">
        <v>0</v>
      </c>
    </row>
    <row r="159" spans="1:7" ht="15.75" thickBot="1">
      <c r="A159" s="3" t="s">
        <v>25</v>
      </c>
      <c r="B159" s="54">
        <v>0.02</v>
      </c>
      <c r="C159" s="30">
        <f t="shared" si="2"/>
        <v>1.6E-2</v>
      </c>
      <c r="D159" s="14">
        <v>0</v>
      </c>
      <c r="E159" s="14">
        <v>0</v>
      </c>
      <c r="F159" s="38">
        <v>0</v>
      </c>
      <c r="G159" s="38">
        <v>0</v>
      </c>
    </row>
    <row r="160" spans="1:7" ht="15.75" thickBot="1">
      <c r="A160" s="3" t="s">
        <v>26</v>
      </c>
      <c r="B160" s="54">
        <v>2.5000000000000001E-2</v>
      </c>
      <c r="C160" s="30">
        <f t="shared" si="2"/>
        <v>0.02</v>
      </c>
      <c r="D160" s="14">
        <v>0</v>
      </c>
      <c r="E160" s="14">
        <v>0</v>
      </c>
      <c r="F160" s="38">
        <v>0</v>
      </c>
      <c r="G160" s="38">
        <v>0</v>
      </c>
    </row>
    <row r="161" spans="1:7" ht="15.75" thickBot="1">
      <c r="A161" s="3" t="s">
        <v>27</v>
      </c>
      <c r="B161" s="54">
        <v>3.1E-2</v>
      </c>
      <c r="C161" s="30">
        <f t="shared" si="2"/>
        <v>2.5000000000000001E-2</v>
      </c>
      <c r="D161" s="14">
        <v>0</v>
      </c>
      <c r="E161" s="14">
        <v>0</v>
      </c>
      <c r="F161" s="38">
        <v>0</v>
      </c>
      <c r="G161" s="38">
        <v>0</v>
      </c>
    </row>
    <row r="162" spans="1:7" ht="15.75" thickBot="1">
      <c r="A162" s="3" t="s">
        <v>28</v>
      </c>
      <c r="B162" s="54">
        <v>4.5999999999999999E-2</v>
      </c>
      <c r="C162" s="30">
        <f t="shared" si="2"/>
        <v>3.1E-2</v>
      </c>
      <c r="D162" s="14">
        <v>0</v>
      </c>
      <c r="E162" s="14">
        <v>0</v>
      </c>
      <c r="F162" s="38">
        <v>0</v>
      </c>
      <c r="G162" s="38">
        <v>0</v>
      </c>
    </row>
    <row r="163" spans="1:7" ht="15.75" thickBot="1">
      <c r="A163" s="3" t="s">
        <v>29</v>
      </c>
      <c r="B163" s="54">
        <v>5.5E-2</v>
      </c>
      <c r="C163" s="30">
        <f t="shared" si="2"/>
        <v>4.5999999999999999E-2</v>
      </c>
      <c r="D163" s="14">
        <v>0</v>
      </c>
      <c r="E163" s="14">
        <v>0</v>
      </c>
      <c r="F163" s="38">
        <v>0</v>
      </c>
      <c r="G163" s="38">
        <v>0</v>
      </c>
    </row>
    <row r="164" spans="1:7" ht="15.75" thickBot="1">
      <c r="A164" s="3" t="s">
        <v>30</v>
      </c>
      <c r="B164" s="54">
        <v>6.8000000000000005E-2</v>
      </c>
      <c r="C164" s="30">
        <f t="shared" si="2"/>
        <v>5.5E-2</v>
      </c>
      <c r="D164" s="14">
        <v>0</v>
      </c>
      <c r="E164" s="14">
        <v>0</v>
      </c>
      <c r="F164" s="38">
        <v>0</v>
      </c>
      <c r="G164" s="38">
        <v>0</v>
      </c>
    </row>
    <row r="165" spans="1:7" ht="15.75" thickBot="1">
      <c r="A165" s="3" t="s">
        <v>31</v>
      </c>
      <c r="B165" s="54">
        <v>0.10100000000000001</v>
      </c>
      <c r="C165" s="30">
        <f t="shared" si="2"/>
        <v>6.8000000000000005E-2</v>
      </c>
      <c r="D165" s="14">
        <v>0</v>
      </c>
      <c r="E165" s="14"/>
      <c r="F165" s="38">
        <v>2.2396039603960395E-2</v>
      </c>
      <c r="G165" s="38">
        <v>0</v>
      </c>
    </row>
    <row r="166" spans="1:7" ht="15.75" thickBot="1">
      <c r="A166" s="3" t="s">
        <v>32</v>
      </c>
      <c r="B166" s="54">
        <v>0.125</v>
      </c>
      <c r="C166" s="30">
        <f t="shared" si="2"/>
        <v>0.10100000000000001</v>
      </c>
      <c r="D166" s="14">
        <v>6.5679999999999961E-2</v>
      </c>
      <c r="E166" s="14"/>
      <c r="F166" s="38">
        <v>3.7295999999999996E-2</v>
      </c>
      <c r="G166" s="38">
        <v>0</v>
      </c>
    </row>
    <row r="167" spans="1:7" ht="15.75" thickBot="1">
      <c r="A167" s="3" t="s">
        <v>33</v>
      </c>
      <c r="B167" s="54">
        <v>0.14199999999999999</v>
      </c>
      <c r="C167" s="30">
        <f t="shared" si="2"/>
        <v>0.125</v>
      </c>
      <c r="D167" s="14">
        <v>0.17753521126760552</v>
      </c>
      <c r="E167" s="14">
        <v>1.7753521126760555E-2</v>
      </c>
      <c r="F167" s="38">
        <v>6.8816901408450634E-2</v>
      </c>
      <c r="G167" s="38">
        <v>0</v>
      </c>
    </row>
    <row r="168" spans="1:7" ht="15.75" thickBot="1">
      <c r="A168" s="3" t="s">
        <v>34</v>
      </c>
      <c r="B168" s="54">
        <v>0.153</v>
      </c>
      <c r="C168" s="30">
        <f t="shared" si="2"/>
        <v>0.14199999999999999</v>
      </c>
      <c r="D168" s="14">
        <v>0.23666666666666661</v>
      </c>
      <c r="E168" s="14">
        <v>2.3666666666666662E-2</v>
      </c>
      <c r="F168" s="38">
        <v>9.2627450980392115E-2</v>
      </c>
      <c r="G168" s="38">
        <v>0</v>
      </c>
    </row>
    <row r="169" spans="1:7" ht="15.75" thickBot="1">
      <c r="A169" s="3" t="s">
        <v>35</v>
      </c>
      <c r="B169" s="54">
        <v>0.17499999999999999</v>
      </c>
      <c r="C169" s="30">
        <f t="shared" si="2"/>
        <v>0.153</v>
      </c>
      <c r="D169" s="14">
        <v>0.33262857142857138</v>
      </c>
      <c r="E169" s="14">
        <v>3.3262857142857136E-2</v>
      </c>
      <c r="F169" s="38">
        <v>0.1312685714285714</v>
      </c>
      <c r="G169" s="38">
        <v>0</v>
      </c>
    </row>
    <row r="170" spans="1:7" ht="15.75" thickBot="1">
      <c r="A170" s="3" t="s">
        <v>36</v>
      </c>
      <c r="B170" s="54">
        <v>0.188</v>
      </c>
      <c r="C170" s="30">
        <f t="shared" si="2"/>
        <v>0.17499999999999999</v>
      </c>
      <c r="D170" s="14">
        <v>0.37877659574468081</v>
      </c>
      <c r="E170" s="14">
        <v>3.7877659574468085E-2</v>
      </c>
      <c r="F170" s="38">
        <v>0.14985106382978722</v>
      </c>
      <c r="G170" s="38">
        <v>0</v>
      </c>
    </row>
    <row r="171" spans="1:7" ht="15.75" thickBot="1">
      <c r="A171" s="3" t="s">
        <v>37</v>
      </c>
      <c r="B171" s="54">
        <v>0.21199999999999999</v>
      </c>
      <c r="C171" s="30">
        <f t="shared" si="2"/>
        <v>0.188</v>
      </c>
      <c r="D171" s="14">
        <v>0.44910377358490561</v>
      </c>
      <c r="E171" s="14">
        <v>6.9462264150943365E-2</v>
      </c>
      <c r="F171" s="38">
        <v>0.17816981132075471</v>
      </c>
      <c r="G171" s="38">
        <v>0</v>
      </c>
    </row>
    <row r="172" spans="1:7" ht="15.75" thickBot="1">
      <c r="A172" s="3" t="s">
        <v>38</v>
      </c>
      <c r="B172" s="54">
        <v>0.26500000000000001</v>
      </c>
      <c r="C172" s="30">
        <f t="shared" si="2"/>
        <v>0.21199999999999999</v>
      </c>
      <c r="D172" s="14">
        <v>0.55928301886792453</v>
      </c>
      <c r="E172" s="14">
        <v>0.13556981132075471</v>
      </c>
      <c r="F172" s="38">
        <v>0.22253584905660376</v>
      </c>
      <c r="G172" s="38">
        <v>0</v>
      </c>
    </row>
    <row r="173" spans="1:7" ht="15.75" thickBot="1">
      <c r="A173" s="3" t="s">
        <v>39</v>
      </c>
      <c r="B173" s="54">
        <v>0.32900000000000001</v>
      </c>
      <c r="C173" s="30">
        <f t="shared" si="2"/>
        <v>0.26500000000000001</v>
      </c>
      <c r="D173" s="14">
        <v>0.6450151975683891</v>
      </c>
      <c r="E173" s="14">
        <v>0.18700911854103344</v>
      </c>
      <c r="F173" s="38">
        <v>0.25705775075987841</v>
      </c>
      <c r="G173" s="38">
        <v>0</v>
      </c>
    </row>
    <row r="174" spans="1:7" ht="15.75" thickBot="1">
      <c r="A174" s="3" t="s">
        <v>40</v>
      </c>
      <c r="B174" s="54">
        <v>0.38800000000000001</v>
      </c>
      <c r="C174" s="30">
        <f t="shared" si="2"/>
        <v>0.32900000000000001</v>
      </c>
      <c r="D174" s="14">
        <v>0.69899484536082479</v>
      </c>
      <c r="E174" s="14">
        <v>0.21939690721649485</v>
      </c>
      <c r="F174" s="38">
        <v>0.27879381443298967</v>
      </c>
      <c r="G174" s="38">
        <v>0</v>
      </c>
    </row>
    <row r="175" spans="1:7" ht="15.75" thickBot="1">
      <c r="A175" s="3" t="s">
        <v>41</v>
      </c>
      <c r="B175" s="54">
        <v>0.45400000000000001</v>
      </c>
      <c r="C175" s="30">
        <f t="shared" si="2"/>
        <v>0.38800000000000001</v>
      </c>
      <c r="D175" s="14">
        <v>0.74275330396475769</v>
      </c>
      <c r="E175" s="14">
        <v>0.24565198237885461</v>
      </c>
      <c r="F175" s="38">
        <v>0.29641409691629961</v>
      </c>
      <c r="G175" s="38">
        <v>0</v>
      </c>
    </row>
    <row r="176" spans="1:7" ht="15.75" thickBot="1">
      <c r="A176" s="3" t="s">
        <v>42</v>
      </c>
      <c r="B176" s="54">
        <v>0.495</v>
      </c>
      <c r="C176" s="30">
        <f t="shared" si="2"/>
        <v>0.45400000000000001</v>
      </c>
      <c r="D176" s="14">
        <v>0.764060606060606</v>
      </c>
      <c r="E176" s="14">
        <v>0.25843636363636369</v>
      </c>
      <c r="F176" s="38">
        <v>0.30499393939393937</v>
      </c>
      <c r="G176" s="38">
        <v>0</v>
      </c>
    </row>
    <row r="177" spans="1:7" ht="15.75" thickBot="1">
      <c r="A177" s="3" t="s">
        <v>43</v>
      </c>
      <c r="B177" s="54">
        <v>0.56899999999999995</v>
      </c>
      <c r="C177" s="30">
        <f t="shared" si="2"/>
        <v>0.495</v>
      </c>
      <c r="D177" s="14">
        <v>0.7947451669595782</v>
      </c>
      <c r="E177" s="14">
        <v>0.27684710017574693</v>
      </c>
      <c r="F177" s="38">
        <v>0.31734973637961333</v>
      </c>
      <c r="G177" s="38">
        <v>0</v>
      </c>
    </row>
    <row r="178" spans="1:7" ht="15.75" thickBot="1">
      <c r="A178" s="3" t="s">
        <v>44</v>
      </c>
      <c r="B178" s="54">
        <v>0.67100000000000004</v>
      </c>
      <c r="C178" s="30">
        <f t="shared" si="2"/>
        <v>0.56899999999999995</v>
      </c>
      <c r="D178" s="14">
        <v>0.82594634873323403</v>
      </c>
      <c r="E178" s="14">
        <v>0.29556780923994047</v>
      </c>
      <c r="F178" s="38">
        <v>0.32991356184798809</v>
      </c>
      <c r="G178" s="38">
        <v>0</v>
      </c>
    </row>
    <row r="179" spans="1:7" ht="15.75" thickBot="1">
      <c r="A179" s="3" t="s">
        <v>45</v>
      </c>
      <c r="B179" s="54">
        <v>0.71799999999999997</v>
      </c>
      <c r="C179" s="30">
        <f t="shared" si="2"/>
        <v>0.67100000000000004</v>
      </c>
      <c r="D179" s="14">
        <v>0.83733983286908087</v>
      </c>
      <c r="E179" s="14">
        <v>0.30240389972144843</v>
      </c>
      <c r="F179" s="38">
        <v>0.33450139275766011</v>
      </c>
      <c r="G179" s="38">
        <v>0</v>
      </c>
    </row>
    <row r="180" spans="1:7" ht="15.75" thickBot="1">
      <c r="A180" s="3" t="s">
        <v>46</v>
      </c>
      <c r="B180" s="54">
        <v>0.77</v>
      </c>
      <c r="C180" s="30">
        <f t="shared" si="2"/>
        <v>0.71799999999999997</v>
      </c>
      <c r="D180" s="14">
        <v>0.84832467532467537</v>
      </c>
      <c r="E180" s="14">
        <v>0.30899480519480521</v>
      </c>
      <c r="F180" s="38">
        <v>0.33892467532467535</v>
      </c>
      <c r="G180" s="38">
        <v>0</v>
      </c>
    </row>
    <row r="181" spans="1:7" ht="15.75" thickBot="1">
      <c r="A181" s="3" t="s">
        <v>47</v>
      </c>
      <c r="B181" s="54">
        <v>0.82099999999999995</v>
      </c>
      <c r="C181" s="30">
        <f t="shared" si="2"/>
        <v>0.77</v>
      </c>
      <c r="D181" s="14">
        <v>0.85774665042630949</v>
      </c>
      <c r="E181" s="14">
        <v>0.31464799025578566</v>
      </c>
      <c r="F181" s="38">
        <v>0.34271863580998785</v>
      </c>
      <c r="G181" s="38">
        <v>0</v>
      </c>
    </row>
    <row r="182" spans="1:7" ht="15.75" thickBot="1">
      <c r="A182" s="3" t="s">
        <v>48</v>
      </c>
      <c r="B182" s="54">
        <v>0.874</v>
      </c>
      <c r="C182" s="30">
        <f t="shared" si="2"/>
        <v>0.82099999999999995</v>
      </c>
      <c r="D182" s="14">
        <v>0.86637299771167042</v>
      </c>
      <c r="E182" s="14">
        <v>0.31982379862700233</v>
      </c>
      <c r="F182" s="38">
        <v>0.34619221967963387</v>
      </c>
      <c r="G182" s="38">
        <v>0</v>
      </c>
    </row>
    <row r="183" spans="1:7" ht="15.75" thickBot="1">
      <c r="A183" s="3" t="s">
        <v>49</v>
      </c>
      <c r="B183" s="54">
        <v>1.0029999999999999</v>
      </c>
      <c r="C183" s="30">
        <f t="shared" si="2"/>
        <v>0.874</v>
      </c>
      <c r="D183" s="14">
        <v>0.88355932203389831</v>
      </c>
      <c r="E183" s="14">
        <v>0.33013559322033897</v>
      </c>
      <c r="F183" s="38">
        <v>0.35311266201395813</v>
      </c>
      <c r="G183" s="38">
        <v>0</v>
      </c>
    </row>
    <row r="184" spans="1:7" ht="15.75" thickBot="1">
      <c r="A184" s="3" t="s">
        <v>50</v>
      </c>
      <c r="B184" s="54">
        <v>1.294</v>
      </c>
      <c r="C184" s="30">
        <f t="shared" si="2"/>
        <v>1.0029999999999999</v>
      </c>
      <c r="D184" s="14">
        <v>0.90974497681607425</v>
      </c>
      <c r="E184" s="14">
        <v>0.34584698608964454</v>
      </c>
      <c r="F184" s="38">
        <v>0.36365687789799073</v>
      </c>
      <c r="G184" s="38">
        <v>7.264296754250393E-3</v>
      </c>
    </row>
    <row r="185" spans="1:7" ht="15.75" thickBot="1">
      <c r="A185" s="3" t="s">
        <v>51</v>
      </c>
      <c r="B185" s="54">
        <v>1.647</v>
      </c>
      <c r="C185" s="30">
        <f t="shared" si="2"/>
        <v>1.294</v>
      </c>
      <c r="D185" s="14">
        <v>0.92908925318761393</v>
      </c>
      <c r="E185" s="14">
        <v>0.35745355191256828</v>
      </c>
      <c r="F185" s="38">
        <v>0.37144626593806918</v>
      </c>
      <c r="G185" s="38">
        <v>2.7140255009107474E-2</v>
      </c>
    </row>
    <row r="186" spans="1:7" ht="15.75" thickBot="1">
      <c r="A186" s="3" t="s">
        <v>52</v>
      </c>
      <c r="B186" s="54">
        <v>3.016</v>
      </c>
      <c r="C186" s="30">
        <f t="shared" si="2"/>
        <v>1.647</v>
      </c>
      <c r="D186" s="14">
        <v>0.96127652519893902</v>
      </c>
      <c r="E186" s="14">
        <v>0.37676591511936336</v>
      </c>
      <c r="F186" s="38">
        <v>0.38440716180371354</v>
      </c>
      <c r="G186" s="38">
        <v>0.16127320954907162</v>
      </c>
    </row>
    <row r="187" spans="1:7" ht="15.75" thickBot="1">
      <c r="A187" s="3" t="s">
        <v>53</v>
      </c>
      <c r="B187" s="23">
        <v>7.2859999999999996</v>
      </c>
      <c r="C187" s="30">
        <f>B186</f>
        <v>3.016</v>
      </c>
      <c r="D187" s="14">
        <v>0.98397062860279993</v>
      </c>
      <c r="E187" s="14">
        <v>0.39038237716167989</v>
      </c>
      <c r="F187" s="38">
        <v>0.39354542959099648</v>
      </c>
      <c r="G187" s="38">
        <v>0.30118034586878945</v>
      </c>
    </row>
    <row r="188" spans="1:7" ht="15.75" thickBot="1">
      <c r="A188" s="3" t="s">
        <v>53</v>
      </c>
      <c r="B188" s="3" t="s">
        <v>109</v>
      </c>
      <c r="C188" s="30">
        <f t="shared" si="2"/>
        <v>7.2859999999999996</v>
      </c>
      <c r="D188" s="22"/>
      <c r="E188" s="1"/>
      <c r="F188" s="37"/>
      <c r="G188" s="39"/>
    </row>
    <row r="189" spans="1:7" ht="15.75" thickBot="1">
      <c r="A189" s="3"/>
      <c r="B189" s="3"/>
      <c r="C189" s="4"/>
      <c r="D189" s="22"/>
      <c r="E189" s="15">
        <v>9.707049956947042E-2</v>
      </c>
      <c r="F189" s="26">
        <v>0.11831979816351827</v>
      </c>
      <c r="G189" s="26">
        <v>9.9371621436243791E-3</v>
      </c>
    </row>
    <row r="190" spans="1:7" ht="60.75" thickBot="1">
      <c r="A190" s="5" t="s">
        <v>55</v>
      </c>
      <c r="B190" s="3">
        <v>0.9</v>
      </c>
      <c r="C190" s="4"/>
      <c r="D190" s="22"/>
      <c r="E190" s="12">
        <v>0.19465000000000002</v>
      </c>
      <c r="F190" s="45">
        <v>0.13063333333333335</v>
      </c>
      <c r="G190" s="46">
        <v>0.9</v>
      </c>
    </row>
    <row r="191" spans="1:7" ht="60.75" thickBot="1">
      <c r="A191" s="5" t="s">
        <v>56</v>
      </c>
      <c r="B191" s="4">
        <v>0.44</v>
      </c>
      <c r="C191" s="4"/>
      <c r="D191" s="1"/>
      <c r="E191" s="1"/>
      <c r="F191" s="37"/>
      <c r="G191" s="37"/>
    </row>
    <row r="192" spans="1:7" ht="97.5" thickBot="1">
      <c r="A192" s="6" t="s">
        <v>57</v>
      </c>
      <c r="B192" s="4">
        <v>0.5</v>
      </c>
      <c r="C192" s="4"/>
      <c r="D192" s="1"/>
      <c r="E192" s="1">
        <v>0.11679</v>
      </c>
      <c r="F192" s="37">
        <v>7.8380000000000005E-2</v>
      </c>
      <c r="G192" s="37">
        <v>0.54</v>
      </c>
    </row>
    <row r="195" spans="1:7">
      <c r="A195" s="16" t="s">
        <v>64</v>
      </c>
      <c r="B195" s="17">
        <f>AVERAGE(B143:B182)</f>
        <v>0.19465000000000002</v>
      </c>
      <c r="C195" s="17"/>
    </row>
    <row r="196" spans="1:7">
      <c r="A196" s="16" t="s">
        <v>65</v>
      </c>
      <c r="B196" s="18">
        <f>AVERAGE(B148:B177)</f>
        <v>0.13063333333333335</v>
      </c>
      <c r="C196" s="18"/>
    </row>
    <row r="197" spans="1:7">
      <c r="A197" s="16" t="s">
        <v>66</v>
      </c>
      <c r="B197" s="18">
        <f>AVERAGE(B154:B172)</f>
        <v>8.7210526315789474E-2</v>
      </c>
      <c r="C197" s="18"/>
    </row>
    <row r="200" spans="1:7" ht="15" customHeight="1">
      <c r="A200" s="473" t="s">
        <v>0</v>
      </c>
      <c r="B200" s="473" t="s">
        <v>3</v>
      </c>
      <c r="C200" s="473"/>
      <c r="D200" s="473"/>
      <c r="E200" s="40">
        <f>(1-E255)^(1/3)-1</f>
        <v>-3.1726144556158631E-2</v>
      </c>
      <c r="F200" s="40">
        <f>(1-F255)^(1/3)-1</f>
        <v>-3.6844624058678832E-2</v>
      </c>
      <c r="G200" s="40"/>
    </row>
    <row r="201" spans="1:7" ht="72">
      <c r="A201" s="473"/>
      <c r="B201" s="11" t="s">
        <v>4</v>
      </c>
      <c r="C201" s="11"/>
      <c r="D201" s="11" t="s">
        <v>80</v>
      </c>
      <c r="E201" s="11" t="s">
        <v>5</v>
      </c>
      <c r="F201" s="39" t="s">
        <v>5</v>
      </c>
      <c r="G201" s="39"/>
    </row>
    <row r="202" spans="1:7" ht="24">
      <c r="A202" s="473"/>
      <c r="B202" s="11" t="s">
        <v>9</v>
      </c>
      <c r="C202" s="11"/>
      <c r="D202" s="11" t="s">
        <v>7</v>
      </c>
      <c r="E202" s="55" t="s">
        <v>65</v>
      </c>
      <c r="F202" s="39"/>
      <c r="G202" s="56"/>
    </row>
    <row r="203" spans="1:7">
      <c r="A203" s="50">
        <v>1</v>
      </c>
      <c r="B203" s="51">
        <v>2</v>
      </c>
      <c r="C203" s="51"/>
      <c r="D203" s="51">
        <v>3</v>
      </c>
      <c r="E203" s="51">
        <v>4</v>
      </c>
      <c r="F203" s="52">
        <v>5</v>
      </c>
      <c r="G203" s="52"/>
    </row>
    <row r="204" spans="1:7">
      <c r="A204" s="27" t="s">
        <v>10</v>
      </c>
      <c r="B204" s="57">
        <v>0.12</v>
      </c>
      <c r="C204" s="163">
        <v>0</v>
      </c>
      <c r="D204" s="14">
        <v>0</v>
      </c>
      <c r="E204" s="14">
        <v>0</v>
      </c>
      <c r="F204" s="38">
        <v>0</v>
      </c>
      <c r="G204" s="38">
        <v>0</v>
      </c>
    </row>
    <row r="205" spans="1:7">
      <c r="A205" s="27" t="s">
        <v>58</v>
      </c>
      <c r="B205" s="57">
        <v>0.13</v>
      </c>
      <c r="C205" s="30">
        <f>B204</f>
        <v>0.12</v>
      </c>
      <c r="D205" s="14">
        <v>0</v>
      </c>
      <c r="E205" s="14">
        <v>0</v>
      </c>
      <c r="F205" s="38">
        <v>0</v>
      </c>
      <c r="G205" s="38">
        <v>0</v>
      </c>
    </row>
    <row r="206" spans="1:7">
      <c r="A206" s="27" t="s">
        <v>59</v>
      </c>
      <c r="B206" s="57">
        <v>0.15</v>
      </c>
      <c r="C206" s="30">
        <f t="shared" ref="C206:C254" si="3">B205</f>
        <v>0.13</v>
      </c>
      <c r="D206" s="14">
        <v>0</v>
      </c>
      <c r="E206" s="14">
        <v>0</v>
      </c>
      <c r="F206" s="38">
        <v>0</v>
      </c>
      <c r="G206" s="38">
        <v>0</v>
      </c>
    </row>
    <row r="207" spans="1:7">
      <c r="A207" s="27" t="s">
        <v>60</v>
      </c>
      <c r="B207" s="57">
        <v>0.17</v>
      </c>
      <c r="C207" s="30">
        <f t="shared" si="3"/>
        <v>0.15</v>
      </c>
      <c r="D207" s="14">
        <v>0</v>
      </c>
      <c r="E207" s="14">
        <v>0</v>
      </c>
      <c r="F207" s="38">
        <v>0</v>
      </c>
      <c r="G207" s="38">
        <v>0</v>
      </c>
    </row>
    <row r="208" spans="1:7">
      <c r="A208" s="27" t="s">
        <v>61</v>
      </c>
      <c r="B208" s="57">
        <v>0.2</v>
      </c>
      <c r="C208" s="30">
        <f t="shared" si="3"/>
        <v>0.17</v>
      </c>
      <c r="D208" s="14">
        <v>0</v>
      </c>
      <c r="E208" s="14">
        <v>0</v>
      </c>
      <c r="F208" s="38">
        <v>0</v>
      </c>
      <c r="G208" s="38">
        <v>0</v>
      </c>
    </row>
    <row r="209" spans="1:7">
      <c r="A209" s="27" t="s">
        <v>62</v>
      </c>
      <c r="B209" s="57">
        <v>0.22</v>
      </c>
      <c r="C209" s="30">
        <f t="shared" si="3"/>
        <v>0.2</v>
      </c>
      <c r="D209" s="14">
        <v>0</v>
      </c>
      <c r="E209" s="14">
        <v>0</v>
      </c>
      <c r="F209" s="38">
        <v>0</v>
      </c>
      <c r="G209" s="38">
        <v>0</v>
      </c>
    </row>
    <row r="210" spans="1:7">
      <c r="A210" s="27" t="s">
        <v>63</v>
      </c>
      <c r="B210" s="57">
        <v>0.25</v>
      </c>
      <c r="C210" s="30">
        <f t="shared" si="3"/>
        <v>0.22</v>
      </c>
      <c r="D210" s="14">
        <v>0</v>
      </c>
      <c r="E210" s="14">
        <v>0</v>
      </c>
      <c r="F210" s="38">
        <v>0</v>
      </c>
      <c r="G210" s="38">
        <v>0</v>
      </c>
    </row>
    <row r="211" spans="1:7">
      <c r="A211" s="29" t="s">
        <v>11</v>
      </c>
      <c r="B211" s="57">
        <v>0.27</v>
      </c>
      <c r="C211" s="30">
        <f t="shared" si="3"/>
        <v>0.25</v>
      </c>
      <c r="D211" s="14">
        <v>0</v>
      </c>
      <c r="E211" s="14">
        <v>0</v>
      </c>
      <c r="F211" s="38">
        <v>0</v>
      </c>
      <c r="G211" s="38">
        <v>0</v>
      </c>
    </row>
    <row r="212" spans="1:7">
      <c r="A212" s="29" t="s">
        <v>12</v>
      </c>
      <c r="B212" s="57">
        <v>0.3</v>
      </c>
      <c r="C212" s="30">
        <f t="shared" si="3"/>
        <v>0.27</v>
      </c>
      <c r="D212" s="14">
        <v>0</v>
      </c>
      <c r="E212" s="14">
        <v>0</v>
      </c>
      <c r="F212" s="38">
        <v>0</v>
      </c>
      <c r="G212" s="38">
        <v>0</v>
      </c>
    </row>
    <row r="213" spans="1:7">
      <c r="A213" s="29" t="s">
        <v>13</v>
      </c>
      <c r="B213" s="57">
        <v>0.33</v>
      </c>
      <c r="C213" s="30">
        <f t="shared" si="3"/>
        <v>0.3</v>
      </c>
      <c r="D213" s="14">
        <v>0</v>
      </c>
      <c r="E213" s="14">
        <v>0</v>
      </c>
      <c r="F213" s="38">
        <v>0</v>
      </c>
      <c r="G213" s="38">
        <v>0</v>
      </c>
    </row>
    <row r="214" spans="1:7">
      <c r="A214" s="29" t="s">
        <v>14</v>
      </c>
      <c r="B214" s="57">
        <v>0.36</v>
      </c>
      <c r="C214" s="30">
        <f t="shared" si="3"/>
        <v>0.33</v>
      </c>
      <c r="D214" s="14">
        <v>0</v>
      </c>
      <c r="E214" s="14">
        <v>0</v>
      </c>
      <c r="F214" s="38">
        <v>0</v>
      </c>
      <c r="G214" s="38">
        <v>0</v>
      </c>
    </row>
    <row r="215" spans="1:7">
      <c r="A215" s="29" t="s">
        <v>15</v>
      </c>
      <c r="B215" s="57">
        <v>0.39</v>
      </c>
      <c r="C215" s="30">
        <f t="shared" si="3"/>
        <v>0.36</v>
      </c>
      <c r="D215" s="14">
        <v>0</v>
      </c>
      <c r="E215" s="14">
        <v>0</v>
      </c>
      <c r="F215" s="38">
        <v>0</v>
      </c>
      <c r="G215" s="38">
        <v>0</v>
      </c>
    </row>
    <row r="216" spans="1:7">
      <c r="A216" s="29" t="s">
        <v>16</v>
      </c>
      <c r="B216" s="57">
        <v>0.43</v>
      </c>
      <c r="C216" s="30">
        <f t="shared" si="3"/>
        <v>0.39</v>
      </c>
      <c r="D216" s="14">
        <v>0</v>
      </c>
      <c r="E216" s="14">
        <v>0</v>
      </c>
      <c r="F216" s="38">
        <v>0</v>
      </c>
      <c r="G216" s="38">
        <v>0</v>
      </c>
    </row>
    <row r="217" spans="1:7">
      <c r="A217" s="29" t="s">
        <v>17</v>
      </c>
      <c r="B217" s="57">
        <v>0.46</v>
      </c>
      <c r="C217" s="30">
        <f t="shared" si="3"/>
        <v>0.43</v>
      </c>
      <c r="D217" s="14">
        <v>0</v>
      </c>
      <c r="E217" s="14">
        <v>0</v>
      </c>
      <c r="F217" s="38">
        <v>0</v>
      </c>
      <c r="G217" s="38">
        <v>0</v>
      </c>
    </row>
    <row r="218" spans="1:7">
      <c r="A218" s="29" t="s">
        <v>18</v>
      </c>
      <c r="B218" s="57">
        <v>0.5</v>
      </c>
      <c r="C218" s="30">
        <f t="shared" si="3"/>
        <v>0.46</v>
      </c>
      <c r="D218" s="14">
        <v>0</v>
      </c>
      <c r="E218" s="14">
        <v>0</v>
      </c>
      <c r="F218" s="38">
        <v>0</v>
      </c>
      <c r="G218" s="38">
        <v>0</v>
      </c>
    </row>
    <row r="219" spans="1:7">
      <c r="A219" s="29" t="s">
        <v>19</v>
      </c>
      <c r="B219" s="57">
        <v>0.53</v>
      </c>
      <c r="C219" s="30">
        <f t="shared" si="3"/>
        <v>0.5</v>
      </c>
      <c r="D219" s="14">
        <v>0</v>
      </c>
      <c r="E219" s="14">
        <v>0</v>
      </c>
      <c r="F219" s="38">
        <v>0</v>
      </c>
      <c r="G219" s="38">
        <v>0</v>
      </c>
    </row>
    <row r="220" spans="1:7">
      <c r="A220" s="29" t="s">
        <v>20</v>
      </c>
      <c r="B220" s="57">
        <v>0.56999999999999995</v>
      </c>
      <c r="C220" s="30">
        <f t="shared" si="3"/>
        <v>0.53</v>
      </c>
      <c r="D220" s="14">
        <v>0</v>
      </c>
      <c r="E220" s="14">
        <v>0</v>
      </c>
      <c r="F220" s="38">
        <v>0</v>
      </c>
      <c r="G220" s="38">
        <v>0</v>
      </c>
    </row>
    <row r="221" spans="1:7">
      <c r="A221" s="29" t="s">
        <v>21</v>
      </c>
      <c r="B221" s="57">
        <v>0.6</v>
      </c>
      <c r="C221" s="30">
        <f t="shared" si="3"/>
        <v>0.56999999999999995</v>
      </c>
      <c r="D221" s="14">
        <v>0</v>
      </c>
      <c r="E221" s="14">
        <v>0</v>
      </c>
      <c r="F221" s="38">
        <v>0</v>
      </c>
      <c r="G221" s="38">
        <v>0</v>
      </c>
    </row>
    <row r="222" spans="1:7">
      <c r="A222" s="29" t="s">
        <v>22</v>
      </c>
      <c r="B222" s="57">
        <v>0.64</v>
      </c>
      <c r="C222" s="30">
        <f t="shared" si="3"/>
        <v>0.6</v>
      </c>
      <c r="D222" s="14">
        <v>0</v>
      </c>
      <c r="E222" s="14">
        <v>0</v>
      </c>
      <c r="F222" s="38">
        <v>0</v>
      </c>
      <c r="G222" s="38">
        <v>0</v>
      </c>
    </row>
    <row r="223" spans="1:7">
      <c r="A223" s="29" t="s">
        <v>23</v>
      </c>
      <c r="B223" s="57">
        <v>0.69</v>
      </c>
      <c r="C223" s="30">
        <f t="shared" si="3"/>
        <v>0.64</v>
      </c>
      <c r="D223" s="14">
        <v>0</v>
      </c>
      <c r="E223" s="14">
        <v>0</v>
      </c>
      <c r="F223" s="38">
        <v>0</v>
      </c>
      <c r="G223" s="38">
        <v>0</v>
      </c>
    </row>
    <row r="224" spans="1:7">
      <c r="A224" s="29" t="s">
        <v>24</v>
      </c>
      <c r="B224" s="57">
        <v>0.73</v>
      </c>
      <c r="C224" s="30">
        <f t="shared" si="3"/>
        <v>0.69</v>
      </c>
      <c r="D224" s="14">
        <v>0</v>
      </c>
      <c r="E224" s="14">
        <v>0</v>
      </c>
      <c r="F224" s="38">
        <v>4.7397260273972707E-3</v>
      </c>
      <c r="G224" s="38">
        <v>0</v>
      </c>
    </row>
    <row r="225" spans="1:7">
      <c r="A225" s="29" t="s">
        <v>25</v>
      </c>
      <c r="B225" s="57">
        <v>0.78</v>
      </c>
      <c r="C225" s="30">
        <f t="shared" si="3"/>
        <v>0.73</v>
      </c>
      <c r="D225" s="14">
        <v>0</v>
      </c>
      <c r="E225" s="14">
        <v>0</v>
      </c>
      <c r="F225" s="38">
        <v>1.0846153846153861E-2</v>
      </c>
      <c r="G225" s="38">
        <v>0</v>
      </c>
    </row>
    <row r="226" spans="1:7">
      <c r="A226" s="29" t="s">
        <v>26</v>
      </c>
      <c r="B226" s="57">
        <v>0.82</v>
      </c>
      <c r="C226" s="30">
        <f t="shared" si="3"/>
        <v>0.78</v>
      </c>
      <c r="D226" s="14">
        <v>0</v>
      </c>
      <c r="E226" s="14">
        <v>0</v>
      </c>
      <c r="F226" s="38">
        <v>1.519512195121952E-2</v>
      </c>
      <c r="G226" s="38">
        <v>0</v>
      </c>
    </row>
    <row r="227" spans="1:7">
      <c r="A227" s="29" t="s">
        <v>27</v>
      </c>
      <c r="B227" s="57">
        <v>0.89</v>
      </c>
      <c r="C227" s="30">
        <f t="shared" si="3"/>
        <v>0.82</v>
      </c>
      <c r="D227" s="14">
        <v>7.3707865168539319E-2</v>
      </c>
      <c r="E227" s="14"/>
      <c r="F227" s="38">
        <v>2.1865168539325856E-2</v>
      </c>
      <c r="G227" s="38">
        <v>0</v>
      </c>
    </row>
    <row r="228" spans="1:7">
      <c r="A228" s="29" t="s">
        <v>28</v>
      </c>
      <c r="B228" s="57">
        <v>0.96</v>
      </c>
      <c r="C228" s="30">
        <f t="shared" si="3"/>
        <v>0.89</v>
      </c>
      <c r="D228" s="14">
        <v>0.14124999999999996</v>
      </c>
      <c r="E228" s="14">
        <v>1.4124999999999995E-2</v>
      </c>
      <c r="F228" s="38">
        <v>2.7562500000000011E-2</v>
      </c>
      <c r="G228" s="38">
        <v>0</v>
      </c>
    </row>
    <row r="229" spans="1:7">
      <c r="A229" s="29" t="s">
        <v>29</v>
      </c>
      <c r="B229" s="57">
        <v>1.02</v>
      </c>
      <c r="C229" s="30">
        <f t="shared" si="3"/>
        <v>0.96</v>
      </c>
      <c r="D229" s="14">
        <v>0.19176470588235292</v>
      </c>
      <c r="E229" s="14">
        <v>1.9176470588235295E-2</v>
      </c>
      <c r="F229" s="38">
        <v>3.1823529411764716E-2</v>
      </c>
      <c r="G229" s="38">
        <v>0</v>
      </c>
    </row>
    <row r="230" spans="1:7">
      <c r="A230" s="29" t="s">
        <v>30</v>
      </c>
      <c r="B230" s="57">
        <v>1.1000000000000001</v>
      </c>
      <c r="C230" s="30">
        <f t="shared" si="3"/>
        <v>1.02</v>
      </c>
      <c r="D230" s="14">
        <v>0.25054545454545457</v>
      </c>
      <c r="E230" s="14">
        <v>2.5054545454545461E-2</v>
      </c>
      <c r="F230" s="38">
        <v>3.67818181818182E-2</v>
      </c>
      <c r="G230" s="38">
        <v>0</v>
      </c>
    </row>
    <row r="231" spans="1:7">
      <c r="A231" s="29" t="s">
        <v>31</v>
      </c>
      <c r="B231" s="57">
        <v>1.1399999999999999</v>
      </c>
      <c r="C231" s="30">
        <f t="shared" si="3"/>
        <v>1.1000000000000001</v>
      </c>
      <c r="D231" s="14">
        <v>0.27684210526315783</v>
      </c>
      <c r="E231" s="14">
        <v>2.7684210526315783E-2</v>
      </c>
      <c r="F231" s="38">
        <v>3.9E-2</v>
      </c>
      <c r="G231" s="38">
        <v>0</v>
      </c>
    </row>
    <row r="232" spans="1:7">
      <c r="A232" s="29" t="s">
        <v>32</v>
      </c>
      <c r="B232" s="57">
        <v>1.21</v>
      </c>
      <c r="C232" s="30">
        <f t="shared" si="3"/>
        <v>1.1399999999999999</v>
      </c>
      <c r="D232" s="14">
        <v>0.31867768595041318</v>
      </c>
      <c r="E232" s="14">
        <v>3.1867768595041319E-2</v>
      </c>
      <c r="F232" s="38">
        <v>5.5173553719008311E-2</v>
      </c>
      <c r="G232" s="38">
        <v>8.2644628099173628E-4</v>
      </c>
    </row>
    <row r="233" spans="1:7">
      <c r="A233" s="29" t="s">
        <v>33</v>
      </c>
      <c r="B233" s="57">
        <v>1.3</v>
      </c>
      <c r="C233" s="30">
        <f t="shared" si="3"/>
        <v>1.21</v>
      </c>
      <c r="D233" s="14">
        <v>0.36584615384615388</v>
      </c>
      <c r="E233" s="14">
        <v>3.6584615384615389E-2</v>
      </c>
      <c r="F233" s="38">
        <v>7.9046153846153905E-2</v>
      </c>
      <c r="G233" s="38">
        <v>7.6923076923076988E-3</v>
      </c>
    </row>
    <row r="234" spans="1:7">
      <c r="A234" s="29" t="s">
        <v>34</v>
      </c>
      <c r="B234" s="57">
        <v>1.4</v>
      </c>
      <c r="C234" s="30">
        <f t="shared" si="3"/>
        <v>1.3</v>
      </c>
      <c r="D234" s="14">
        <v>0.41114285714285709</v>
      </c>
      <c r="E234" s="14">
        <v>4.668571428571424E-2</v>
      </c>
      <c r="F234" s="38">
        <v>0.1019714285714286</v>
      </c>
      <c r="G234" s="38">
        <v>1.4285714285714285E-2</v>
      </c>
    </row>
    <row r="235" spans="1:7">
      <c r="A235" s="29" t="s">
        <v>35</v>
      </c>
      <c r="B235" s="57">
        <v>1.51</v>
      </c>
      <c r="C235" s="30">
        <f t="shared" si="3"/>
        <v>1.4</v>
      </c>
      <c r="D235" s="14">
        <v>0.45403973509933776</v>
      </c>
      <c r="E235" s="14">
        <v>7.2423841059602631E-2</v>
      </c>
      <c r="F235" s="38">
        <v>0.12368211920529805</v>
      </c>
      <c r="G235" s="38">
        <v>2.0529801324503317E-2</v>
      </c>
    </row>
    <row r="236" spans="1:7">
      <c r="A236" s="29" t="s">
        <v>36</v>
      </c>
      <c r="B236" s="57">
        <v>1.61</v>
      </c>
      <c r="C236" s="30">
        <f t="shared" si="3"/>
        <v>1.51</v>
      </c>
      <c r="D236" s="14">
        <v>0.48795031055900623</v>
      </c>
      <c r="E236" s="14">
        <v>9.2770186335403723E-2</v>
      </c>
      <c r="F236" s="38">
        <v>0.14084472049689448</v>
      </c>
      <c r="G236" s="38">
        <v>2.5465838509316777E-2</v>
      </c>
    </row>
    <row r="237" spans="1:7">
      <c r="A237" s="29" t="s">
        <v>37</v>
      </c>
      <c r="B237" s="57">
        <v>1.74</v>
      </c>
      <c r="C237" s="30">
        <f t="shared" si="3"/>
        <v>1.61</v>
      </c>
      <c r="D237" s="14">
        <v>0.52620689655172415</v>
      </c>
      <c r="E237" s="14">
        <v>0.11572413793103446</v>
      </c>
      <c r="F237" s="38">
        <v>0.16020689655172418</v>
      </c>
      <c r="G237" s="38">
        <v>3.1034482758620693E-2</v>
      </c>
    </row>
    <row r="238" spans="1:7">
      <c r="A238" s="29" t="s">
        <v>38</v>
      </c>
      <c r="B238" s="57">
        <v>1.85</v>
      </c>
      <c r="C238" s="30">
        <f t="shared" si="3"/>
        <v>1.74</v>
      </c>
      <c r="D238" s="14">
        <v>0.55437837837837833</v>
      </c>
      <c r="E238" s="14">
        <v>0.13262702702702703</v>
      </c>
      <c r="F238" s="38">
        <v>0.17446486486486495</v>
      </c>
      <c r="G238" s="38">
        <v>3.5135135135135144E-2</v>
      </c>
    </row>
    <row r="239" spans="1:7">
      <c r="A239" s="29" t="s">
        <v>39</v>
      </c>
      <c r="B239" s="57">
        <v>1.97</v>
      </c>
      <c r="C239" s="30">
        <f t="shared" si="3"/>
        <v>1.85</v>
      </c>
      <c r="D239" s="14">
        <v>0.58152284263959386</v>
      </c>
      <c r="E239" s="14">
        <v>0.14891370558375633</v>
      </c>
      <c r="F239" s="38">
        <v>0.18820304568527924</v>
      </c>
      <c r="G239" s="38">
        <v>3.9086294416243665E-2</v>
      </c>
    </row>
    <row r="240" spans="1:7">
      <c r="A240" s="29" t="s">
        <v>40</v>
      </c>
      <c r="B240" s="57">
        <v>2.13</v>
      </c>
      <c r="C240" s="30">
        <f t="shared" si="3"/>
        <v>1.97</v>
      </c>
      <c r="D240" s="14">
        <v>0.61295774647887324</v>
      </c>
      <c r="E240" s="14">
        <v>0.16777464788732394</v>
      </c>
      <c r="F240" s="38">
        <v>0.20411267605633809</v>
      </c>
      <c r="G240" s="38">
        <v>6.1971830985915487E-2</v>
      </c>
    </row>
    <row r="241" spans="1:7">
      <c r="A241" s="29" t="s">
        <v>41</v>
      </c>
      <c r="B241" s="57">
        <v>2.33</v>
      </c>
      <c r="C241" s="30">
        <f t="shared" si="3"/>
        <v>2.13</v>
      </c>
      <c r="D241" s="14">
        <v>0.64618025751072961</v>
      </c>
      <c r="E241" s="14">
        <v>0.18770815450643777</v>
      </c>
      <c r="F241" s="38">
        <v>0.22092703862660948</v>
      </c>
      <c r="G241" s="38">
        <v>9.0987124463519337E-2</v>
      </c>
    </row>
    <row r="242" spans="1:7">
      <c r="A242" s="29" t="s">
        <v>42</v>
      </c>
      <c r="B242" s="57">
        <v>2.46</v>
      </c>
      <c r="C242" s="30">
        <f t="shared" si="3"/>
        <v>2.33</v>
      </c>
      <c r="D242" s="14">
        <v>0.66487804878048784</v>
      </c>
      <c r="E242" s="14">
        <v>0.19892682926829267</v>
      </c>
      <c r="F242" s="38">
        <v>0.23039024390243903</v>
      </c>
      <c r="G242" s="38">
        <v>0.10731707317073172</v>
      </c>
    </row>
    <row r="243" spans="1:7">
      <c r="A243" s="29" t="s">
        <v>43</v>
      </c>
      <c r="B243" s="57">
        <v>2.65</v>
      </c>
      <c r="C243" s="30">
        <f t="shared" si="3"/>
        <v>2.46</v>
      </c>
      <c r="D243" s="14">
        <v>0.68890566037735845</v>
      </c>
      <c r="E243" s="14">
        <v>0.2133433962264151</v>
      </c>
      <c r="F243" s="38">
        <v>0.24255094339622643</v>
      </c>
      <c r="G243" s="38">
        <v>0.12830188679245283</v>
      </c>
    </row>
    <row r="244" spans="1:7">
      <c r="A244" s="29" t="s">
        <v>44</v>
      </c>
      <c r="B244" s="57">
        <v>2.89</v>
      </c>
      <c r="C244" s="30">
        <f t="shared" si="3"/>
        <v>2.65</v>
      </c>
      <c r="D244" s="14">
        <v>0.71474048442906568</v>
      </c>
      <c r="E244" s="14">
        <v>0.22884429065743947</v>
      </c>
      <c r="F244" s="38">
        <v>0.25562629757785471</v>
      </c>
      <c r="G244" s="38">
        <v>0.15086505190311422</v>
      </c>
    </row>
    <row r="245" spans="1:7">
      <c r="A245" s="29" t="s">
        <v>45</v>
      </c>
      <c r="B245" s="57">
        <v>3.2</v>
      </c>
      <c r="C245" s="30">
        <f t="shared" si="3"/>
        <v>2.89</v>
      </c>
      <c r="D245" s="14">
        <v>0.74237500000000012</v>
      </c>
      <c r="E245" s="14">
        <v>0.245425</v>
      </c>
      <c r="F245" s="38">
        <v>0.26961250000000003</v>
      </c>
      <c r="G245" s="38">
        <v>0.17500000000000002</v>
      </c>
    </row>
    <row r="246" spans="1:7">
      <c r="A246" s="29" t="s">
        <v>46</v>
      </c>
      <c r="B246" s="57">
        <v>3.6</v>
      </c>
      <c r="C246" s="30">
        <f t="shared" si="3"/>
        <v>3.2</v>
      </c>
      <c r="D246" s="14">
        <v>0.77099999999999991</v>
      </c>
      <c r="E246" s="14">
        <v>0.2626</v>
      </c>
      <c r="F246" s="38">
        <v>0.28410000000000002</v>
      </c>
      <c r="G246" s="38">
        <v>0.20000000000000004</v>
      </c>
    </row>
    <row r="247" spans="1:7">
      <c r="A247" s="29" t="s">
        <v>47</v>
      </c>
      <c r="B247" s="57">
        <v>4.17</v>
      </c>
      <c r="C247" s="30">
        <f t="shared" si="3"/>
        <v>3.6</v>
      </c>
      <c r="D247" s="14">
        <v>0.80230215827338136</v>
      </c>
      <c r="E247" s="14">
        <v>0.28138129496402881</v>
      </c>
      <c r="F247" s="38">
        <v>0.2999424460431655</v>
      </c>
      <c r="G247" s="38">
        <v>0.22733812949640286</v>
      </c>
    </row>
    <row r="248" spans="1:7">
      <c r="A248" s="29" t="s">
        <v>48</v>
      </c>
      <c r="B248" s="57">
        <v>4.96</v>
      </c>
      <c r="C248" s="30">
        <f t="shared" si="3"/>
        <v>4.17</v>
      </c>
      <c r="D248" s="14">
        <v>0.83379032258064523</v>
      </c>
      <c r="E248" s="14">
        <v>0.30027419354838708</v>
      </c>
      <c r="F248" s="38">
        <v>0.31587903225806457</v>
      </c>
      <c r="G248" s="38">
        <v>0.25483870967741934</v>
      </c>
    </row>
    <row r="249" spans="1:7">
      <c r="A249" s="29" t="s">
        <v>49</v>
      </c>
      <c r="B249" s="57">
        <v>5.63</v>
      </c>
      <c r="C249" s="30">
        <f t="shared" si="3"/>
        <v>4.96</v>
      </c>
      <c r="D249" s="14">
        <v>0.85357015985790408</v>
      </c>
      <c r="E249" s="14">
        <v>0.31214209591474251</v>
      </c>
      <c r="F249" s="38">
        <v>0.32588987566607464</v>
      </c>
      <c r="G249" s="38">
        <v>0.27211367673179399</v>
      </c>
    </row>
    <row r="250" spans="1:7">
      <c r="A250" s="29" t="s">
        <v>50</v>
      </c>
      <c r="B250" s="57">
        <v>7.12</v>
      </c>
      <c r="C250" s="30">
        <f t="shared" si="3"/>
        <v>5.63</v>
      </c>
      <c r="D250" s="14">
        <v>0.8842134831460674</v>
      </c>
      <c r="E250" s="14">
        <v>0.33052808988764049</v>
      </c>
      <c r="F250" s="38">
        <v>0.3413988764044944</v>
      </c>
      <c r="G250" s="38">
        <v>0.29887640449438202</v>
      </c>
    </row>
    <row r="251" spans="1:7">
      <c r="A251" s="29" t="s">
        <v>51</v>
      </c>
      <c r="B251" s="57">
        <v>10</v>
      </c>
      <c r="C251" s="30">
        <f t="shared" si="3"/>
        <v>7.12</v>
      </c>
      <c r="D251" s="14">
        <v>0.91755999999999993</v>
      </c>
      <c r="E251" s="14">
        <v>0.35053600000000001</v>
      </c>
      <c r="F251" s="38">
        <v>0.35827600000000004</v>
      </c>
      <c r="G251" s="38">
        <v>0.32800000000000001</v>
      </c>
    </row>
    <row r="252" spans="1:7">
      <c r="A252" s="29" t="s">
        <v>52</v>
      </c>
      <c r="B252" s="57">
        <v>16.55</v>
      </c>
      <c r="C252" s="30">
        <f t="shared" si="3"/>
        <v>10</v>
      </c>
      <c r="D252" s="14">
        <v>0.95018731117824773</v>
      </c>
      <c r="E252" s="14">
        <v>0.37011238670694868</v>
      </c>
      <c r="F252" s="38">
        <v>0.37478912386706953</v>
      </c>
      <c r="G252" s="38">
        <v>0.35649546827794565</v>
      </c>
    </row>
    <row r="253" spans="1:7">
      <c r="A253" s="29" t="s">
        <v>53</v>
      </c>
      <c r="B253" s="29">
        <v>44.69</v>
      </c>
      <c r="C253" s="30">
        <f>B252</f>
        <v>16.55</v>
      </c>
      <c r="D253" s="14">
        <v>0.9815529201163572</v>
      </c>
      <c r="E253" s="14">
        <v>0.38893175206981434</v>
      </c>
      <c r="F253" s="38">
        <v>0.39066368315059302</v>
      </c>
      <c r="G253" s="38">
        <v>0.38388901320205859</v>
      </c>
    </row>
    <row r="254" spans="1:7">
      <c r="A254" s="29" t="s">
        <v>53</v>
      </c>
      <c r="B254" s="29" t="s">
        <v>110</v>
      </c>
      <c r="C254" s="30">
        <f t="shared" si="3"/>
        <v>44.69</v>
      </c>
      <c r="D254" s="58"/>
      <c r="E254" s="11"/>
      <c r="F254" s="39"/>
      <c r="G254" s="39"/>
    </row>
    <row r="255" spans="1:7">
      <c r="A255" s="29"/>
      <c r="B255" s="29"/>
      <c r="C255" s="29"/>
      <c r="D255" s="58"/>
      <c r="E255" s="32">
        <v>9.219072281851233E-2</v>
      </c>
      <c r="F255" s="40">
        <v>0.10651131075694523</v>
      </c>
      <c r="G255" s="40">
        <v>6.4201007791971382E-2</v>
      </c>
    </row>
    <row r="256" spans="1:7" ht="60">
      <c r="A256" s="33" t="s">
        <v>55</v>
      </c>
      <c r="B256" s="29">
        <v>2</v>
      </c>
      <c r="C256" s="29"/>
      <c r="D256" s="58"/>
      <c r="E256" s="34">
        <v>1.3740000000000001</v>
      </c>
      <c r="F256" s="41">
        <v>1.1589999999999998</v>
      </c>
      <c r="G256" s="42">
        <v>2</v>
      </c>
    </row>
    <row r="257" spans="1:7" ht="60">
      <c r="A257" s="33" t="s">
        <v>56</v>
      </c>
      <c r="B257" s="29">
        <v>2.6</v>
      </c>
      <c r="C257" s="29"/>
      <c r="D257" s="11"/>
      <c r="E257" s="11"/>
      <c r="F257" s="39"/>
      <c r="G257" s="39"/>
    </row>
    <row r="258" spans="1:7" ht="96.75">
      <c r="A258" s="35" t="s">
        <v>57</v>
      </c>
      <c r="B258" s="29">
        <v>1.2</v>
      </c>
      <c r="C258" s="29"/>
      <c r="D258" s="11"/>
      <c r="E258" s="11">
        <v>0.82440000000000002</v>
      </c>
      <c r="F258" s="39">
        <v>0.69539999999999991</v>
      </c>
      <c r="G258" s="39">
        <v>1.2</v>
      </c>
    </row>
    <row r="261" spans="1:7">
      <c r="A261" s="16" t="s">
        <v>64</v>
      </c>
      <c r="B261" s="17">
        <f>AVERAGE(B209:B248)</f>
        <v>1.3740000000000001</v>
      </c>
      <c r="C261" s="17"/>
    </row>
    <row r="262" spans="1:7">
      <c r="A262" s="16" t="s">
        <v>65</v>
      </c>
      <c r="B262" s="18">
        <f>AVERAGE(B214:B243)</f>
        <v>1.1589999999999998</v>
      </c>
      <c r="C262" s="18"/>
    </row>
    <row r="263" spans="1:7">
      <c r="A263" s="16" t="s">
        <v>66</v>
      </c>
      <c r="B263" s="18">
        <f>AVERAGE(B220:B238)</f>
        <v>1.0821052631578947</v>
      </c>
      <c r="C263" s="18"/>
    </row>
    <row r="265" spans="1:7" ht="15.75" thickBot="1"/>
    <row r="266" spans="1:7" ht="15" customHeight="1" thickBot="1">
      <c r="A266" s="522" t="s">
        <v>0</v>
      </c>
      <c r="B266" s="525" t="s">
        <v>67</v>
      </c>
      <c r="C266" s="526"/>
      <c r="D266" s="527"/>
      <c r="E266" s="19">
        <f>(1-E321)^(1/3)-1</f>
        <v>-2.5915921683647092E-2</v>
      </c>
      <c r="F266" s="19">
        <f>(1-F321)^(1/3)-1</f>
        <v>-2.6985274786273994E-2</v>
      </c>
      <c r="G266" s="19"/>
    </row>
    <row r="267" spans="1:7" ht="72.75" thickBot="1">
      <c r="A267" s="523"/>
      <c r="B267" s="11" t="s">
        <v>4</v>
      </c>
      <c r="C267" s="65"/>
      <c r="D267" s="11" t="s">
        <v>80</v>
      </c>
      <c r="E267" s="11" t="s">
        <v>5</v>
      </c>
      <c r="F267" s="39" t="s">
        <v>5</v>
      </c>
      <c r="G267" s="39"/>
    </row>
    <row r="268" spans="1:7" ht="25.5" thickBot="1">
      <c r="A268" s="524"/>
      <c r="B268" s="3" t="s">
        <v>68</v>
      </c>
      <c r="D268" s="20" t="s">
        <v>7</v>
      </c>
      <c r="E268" s="20" t="s">
        <v>7</v>
      </c>
      <c r="F268" s="20" t="s">
        <v>7</v>
      </c>
      <c r="G268" s="20"/>
    </row>
    <row r="269" spans="1:7">
      <c r="A269" s="50">
        <v>1</v>
      </c>
      <c r="B269" s="158">
        <v>2</v>
      </c>
      <c r="D269" s="51">
        <v>3</v>
      </c>
      <c r="E269" s="51">
        <v>4</v>
      </c>
      <c r="F269" s="52">
        <v>5</v>
      </c>
      <c r="G269" s="52"/>
    </row>
    <row r="270" spans="1:7" ht="15.75" thickBot="1">
      <c r="A270" s="155" t="s">
        <v>10</v>
      </c>
      <c r="B270" s="57">
        <v>3.2</v>
      </c>
      <c r="C270">
        <v>0</v>
      </c>
      <c r="D270" s="157">
        <v>0</v>
      </c>
      <c r="E270" s="14">
        <v>0</v>
      </c>
      <c r="F270" s="38">
        <v>0</v>
      </c>
      <c r="G270" s="38">
        <v>0</v>
      </c>
    </row>
    <row r="271" spans="1:7" ht="15.75" thickBot="1">
      <c r="A271" s="155" t="s">
        <v>58</v>
      </c>
      <c r="B271" s="57">
        <v>8.1999999999999993</v>
      </c>
      <c r="C271" s="30">
        <f>B270</f>
        <v>3.2</v>
      </c>
      <c r="D271" s="157">
        <v>0</v>
      </c>
      <c r="E271" s="14">
        <v>0</v>
      </c>
      <c r="F271" s="38">
        <v>0</v>
      </c>
      <c r="G271" s="38">
        <v>0</v>
      </c>
    </row>
    <row r="272" spans="1:7" ht="15.75" thickBot="1">
      <c r="A272" s="155" t="s">
        <v>59</v>
      </c>
      <c r="B272" s="57">
        <v>11.1</v>
      </c>
      <c r="C272" s="30">
        <f t="shared" ref="C272:C320" si="4">B271</f>
        <v>8.1999999999999993</v>
      </c>
      <c r="D272" s="157">
        <v>0</v>
      </c>
      <c r="E272" s="14">
        <v>0</v>
      </c>
      <c r="F272" s="38">
        <v>0</v>
      </c>
      <c r="G272" s="38">
        <v>0</v>
      </c>
    </row>
    <row r="273" spans="1:7" ht="15.75" thickBot="1">
      <c r="A273" s="155" t="s">
        <v>60</v>
      </c>
      <c r="B273" s="57">
        <v>12.8</v>
      </c>
      <c r="C273" s="30">
        <f t="shared" si="4"/>
        <v>11.1</v>
      </c>
      <c r="D273" s="157">
        <v>0</v>
      </c>
      <c r="E273" s="14">
        <v>0</v>
      </c>
      <c r="F273" s="38">
        <v>0</v>
      </c>
      <c r="G273" s="38">
        <v>0</v>
      </c>
    </row>
    <row r="274" spans="1:7" ht="15.75" thickBot="1">
      <c r="A274" s="155" t="s">
        <v>61</v>
      </c>
      <c r="B274" s="57">
        <v>14.5</v>
      </c>
      <c r="C274" s="30">
        <f t="shared" si="4"/>
        <v>12.8</v>
      </c>
      <c r="D274" s="157">
        <v>0</v>
      </c>
      <c r="E274" s="14">
        <v>0</v>
      </c>
      <c r="F274" s="38">
        <v>0</v>
      </c>
      <c r="G274" s="38">
        <v>0</v>
      </c>
    </row>
    <row r="275" spans="1:7" ht="15.75" thickBot="1">
      <c r="A275" s="155" t="s">
        <v>62</v>
      </c>
      <c r="B275" s="57">
        <v>15.9</v>
      </c>
      <c r="C275" s="30">
        <f t="shared" si="4"/>
        <v>14.5</v>
      </c>
      <c r="D275" s="157">
        <v>0</v>
      </c>
      <c r="E275" s="14">
        <v>0</v>
      </c>
      <c r="F275" s="38">
        <v>0</v>
      </c>
      <c r="G275" s="38">
        <v>0</v>
      </c>
    </row>
    <row r="276" spans="1:7" ht="15.75" thickBot="1">
      <c r="A276" s="155" t="s">
        <v>63</v>
      </c>
      <c r="B276" s="57">
        <v>16.899999999999999</v>
      </c>
      <c r="C276" s="30">
        <f t="shared" si="4"/>
        <v>15.9</v>
      </c>
      <c r="D276" s="157">
        <v>0</v>
      </c>
      <c r="E276" s="14">
        <v>0</v>
      </c>
      <c r="F276" s="38">
        <v>0</v>
      </c>
      <c r="G276" s="38">
        <v>0</v>
      </c>
    </row>
    <row r="277" spans="1:7" ht="15.75" thickBot="1">
      <c r="A277" s="156" t="s">
        <v>11</v>
      </c>
      <c r="B277" s="57">
        <v>17.899999999999999</v>
      </c>
      <c r="C277" s="30">
        <f t="shared" si="4"/>
        <v>16.899999999999999</v>
      </c>
      <c r="D277" s="157">
        <v>0</v>
      </c>
      <c r="E277" s="14">
        <v>0</v>
      </c>
      <c r="F277" s="38">
        <v>0</v>
      </c>
      <c r="G277" s="38">
        <v>0</v>
      </c>
    </row>
    <row r="278" spans="1:7" ht="15.75" thickBot="1">
      <c r="A278" s="156" t="s">
        <v>12</v>
      </c>
      <c r="B278" s="57">
        <v>18.600000000000001</v>
      </c>
      <c r="C278" s="30">
        <f t="shared" si="4"/>
        <v>17.899999999999999</v>
      </c>
      <c r="D278" s="157">
        <v>0</v>
      </c>
      <c r="E278" s="14">
        <v>0</v>
      </c>
      <c r="F278" s="38">
        <v>9.7849462365592562E-4</v>
      </c>
      <c r="G278" s="38">
        <v>0</v>
      </c>
    </row>
    <row r="279" spans="1:7" ht="15.75" thickBot="1">
      <c r="A279" s="156" t="s">
        <v>13</v>
      </c>
      <c r="B279" s="57">
        <v>19.600000000000001</v>
      </c>
      <c r="C279" s="30">
        <f t="shared" si="4"/>
        <v>18.600000000000001</v>
      </c>
      <c r="D279" s="157">
        <v>4.0994897959183652E-2</v>
      </c>
      <c r="E279" s="14"/>
      <c r="F279" s="38">
        <v>6.0306122448979703E-3</v>
      </c>
      <c r="G279" s="38">
        <v>0</v>
      </c>
    </row>
    <row r="280" spans="1:7" ht="15.75" thickBot="1">
      <c r="A280" s="156" t="s">
        <v>14</v>
      </c>
      <c r="B280" s="57">
        <v>20.3</v>
      </c>
      <c r="C280" s="30">
        <f t="shared" si="4"/>
        <v>19.600000000000001</v>
      </c>
      <c r="D280" s="157">
        <v>7.4064039408866938E-2</v>
      </c>
      <c r="E280" s="14"/>
      <c r="F280" s="38">
        <v>9.2709359605911406E-3</v>
      </c>
      <c r="G280" s="38">
        <v>0</v>
      </c>
    </row>
    <row r="281" spans="1:7" ht="15.75" thickBot="1">
      <c r="A281" s="156" t="s">
        <v>15</v>
      </c>
      <c r="B281" s="57">
        <v>21</v>
      </c>
      <c r="C281" s="30">
        <f t="shared" si="4"/>
        <v>20.3</v>
      </c>
      <c r="D281" s="157">
        <v>0.10492857142857134</v>
      </c>
      <c r="E281" s="14">
        <v>1.0492857142857134E-2</v>
      </c>
      <c r="F281" s="38">
        <v>1.22952380952381E-2</v>
      </c>
      <c r="G281" s="38">
        <v>2.5714285714285674E-3</v>
      </c>
    </row>
    <row r="282" spans="1:7" ht="15.75" thickBot="1">
      <c r="A282" s="156" t="s">
        <v>16</v>
      </c>
      <c r="B282" s="57">
        <v>21.6</v>
      </c>
      <c r="C282" s="30">
        <f t="shared" si="4"/>
        <v>21</v>
      </c>
      <c r="D282" s="157">
        <v>0.12979166666666664</v>
      </c>
      <c r="E282" s="14">
        <v>1.2979166666666665E-2</v>
      </c>
      <c r="F282" s="38">
        <v>1.4731481481481493E-2</v>
      </c>
      <c r="G282" s="38">
        <v>5.2777777777777805E-3</v>
      </c>
    </row>
    <row r="283" spans="1:7" ht="15.75" thickBot="1">
      <c r="A283" s="156" t="s">
        <v>17</v>
      </c>
      <c r="B283" s="57">
        <v>22.3</v>
      </c>
      <c r="C283" s="30">
        <f t="shared" si="4"/>
        <v>21.6</v>
      </c>
      <c r="D283" s="157">
        <v>0.1571076233183856</v>
      </c>
      <c r="E283" s="14">
        <v>1.5710762331838563E-2</v>
      </c>
      <c r="F283" s="38">
        <v>1.7408071748878932E-2</v>
      </c>
      <c r="G283" s="38">
        <v>8.2511210762331831E-3</v>
      </c>
    </row>
    <row r="284" spans="1:7" ht="15.75" thickBot="1">
      <c r="A284" s="156" t="s">
        <v>18</v>
      </c>
      <c r="B284" s="57">
        <v>23</v>
      </c>
      <c r="C284" s="30">
        <f t="shared" si="4"/>
        <v>22.3</v>
      </c>
      <c r="D284" s="157">
        <v>0.18276086956521731</v>
      </c>
      <c r="E284" s="14">
        <v>1.827608695652173E-2</v>
      </c>
      <c r="F284" s="38">
        <v>1.9921739130434789E-2</v>
      </c>
      <c r="G284" s="38">
        <v>1.1043478260869563E-2</v>
      </c>
    </row>
    <row r="285" spans="1:7" ht="15.75" thickBot="1">
      <c r="A285" s="156" t="s">
        <v>19</v>
      </c>
      <c r="B285" s="57">
        <v>23.5</v>
      </c>
      <c r="C285" s="30">
        <f t="shared" si="4"/>
        <v>23</v>
      </c>
      <c r="D285" s="157">
        <v>0.2001489361702127</v>
      </c>
      <c r="E285" s="14">
        <v>2.001489361702127E-2</v>
      </c>
      <c r="F285" s="38">
        <v>2.1625531914893623E-2</v>
      </c>
      <c r="G285" s="38">
        <v>1.2936170212765954E-2</v>
      </c>
    </row>
    <row r="286" spans="1:7" ht="15.75" thickBot="1">
      <c r="A286" s="156" t="s">
        <v>20</v>
      </c>
      <c r="B286" s="57">
        <v>24.2</v>
      </c>
      <c r="C286" s="30">
        <f t="shared" si="4"/>
        <v>23.5</v>
      </c>
      <c r="D286" s="157">
        <v>0.22328512396694206</v>
      </c>
      <c r="E286" s="14">
        <v>2.2328512396694207E-2</v>
      </c>
      <c r="F286" s="38">
        <v>2.3892561983471079E-2</v>
      </c>
      <c r="G286" s="38">
        <v>1.545454545454545E-2</v>
      </c>
    </row>
    <row r="287" spans="1:7" ht="15.75" thickBot="1">
      <c r="A287" s="156" t="s">
        <v>21</v>
      </c>
      <c r="B287" s="57">
        <v>24.8</v>
      </c>
      <c r="C287" s="30">
        <f t="shared" si="4"/>
        <v>24.2</v>
      </c>
      <c r="D287" s="157">
        <v>0.24207661290322577</v>
      </c>
      <c r="E287" s="14">
        <v>2.4207661290322577E-2</v>
      </c>
      <c r="F287" s="38">
        <v>2.5733870967741945E-2</v>
      </c>
      <c r="G287" s="38">
        <v>1.7499999999999998E-2</v>
      </c>
    </row>
    <row r="288" spans="1:7" ht="15.75" thickBot="1">
      <c r="A288" s="156" t="s">
        <v>22</v>
      </c>
      <c r="B288" s="57">
        <v>25.5</v>
      </c>
      <c r="C288" s="30">
        <f t="shared" si="4"/>
        <v>24.8</v>
      </c>
      <c r="D288" s="157">
        <v>0.2628823529411764</v>
      </c>
      <c r="E288" s="14">
        <v>2.6288235294117644E-2</v>
      </c>
      <c r="F288" s="38">
        <v>2.7772549019607851E-2</v>
      </c>
      <c r="G288" s="38">
        <v>1.9764705882352938E-2</v>
      </c>
    </row>
    <row r="289" spans="1:7" ht="15.75" thickBot="1">
      <c r="A289" s="156" t="s">
        <v>23</v>
      </c>
      <c r="B289" s="57">
        <v>26.4</v>
      </c>
      <c r="C289" s="30">
        <f t="shared" si="4"/>
        <v>25.5</v>
      </c>
      <c r="D289" s="157">
        <v>0.28801136363636354</v>
      </c>
      <c r="E289" s="14">
        <v>2.8801136363636355E-2</v>
      </c>
      <c r="F289" s="38">
        <v>3.0234848484848486E-2</v>
      </c>
      <c r="G289" s="38">
        <v>2.2499999999999992E-2</v>
      </c>
    </row>
    <row r="290" spans="1:7" ht="15.75" thickBot="1">
      <c r="A290" s="156" t="s">
        <v>24</v>
      </c>
      <c r="B290" s="57">
        <v>27.1</v>
      </c>
      <c r="C290" s="30">
        <f t="shared" si="4"/>
        <v>26.4</v>
      </c>
      <c r="D290" s="157">
        <v>0.30640221402214018</v>
      </c>
      <c r="E290" s="14">
        <v>3.0640221402214021E-2</v>
      </c>
      <c r="F290" s="38">
        <v>3.2036900369003703E-2</v>
      </c>
      <c r="G290" s="38">
        <v>2.4501845018450187E-2</v>
      </c>
    </row>
    <row r="291" spans="1:7" ht="15.75" thickBot="1">
      <c r="A291" s="156" t="s">
        <v>25</v>
      </c>
      <c r="B291" s="57">
        <v>27.9</v>
      </c>
      <c r="C291" s="30">
        <f t="shared" si="4"/>
        <v>27.1</v>
      </c>
      <c r="D291" s="157">
        <v>0.32629032258064505</v>
      </c>
      <c r="E291" s="14">
        <v>3.262903225806451E-2</v>
      </c>
      <c r="F291" s="38">
        <v>3.3985663082437279E-2</v>
      </c>
      <c r="G291" s="38">
        <v>2.6666666666666661E-2</v>
      </c>
    </row>
    <row r="292" spans="1:7" ht="15.75" thickBot="1">
      <c r="A292" s="156" t="s">
        <v>26</v>
      </c>
      <c r="B292" s="57">
        <v>28.5</v>
      </c>
      <c r="C292" s="30">
        <f t="shared" si="4"/>
        <v>27.9</v>
      </c>
      <c r="D292" s="157">
        <v>0.34047368421052626</v>
      </c>
      <c r="E292" s="14">
        <v>3.4047368421052625E-2</v>
      </c>
      <c r="F292" s="38">
        <v>3.5375438596491234E-2</v>
      </c>
      <c r="G292" s="38">
        <v>2.8210526315789471E-2</v>
      </c>
    </row>
    <row r="293" spans="1:7" ht="15.75" thickBot="1">
      <c r="A293" s="156" t="s">
        <v>27</v>
      </c>
      <c r="B293" s="57">
        <v>29.1</v>
      </c>
      <c r="C293" s="30">
        <f t="shared" si="4"/>
        <v>28.5</v>
      </c>
      <c r="D293" s="157">
        <v>0.35407216494845356</v>
      </c>
      <c r="E293" s="14">
        <v>3.5407216494845364E-2</v>
      </c>
      <c r="F293" s="38">
        <v>3.6707903780068739E-2</v>
      </c>
      <c r="G293" s="38">
        <v>2.9690721649484539E-2</v>
      </c>
    </row>
    <row r="294" spans="1:7" ht="15.75" thickBot="1">
      <c r="A294" s="156" t="s">
        <v>28</v>
      </c>
      <c r="B294" s="57">
        <v>29.9</v>
      </c>
      <c r="C294" s="30">
        <f t="shared" si="4"/>
        <v>29.1</v>
      </c>
      <c r="D294" s="157">
        <v>0.37135451505016714</v>
      </c>
      <c r="E294" s="14">
        <v>3.7135451505016716E-2</v>
      </c>
      <c r="F294" s="38">
        <v>3.840133779264214E-2</v>
      </c>
      <c r="G294" s="38">
        <v>3.1571906354515046E-2</v>
      </c>
    </row>
    <row r="295" spans="1:7" ht="15.75" thickBot="1">
      <c r="A295" s="156" t="s">
        <v>29</v>
      </c>
      <c r="B295" s="57">
        <v>30.7</v>
      </c>
      <c r="C295" s="30">
        <f t="shared" si="4"/>
        <v>29.9</v>
      </c>
      <c r="D295" s="157">
        <v>0.38773615635179148</v>
      </c>
      <c r="E295" s="14">
        <v>3.877361563517915E-2</v>
      </c>
      <c r="F295" s="38">
        <v>4.0039087947882711E-2</v>
      </c>
      <c r="G295" s="38">
        <v>3.3355048859934851E-2</v>
      </c>
    </row>
    <row r="296" spans="1:7" ht="15.75" thickBot="1">
      <c r="A296" s="156" t="s">
        <v>30</v>
      </c>
      <c r="B296" s="57">
        <v>31.3</v>
      </c>
      <c r="C296" s="30">
        <f t="shared" si="4"/>
        <v>30.7</v>
      </c>
      <c r="D296" s="157">
        <v>0.39947284345047918</v>
      </c>
      <c r="E296" s="14">
        <v>3.9947284345047927E-2</v>
      </c>
      <c r="F296" s="38">
        <v>4.6939297124600633E-2</v>
      </c>
      <c r="G296" s="38">
        <v>3.463258785942492E-2</v>
      </c>
    </row>
    <row r="297" spans="1:7" ht="15.75" thickBot="1">
      <c r="A297" s="156" t="s">
        <v>31</v>
      </c>
      <c r="B297" s="57">
        <v>32.1</v>
      </c>
      <c r="C297" s="30">
        <f t="shared" si="4"/>
        <v>31.3</v>
      </c>
      <c r="D297" s="157">
        <v>0.41443925233644857</v>
      </c>
      <c r="E297" s="14">
        <v>4.8663551401869128E-2</v>
      </c>
      <c r="F297" s="38">
        <v>5.5738317757009347E-2</v>
      </c>
      <c r="G297" s="38">
        <v>3.6261682242990659E-2</v>
      </c>
    </row>
    <row r="298" spans="1:7" ht="15.75" thickBot="1">
      <c r="A298" s="156" t="s">
        <v>32</v>
      </c>
      <c r="B298" s="57">
        <v>32.9</v>
      </c>
      <c r="C298" s="30">
        <f t="shared" si="4"/>
        <v>32.1</v>
      </c>
      <c r="D298" s="157">
        <v>0.42867781155015189</v>
      </c>
      <c r="E298" s="14">
        <v>5.7206686930091129E-2</v>
      </c>
      <c r="F298" s="38">
        <v>6.4109422492401189E-2</v>
      </c>
      <c r="G298" s="38">
        <v>3.7811550151975681E-2</v>
      </c>
    </row>
    <row r="299" spans="1:7" ht="15.75" thickBot="1">
      <c r="A299" s="156" t="s">
        <v>33</v>
      </c>
      <c r="B299" s="57">
        <v>33.700000000000003</v>
      </c>
      <c r="C299" s="30">
        <f t="shared" si="4"/>
        <v>32.9</v>
      </c>
      <c r="D299" s="157">
        <v>0.44224035608308604</v>
      </c>
      <c r="E299" s="14">
        <v>6.5344213649851615E-2</v>
      </c>
      <c r="F299" s="38">
        <v>7.2083086053412473E-2</v>
      </c>
      <c r="G299" s="38">
        <v>3.9287833827893179E-2</v>
      </c>
    </row>
    <row r="300" spans="1:7" ht="15.75" thickBot="1">
      <c r="A300" s="156" t="s">
        <v>34</v>
      </c>
      <c r="B300" s="57">
        <v>34.4</v>
      </c>
      <c r="C300" s="30">
        <f t="shared" si="4"/>
        <v>33.700000000000003</v>
      </c>
      <c r="D300" s="157">
        <v>0.4535901162790697</v>
      </c>
      <c r="E300" s="14">
        <v>7.2154069767441806E-2</v>
      </c>
      <c r="F300" s="38">
        <v>7.8755813953488352E-2</v>
      </c>
      <c r="G300" s="38">
        <v>4.3139534883720902E-2</v>
      </c>
    </row>
    <row r="301" spans="1:7" ht="15.75" thickBot="1">
      <c r="A301" s="156" t="s">
        <v>35</v>
      </c>
      <c r="B301" s="57">
        <v>35.200000000000003</v>
      </c>
      <c r="C301" s="30">
        <f t="shared" si="4"/>
        <v>34.4</v>
      </c>
      <c r="D301" s="157">
        <v>0.46600852272727272</v>
      </c>
      <c r="E301" s="14">
        <v>7.960511363636362E-2</v>
      </c>
      <c r="F301" s="38">
        <v>8.6056818181818193E-2</v>
      </c>
      <c r="G301" s="38">
        <v>5.1250000000000018E-2</v>
      </c>
    </row>
    <row r="302" spans="1:7" ht="15.75" thickBot="1">
      <c r="A302" s="156" t="s">
        <v>36</v>
      </c>
      <c r="B302" s="57">
        <v>35.9</v>
      </c>
      <c r="C302" s="30">
        <f t="shared" si="4"/>
        <v>35.200000000000003</v>
      </c>
      <c r="D302" s="157">
        <v>0.47642061281337039</v>
      </c>
      <c r="E302" s="14">
        <v>8.5852367688022235E-2</v>
      </c>
      <c r="F302" s="38">
        <v>9.2178272980501366E-2</v>
      </c>
      <c r="G302" s="38">
        <v>5.8050139275765987E-2</v>
      </c>
    </row>
    <row r="303" spans="1:7" ht="15.75" thickBot="1">
      <c r="A303" s="156" t="s">
        <v>37</v>
      </c>
      <c r="B303" s="57">
        <v>36.6</v>
      </c>
      <c r="C303" s="30">
        <f t="shared" si="4"/>
        <v>35.9</v>
      </c>
      <c r="D303" s="157">
        <v>0.48643442622950817</v>
      </c>
      <c r="E303" s="14">
        <v>9.1860655737704897E-2</v>
      </c>
      <c r="F303" s="38">
        <v>9.8065573770491798E-2</v>
      </c>
      <c r="G303" s="38">
        <v>6.4590163934426223E-2</v>
      </c>
    </row>
    <row r="304" spans="1:7" ht="15.75" thickBot="1">
      <c r="A304" s="156" t="s">
        <v>38</v>
      </c>
      <c r="B304" s="57">
        <v>37.700000000000003</v>
      </c>
      <c r="C304" s="30">
        <f t="shared" si="4"/>
        <v>36.6</v>
      </c>
      <c r="D304" s="157">
        <v>0.50141909814323604</v>
      </c>
      <c r="E304" s="14">
        <v>0.10085145888594163</v>
      </c>
      <c r="F304" s="38">
        <v>0.10687533156498676</v>
      </c>
      <c r="G304" s="38">
        <v>7.4376657824933703E-2</v>
      </c>
    </row>
    <row r="305" spans="1:7" ht="15.75" thickBot="1">
      <c r="A305" s="156" t="s">
        <v>39</v>
      </c>
      <c r="B305" s="57">
        <v>38.700000000000003</v>
      </c>
      <c r="C305" s="30">
        <f t="shared" si="4"/>
        <v>37.700000000000003</v>
      </c>
      <c r="D305" s="157">
        <v>0.51430232558139533</v>
      </c>
      <c r="E305" s="14">
        <v>0.10858139534883719</v>
      </c>
      <c r="F305" s="38">
        <v>0.11444961240310078</v>
      </c>
      <c r="G305" s="38">
        <v>8.2790697674418615E-2</v>
      </c>
    </row>
    <row r="306" spans="1:7" ht="15.75" thickBot="1">
      <c r="A306" s="156" t="s">
        <v>40</v>
      </c>
      <c r="B306" s="57">
        <v>39.9</v>
      </c>
      <c r="C306" s="30">
        <f t="shared" si="4"/>
        <v>38.700000000000003</v>
      </c>
      <c r="D306" s="157">
        <v>0.52890977443609022</v>
      </c>
      <c r="E306" s="14">
        <v>0.1173458646616541</v>
      </c>
      <c r="F306" s="38">
        <v>0.12303759398496239</v>
      </c>
      <c r="G306" s="38">
        <v>9.2330827067669152E-2</v>
      </c>
    </row>
    <row r="307" spans="1:7" ht="15.75" thickBot="1">
      <c r="A307" s="156" t="s">
        <v>41</v>
      </c>
      <c r="B307" s="57">
        <v>41</v>
      </c>
      <c r="C307" s="30">
        <f t="shared" si="4"/>
        <v>39.9</v>
      </c>
      <c r="D307" s="157">
        <v>0.54154878048780486</v>
      </c>
      <c r="E307" s="14">
        <v>0.1249292682926829</v>
      </c>
      <c r="F307" s="38">
        <v>0.13046829268292681</v>
      </c>
      <c r="G307" s="38">
        <v>0.10058536585365853</v>
      </c>
    </row>
    <row r="308" spans="1:7" ht="15.75" thickBot="1">
      <c r="A308" s="156" t="s">
        <v>42</v>
      </c>
      <c r="B308" s="57">
        <v>42.2</v>
      </c>
      <c r="C308" s="30">
        <f t="shared" si="4"/>
        <v>41</v>
      </c>
      <c r="D308" s="157">
        <v>0.55458530805687201</v>
      </c>
      <c r="E308" s="14">
        <v>0.13275118483412321</v>
      </c>
      <c r="F308" s="38">
        <v>0.13813270142180095</v>
      </c>
      <c r="G308" s="38">
        <v>0.10909952606635073</v>
      </c>
    </row>
    <row r="309" spans="1:7" ht="15.75" thickBot="1">
      <c r="A309" s="156" t="s">
        <v>43</v>
      </c>
      <c r="B309" s="57">
        <v>43.5</v>
      </c>
      <c r="C309" s="30">
        <f t="shared" si="4"/>
        <v>42.2</v>
      </c>
      <c r="D309" s="157">
        <v>0.56789655172413789</v>
      </c>
      <c r="E309" s="14">
        <v>0.14073793103448276</v>
      </c>
      <c r="F309" s="38">
        <v>0.14595862068965518</v>
      </c>
      <c r="G309" s="38">
        <v>0.11779310344827586</v>
      </c>
    </row>
    <row r="310" spans="1:7" ht="15.75" thickBot="1">
      <c r="A310" s="156" t="s">
        <v>44</v>
      </c>
      <c r="B310" s="57">
        <v>44.5</v>
      </c>
      <c r="C310" s="30">
        <f t="shared" si="4"/>
        <v>43.5</v>
      </c>
      <c r="D310" s="157">
        <v>0.57760674157303371</v>
      </c>
      <c r="E310" s="14">
        <v>0.14656404494382019</v>
      </c>
      <c r="F310" s="38">
        <v>0.15166741573033707</v>
      </c>
      <c r="G310" s="38">
        <v>0.12413483146067414</v>
      </c>
    </row>
    <row r="311" spans="1:7" ht="15.75" thickBot="1">
      <c r="A311" s="156" t="s">
        <v>45</v>
      </c>
      <c r="B311" s="57">
        <v>46</v>
      </c>
      <c r="C311" s="30">
        <f t="shared" si="4"/>
        <v>44.5</v>
      </c>
      <c r="D311" s="157">
        <v>0.59138043478260871</v>
      </c>
      <c r="E311" s="14">
        <v>0.15482826086956522</v>
      </c>
      <c r="F311" s="38">
        <v>0.15976521739130434</v>
      </c>
      <c r="G311" s="38">
        <v>0.13313043478260869</v>
      </c>
    </row>
    <row r="312" spans="1:7" ht="15.75" thickBot="1">
      <c r="A312" s="156" t="s">
        <v>46</v>
      </c>
      <c r="B312" s="57">
        <v>48</v>
      </c>
      <c r="C312" s="30">
        <f t="shared" si="4"/>
        <v>46</v>
      </c>
      <c r="D312" s="157">
        <v>0.60840624999999993</v>
      </c>
      <c r="E312" s="14">
        <v>0.16504374999999996</v>
      </c>
      <c r="F312" s="38">
        <v>0.16977500000000001</v>
      </c>
      <c r="G312" s="38">
        <v>0.14424999999999999</v>
      </c>
    </row>
    <row r="313" spans="1:7" ht="15.75" thickBot="1">
      <c r="A313" s="156" t="s">
        <v>47</v>
      </c>
      <c r="B313" s="57">
        <v>50.7</v>
      </c>
      <c r="C313" s="30">
        <f t="shared" si="4"/>
        <v>48</v>
      </c>
      <c r="D313" s="157">
        <v>0.62926035502958577</v>
      </c>
      <c r="E313" s="14">
        <v>0.17755621301775149</v>
      </c>
      <c r="F313" s="38">
        <v>0.18203550295857987</v>
      </c>
      <c r="G313" s="38">
        <v>0.15786982248520712</v>
      </c>
    </row>
    <row r="314" spans="1:7" ht="15.75" thickBot="1">
      <c r="A314" s="156" t="s">
        <v>48</v>
      </c>
      <c r="B314" s="57">
        <v>54.1</v>
      </c>
      <c r="C314" s="30">
        <f t="shared" si="4"/>
        <v>50.7</v>
      </c>
      <c r="D314" s="157">
        <v>0.65256007393715343</v>
      </c>
      <c r="E314" s="14">
        <v>0.19153604436229205</v>
      </c>
      <c r="F314" s="38">
        <v>0.19573382624768945</v>
      </c>
      <c r="G314" s="38">
        <v>0.17308687615526802</v>
      </c>
    </row>
    <row r="315" spans="1:7" ht="15.75" thickBot="1">
      <c r="A315" s="156" t="s">
        <v>49</v>
      </c>
      <c r="B315" s="57">
        <v>58.9</v>
      </c>
      <c r="C315" s="30">
        <f t="shared" si="4"/>
        <v>54.1</v>
      </c>
      <c r="D315" s="157">
        <v>0.68087436332767404</v>
      </c>
      <c r="E315" s="14">
        <v>0.20852461799660438</v>
      </c>
      <c r="F315" s="38">
        <v>0.21238030560271648</v>
      </c>
      <c r="G315" s="38">
        <v>0.19157894736842107</v>
      </c>
    </row>
    <row r="316" spans="1:7" ht="15.75" thickBot="1">
      <c r="A316" s="156" t="s">
        <v>50</v>
      </c>
      <c r="B316" s="57">
        <v>65</v>
      </c>
      <c r="C316" s="30">
        <f t="shared" si="4"/>
        <v>58.9</v>
      </c>
      <c r="D316" s="157">
        <v>0.71082307692307689</v>
      </c>
      <c r="E316" s="14">
        <v>0.22649384615384616</v>
      </c>
      <c r="F316" s="38">
        <v>0.22998769230769231</v>
      </c>
      <c r="G316" s="38">
        <v>0.21113846153846155</v>
      </c>
    </row>
    <row r="317" spans="1:7" ht="15.75" thickBot="1">
      <c r="A317" s="156" t="s">
        <v>51</v>
      </c>
      <c r="B317" s="57">
        <v>76.2</v>
      </c>
      <c r="C317" s="30">
        <f t="shared" si="4"/>
        <v>65</v>
      </c>
      <c r="D317" s="157">
        <v>0.75332677165354334</v>
      </c>
      <c r="E317" s="14">
        <v>0.25199606299212601</v>
      </c>
      <c r="F317" s="38">
        <v>0.25497637795275591</v>
      </c>
      <c r="G317" s="38">
        <v>0.23889763779527559</v>
      </c>
    </row>
    <row r="318" spans="1:7" ht="15.75" thickBot="1">
      <c r="A318" s="156" t="s">
        <v>52</v>
      </c>
      <c r="B318" s="57">
        <v>96.2</v>
      </c>
      <c r="C318" s="30">
        <f t="shared" si="4"/>
        <v>76.2</v>
      </c>
      <c r="D318" s="157">
        <v>0.80461018711018717</v>
      </c>
      <c r="E318" s="14">
        <v>0.28276611226611226</v>
      </c>
      <c r="F318" s="38">
        <v>0.28512681912681914</v>
      </c>
      <c r="G318" s="38">
        <v>0.27239085239085242</v>
      </c>
    </row>
    <row r="319" spans="1:7" ht="15.75" thickBot="1">
      <c r="A319" s="156" t="s">
        <v>53</v>
      </c>
      <c r="B319" s="57">
        <v>136.1</v>
      </c>
      <c r="C319" s="30">
        <f>B318</f>
        <v>96.2</v>
      </c>
      <c r="D319" s="157">
        <v>0.86189199118295368</v>
      </c>
      <c r="E319" s="14">
        <v>0.31713519470977225</v>
      </c>
      <c r="F319" s="38">
        <v>0.31880382072005875</v>
      </c>
      <c r="G319" s="38">
        <v>0.30980161645848642</v>
      </c>
    </row>
    <row r="320" spans="1:7" ht="15.75" thickBot="1">
      <c r="A320" s="3" t="s">
        <v>53</v>
      </c>
      <c r="B320" s="3" t="s">
        <v>111</v>
      </c>
      <c r="C320" s="30">
        <f t="shared" si="4"/>
        <v>136.1</v>
      </c>
      <c r="D320" s="22"/>
      <c r="E320" s="1"/>
      <c r="F320" s="37"/>
      <c r="G320" s="39"/>
    </row>
    <row r="321" spans="1:7" ht="15.75" thickBot="1">
      <c r="A321" s="3"/>
      <c r="B321" s="3"/>
      <c r="D321" s="4"/>
      <c r="E321" s="15">
        <v>7.5750266100777161E-2</v>
      </c>
      <c r="F321" s="26">
        <v>7.8790860006467553E-2</v>
      </c>
      <c r="G321" s="26">
        <v>6.3751501852951462E-2</v>
      </c>
    </row>
    <row r="322" spans="1:7" ht="60.75" thickBot="1">
      <c r="A322" s="5" t="s">
        <v>55</v>
      </c>
      <c r="B322" s="3">
        <v>34.1</v>
      </c>
      <c r="D322" s="4"/>
      <c r="E322" s="12">
        <v>31.327500000000004</v>
      </c>
      <c r="F322" s="45">
        <v>30.696666666666669</v>
      </c>
      <c r="G322" s="46">
        <v>34.1</v>
      </c>
    </row>
    <row r="323" spans="1:7" ht="60.75" thickBot="1">
      <c r="A323" s="5" t="s">
        <v>56</v>
      </c>
      <c r="B323" s="4">
        <v>34.1</v>
      </c>
      <c r="D323" s="1"/>
      <c r="E323" s="1"/>
      <c r="F323" s="37"/>
      <c r="G323" s="37"/>
    </row>
    <row r="324" spans="1:7" ht="97.5" thickBot="1">
      <c r="A324" s="6" t="s">
        <v>57</v>
      </c>
      <c r="B324" s="4">
        <v>20.5</v>
      </c>
      <c r="D324" s="1"/>
      <c r="E324" s="1">
        <v>18.796500000000002</v>
      </c>
      <c r="F324" s="37">
        <v>18.417999999999999</v>
      </c>
      <c r="G324" s="37">
        <v>20.46</v>
      </c>
    </row>
    <row r="327" spans="1:7">
      <c r="A327" s="16" t="s">
        <v>64</v>
      </c>
      <c r="B327" s="17">
        <f>AVERAGE(B275:B314)</f>
        <v>31.327500000000004</v>
      </c>
    </row>
    <row r="328" spans="1:7">
      <c r="A328" s="16" t="s">
        <v>65</v>
      </c>
      <c r="B328" s="18">
        <f>AVERAGE(B280:B309)</f>
        <v>30.696666666666669</v>
      </c>
    </row>
    <row r="329" spans="1:7">
      <c r="A329" s="16" t="s">
        <v>66</v>
      </c>
      <c r="B329" s="18">
        <f>AVERAGE(B286:B304)</f>
        <v>30.731578947368419</v>
      </c>
    </row>
    <row r="332" spans="1:7" ht="15.75" thickBot="1"/>
    <row r="333" spans="1:7" ht="15" customHeight="1" thickBot="1">
      <c r="A333" s="522" t="s">
        <v>0</v>
      </c>
      <c r="B333" s="525" t="s">
        <v>70</v>
      </c>
      <c r="C333" s="526"/>
      <c r="D333" s="527"/>
      <c r="E333" s="19">
        <f>(1-E388)^(1/3)-1</f>
        <v>-2.9502749902826975E-2</v>
      </c>
      <c r="F333" s="19">
        <f>(1-F388)^(1/3)-1</f>
        <v>-3.2030486470425057E-2</v>
      </c>
      <c r="G333" s="19"/>
    </row>
    <row r="334" spans="1:7" ht="72.75" thickBot="1">
      <c r="A334" s="523"/>
      <c r="B334" s="7" t="s">
        <v>4</v>
      </c>
      <c r="D334" s="11" t="s">
        <v>80</v>
      </c>
      <c r="E334" s="11" t="s">
        <v>5</v>
      </c>
      <c r="F334" s="39" t="s">
        <v>5</v>
      </c>
      <c r="G334" s="39"/>
    </row>
    <row r="335" spans="1:7" ht="25.5" thickBot="1">
      <c r="A335" s="524"/>
      <c r="B335" s="3" t="s">
        <v>72</v>
      </c>
      <c r="D335" s="20" t="s">
        <v>7</v>
      </c>
      <c r="E335" s="20" t="s">
        <v>7</v>
      </c>
      <c r="F335" s="20" t="s">
        <v>7</v>
      </c>
      <c r="G335" s="20"/>
    </row>
    <row r="336" spans="1:7" ht="15.75" thickBot="1">
      <c r="A336" s="50">
        <v>1</v>
      </c>
      <c r="B336" s="158">
        <v>2</v>
      </c>
      <c r="C336" s="117"/>
      <c r="D336" s="51">
        <v>3</v>
      </c>
      <c r="E336" s="51">
        <v>4</v>
      </c>
      <c r="F336" s="52">
        <v>5</v>
      </c>
      <c r="G336" s="52"/>
    </row>
    <row r="337" spans="1:7" ht="15.75" thickBot="1">
      <c r="A337" s="155" t="s">
        <v>10</v>
      </c>
      <c r="B337" s="57">
        <v>6.9</v>
      </c>
      <c r="C337">
        <v>0</v>
      </c>
      <c r="D337" s="157">
        <v>0</v>
      </c>
      <c r="E337" s="14">
        <v>0</v>
      </c>
      <c r="F337" s="38">
        <v>0</v>
      </c>
      <c r="G337" s="38">
        <v>0</v>
      </c>
    </row>
    <row r="338" spans="1:7" ht="15.75" thickBot="1">
      <c r="A338" s="155" t="s">
        <v>58</v>
      </c>
      <c r="B338" s="57">
        <v>12.4</v>
      </c>
      <c r="C338" s="30">
        <f>B337</f>
        <v>6.9</v>
      </c>
      <c r="D338" s="157">
        <v>0</v>
      </c>
      <c r="E338" s="14">
        <v>0</v>
      </c>
      <c r="F338" s="38">
        <v>0</v>
      </c>
      <c r="G338" s="38">
        <v>0</v>
      </c>
    </row>
    <row r="339" spans="1:7" ht="15.75" thickBot="1">
      <c r="A339" s="155" t="s">
        <v>59</v>
      </c>
      <c r="B339" s="57">
        <v>16</v>
      </c>
      <c r="C339" s="30">
        <f t="shared" ref="C339:C387" si="5">B338</f>
        <v>12.4</v>
      </c>
      <c r="D339" s="157">
        <v>0</v>
      </c>
      <c r="E339" s="14">
        <v>0</v>
      </c>
      <c r="F339" s="38">
        <v>0</v>
      </c>
      <c r="G339" s="38">
        <v>0</v>
      </c>
    </row>
    <row r="340" spans="1:7" ht="15.75" thickBot="1">
      <c r="A340" s="155" t="s">
        <v>60</v>
      </c>
      <c r="B340" s="57">
        <v>19.100000000000001</v>
      </c>
      <c r="C340" s="30">
        <f t="shared" si="5"/>
        <v>16</v>
      </c>
      <c r="D340" s="157">
        <v>0</v>
      </c>
      <c r="E340" s="14">
        <v>0</v>
      </c>
      <c r="F340" s="38">
        <v>0</v>
      </c>
      <c r="G340" s="38">
        <v>0</v>
      </c>
    </row>
    <row r="341" spans="1:7" ht="15.75" thickBot="1">
      <c r="A341" s="155" t="s">
        <v>61</v>
      </c>
      <c r="B341" s="57">
        <v>21.3</v>
      </c>
      <c r="C341" s="30">
        <f t="shared" si="5"/>
        <v>19.100000000000001</v>
      </c>
      <c r="D341" s="157">
        <v>0</v>
      </c>
      <c r="E341" s="14">
        <v>0</v>
      </c>
      <c r="F341" s="38">
        <v>0</v>
      </c>
      <c r="G341" s="38">
        <v>0</v>
      </c>
    </row>
    <row r="342" spans="1:7" ht="15.75" thickBot="1">
      <c r="A342" s="155" t="s">
        <v>62</v>
      </c>
      <c r="B342" s="57">
        <v>24.2</v>
      </c>
      <c r="C342" s="30">
        <f t="shared" si="5"/>
        <v>21.3</v>
      </c>
      <c r="D342" s="157">
        <v>0</v>
      </c>
      <c r="E342" s="14">
        <v>0</v>
      </c>
      <c r="F342" s="38">
        <v>0</v>
      </c>
      <c r="G342" s="38">
        <v>0</v>
      </c>
    </row>
    <row r="343" spans="1:7" ht="15.75" thickBot="1">
      <c r="A343" s="155" t="s">
        <v>63</v>
      </c>
      <c r="B343" s="57">
        <v>27.6</v>
      </c>
      <c r="C343" s="30">
        <f t="shared" si="5"/>
        <v>24.2</v>
      </c>
      <c r="D343" s="157">
        <v>0</v>
      </c>
      <c r="E343" s="14">
        <v>0</v>
      </c>
      <c r="F343" s="38">
        <v>0</v>
      </c>
      <c r="G343" s="38">
        <v>0</v>
      </c>
    </row>
    <row r="344" spans="1:7" ht="15.75" thickBot="1">
      <c r="A344" s="156" t="s">
        <v>11</v>
      </c>
      <c r="B344" s="57">
        <v>30.1</v>
      </c>
      <c r="C344" s="30">
        <f t="shared" si="5"/>
        <v>27.6</v>
      </c>
      <c r="D344" s="157">
        <v>0</v>
      </c>
      <c r="E344" s="14">
        <v>0</v>
      </c>
      <c r="F344" s="38">
        <v>0</v>
      </c>
      <c r="G344" s="38">
        <v>0</v>
      </c>
    </row>
    <row r="345" spans="1:7" ht="15.75" thickBot="1">
      <c r="A345" s="156" t="s">
        <v>12</v>
      </c>
      <c r="B345" s="57">
        <v>32.5</v>
      </c>
      <c r="C345" s="30">
        <f t="shared" si="5"/>
        <v>30.1</v>
      </c>
      <c r="D345" s="157">
        <v>0</v>
      </c>
      <c r="E345" s="14">
        <v>0</v>
      </c>
      <c r="F345" s="38">
        <v>0</v>
      </c>
      <c r="G345" s="38">
        <v>0</v>
      </c>
    </row>
    <row r="346" spans="1:7" ht="15.75" thickBot="1">
      <c r="A346" s="156" t="s">
        <v>13</v>
      </c>
      <c r="B346" s="57">
        <v>34.9</v>
      </c>
      <c r="C346" s="30">
        <f t="shared" si="5"/>
        <v>32.5</v>
      </c>
      <c r="D346" s="157">
        <v>0</v>
      </c>
      <c r="E346" s="14">
        <v>0</v>
      </c>
      <c r="F346" s="38">
        <v>0</v>
      </c>
      <c r="G346" s="38">
        <v>0</v>
      </c>
    </row>
    <row r="347" spans="1:7" ht="15.75" thickBot="1">
      <c r="A347" s="156" t="s">
        <v>14</v>
      </c>
      <c r="B347" s="57">
        <v>37.4</v>
      </c>
      <c r="C347" s="30">
        <f t="shared" si="5"/>
        <v>34.9</v>
      </c>
      <c r="D347" s="157">
        <v>0</v>
      </c>
      <c r="E347" s="14">
        <v>0</v>
      </c>
      <c r="F347" s="38">
        <v>0</v>
      </c>
      <c r="G347" s="38">
        <v>0</v>
      </c>
    </row>
    <row r="348" spans="1:7" ht="15.75" thickBot="1">
      <c r="A348" s="156" t="s">
        <v>15</v>
      </c>
      <c r="B348" s="57">
        <v>40.5</v>
      </c>
      <c r="C348" s="30">
        <f t="shared" si="5"/>
        <v>37.4</v>
      </c>
      <c r="D348" s="157">
        <v>0</v>
      </c>
      <c r="E348" s="14">
        <v>0</v>
      </c>
      <c r="F348" s="38">
        <v>0</v>
      </c>
      <c r="G348" s="38">
        <v>0</v>
      </c>
    </row>
    <row r="349" spans="1:7" ht="15.75" thickBot="1">
      <c r="A349" s="156" t="s">
        <v>16</v>
      </c>
      <c r="B349" s="57">
        <v>42.8</v>
      </c>
      <c r="C349" s="30">
        <f t="shared" si="5"/>
        <v>40.5</v>
      </c>
      <c r="D349" s="157">
        <v>0</v>
      </c>
      <c r="E349" s="14">
        <v>0</v>
      </c>
      <c r="F349" s="38">
        <v>0</v>
      </c>
      <c r="G349" s="38">
        <v>0</v>
      </c>
    </row>
    <row r="350" spans="1:7" ht="15.75" thickBot="1">
      <c r="A350" s="156" t="s">
        <v>17</v>
      </c>
      <c r="B350" s="57">
        <v>45.5</v>
      </c>
      <c r="C350" s="30">
        <f t="shared" si="5"/>
        <v>42.8</v>
      </c>
      <c r="D350" s="157">
        <v>0</v>
      </c>
      <c r="E350" s="14">
        <v>0</v>
      </c>
      <c r="F350" s="38">
        <v>0</v>
      </c>
      <c r="G350" s="38">
        <v>0</v>
      </c>
    </row>
    <row r="351" spans="1:7" ht="15.75" thickBot="1">
      <c r="A351" s="156" t="s">
        <v>18</v>
      </c>
      <c r="B351" s="57">
        <v>48</v>
      </c>
      <c r="C351" s="30">
        <f t="shared" si="5"/>
        <v>45.5</v>
      </c>
      <c r="D351" s="157">
        <v>0</v>
      </c>
      <c r="E351" s="14">
        <v>0</v>
      </c>
      <c r="F351" s="38">
        <v>0</v>
      </c>
      <c r="G351" s="38">
        <v>0</v>
      </c>
    </row>
    <row r="352" spans="1:7" ht="15.75" thickBot="1">
      <c r="A352" s="156" t="s">
        <v>19</v>
      </c>
      <c r="B352" s="57">
        <v>51.7</v>
      </c>
      <c r="C352" s="30">
        <f t="shared" si="5"/>
        <v>48</v>
      </c>
      <c r="D352" s="157">
        <v>0</v>
      </c>
      <c r="E352" s="14">
        <v>0</v>
      </c>
      <c r="F352" s="38">
        <v>3.0676982591876178E-3</v>
      </c>
      <c r="G352" s="38">
        <v>0</v>
      </c>
    </row>
    <row r="353" spans="1:7" ht="15.75" thickBot="1">
      <c r="A353" s="156" t="s">
        <v>20</v>
      </c>
      <c r="B353" s="57">
        <v>54.7</v>
      </c>
      <c r="C353" s="30">
        <f t="shared" si="5"/>
        <v>51.7</v>
      </c>
      <c r="D353" s="157">
        <v>2.5740402193784429E-2</v>
      </c>
      <c r="E353" s="14"/>
      <c r="F353" s="38">
        <v>8.3839122486288817E-3</v>
      </c>
      <c r="G353" s="38">
        <v>0</v>
      </c>
    </row>
    <row r="354" spans="1:7" ht="15.75" thickBot="1">
      <c r="A354" s="156" t="s">
        <v>21</v>
      </c>
      <c r="B354" s="57">
        <v>57.5</v>
      </c>
      <c r="C354" s="30">
        <f t="shared" si="5"/>
        <v>54.7</v>
      </c>
      <c r="D354" s="157">
        <v>7.3182608695652268E-2</v>
      </c>
      <c r="E354" s="14"/>
      <c r="F354" s="38">
        <v>1.284521739130434E-2</v>
      </c>
      <c r="G354" s="38">
        <v>0</v>
      </c>
    </row>
    <row r="355" spans="1:7" ht="15.75" thickBot="1">
      <c r="A355" s="156" t="s">
        <v>22</v>
      </c>
      <c r="B355" s="57">
        <v>60</v>
      </c>
      <c r="C355" s="30">
        <f t="shared" si="5"/>
        <v>57.5</v>
      </c>
      <c r="D355" s="157">
        <v>0.11180000000000009</v>
      </c>
      <c r="E355" s="14">
        <v>1.1180000000000011E-2</v>
      </c>
      <c r="F355" s="38">
        <v>1.647666666666666E-2</v>
      </c>
      <c r="G355" s="38">
        <v>0</v>
      </c>
    </row>
    <row r="356" spans="1:7" ht="15.75" thickBot="1">
      <c r="A356" s="156" t="s">
        <v>23</v>
      </c>
      <c r="B356" s="57">
        <v>62.5</v>
      </c>
      <c r="C356" s="30">
        <f t="shared" si="5"/>
        <v>60</v>
      </c>
      <c r="D356" s="157">
        <v>0.1473280000000001</v>
      </c>
      <c r="E356" s="14">
        <v>1.4732800000000009E-2</v>
      </c>
      <c r="F356" s="38">
        <v>1.9817599999999994E-2</v>
      </c>
      <c r="G356" s="38">
        <v>0</v>
      </c>
    </row>
    <row r="357" spans="1:7" ht="15.75" thickBot="1">
      <c r="A357" s="156" t="s">
        <v>24</v>
      </c>
      <c r="B357" s="57">
        <v>65.3</v>
      </c>
      <c r="C357" s="30">
        <f t="shared" si="5"/>
        <v>62.5</v>
      </c>
      <c r="D357" s="157">
        <v>0.18388973966309347</v>
      </c>
      <c r="E357" s="14">
        <v>1.8388973966309348E-2</v>
      </c>
      <c r="F357" s="38">
        <v>2.3255742725880543E-2</v>
      </c>
      <c r="G357" s="38">
        <v>3.6140888208269521E-3</v>
      </c>
    </row>
    <row r="358" spans="1:7" ht="15.75" thickBot="1">
      <c r="A358" s="156" t="s">
        <v>25</v>
      </c>
      <c r="B358" s="57">
        <v>68.8</v>
      </c>
      <c r="C358" s="30">
        <f t="shared" si="5"/>
        <v>65.3</v>
      </c>
      <c r="D358" s="157">
        <v>0.22540697674418608</v>
      </c>
      <c r="E358" s="14">
        <v>2.2540697674418613E-2</v>
      </c>
      <c r="F358" s="38">
        <v>2.7159883720930224E-2</v>
      </c>
      <c r="G358" s="38">
        <v>8.5174418604651164E-3</v>
      </c>
    </row>
    <row r="359" spans="1:7" ht="15.75" thickBot="1">
      <c r="A359" s="156" t="s">
        <v>26</v>
      </c>
      <c r="B359" s="57">
        <v>71.599999999999994</v>
      </c>
      <c r="C359" s="30">
        <f t="shared" si="5"/>
        <v>68.8</v>
      </c>
      <c r="D359" s="157">
        <v>0.25569832402234638</v>
      </c>
      <c r="E359" s="14">
        <v>2.5569832402234639E-2</v>
      </c>
      <c r="F359" s="38">
        <v>3.0008379888268148E-2</v>
      </c>
      <c r="G359" s="38">
        <v>1.2094972067039102E-2</v>
      </c>
    </row>
    <row r="360" spans="1:7" ht="15.75" thickBot="1">
      <c r="A360" s="156" t="s">
        <v>27</v>
      </c>
      <c r="B360" s="57">
        <v>74.5</v>
      </c>
      <c r="C360" s="30">
        <f t="shared" si="5"/>
        <v>71.599999999999994</v>
      </c>
      <c r="D360" s="157">
        <v>0.28467114093959739</v>
      </c>
      <c r="E360" s="14">
        <v>2.8467114093959738E-2</v>
      </c>
      <c r="F360" s="38">
        <v>3.2732885906040267E-2</v>
      </c>
      <c r="G360" s="38">
        <v>1.5516778523489937E-2</v>
      </c>
    </row>
    <row r="361" spans="1:7" ht="15.75" thickBot="1">
      <c r="A361" s="156" t="s">
        <v>28</v>
      </c>
      <c r="B361" s="57">
        <v>77.400000000000006</v>
      </c>
      <c r="C361" s="30">
        <f t="shared" si="5"/>
        <v>74.5</v>
      </c>
      <c r="D361" s="157">
        <v>0.31147286821705439</v>
      </c>
      <c r="E361" s="14">
        <v>3.1147286821705443E-2</v>
      </c>
      <c r="F361" s="38">
        <v>3.5253229974160208E-2</v>
      </c>
      <c r="G361" s="38">
        <v>1.8682170542635667E-2</v>
      </c>
    </row>
    <row r="362" spans="1:7" ht="15.75" thickBot="1">
      <c r="A362" s="156" t="s">
        <v>29</v>
      </c>
      <c r="B362" s="57">
        <v>80.2</v>
      </c>
      <c r="C362" s="30">
        <f t="shared" si="5"/>
        <v>77.400000000000006</v>
      </c>
      <c r="D362" s="157">
        <v>0.33551122194513727</v>
      </c>
      <c r="E362" s="14">
        <v>3.3551122194513727E-2</v>
      </c>
      <c r="F362" s="38">
        <v>3.7513715710723192E-2</v>
      </c>
      <c r="G362" s="38">
        <v>2.1521197007481303E-2</v>
      </c>
    </row>
    <row r="363" spans="1:7" ht="15.75" thickBot="1">
      <c r="A363" s="156" t="s">
        <v>30</v>
      </c>
      <c r="B363" s="57">
        <v>83.5</v>
      </c>
      <c r="C363" s="30">
        <f t="shared" si="5"/>
        <v>80.2</v>
      </c>
      <c r="D363" s="157">
        <v>0.36177245508982042</v>
      </c>
      <c r="E363" s="14">
        <v>3.6177245508982048E-2</v>
      </c>
      <c r="F363" s="38">
        <v>3.9983233532934127E-2</v>
      </c>
      <c r="G363" s="38">
        <v>2.462275449101797E-2</v>
      </c>
    </row>
    <row r="364" spans="1:7" ht="15.75" thickBot="1">
      <c r="A364" s="156" t="s">
        <v>31</v>
      </c>
      <c r="B364" s="57">
        <v>87.3</v>
      </c>
      <c r="C364" s="30">
        <f t="shared" si="5"/>
        <v>83.5</v>
      </c>
      <c r="D364" s="157">
        <v>0.38955326460481104</v>
      </c>
      <c r="E364" s="14">
        <v>3.8955326460481103E-2</v>
      </c>
      <c r="F364" s="38">
        <v>5.5573883161511996E-2</v>
      </c>
      <c r="G364" s="38">
        <v>2.7903780068728522E-2</v>
      </c>
    </row>
    <row r="365" spans="1:7" ht="15.75" thickBot="1">
      <c r="A365" s="156" t="s">
        <v>32</v>
      </c>
      <c r="B365" s="57">
        <v>91.1</v>
      </c>
      <c r="C365" s="30">
        <f t="shared" si="5"/>
        <v>87.3</v>
      </c>
      <c r="D365" s="157">
        <v>0.41501646542261256</v>
      </c>
      <c r="E365" s="14">
        <v>4.9009879253567513E-2</v>
      </c>
      <c r="F365" s="38">
        <v>6.9940724478594909E-2</v>
      </c>
      <c r="G365" s="38">
        <v>3.0911086717892427E-2</v>
      </c>
    </row>
    <row r="366" spans="1:7" ht="15.75" thickBot="1">
      <c r="A366" s="156" t="s">
        <v>33</v>
      </c>
      <c r="B366" s="57">
        <v>94.9</v>
      </c>
      <c r="C366" s="30">
        <f t="shared" si="5"/>
        <v>91.1</v>
      </c>
      <c r="D366" s="157">
        <v>0.43844046364594319</v>
      </c>
      <c r="E366" s="14">
        <v>6.3064278187565909E-2</v>
      </c>
      <c r="F366" s="38">
        <v>8.3157007376185463E-2</v>
      </c>
      <c r="G366" s="38">
        <v>3.3677555321390946E-2</v>
      </c>
    </row>
    <row r="367" spans="1:7" ht="15.75" thickBot="1">
      <c r="A367" s="156" t="s">
        <v>34</v>
      </c>
      <c r="B367" s="57">
        <v>99.5</v>
      </c>
      <c r="C367" s="30">
        <f t="shared" si="5"/>
        <v>94.9</v>
      </c>
      <c r="D367" s="157">
        <v>0.46440201005025133</v>
      </c>
      <c r="E367" s="14">
        <v>7.864120603015079E-2</v>
      </c>
      <c r="F367" s="38">
        <v>9.7805025125628123E-2</v>
      </c>
      <c r="G367" s="38">
        <v>3.6743718592964832E-2</v>
      </c>
    </row>
    <row r="368" spans="1:7" ht="15.75" thickBot="1">
      <c r="A368" s="156" t="s">
        <v>35</v>
      </c>
      <c r="B368" s="57">
        <v>104.4</v>
      </c>
      <c r="C368" s="30">
        <f t="shared" si="5"/>
        <v>99.5</v>
      </c>
      <c r="D368" s="157">
        <v>0.48954022988505758</v>
      </c>
      <c r="E368" s="14">
        <v>9.372413793103454E-2</v>
      </c>
      <c r="F368" s="38">
        <v>0.11198850574712645</v>
      </c>
      <c r="G368" s="38">
        <v>3.9712643678160922E-2</v>
      </c>
    </row>
    <row r="369" spans="1:7" ht="15.75" thickBot="1">
      <c r="A369" s="156" t="s">
        <v>36</v>
      </c>
      <c r="B369" s="57">
        <v>108.6</v>
      </c>
      <c r="C369" s="30">
        <f t="shared" si="5"/>
        <v>104.4</v>
      </c>
      <c r="D369" s="157">
        <v>0.50928176795580116</v>
      </c>
      <c r="E369" s="14">
        <v>0.10556906077348067</v>
      </c>
      <c r="F369" s="38">
        <v>0.12312707182320438</v>
      </c>
      <c r="G369" s="38">
        <v>5.2265193370165719E-2</v>
      </c>
    </row>
    <row r="370" spans="1:7" ht="15.75" thickBot="1">
      <c r="A370" s="156" t="s">
        <v>37</v>
      </c>
      <c r="B370" s="57">
        <v>112.6</v>
      </c>
      <c r="C370" s="30">
        <f t="shared" si="5"/>
        <v>108.6</v>
      </c>
      <c r="D370" s="157">
        <v>0.52671403197158084</v>
      </c>
      <c r="E370" s="14">
        <v>0.1160284191829485</v>
      </c>
      <c r="F370" s="38">
        <v>0.1329626998223801</v>
      </c>
      <c r="G370" s="38">
        <v>6.4618117229129635E-2</v>
      </c>
    </row>
    <row r="371" spans="1:7" ht="15.75" thickBot="1">
      <c r="A371" s="156" t="s">
        <v>38</v>
      </c>
      <c r="B371" s="57">
        <v>117.7</v>
      </c>
      <c r="C371" s="30">
        <f t="shared" si="5"/>
        <v>112.6</v>
      </c>
      <c r="D371" s="157">
        <v>0.54722175021240449</v>
      </c>
      <c r="E371" s="14">
        <v>0.1283330501274427</v>
      </c>
      <c r="F371" s="38">
        <v>0.14453355989804589</v>
      </c>
      <c r="G371" s="38">
        <v>7.9150382327952407E-2</v>
      </c>
    </row>
    <row r="372" spans="1:7" ht="15.75" thickBot="1">
      <c r="A372" s="156" t="s">
        <v>39</v>
      </c>
      <c r="B372" s="57">
        <v>122.9</v>
      </c>
      <c r="C372" s="30">
        <f t="shared" si="5"/>
        <v>117.7</v>
      </c>
      <c r="D372" s="157">
        <v>0.56637917005695693</v>
      </c>
      <c r="E372" s="14">
        <v>0.13982750203417418</v>
      </c>
      <c r="F372" s="38">
        <v>0.15534255492270138</v>
      </c>
      <c r="G372" s="38">
        <v>9.2725793327908868E-2</v>
      </c>
    </row>
    <row r="373" spans="1:7" ht="15.75" thickBot="1">
      <c r="A373" s="156" t="s">
        <v>40</v>
      </c>
      <c r="B373" s="57">
        <v>128.19999999999999</v>
      </c>
      <c r="C373" s="30">
        <f t="shared" si="5"/>
        <v>122.9</v>
      </c>
      <c r="D373" s="157">
        <v>0.5843057722308892</v>
      </c>
      <c r="E373" s="14">
        <v>0.15058346333853356</v>
      </c>
      <c r="F373" s="38">
        <v>0.16545709828393135</v>
      </c>
      <c r="G373" s="38">
        <v>0.10542901716068639</v>
      </c>
    </row>
    <row r="374" spans="1:7" ht="15.75" thickBot="1">
      <c r="A374" s="156" t="s">
        <v>41</v>
      </c>
      <c r="B374" s="57">
        <v>132.80000000000001</v>
      </c>
      <c r="C374" s="30">
        <f t="shared" si="5"/>
        <v>128.19999999999999</v>
      </c>
      <c r="D374" s="157">
        <v>0.5987048192771085</v>
      </c>
      <c r="E374" s="14">
        <v>0.15922289156626512</v>
      </c>
      <c r="F374" s="38">
        <v>0.17358132530120482</v>
      </c>
      <c r="G374" s="38">
        <v>0.11563253012048196</v>
      </c>
    </row>
    <row r="375" spans="1:7" ht="15.75" thickBot="1">
      <c r="A375" s="156" t="s">
        <v>42</v>
      </c>
      <c r="B375" s="57">
        <v>138.4</v>
      </c>
      <c r="C375" s="30">
        <f t="shared" si="5"/>
        <v>132.80000000000001</v>
      </c>
      <c r="D375" s="157">
        <v>0.61494219653179194</v>
      </c>
      <c r="E375" s="14">
        <v>0.16896531791907521</v>
      </c>
      <c r="F375" s="38">
        <v>0.182742774566474</v>
      </c>
      <c r="G375" s="38">
        <v>0.12713872832369941</v>
      </c>
    </row>
    <row r="376" spans="1:7" ht="15.75" thickBot="1">
      <c r="A376" s="156" t="s">
        <v>43</v>
      </c>
      <c r="B376" s="57">
        <v>145.4</v>
      </c>
      <c r="C376" s="30">
        <f t="shared" si="5"/>
        <v>138.4</v>
      </c>
      <c r="D376" s="157">
        <v>0.63348005502063276</v>
      </c>
      <c r="E376" s="14">
        <v>0.18008803301237969</v>
      </c>
      <c r="F376" s="38">
        <v>0.19320220082530948</v>
      </c>
      <c r="G376" s="38">
        <v>0.14027510316368638</v>
      </c>
    </row>
    <row r="377" spans="1:7" ht="15.75" thickBot="1">
      <c r="A377" s="156" t="s">
        <v>44</v>
      </c>
      <c r="B377" s="57">
        <v>155.80000000000001</v>
      </c>
      <c r="C377" s="30">
        <f t="shared" si="5"/>
        <v>145.4</v>
      </c>
      <c r="D377" s="157">
        <v>0.65794608472400518</v>
      </c>
      <c r="E377" s="14">
        <v>0.19476765083440314</v>
      </c>
      <c r="F377" s="38">
        <v>0.20700641848523749</v>
      </c>
      <c r="G377" s="38">
        <v>0.15761232349165599</v>
      </c>
    </row>
    <row r="378" spans="1:7" ht="15.75" thickBot="1">
      <c r="A378" s="156" t="s">
        <v>45</v>
      </c>
      <c r="B378" s="57">
        <v>167.7</v>
      </c>
      <c r="C378" s="30">
        <f t="shared" si="5"/>
        <v>155.80000000000001</v>
      </c>
      <c r="D378" s="157">
        <v>0.68221824686940968</v>
      </c>
      <c r="E378" s="14">
        <v>0.20933094812164579</v>
      </c>
      <c r="F378" s="38">
        <v>0.22070125223613593</v>
      </c>
      <c r="G378" s="38">
        <v>0.17481216457960644</v>
      </c>
    </row>
    <row r="379" spans="1:7" ht="15.75" thickBot="1">
      <c r="A379" s="156" t="s">
        <v>46</v>
      </c>
      <c r="B379" s="57">
        <v>177.7</v>
      </c>
      <c r="C379" s="30">
        <f t="shared" si="5"/>
        <v>167.7</v>
      </c>
      <c r="D379" s="157">
        <v>0.70010129431626333</v>
      </c>
      <c r="E379" s="14">
        <v>0.22006077658975801</v>
      </c>
      <c r="F379" s="38">
        <v>0.23079122115925715</v>
      </c>
      <c r="G379" s="38">
        <v>0.18748452447945976</v>
      </c>
    </row>
    <row r="380" spans="1:7" ht="15.75" thickBot="1">
      <c r="A380" s="156" t="s">
        <v>47</v>
      </c>
      <c r="B380" s="57">
        <v>190.5</v>
      </c>
      <c r="C380" s="30">
        <f t="shared" si="5"/>
        <v>177.7</v>
      </c>
      <c r="D380" s="157">
        <v>0.72025196850393702</v>
      </c>
      <c r="E380" s="14">
        <v>0.23215118110236221</v>
      </c>
      <c r="F380" s="38">
        <v>0.24216062992125983</v>
      </c>
      <c r="G380" s="38">
        <v>0.20176377952755906</v>
      </c>
    </row>
    <row r="381" spans="1:7" ht="15.75" thickBot="1">
      <c r="A381" s="156" t="s">
        <v>48</v>
      </c>
      <c r="B381" s="57">
        <v>206.1</v>
      </c>
      <c r="C381" s="30">
        <f t="shared" si="5"/>
        <v>190.5</v>
      </c>
      <c r="D381" s="157">
        <v>0.74142649199417754</v>
      </c>
      <c r="E381" s="14">
        <v>0.24485589519650658</v>
      </c>
      <c r="F381" s="38">
        <v>0.25410771470160115</v>
      </c>
      <c r="G381" s="38">
        <v>0.21676855895196503</v>
      </c>
    </row>
    <row r="382" spans="1:7" ht="15.75" thickBot="1">
      <c r="A382" s="156" t="s">
        <v>49</v>
      </c>
      <c r="B382" s="57">
        <v>230.6</v>
      </c>
      <c r="C382" s="30">
        <f t="shared" si="5"/>
        <v>206.1</v>
      </c>
      <c r="D382" s="157">
        <v>0.76889852558542926</v>
      </c>
      <c r="E382" s="14">
        <v>0.26133911535125759</v>
      </c>
      <c r="F382" s="38">
        <v>0.26960797918473545</v>
      </c>
      <c r="G382" s="38">
        <v>0.23623590633130964</v>
      </c>
    </row>
    <row r="383" spans="1:7" ht="15.75" thickBot="1">
      <c r="A383" s="156" t="s">
        <v>50</v>
      </c>
      <c r="B383" s="57">
        <v>261.10000000000002</v>
      </c>
      <c r="C383" s="30">
        <f t="shared" si="5"/>
        <v>230.6</v>
      </c>
      <c r="D383" s="157">
        <v>0.79589429337418616</v>
      </c>
      <c r="E383" s="14">
        <v>0.27753657602451176</v>
      </c>
      <c r="F383" s="38">
        <v>0.28483952508617394</v>
      </c>
      <c r="G383" s="38">
        <v>0.25536576024511687</v>
      </c>
    </row>
    <row r="384" spans="1:7" ht="15.75" thickBot="1">
      <c r="A384" s="156" t="s">
        <v>51</v>
      </c>
      <c r="B384" s="57">
        <v>301.5</v>
      </c>
      <c r="C384" s="30">
        <f t="shared" si="5"/>
        <v>261.10000000000002</v>
      </c>
      <c r="D384" s="157">
        <v>0.82324378109452734</v>
      </c>
      <c r="E384" s="14">
        <v>0.29394626865671647</v>
      </c>
      <c r="F384" s="38">
        <v>0.30027064676616921</v>
      </c>
      <c r="G384" s="38">
        <v>0.27474626865671642</v>
      </c>
    </row>
    <row r="385" spans="1:7" ht="15.75" thickBot="1">
      <c r="A385" s="156" t="s">
        <v>52</v>
      </c>
      <c r="B385" s="57">
        <v>373.4</v>
      </c>
      <c r="C385" s="30">
        <f t="shared" si="5"/>
        <v>301.5</v>
      </c>
      <c r="D385" s="157">
        <v>0.85727905731119447</v>
      </c>
      <c r="E385" s="14">
        <v>0.31436743438671666</v>
      </c>
      <c r="F385" s="38">
        <v>0.31947402249598295</v>
      </c>
      <c r="G385" s="38">
        <v>0.29886448848419928</v>
      </c>
    </row>
    <row r="386" spans="1:7" ht="15.75" thickBot="1">
      <c r="A386" s="156" t="s">
        <v>53</v>
      </c>
      <c r="B386" s="29">
        <v>572.20000000000005</v>
      </c>
      <c r="C386" s="30">
        <f>B385</f>
        <v>373.4</v>
      </c>
      <c r="D386" s="157">
        <v>0.90686473261097511</v>
      </c>
      <c r="E386" s="14">
        <v>0.34411883956658512</v>
      </c>
      <c r="F386" s="38">
        <v>0.34745124082488649</v>
      </c>
      <c r="G386" s="38">
        <v>0.33400209716882212</v>
      </c>
    </row>
    <row r="387" spans="1:7" ht="15.75" thickBot="1">
      <c r="A387" s="3" t="s">
        <v>53</v>
      </c>
      <c r="B387" s="3" t="s">
        <v>112</v>
      </c>
      <c r="C387" s="30">
        <f t="shared" si="5"/>
        <v>572.20000000000005</v>
      </c>
      <c r="D387" s="22" t="s">
        <v>69</v>
      </c>
      <c r="E387" s="1"/>
      <c r="F387" s="37"/>
      <c r="G387" s="39"/>
    </row>
    <row r="388" spans="1:7" ht="15.75" thickBot="1">
      <c r="A388" s="3"/>
      <c r="B388" s="3"/>
      <c r="D388" s="4" t="s">
        <v>69</v>
      </c>
      <c r="E388" s="15">
        <v>8.592269250797259E-2</v>
      </c>
      <c r="F388" s="26">
        <v>9.3046464964369247E-2</v>
      </c>
      <c r="G388" s="26">
        <v>6.7768178492644313E-2</v>
      </c>
    </row>
    <row r="389" spans="1:7" ht="60.75" thickBot="1">
      <c r="A389" s="5" t="s">
        <v>55</v>
      </c>
      <c r="B389" s="3"/>
      <c r="D389" s="4" t="s">
        <v>69</v>
      </c>
      <c r="E389" s="12">
        <v>88.82</v>
      </c>
      <c r="F389" s="45">
        <v>83.523333333333341</v>
      </c>
      <c r="G389" s="46">
        <v>104.9</v>
      </c>
    </row>
    <row r="390" spans="1:7" ht="60.75" thickBot="1">
      <c r="A390" s="5" t="s">
        <v>56</v>
      </c>
      <c r="B390" s="4">
        <v>104.9</v>
      </c>
      <c r="D390" s="1"/>
      <c r="E390" s="1"/>
      <c r="F390" s="37"/>
      <c r="G390" s="37"/>
    </row>
    <row r="391" spans="1:7" ht="97.5" thickBot="1">
      <c r="A391" s="6" t="s">
        <v>57</v>
      </c>
      <c r="B391" s="4">
        <v>62.9</v>
      </c>
      <c r="D391" s="1"/>
      <c r="E391" s="1">
        <v>53.291999999999994</v>
      </c>
      <c r="F391" s="37">
        <v>50.114000000000004</v>
      </c>
      <c r="G391" s="37">
        <v>62.94</v>
      </c>
    </row>
    <row r="394" spans="1:7">
      <c r="A394" s="16" t="s">
        <v>64</v>
      </c>
      <c r="B394" s="17">
        <f>AVERAGE(B342:B381)</f>
        <v>88.82</v>
      </c>
    </row>
    <row r="395" spans="1:7">
      <c r="A395" s="16" t="s">
        <v>65</v>
      </c>
      <c r="B395" s="18">
        <f>AVERAGE(B347:B376)</f>
        <v>83.523333333333341</v>
      </c>
    </row>
    <row r="396" spans="1:7">
      <c r="A396" s="16" t="s">
        <v>66</v>
      </c>
      <c r="B396" s="18">
        <f>AVERAGE(B353:B371)</f>
        <v>82.742105263157896</v>
      </c>
    </row>
    <row r="400" spans="1:7" ht="15.75" thickBot="1"/>
    <row r="401" spans="1:7" ht="15.75" thickBot="1">
      <c r="A401" s="522" t="s">
        <v>0</v>
      </c>
      <c r="B401" s="532" t="s">
        <v>71</v>
      </c>
      <c r="C401" s="533"/>
      <c r="D401" s="534"/>
      <c r="E401" s="19">
        <f>(1-E456)^(1/3)-1</f>
        <v>0</v>
      </c>
      <c r="F401" s="19">
        <f>(1-F456)^(1/3)-1</f>
        <v>0</v>
      </c>
      <c r="G401" s="19"/>
    </row>
    <row r="402" spans="1:7" ht="72.75" thickBot="1">
      <c r="A402" s="523"/>
      <c r="B402" s="7" t="s">
        <v>4</v>
      </c>
      <c r="C402">
        <v>0</v>
      </c>
      <c r="D402" s="1" t="s">
        <v>5</v>
      </c>
      <c r="E402" s="1" t="s">
        <v>5</v>
      </c>
      <c r="F402" s="37" t="s">
        <v>5</v>
      </c>
      <c r="G402" s="37"/>
    </row>
    <row r="403" spans="1:7" ht="73.5" thickBot="1">
      <c r="A403" s="524"/>
      <c r="B403" s="4" t="s">
        <v>73</v>
      </c>
      <c r="C403" s="30" t="str">
        <f>B402</f>
        <v>Фактическое удельное годовое потребление</v>
      </c>
      <c r="D403" s="20" t="s">
        <v>7</v>
      </c>
      <c r="E403" s="9" t="s">
        <v>65</v>
      </c>
      <c r="F403" s="47"/>
      <c r="G403" s="48"/>
    </row>
    <row r="404" spans="1:7" ht="25.5" thickBot="1">
      <c r="A404" s="2">
        <v>1</v>
      </c>
      <c r="B404" s="2"/>
      <c r="C404" s="30" t="str">
        <f t="shared" ref="C404:C452" si="6">B403</f>
        <v>кгут / кв. м</v>
      </c>
      <c r="D404" s="4" t="s">
        <v>73</v>
      </c>
      <c r="E404" s="10">
        <v>5</v>
      </c>
      <c r="F404" s="43">
        <v>6</v>
      </c>
      <c r="G404" s="44"/>
    </row>
    <row r="405" spans="1:7" ht="15.75" thickBot="1">
      <c r="A405" s="8" t="s">
        <v>10</v>
      </c>
      <c r="B405" s="3"/>
      <c r="C405" s="30">
        <f t="shared" si="6"/>
        <v>0</v>
      </c>
      <c r="D405" s="21"/>
      <c r="E405" s="14"/>
      <c r="F405" s="38"/>
      <c r="G405" s="38"/>
    </row>
    <row r="406" spans="1:7" ht="15.75" thickBot="1">
      <c r="A406" s="8" t="s">
        <v>58</v>
      </c>
      <c r="B406" s="3"/>
      <c r="C406" s="30">
        <f t="shared" si="6"/>
        <v>0</v>
      </c>
      <c r="D406" s="4"/>
      <c r="E406" s="14"/>
      <c r="F406" s="38"/>
      <c r="G406" s="38"/>
    </row>
    <row r="407" spans="1:7" ht="15.75" thickBot="1">
      <c r="A407" s="8" t="s">
        <v>59</v>
      </c>
      <c r="B407" s="3"/>
      <c r="C407" s="30">
        <f t="shared" si="6"/>
        <v>0</v>
      </c>
      <c r="D407" s="4"/>
      <c r="E407" s="14"/>
      <c r="F407" s="38"/>
      <c r="G407" s="38"/>
    </row>
    <row r="408" spans="1:7" ht="15.75" thickBot="1">
      <c r="A408" s="8" t="s">
        <v>60</v>
      </c>
      <c r="B408" s="3"/>
      <c r="C408" s="30">
        <f t="shared" si="6"/>
        <v>0</v>
      </c>
      <c r="D408" s="4"/>
      <c r="E408" s="14"/>
      <c r="F408" s="38"/>
      <c r="G408" s="38"/>
    </row>
    <row r="409" spans="1:7" ht="15.75" thickBot="1">
      <c r="A409" s="8" t="s">
        <v>61</v>
      </c>
      <c r="B409" s="3"/>
      <c r="C409" s="30">
        <f t="shared" si="6"/>
        <v>0</v>
      </c>
      <c r="D409" s="4"/>
      <c r="E409" s="14"/>
      <c r="F409" s="38"/>
      <c r="G409" s="38"/>
    </row>
    <row r="410" spans="1:7" ht="15.75" thickBot="1">
      <c r="A410" s="8" t="s">
        <v>62</v>
      </c>
      <c r="B410" s="3"/>
      <c r="C410" s="30">
        <f t="shared" si="6"/>
        <v>0</v>
      </c>
      <c r="D410" s="4"/>
      <c r="E410" s="14"/>
      <c r="F410" s="38"/>
      <c r="G410" s="38"/>
    </row>
    <row r="411" spans="1:7" ht="15.75" thickBot="1">
      <c r="A411" s="8" t="s">
        <v>63</v>
      </c>
      <c r="B411" s="3"/>
      <c r="C411" s="30">
        <f t="shared" si="6"/>
        <v>0</v>
      </c>
      <c r="D411" s="4"/>
      <c r="E411" s="14"/>
      <c r="F411" s="38"/>
      <c r="G411" s="38"/>
    </row>
    <row r="412" spans="1:7" ht="15.75" thickBot="1">
      <c r="A412" s="3" t="s">
        <v>11</v>
      </c>
      <c r="B412" s="3"/>
      <c r="C412" s="30">
        <f t="shared" si="6"/>
        <v>0</v>
      </c>
      <c r="D412" s="4"/>
      <c r="E412" s="14"/>
      <c r="F412" s="38"/>
      <c r="G412" s="38"/>
    </row>
    <row r="413" spans="1:7" ht="15.75" thickBot="1">
      <c r="A413" s="3" t="s">
        <v>12</v>
      </c>
      <c r="B413" s="3"/>
      <c r="C413" s="30">
        <f t="shared" si="6"/>
        <v>0</v>
      </c>
      <c r="D413" s="4"/>
      <c r="E413" s="14"/>
      <c r="F413" s="38"/>
      <c r="G413" s="38"/>
    </row>
    <row r="414" spans="1:7" ht="15.75" thickBot="1">
      <c r="A414" s="3" t="s">
        <v>13</v>
      </c>
      <c r="B414" s="3"/>
      <c r="C414" s="30">
        <f t="shared" si="6"/>
        <v>0</v>
      </c>
      <c r="D414" s="4"/>
      <c r="E414" s="14"/>
      <c r="F414" s="38"/>
      <c r="G414" s="38"/>
    </row>
    <row r="415" spans="1:7" ht="15.75" thickBot="1">
      <c r="A415" s="3" t="s">
        <v>14</v>
      </c>
      <c r="B415" s="3"/>
      <c r="C415" s="30">
        <f t="shared" si="6"/>
        <v>0</v>
      </c>
      <c r="D415" s="4"/>
      <c r="E415" s="14"/>
      <c r="F415" s="38"/>
      <c r="G415" s="38"/>
    </row>
    <row r="416" spans="1:7" ht="15.75" thickBot="1">
      <c r="A416" s="3" t="s">
        <v>15</v>
      </c>
      <c r="B416" s="3"/>
      <c r="C416" s="30">
        <f t="shared" si="6"/>
        <v>0</v>
      </c>
      <c r="D416" s="4"/>
      <c r="E416" s="14"/>
      <c r="F416" s="38"/>
      <c r="G416" s="38"/>
    </row>
    <row r="417" spans="1:7" ht="15.75" thickBot="1">
      <c r="A417" s="3" t="s">
        <v>16</v>
      </c>
      <c r="B417" s="3"/>
      <c r="C417" s="30">
        <f t="shared" si="6"/>
        <v>0</v>
      </c>
      <c r="D417" s="4"/>
      <c r="E417" s="14"/>
      <c r="F417" s="38"/>
      <c r="G417" s="38"/>
    </row>
    <row r="418" spans="1:7" ht="15.75" thickBot="1">
      <c r="A418" s="3" t="s">
        <v>17</v>
      </c>
      <c r="B418" s="3"/>
      <c r="C418" s="30">
        <f t="shared" si="6"/>
        <v>0</v>
      </c>
      <c r="D418" s="4"/>
      <c r="E418" s="14"/>
      <c r="F418" s="38"/>
      <c r="G418" s="38"/>
    </row>
    <row r="419" spans="1:7" ht="15.75" thickBot="1">
      <c r="A419" s="3" t="s">
        <v>18</v>
      </c>
      <c r="B419" s="3"/>
      <c r="C419" s="30">
        <f t="shared" si="6"/>
        <v>0</v>
      </c>
      <c r="D419" s="4"/>
      <c r="E419" s="14"/>
      <c r="F419" s="38"/>
      <c r="G419" s="38"/>
    </row>
    <row r="420" spans="1:7" ht="15.75" thickBot="1">
      <c r="A420" s="3" t="s">
        <v>19</v>
      </c>
      <c r="B420" s="3"/>
      <c r="C420" s="30">
        <f t="shared" si="6"/>
        <v>0</v>
      </c>
      <c r="D420" s="4"/>
      <c r="E420" s="14"/>
      <c r="F420" s="38"/>
      <c r="G420" s="38"/>
    </row>
    <row r="421" spans="1:7" ht="15.75" thickBot="1">
      <c r="A421" s="3" t="s">
        <v>20</v>
      </c>
      <c r="B421" s="3"/>
      <c r="C421" s="30">
        <f t="shared" si="6"/>
        <v>0</v>
      </c>
      <c r="D421" s="4"/>
      <c r="E421" s="14"/>
      <c r="F421" s="38"/>
      <c r="G421" s="38"/>
    </row>
    <row r="422" spans="1:7" ht="15.75" thickBot="1">
      <c r="A422" s="3" t="s">
        <v>21</v>
      </c>
      <c r="B422" s="3"/>
      <c r="C422" s="30">
        <f t="shared" si="6"/>
        <v>0</v>
      </c>
      <c r="D422" s="4"/>
      <c r="E422" s="14"/>
      <c r="F422" s="38"/>
      <c r="G422" s="38"/>
    </row>
    <row r="423" spans="1:7" ht="15.75" thickBot="1">
      <c r="A423" s="3" t="s">
        <v>22</v>
      </c>
      <c r="B423" s="3"/>
      <c r="C423" s="30">
        <f t="shared" si="6"/>
        <v>0</v>
      </c>
      <c r="D423" s="4"/>
      <c r="E423" s="14"/>
      <c r="F423" s="38"/>
      <c r="G423" s="38"/>
    </row>
    <row r="424" spans="1:7" ht="15.75" thickBot="1">
      <c r="A424" s="3" t="s">
        <v>23</v>
      </c>
      <c r="B424" s="3"/>
      <c r="C424" s="30">
        <f t="shared" si="6"/>
        <v>0</v>
      </c>
      <c r="D424" s="4"/>
      <c r="E424" s="14"/>
      <c r="F424" s="38"/>
      <c r="G424" s="38"/>
    </row>
    <row r="425" spans="1:7" ht="15.75" thickBot="1">
      <c r="A425" s="3" t="s">
        <v>24</v>
      </c>
      <c r="B425" s="3"/>
      <c r="C425" s="30">
        <f t="shared" si="6"/>
        <v>0</v>
      </c>
      <c r="D425" s="4"/>
      <c r="E425" s="14"/>
      <c r="F425" s="38"/>
      <c r="G425" s="38"/>
    </row>
    <row r="426" spans="1:7" ht="15.75" thickBot="1">
      <c r="A426" s="3" t="s">
        <v>25</v>
      </c>
      <c r="B426" s="3"/>
      <c r="C426" s="30">
        <f t="shared" si="6"/>
        <v>0</v>
      </c>
      <c r="D426" s="4"/>
      <c r="E426" s="14"/>
      <c r="F426" s="38"/>
      <c r="G426" s="38"/>
    </row>
    <row r="427" spans="1:7" ht="15.75" thickBot="1">
      <c r="A427" s="3" t="s">
        <v>26</v>
      </c>
      <c r="B427" s="3"/>
      <c r="C427" s="30">
        <f t="shared" si="6"/>
        <v>0</v>
      </c>
      <c r="D427" s="4"/>
      <c r="E427" s="14"/>
      <c r="F427" s="38"/>
      <c r="G427" s="38"/>
    </row>
    <row r="428" spans="1:7" ht="15.75" thickBot="1">
      <c r="A428" s="3" t="s">
        <v>27</v>
      </c>
      <c r="B428" s="3"/>
      <c r="C428" s="30">
        <f t="shared" si="6"/>
        <v>0</v>
      </c>
      <c r="D428" s="4"/>
      <c r="E428" s="14"/>
      <c r="F428" s="38"/>
      <c r="G428" s="38"/>
    </row>
    <row r="429" spans="1:7" ht="15.75" thickBot="1">
      <c r="A429" s="3" t="s">
        <v>28</v>
      </c>
      <c r="B429" s="3"/>
      <c r="C429" s="30">
        <f t="shared" si="6"/>
        <v>0</v>
      </c>
      <c r="D429" s="4"/>
      <c r="E429" s="14"/>
      <c r="F429" s="38"/>
      <c r="G429" s="38"/>
    </row>
    <row r="430" spans="1:7" ht="15.75" thickBot="1">
      <c r="A430" s="3" t="s">
        <v>29</v>
      </c>
      <c r="B430" s="3"/>
      <c r="C430" s="30">
        <f t="shared" si="6"/>
        <v>0</v>
      </c>
      <c r="D430" s="4"/>
      <c r="E430" s="14"/>
      <c r="F430" s="38"/>
      <c r="G430" s="38"/>
    </row>
    <row r="431" spans="1:7" ht="15.75" thickBot="1">
      <c r="A431" s="3" t="s">
        <v>30</v>
      </c>
      <c r="B431" s="3"/>
      <c r="C431" s="30">
        <f t="shared" si="6"/>
        <v>0</v>
      </c>
      <c r="D431" s="4"/>
      <c r="E431" s="14"/>
      <c r="F431" s="38"/>
      <c r="G431" s="38"/>
    </row>
    <row r="432" spans="1:7" ht="15.75" thickBot="1">
      <c r="A432" s="3" t="s">
        <v>31</v>
      </c>
      <c r="B432" s="3"/>
      <c r="C432" s="30">
        <f t="shared" si="6"/>
        <v>0</v>
      </c>
      <c r="D432" s="4"/>
      <c r="E432" s="14"/>
      <c r="F432" s="38"/>
      <c r="G432" s="38"/>
    </row>
    <row r="433" spans="1:7" ht="15.75" thickBot="1">
      <c r="A433" s="3" t="s">
        <v>32</v>
      </c>
      <c r="B433" s="3"/>
      <c r="C433" s="30">
        <f t="shared" si="6"/>
        <v>0</v>
      </c>
      <c r="D433" s="4"/>
      <c r="E433" s="14"/>
      <c r="F433" s="38"/>
      <c r="G433" s="38"/>
    </row>
    <row r="434" spans="1:7" ht="15.75" thickBot="1">
      <c r="A434" s="3" t="s">
        <v>33</v>
      </c>
      <c r="B434" s="3"/>
      <c r="C434" s="30">
        <f t="shared" si="6"/>
        <v>0</v>
      </c>
      <c r="D434" s="4"/>
      <c r="E434" s="14"/>
      <c r="F434" s="38"/>
      <c r="G434" s="38"/>
    </row>
    <row r="435" spans="1:7" ht="15.75" thickBot="1">
      <c r="A435" s="3" t="s">
        <v>34</v>
      </c>
      <c r="B435" s="3"/>
      <c r="C435" s="30">
        <f t="shared" si="6"/>
        <v>0</v>
      </c>
      <c r="D435" s="4"/>
      <c r="E435" s="14"/>
      <c r="F435" s="38"/>
      <c r="G435" s="38"/>
    </row>
    <row r="436" spans="1:7" ht="15.75" thickBot="1">
      <c r="A436" s="3" t="s">
        <v>35</v>
      </c>
      <c r="B436" s="3"/>
      <c r="C436" s="30">
        <f t="shared" si="6"/>
        <v>0</v>
      </c>
      <c r="D436" s="4"/>
      <c r="E436" s="14"/>
      <c r="F436" s="38"/>
      <c r="G436" s="38"/>
    </row>
    <row r="437" spans="1:7" ht="15.75" thickBot="1">
      <c r="A437" s="3" t="s">
        <v>36</v>
      </c>
      <c r="B437" s="3"/>
      <c r="C437" s="30">
        <f t="shared" si="6"/>
        <v>0</v>
      </c>
      <c r="D437" s="4"/>
      <c r="E437" s="14"/>
      <c r="F437" s="38"/>
      <c r="G437" s="38"/>
    </row>
    <row r="438" spans="1:7" ht="15.75" thickBot="1">
      <c r="A438" s="3" t="s">
        <v>37</v>
      </c>
      <c r="B438" s="3"/>
      <c r="C438" s="30">
        <f t="shared" si="6"/>
        <v>0</v>
      </c>
      <c r="D438" s="4"/>
      <c r="E438" s="14"/>
      <c r="F438" s="38"/>
      <c r="G438" s="38"/>
    </row>
    <row r="439" spans="1:7" ht="15.75" thickBot="1">
      <c r="A439" s="3" t="s">
        <v>38</v>
      </c>
      <c r="B439" s="3"/>
      <c r="C439" s="30">
        <f t="shared" si="6"/>
        <v>0</v>
      </c>
      <c r="D439" s="4"/>
      <c r="E439" s="14"/>
      <c r="F439" s="38"/>
      <c r="G439" s="38"/>
    </row>
    <row r="440" spans="1:7" ht="15.75" thickBot="1">
      <c r="A440" s="3" t="s">
        <v>39</v>
      </c>
      <c r="B440" s="3"/>
      <c r="C440" s="30">
        <f t="shared" si="6"/>
        <v>0</v>
      </c>
      <c r="D440" s="4"/>
      <c r="E440" s="14"/>
      <c r="F440" s="38"/>
      <c r="G440" s="38"/>
    </row>
    <row r="441" spans="1:7" ht="15.75" thickBot="1">
      <c r="A441" s="3" t="s">
        <v>40</v>
      </c>
      <c r="B441" s="3"/>
      <c r="C441" s="30">
        <f t="shared" si="6"/>
        <v>0</v>
      </c>
      <c r="D441" s="4"/>
      <c r="E441" s="14"/>
      <c r="F441" s="38"/>
      <c r="G441" s="38"/>
    </row>
    <row r="442" spans="1:7" ht="15.75" thickBot="1">
      <c r="A442" s="3" t="s">
        <v>41</v>
      </c>
      <c r="B442" s="3"/>
      <c r="C442" s="30">
        <f t="shared" si="6"/>
        <v>0</v>
      </c>
      <c r="D442" s="4"/>
      <c r="E442" s="14"/>
      <c r="F442" s="38"/>
      <c r="G442" s="38"/>
    </row>
    <row r="443" spans="1:7" ht="15.75" thickBot="1">
      <c r="A443" s="3" t="s">
        <v>42</v>
      </c>
      <c r="B443" s="3"/>
      <c r="C443" s="30">
        <f t="shared" si="6"/>
        <v>0</v>
      </c>
      <c r="D443" s="4"/>
      <c r="E443" s="14"/>
      <c r="F443" s="38"/>
      <c r="G443" s="38"/>
    </row>
    <row r="444" spans="1:7" ht="15.75" thickBot="1">
      <c r="A444" s="3" t="s">
        <v>43</v>
      </c>
      <c r="B444" s="3"/>
      <c r="C444" s="30">
        <f t="shared" si="6"/>
        <v>0</v>
      </c>
      <c r="D444" s="4"/>
      <c r="E444" s="14"/>
      <c r="F444" s="38"/>
      <c r="G444" s="38"/>
    </row>
    <row r="445" spans="1:7" ht="15.75" thickBot="1">
      <c r="A445" s="3" t="s">
        <v>44</v>
      </c>
      <c r="B445" s="3"/>
      <c r="C445" s="30">
        <f t="shared" si="6"/>
        <v>0</v>
      </c>
      <c r="D445" s="4"/>
      <c r="E445" s="14"/>
      <c r="F445" s="38"/>
      <c r="G445" s="38"/>
    </row>
    <row r="446" spans="1:7" ht="15.75" thickBot="1">
      <c r="A446" s="3" t="s">
        <v>45</v>
      </c>
      <c r="B446" s="3"/>
      <c r="C446" s="30">
        <f t="shared" si="6"/>
        <v>0</v>
      </c>
      <c r="D446" s="4"/>
      <c r="E446" s="14"/>
      <c r="F446" s="38"/>
      <c r="G446" s="38"/>
    </row>
    <row r="447" spans="1:7" ht="15.75" thickBot="1">
      <c r="A447" s="3" t="s">
        <v>46</v>
      </c>
      <c r="B447" s="3"/>
      <c r="C447" s="30">
        <f t="shared" si="6"/>
        <v>0</v>
      </c>
      <c r="D447" s="4"/>
      <c r="E447" s="14"/>
      <c r="F447" s="38"/>
      <c r="G447" s="38"/>
    </row>
    <row r="448" spans="1:7" ht="15.75" thickBot="1">
      <c r="A448" s="3" t="s">
        <v>47</v>
      </c>
      <c r="B448" s="3"/>
      <c r="C448" s="30">
        <f t="shared" si="6"/>
        <v>0</v>
      </c>
      <c r="D448" s="4"/>
      <c r="E448" s="14"/>
      <c r="F448" s="38"/>
      <c r="G448" s="38"/>
    </row>
    <row r="449" spans="1:7" ht="15.75" thickBot="1">
      <c r="A449" s="3" t="s">
        <v>48</v>
      </c>
      <c r="B449" s="3"/>
      <c r="C449" s="30">
        <f t="shared" si="6"/>
        <v>0</v>
      </c>
      <c r="D449" s="4"/>
      <c r="E449" s="14"/>
      <c r="F449" s="38"/>
      <c r="G449" s="38"/>
    </row>
    <row r="450" spans="1:7" ht="15.75" thickBot="1">
      <c r="A450" s="3" t="s">
        <v>49</v>
      </c>
      <c r="B450" s="3"/>
      <c r="C450" s="30">
        <f t="shared" si="6"/>
        <v>0</v>
      </c>
      <c r="D450" s="4"/>
      <c r="E450" s="14"/>
      <c r="F450" s="38"/>
      <c r="G450" s="38"/>
    </row>
    <row r="451" spans="1:7" ht="15.75" thickBot="1">
      <c r="A451" s="3" t="s">
        <v>50</v>
      </c>
      <c r="B451" s="3"/>
      <c r="C451" s="30">
        <f>B450</f>
        <v>0</v>
      </c>
      <c r="D451" s="4"/>
      <c r="E451" s="14"/>
      <c r="F451" s="38"/>
      <c r="G451" s="38"/>
    </row>
    <row r="452" spans="1:7" ht="15.75" thickBot="1">
      <c r="A452" s="3" t="s">
        <v>51</v>
      </c>
      <c r="B452" s="3"/>
      <c r="C452" s="30">
        <f t="shared" si="6"/>
        <v>0</v>
      </c>
      <c r="D452" s="4"/>
      <c r="E452" s="14"/>
      <c r="F452" s="38"/>
      <c r="G452" s="38"/>
    </row>
    <row r="453" spans="1:7" ht="15.75" thickBot="1">
      <c r="A453" s="3" t="s">
        <v>52</v>
      </c>
      <c r="B453" s="3"/>
      <c r="D453" s="4"/>
      <c r="E453" s="14"/>
      <c r="F453" s="38"/>
      <c r="G453" s="38"/>
    </row>
    <row r="454" spans="1:7" ht="15.75" thickBot="1">
      <c r="A454" s="3" t="s">
        <v>53</v>
      </c>
      <c r="B454" s="3"/>
      <c r="D454" s="4"/>
      <c r="E454" s="14"/>
      <c r="F454" s="38"/>
      <c r="G454" s="38"/>
    </row>
    <row r="455" spans="1:7" ht="15.75" thickBot="1">
      <c r="A455" s="3" t="s">
        <v>53</v>
      </c>
      <c r="B455" s="3"/>
      <c r="D455" s="22"/>
      <c r="E455" s="1"/>
      <c r="F455" s="37"/>
      <c r="G455" s="39"/>
    </row>
    <row r="456" spans="1:7" ht="15.75" thickBot="1">
      <c r="A456" s="3"/>
      <c r="B456" s="3"/>
      <c r="D456" s="4"/>
      <c r="E456" s="15"/>
      <c r="F456" s="26"/>
      <c r="G456" s="26"/>
    </row>
    <row r="457" spans="1:7" ht="60.75" thickBot="1">
      <c r="A457" s="5" t="s">
        <v>55</v>
      </c>
      <c r="B457" s="3"/>
      <c r="D457" s="4"/>
      <c r="E457" s="12"/>
      <c r="F457" s="45"/>
      <c r="G457" s="46"/>
    </row>
    <row r="458" spans="1:7" ht="60.75" thickBot="1">
      <c r="A458" s="5" t="s">
        <v>56</v>
      </c>
      <c r="B458" s="4"/>
      <c r="D458" s="1"/>
      <c r="E458" s="1"/>
      <c r="F458" s="37"/>
      <c r="G458" s="37"/>
    </row>
    <row r="459" spans="1:7" ht="97.5" thickBot="1">
      <c r="A459" s="6" t="s">
        <v>57</v>
      </c>
      <c r="B459" s="4"/>
      <c r="D459" s="1"/>
      <c r="E459" s="1">
        <f>0.6*E457</f>
        <v>0</v>
      </c>
      <c r="F459" s="37">
        <f>0.6*F457</f>
        <v>0</v>
      </c>
      <c r="G459" s="37"/>
    </row>
    <row r="462" spans="1:7">
      <c r="A462" s="16" t="s">
        <v>64</v>
      </c>
      <c r="B462" s="17" t="e">
        <f>AVERAGE(B410:B449)</f>
        <v>#DIV/0!</v>
      </c>
    </row>
    <row r="463" spans="1:7">
      <c r="A463" s="16" t="s">
        <v>65</v>
      </c>
      <c r="B463" s="18" t="e">
        <f>AVERAGE(B415:B444)</f>
        <v>#DIV/0!</v>
      </c>
    </row>
    <row r="464" spans="1:7">
      <c r="A464" s="16" t="s">
        <v>66</v>
      </c>
      <c r="B464" s="18" t="e">
        <f>AVERAGE(B421:B439)</f>
        <v>#DIV/0!</v>
      </c>
    </row>
  </sheetData>
  <mergeCells count="14">
    <mergeCell ref="A2:A4"/>
    <mergeCell ref="B2:D2"/>
    <mergeCell ref="A69:A71"/>
    <mergeCell ref="B69:D69"/>
    <mergeCell ref="A134:A136"/>
    <mergeCell ref="B134:D134"/>
    <mergeCell ref="A401:A403"/>
    <mergeCell ref="B401:D401"/>
    <mergeCell ref="A200:A202"/>
    <mergeCell ref="B200:D200"/>
    <mergeCell ref="A266:A268"/>
    <mergeCell ref="B266:D266"/>
    <mergeCell ref="A333:A335"/>
    <mergeCell ref="B333:D333"/>
  </mergeCells>
  <pageMargins left="0.7" right="0.7" top="0.75" bottom="0.75" header="0.3" footer="0.3"/>
  <pageSetup paperSize="9" orientation="portrait" horizontalDpi="4294967295" verticalDpi="4294967295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Лист15">
    <tabColor rgb="FF92D050"/>
  </sheetPr>
  <dimension ref="A1:J464"/>
  <sheetViews>
    <sheetView topLeftCell="A4" workbookViewId="0">
      <selection activeCell="E19" sqref="E19"/>
    </sheetView>
  </sheetViews>
  <sheetFormatPr defaultColWidth="8.7109375" defaultRowHeight="15"/>
  <cols>
    <col min="3" max="3" width="9.140625"/>
    <col min="5" max="5" width="9.42578125" bestFit="1" customWidth="1"/>
    <col min="6" max="6" width="9.28515625" style="36"/>
    <col min="7" max="7" width="9.42578125" style="36" bestFit="1" customWidth="1"/>
  </cols>
  <sheetData>
    <row r="1" spans="1:7" ht="15.75" thickBot="1">
      <c r="D1" s="13">
        <v>0.1</v>
      </c>
      <c r="E1" s="13">
        <v>0.4</v>
      </c>
      <c r="F1" s="19">
        <f>(1-E64)^(1/3)-1</f>
        <v>-2.8604372992084293E-2</v>
      </c>
    </row>
    <row r="2" spans="1:7" ht="23.25" customHeight="1" thickBot="1">
      <c r="A2" s="522" t="s">
        <v>0</v>
      </c>
      <c r="B2" s="467" t="s">
        <v>1</v>
      </c>
      <c r="C2" s="468"/>
      <c r="D2" s="469"/>
      <c r="F2" s="19">
        <f>(1-F64)^(1/3)-1</f>
        <v>-2.9449662799283849E-2</v>
      </c>
      <c r="G2" s="19"/>
    </row>
    <row r="3" spans="1:7" ht="72.75" thickBot="1">
      <c r="A3" s="523"/>
      <c r="B3" s="1" t="s">
        <v>4</v>
      </c>
      <c r="C3" s="1"/>
      <c r="D3" s="1" t="s">
        <v>80</v>
      </c>
      <c r="E3" s="1" t="s">
        <v>5</v>
      </c>
      <c r="F3" s="37" t="s">
        <v>5</v>
      </c>
      <c r="G3" s="37"/>
    </row>
    <row r="4" spans="1:7" ht="16.5" customHeight="1" thickBot="1">
      <c r="A4" s="524"/>
      <c r="B4" s="1" t="s">
        <v>6</v>
      </c>
      <c r="C4" s="1"/>
      <c r="D4" s="1" t="s">
        <v>7</v>
      </c>
      <c r="E4" s="1" t="s">
        <v>7</v>
      </c>
      <c r="F4" s="37" t="s">
        <v>7</v>
      </c>
      <c r="G4" s="37"/>
    </row>
    <row r="5" spans="1:7">
      <c r="A5" s="50">
        <v>1</v>
      </c>
      <c r="B5" s="51">
        <v>2</v>
      </c>
      <c r="C5" s="51"/>
      <c r="D5" s="51">
        <v>3</v>
      </c>
      <c r="E5" s="51">
        <v>4</v>
      </c>
      <c r="F5" s="52">
        <v>5</v>
      </c>
      <c r="G5" s="52"/>
    </row>
    <row r="6" spans="1:7">
      <c r="A6" s="27" t="s">
        <v>10</v>
      </c>
      <c r="B6" s="28">
        <v>4.5999999999999996</v>
      </c>
      <c r="C6" s="30">
        <v>0</v>
      </c>
      <c r="D6" s="14">
        <v>0</v>
      </c>
      <c r="E6" s="14">
        <v>0</v>
      </c>
      <c r="F6" s="38">
        <v>0</v>
      </c>
      <c r="G6" s="38">
        <v>0</v>
      </c>
    </row>
    <row r="7" spans="1:7">
      <c r="A7" s="27" t="s">
        <v>58</v>
      </c>
      <c r="B7" s="28">
        <v>10.6</v>
      </c>
      <c r="C7" s="30">
        <f>B6</f>
        <v>4.5999999999999996</v>
      </c>
      <c r="D7" s="14">
        <v>0</v>
      </c>
      <c r="E7" s="14">
        <v>0</v>
      </c>
      <c r="F7" s="38">
        <v>0</v>
      </c>
      <c r="G7" s="38">
        <v>6.0377358490566031E-2</v>
      </c>
    </row>
    <row r="8" spans="1:7">
      <c r="A8" s="27" t="s">
        <v>59</v>
      </c>
      <c r="B8" s="28">
        <v>14.2</v>
      </c>
      <c r="C8" s="30">
        <f t="shared" ref="C8:C56" si="0">B7</f>
        <v>10.6</v>
      </c>
      <c r="D8" s="14">
        <v>0</v>
      </c>
      <c r="E8" s="14">
        <v>0</v>
      </c>
      <c r="F8" s="38">
        <v>0</v>
      </c>
      <c r="G8" s="38">
        <v>0.14647887323943659</v>
      </c>
    </row>
    <row r="9" spans="1:7">
      <c r="A9" s="27" t="s">
        <v>60</v>
      </c>
      <c r="B9" s="28">
        <v>16.5</v>
      </c>
      <c r="C9" s="30">
        <f t="shared" si="0"/>
        <v>14.2</v>
      </c>
      <c r="D9" s="14">
        <v>0</v>
      </c>
      <c r="E9" s="14">
        <v>0</v>
      </c>
      <c r="F9" s="38">
        <v>0</v>
      </c>
      <c r="G9" s="38">
        <v>0.18181818181818182</v>
      </c>
    </row>
    <row r="10" spans="1:7">
      <c r="A10" s="27" t="s">
        <v>61</v>
      </c>
      <c r="B10" s="28">
        <v>18.3</v>
      </c>
      <c r="C10" s="30">
        <f t="shared" si="0"/>
        <v>16.5</v>
      </c>
      <c r="D10" s="14">
        <v>0</v>
      </c>
      <c r="E10" s="14">
        <v>0</v>
      </c>
      <c r="F10" s="38">
        <v>0</v>
      </c>
      <c r="G10" s="38">
        <v>0.20327868852459016</v>
      </c>
    </row>
    <row r="11" spans="1:7">
      <c r="A11" s="27" t="s">
        <v>62</v>
      </c>
      <c r="B11" s="28">
        <v>19.899999999999999</v>
      </c>
      <c r="C11" s="30">
        <f t="shared" si="0"/>
        <v>18.3</v>
      </c>
      <c r="D11" s="14">
        <v>0</v>
      </c>
      <c r="E11" s="14">
        <v>0</v>
      </c>
      <c r="F11" s="38">
        <v>0</v>
      </c>
      <c r="G11" s="38">
        <v>0.21909547738693466</v>
      </c>
    </row>
    <row r="12" spans="1:7">
      <c r="A12" s="27" t="s">
        <v>63</v>
      </c>
      <c r="B12" s="28">
        <v>21.4</v>
      </c>
      <c r="C12" s="30">
        <f t="shared" si="0"/>
        <v>19.899999999999999</v>
      </c>
      <c r="D12" s="14">
        <v>0</v>
      </c>
      <c r="E12" s="14">
        <v>0</v>
      </c>
      <c r="F12" s="38">
        <v>0</v>
      </c>
      <c r="G12" s="38">
        <v>0.23177570093457944</v>
      </c>
    </row>
    <row r="13" spans="1:7">
      <c r="A13" s="29" t="s">
        <v>11</v>
      </c>
      <c r="B13" s="28">
        <v>22.7</v>
      </c>
      <c r="C13" s="30">
        <f t="shared" si="0"/>
        <v>21.4</v>
      </c>
      <c r="D13" s="14">
        <v>0</v>
      </c>
      <c r="E13" s="14">
        <v>0</v>
      </c>
      <c r="F13" s="38">
        <v>0</v>
      </c>
      <c r="G13" s="38">
        <v>0.24140969162995599</v>
      </c>
    </row>
    <row r="14" spans="1:7">
      <c r="A14" s="29" t="s">
        <v>12</v>
      </c>
      <c r="B14" s="28">
        <v>23.9</v>
      </c>
      <c r="C14" s="30">
        <f t="shared" si="0"/>
        <v>22.7</v>
      </c>
      <c r="D14" s="14">
        <v>0</v>
      </c>
      <c r="E14" s="14">
        <v>0</v>
      </c>
      <c r="F14" s="38">
        <v>0</v>
      </c>
      <c r="G14" s="38">
        <v>0.24937238493723851</v>
      </c>
    </row>
    <row r="15" spans="1:7">
      <c r="A15" s="29" t="s">
        <v>13</v>
      </c>
      <c r="B15" s="28">
        <v>25.1</v>
      </c>
      <c r="C15" s="30">
        <f t="shared" si="0"/>
        <v>23.9</v>
      </c>
      <c r="D15" s="14">
        <v>0</v>
      </c>
      <c r="E15" s="14">
        <v>0</v>
      </c>
      <c r="F15" s="38">
        <v>0</v>
      </c>
      <c r="G15" s="38">
        <v>0.25657370517928291</v>
      </c>
    </row>
    <row r="16" spans="1:7">
      <c r="A16" s="29" t="s">
        <v>14</v>
      </c>
      <c r="B16" s="28">
        <v>26.1</v>
      </c>
      <c r="C16" s="30">
        <f t="shared" si="0"/>
        <v>25.1</v>
      </c>
      <c r="D16" s="14">
        <v>0</v>
      </c>
      <c r="E16" s="14">
        <v>0</v>
      </c>
      <c r="F16" s="38">
        <v>3.586206896551751E-3</v>
      </c>
      <c r="G16" s="38">
        <v>0.2620689655172414</v>
      </c>
    </row>
    <row r="17" spans="1:7">
      <c r="A17" s="29" t="s">
        <v>15</v>
      </c>
      <c r="B17" s="28">
        <v>27.2</v>
      </c>
      <c r="C17" s="30">
        <f t="shared" si="0"/>
        <v>26.1</v>
      </c>
      <c r="D17" s="14">
        <v>3.5422794117647052E-2</v>
      </c>
      <c r="E17" s="14"/>
      <c r="F17" s="38">
        <v>7.4852941176470778E-3</v>
      </c>
      <c r="G17" s="38">
        <v>0.2676470588235294</v>
      </c>
    </row>
    <row r="18" spans="1:7">
      <c r="A18" s="29" t="s">
        <v>16</v>
      </c>
      <c r="B18" s="28">
        <v>28.3</v>
      </c>
      <c r="C18" s="30">
        <f t="shared" si="0"/>
        <v>27.2</v>
      </c>
      <c r="D18" s="14">
        <v>7.2915194346289791E-2</v>
      </c>
      <c r="E18" s="14"/>
      <c r="F18" s="38">
        <v>1.1081272084805676E-2</v>
      </c>
      <c r="G18" s="38">
        <v>0.27279151943462898</v>
      </c>
    </row>
    <row r="19" spans="1:7">
      <c r="A19" s="29" t="s">
        <v>17</v>
      </c>
      <c r="B19" s="28">
        <v>29.3</v>
      </c>
      <c r="C19" s="30">
        <f t="shared" si="0"/>
        <v>28.3</v>
      </c>
      <c r="D19" s="14">
        <v>0.1045563139931741</v>
      </c>
      <c r="E19" s="14">
        <v>1.0455631399317411E-2</v>
      </c>
      <c r="F19" s="38">
        <v>1.4116040955631421E-2</v>
      </c>
      <c r="G19" s="38">
        <v>0.27713310580204781</v>
      </c>
    </row>
    <row r="20" spans="1:7">
      <c r="A20" s="29" t="s">
        <v>18</v>
      </c>
      <c r="B20" s="28">
        <v>30.3</v>
      </c>
      <c r="C20" s="30">
        <f t="shared" si="0"/>
        <v>29.3</v>
      </c>
      <c r="D20" s="14">
        <v>0.13410891089108914</v>
      </c>
      <c r="E20" s="14">
        <v>1.3410891089108916E-2</v>
      </c>
      <c r="F20" s="38">
        <v>1.6950495049504969E-2</v>
      </c>
      <c r="G20" s="38">
        <v>0.28118811881188122</v>
      </c>
    </row>
    <row r="21" spans="1:7">
      <c r="A21" s="29" t="s">
        <v>19</v>
      </c>
      <c r="B21" s="28">
        <v>31.3</v>
      </c>
      <c r="C21" s="30">
        <f t="shared" si="0"/>
        <v>30.3</v>
      </c>
      <c r="D21" s="14">
        <v>0.16177316293929717</v>
      </c>
      <c r="E21" s="14">
        <v>1.6177316293929718E-2</v>
      </c>
      <c r="F21" s="38">
        <v>1.960383386581472E-2</v>
      </c>
      <c r="G21" s="38">
        <v>0.28498402555910546</v>
      </c>
    </row>
    <row r="22" spans="1:7">
      <c r="A22" s="29" t="s">
        <v>20</v>
      </c>
      <c r="B22" s="28">
        <v>32.299999999999997</v>
      </c>
      <c r="C22" s="30">
        <f t="shared" si="0"/>
        <v>31.3</v>
      </c>
      <c r="D22" s="14">
        <v>0.18772445820433431</v>
      </c>
      <c r="E22" s="14">
        <v>1.8772445820433432E-2</v>
      </c>
      <c r="F22" s="38">
        <v>2.2092879256965958E-2</v>
      </c>
      <c r="G22" s="38">
        <v>0.28854489164086689</v>
      </c>
    </row>
    <row r="23" spans="1:7">
      <c r="A23" s="29" t="s">
        <v>21</v>
      </c>
      <c r="B23" s="28">
        <v>34.1</v>
      </c>
      <c r="C23" s="30">
        <f t="shared" si="0"/>
        <v>32.299999999999997</v>
      </c>
      <c r="D23" s="14">
        <v>0.23060117302052791</v>
      </c>
      <c r="E23" s="14">
        <v>2.3060117302052791E-2</v>
      </c>
      <c r="F23" s="38">
        <v>2.6205278592375387E-2</v>
      </c>
      <c r="G23" s="38">
        <v>0.29442815249266863</v>
      </c>
    </row>
    <row r="24" spans="1:7">
      <c r="A24" s="29" t="s">
        <v>22</v>
      </c>
      <c r="B24" s="30">
        <v>35</v>
      </c>
      <c r="C24" s="30">
        <f t="shared" si="0"/>
        <v>34.1</v>
      </c>
      <c r="D24" s="14">
        <v>0.25038571428571432</v>
      </c>
      <c r="E24" s="14">
        <v>2.5038571428571431E-2</v>
      </c>
      <c r="F24" s="38">
        <v>2.8102857142857159E-2</v>
      </c>
      <c r="G24" s="38">
        <v>0.29714285714285715</v>
      </c>
    </row>
    <row r="25" spans="1:7">
      <c r="A25" s="29" t="s">
        <v>23</v>
      </c>
      <c r="B25" s="28">
        <v>35</v>
      </c>
      <c r="C25" s="30">
        <f t="shared" si="0"/>
        <v>35</v>
      </c>
      <c r="D25" s="14">
        <v>0.25038571428571432</v>
      </c>
      <c r="E25" s="14">
        <v>2.5038571428571431E-2</v>
      </c>
      <c r="F25" s="38">
        <v>2.8102857142857159E-2</v>
      </c>
      <c r="G25" s="38">
        <v>0.29714285714285715</v>
      </c>
    </row>
    <row r="26" spans="1:7">
      <c r="A26" s="29" t="s">
        <v>24</v>
      </c>
      <c r="B26" s="28">
        <v>35.799999999999997</v>
      </c>
      <c r="C26" s="30">
        <f t="shared" si="0"/>
        <v>35</v>
      </c>
      <c r="D26" s="14">
        <v>0.26713687150837984</v>
      </c>
      <c r="E26" s="14">
        <v>2.6713687150837984E-2</v>
      </c>
      <c r="F26" s="38">
        <v>2.9709497206703923E-2</v>
      </c>
      <c r="G26" s="38">
        <v>0.29944134078212292</v>
      </c>
    </row>
    <row r="27" spans="1:7">
      <c r="A27" s="29" t="s">
        <v>25</v>
      </c>
      <c r="B27" s="28">
        <v>36.700000000000003</v>
      </c>
      <c r="C27" s="30">
        <f t="shared" si="0"/>
        <v>35.799999999999997</v>
      </c>
      <c r="D27" s="14">
        <v>0.28510899182561317</v>
      </c>
      <c r="E27" s="14">
        <v>2.8510899182561316E-2</v>
      </c>
      <c r="F27" s="38">
        <v>3.1433242506812009E-2</v>
      </c>
      <c r="G27" s="38">
        <v>0.3019073569482289</v>
      </c>
    </row>
    <row r="28" spans="1:7">
      <c r="A28" s="29" t="s">
        <v>26</v>
      </c>
      <c r="B28" s="28">
        <v>37.6</v>
      </c>
      <c r="C28" s="30">
        <f t="shared" si="0"/>
        <v>36.700000000000003</v>
      </c>
      <c r="D28" s="14">
        <v>0.30222074468085108</v>
      </c>
      <c r="E28" s="14">
        <v>3.022207446808511E-2</v>
      </c>
      <c r="F28" s="38">
        <v>3.3074468085106404E-2</v>
      </c>
      <c r="G28" s="38">
        <v>0.30425531914893617</v>
      </c>
    </row>
    <row r="29" spans="1:7">
      <c r="A29" s="29" t="s">
        <v>27</v>
      </c>
      <c r="B29" s="28">
        <v>38.5</v>
      </c>
      <c r="C29" s="30">
        <f t="shared" si="0"/>
        <v>37.6</v>
      </c>
      <c r="D29" s="14">
        <v>0.31853246753246756</v>
      </c>
      <c r="E29" s="14">
        <v>3.1853246753246751E-2</v>
      </c>
      <c r="F29" s="38">
        <v>3.4638961038961052E-2</v>
      </c>
      <c r="G29" s="38">
        <v>0.30649350649350648</v>
      </c>
    </row>
    <row r="30" spans="1:7">
      <c r="A30" s="29" t="s">
        <v>28</v>
      </c>
      <c r="B30" s="28">
        <v>39.6</v>
      </c>
      <c r="C30" s="30">
        <f t="shared" si="0"/>
        <v>38.5</v>
      </c>
      <c r="D30" s="14">
        <v>0.33746212121212127</v>
      </c>
      <c r="E30" s="14">
        <v>3.3746212121212128E-2</v>
      </c>
      <c r="F30" s="38">
        <v>3.6454545454545476E-2</v>
      </c>
      <c r="G30" s="38">
        <v>0.30909090909090914</v>
      </c>
    </row>
    <row r="31" spans="1:7">
      <c r="A31" s="29" t="s">
        <v>29</v>
      </c>
      <c r="B31" s="28">
        <v>40.700000000000003</v>
      </c>
      <c r="C31" s="30">
        <f t="shared" si="0"/>
        <v>39.6</v>
      </c>
      <c r="D31" s="14">
        <v>0.35536855036855042</v>
      </c>
      <c r="E31" s="14">
        <v>3.5536855036855046E-2</v>
      </c>
      <c r="F31" s="38">
        <v>3.8171990171990196E-2</v>
      </c>
      <c r="G31" s="38">
        <v>0.31154791154791156</v>
      </c>
    </row>
    <row r="32" spans="1:7">
      <c r="A32" s="29" t="s">
        <v>30</v>
      </c>
      <c r="B32" s="28">
        <v>41.8</v>
      </c>
      <c r="C32" s="30">
        <f t="shared" si="0"/>
        <v>40.700000000000003</v>
      </c>
      <c r="D32" s="14">
        <v>0.37233253588516746</v>
      </c>
      <c r="E32" s="14">
        <v>3.7233253588516743E-2</v>
      </c>
      <c r="F32" s="38">
        <v>3.9799043062200973E-2</v>
      </c>
      <c r="G32" s="38">
        <v>0.31387559808612442</v>
      </c>
    </row>
    <row r="33" spans="1:7">
      <c r="A33" s="29" t="s">
        <v>31</v>
      </c>
      <c r="B33" s="28">
        <v>42.9</v>
      </c>
      <c r="C33" s="30">
        <f t="shared" si="0"/>
        <v>41.8</v>
      </c>
      <c r="D33" s="14">
        <v>0.38842657342657344</v>
      </c>
      <c r="E33" s="14">
        <v>3.8842657342657343E-2</v>
      </c>
      <c r="F33" s="38">
        <v>4.8055944055944128E-2</v>
      </c>
      <c r="G33" s="38">
        <v>0.31608391608391612</v>
      </c>
    </row>
    <row r="34" spans="1:7">
      <c r="A34" s="29" t="s">
        <v>32</v>
      </c>
      <c r="B34" s="28">
        <v>44.2</v>
      </c>
      <c r="C34" s="30">
        <f t="shared" si="0"/>
        <v>42.9</v>
      </c>
      <c r="D34" s="14">
        <v>0.40641402714932134</v>
      </c>
      <c r="E34" s="14">
        <v>4.3848416289592795E-2</v>
      </c>
      <c r="F34" s="38">
        <v>5.8407239819004628E-2</v>
      </c>
      <c r="G34" s="38">
        <v>0.31855203619909506</v>
      </c>
    </row>
    <row r="35" spans="1:7">
      <c r="A35" s="29" t="s">
        <v>33</v>
      </c>
      <c r="B35" s="28">
        <v>45.4</v>
      </c>
      <c r="C35" s="30">
        <f t="shared" si="0"/>
        <v>44.2</v>
      </c>
      <c r="D35" s="14">
        <v>0.42210352422907488</v>
      </c>
      <c r="E35" s="14">
        <v>5.3262114537444935E-2</v>
      </c>
      <c r="F35" s="38">
        <v>6.7436123348017685E-2</v>
      </c>
      <c r="G35" s="38">
        <v>0.32070484581497799</v>
      </c>
    </row>
    <row r="36" spans="1:7">
      <c r="A36" s="29" t="s">
        <v>34</v>
      </c>
      <c r="B36" s="28">
        <v>46.7</v>
      </c>
      <c r="C36" s="30">
        <f t="shared" si="0"/>
        <v>45.4</v>
      </c>
      <c r="D36" s="14">
        <v>0.4381905781584583</v>
      </c>
      <c r="E36" s="14">
        <v>6.2914346895074982E-2</v>
      </c>
      <c r="F36" s="38">
        <v>7.6693790149893026E-2</v>
      </c>
      <c r="G36" s="38">
        <v>0.32291220556745182</v>
      </c>
    </row>
    <row r="37" spans="1:7">
      <c r="A37" s="29" t="s">
        <v>35</v>
      </c>
      <c r="B37" s="28">
        <v>48.2</v>
      </c>
      <c r="C37" s="30">
        <f t="shared" si="0"/>
        <v>46.7</v>
      </c>
      <c r="D37" s="14">
        <v>0.45567427385892123</v>
      </c>
      <c r="E37" s="14">
        <v>7.3404564315352736E-2</v>
      </c>
      <c r="F37" s="38">
        <v>8.6755186721991798E-2</v>
      </c>
      <c r="G37" s="38">
        <v>0.32531120331950208</v>
      </c>
    </row>
    <row r="38" spans="1:7">
      <c r="A38" s="29" t="s">
        <v>36</v>
      </c>
      <c r="B38" s="28">
        <v>49.8</v>
      </c>
      <c r="C38" s="30">
        <f t="shared" si="0"/>
        <v>48.2</v>
      </c>
      <c r="D38" s="14">
        <v>0.47316265060240964</v>
      </c>
      <c r="E38" s="14">
        <v>8.3897590361445784E-2</v>
      </c>
      <c r="F38" s="38">
        <v>9.6819277108433799E-2</v>
      </c>
      <c r="G38" s="38">
        <v>0.32771084337349399</v>
      </c>
    </row>
    <row r="39" spans="1:7">
      <c r="A39" s="29" t="s">
        <v>37</v>
      </c>
      <c r="B39" s="28">
        <v>51.4</v>
      </c>
      <c r="C39" s="30">
        <f t="shared" si="0"/>
        <v>49.8</v>
      </c>
      <c r="D39" s="14">
        <v>0.48956225680933851</v>
      </c>
      <c r="E39" s="14">
        <v>9.3737354085603117E-2</v>
      </c>
      <c r="F39" s="38">
        <v>0.10625680933852147</v>
      </c>
      <c r="G39" s="38">
        <v>0.32996108949416336</v>
      </c>
    </row>
    <row r="40" spans="1:7">
      <c r="A40" s="29" t="s">
        <v>38</v>
      </c>
      <c r="B40" s="28">
        <v>53.3</v>
      </c>
      <c r="C40" s="30">
        <f t="shared" si="0"/>
        <v>51.4</v>
      </c>
      <c r="D40" s="14">
        <v>0.50775797373358345</v>
      </c>
      <c r="E40" s="14">
        <v>0.10465478424015008</v>
      </c>
      <c r="F40" s="38">
        <v>0.11672795497185748</v>
      </c>
      <c r="G40" s="38">
        <v>0.33245778611632271</v>
      </c>
    </row>
    <row r="41" spans="1:7">
      <c r="A41" s="29" t="s">
        <v>39</v>
      </c>
      <c r="B41" s="28">
        <v>55.1</v>
      </c>
      <c r="C41" s="30">
        <f t="shared" si="0"/>
        <v>53.3</v>
      </c>
      <c r="D41" s="14">
        <v>0.52383847549909257</v>
      </c>
      <c r="E41" s="14">
        <v>0.11430308529945556</v>
      </c>
      <c r="F41" s="38">
        <v>0.12598185117967339</v>
      </c>
      <c r="G41" s="38">
        <v>0.33466424682395646</v>
      </c>
    </row>
    <row r="42" spans="1:7">
      <c r="A42" s="29" t="s">
        <v>40</v>
      </c>
      <c r="B42" s="28">
        <v>57</v>
      </c>
      <c r="C42" s="30">
        <f t="shared" si="0"/>
        <v>55.1</v>
      </c>
      <c r="D42" s="14">
        <v>0.53971052631578953</v>
      </c>
      <c r="E42" s="14">
        <v>0.12382631578947371</v>
      </c>
      <c r="F42" s="38">
        <v>0.1351157894736843</v>
      </c>
      <c r="G42" s="38">
        <v>0.33684210526315789</v>
      </c>
    </row>
    <row r="43" spans="1:7">
      <c r="A43" s="29" t="s">
        <v>41</v>
      </c>
      <c r="B43" s="28">
        <v>59.1</v>
      </c>
      <c r="C43" s="30">
        <f t="shared" si="0"/>
        <v>57</v>
      </c>
      <c r="D43" s="14">
        <v>0.55606598984771571</v>
      </c>
      <c r="E43" s="14">
        <v>0.13363959390862945</v>
      </c>
      <c r="F43" s="38">
        <v>0.14452791878172597</v>
      </c>
      <c r="G43" s="38">
        <v>0.33908629441624361</v>
      </c>
    </row>
    <row r="44" spans="1:7">
      <c r="A44" s="29" t="s">
        <v>42</v>
      </c>
      <c r="B44" s="28">
        <v>61.4</v>
      </c>
      <c r="C44" s="30">
        <f t="shared" si="0"/>
        <v>59.1</v>
      </c>
      <c r="D44" s="14">
        <v>0.57269543973941373</v>
      </c>
      <c r="E44" s="14">
        <v>0.1436172638436482</v>
      </c>
      <c r="F44" s="38">
        <v>0.15409771986970688</v>
      </c>
      <c r="G44" s="38">
        <v>0.34136807817589576</v>
      </c>
    </row>
    <row r="45" spans="1:7">
      <c r="A45" s="29" t="s">
        <v>43</v>
      </c>
      <c r="B45" s="28">
        <v>64.099999999999994</v>
      </c>
      <c r="C45" s="30">
        <f t="shared" si="0"/>
        <v>61.4</v>
      </c>
      <c r="D45" s="14">
        <v>0.59069422776911074</v>
      </c>
      <c r="E45" s="14">
        <v>0.15441653666146646</v>
      </c>
      <c r="F45" s="38">
        <v>0.16445553822152892</v>
      </c>
      <c r="G45" s="38">
        <v>0.3438377535101404</v>
      </c>
    </row>
    <row r="46" spans="1:7">
      <c r="A46" s="29" t="s">
        <v>44</v>
      </c>
      <c r="B46" s="28">
        <v>67</v>
      </c>
      <c r="C46" s="30">
        <f t="shared" si="0"/>
        <v>64.099999999999994</v>
      </c>
      <c r="D46" s="14">
        <v>0.60841044776119402</v>
      </c>
      <c r="E46" s="14">
        <v>0.16504626865671643</v>
      </c>
      <c r="F46" s="38">
        <v>0.17465074626865679</v>
      </c>
      <c r="G46" s="38">
        <v>0.34626865671641788</v>
      </c>
    </row>
    <row r="47" spans="1:7">
      <c r="A47" s="29" t="s">
        <v>45</v>
      </c>
      <c r="B47" s="28">
        <v>70.599999999999994</v>
      </c>
      <c r="C47" s="30">
        <f t="shared" si="0"/>
        <v>67</v>
      </c>
      <c r="D47" s="14">
        <v>0.62837818696883851</v>
      </c>
      <c r="E47" s="14">
        <v>0.17702691218130312</v>
      </c>
      <c r="F47" s="38">
        <v>0.18614164305949013</v>
      </c>
      <c r="G47" s="38">
        <v>0.34900849858356942</v>
      </c>
    </row>
    <row r="48" spans="1:7">
      <c r="A48" s="29" t="s">
        <v>46</v>
      </c>
      <c r="B48" s="28">
        <v>74.400000000000006</v>
      </c>
      <c r="C48" s="30">
        <f t="shared" si="0"/>
        <v>70.599999999999994</v>
      </c>
      <c r="D48" s="14">
        <v>0.64735887096774192</v>
      </c>
      <c r="E48" s="14">
        <v>0.18841532258064519</v>
      </c>
      <c r="F48" s="38">
        <v>0.19706451612903234</v>
      </c>
      <c r="G48" s="38">
        <v>0.35161290322580646</v>
      </c>
    </row>
    <row r="49" spans="1:10">
      <c r="A49" s="29" t="s">
        <v>47</v>
      </c>
      <c r="B49" s="28">
        <v>79.5</v>
      </c>
      <c r="C49" s="30">
        <f t="shared" si="0"/>
        <v>74.400000000000006</v>
      </c>
      <c r="D49" s="14">
        <v>0.66998113207547172</v>
      </c>
      <c r="E49" s="14">
        <v>0.20198867924528302</v>
      </c>
      <c r="F49" s="38">
        <v>0.21008301886792455</v>
      </c>
      <c r="G49" s="38">
        <v>0.35471698113207545</v>
      </c>
    </row>
    <row r="50" spans="1:10">
      <c r="A50" s="29" t="s">
        <v>48</v>
      </c>
      <c r="B50" s="28">
        <v>86.4</v>
      </c>
      <c r="C50" s="30">
        <f t="shared" si="0"/>
        <v>79.5</v>
      </c>
      <c r="D50" s="14">
        <v>0.69633680555555555</v>
      </c>
      <c r="E50" s="14">
        <v>0.21780208333333334</v>
      </c>
      <c r="F50" s="38">
        <v>0.22525000000000003</v>
      </c>
      <c r="G50" s="38">
        <v>0.35833333333333334</v>
      </c>
    </row>
    <row r="51" spans="1:10">
      <c r="A51" s="29" t="s">
        <v>49</v>
      </c>
      <c r="B51" s="28">
        <v>95.4</v>
      </c>
      <c r="C51" s="30">
        <f t="shared" si="0"/>
        <v>86.4</v>
      </c>
      <c r="D51" s="14">
        <v>0.72498427672955967</v>
      </c>
      <c r="E51" s="14">
        <v>0.23499056603773585</v>
      </c>
      <c r="F51" s="38">
        <v>0.24173584905660381</v>
      </c>
      <c r="G51" s="38">
        <v>0.3622641509433962</v>
      </c>
    </row>
    <row r="52" spans="1:10">
      <c r="A52" s="29" t="s">
        <v>50</v>
      </c>
      <c r="B52" s="28">
        <v>111.9</v>
      </c>
      <c r="C52" s="30">
        <f t="shared" si="0"/>
        <v>95.4</v>
      </c>
      <c r="D52" s="14">
        <v>0.76553619302949061</v>
      </c>
      <c r="E52" s="14">
        <v>0.25932171581769436</v>
      </c>
      <c r="F52" s="38">
        <v>0.26507238605898126</v>
      </c>
      <c r="G52" s="38">
        <v>0.367828418230563</v>
      </c>
    </row>
    <row r="53" spans="1:10">
      <c r="A53" s="29" t="s">
        <v>51</v>
      </c>
      <c r="B53" s="28">
        <v>143.1</v>
      </c>
      <c r="C53" s="30">
        <f t="shared" si="0"/>
        <v>111.9</v>
      </c>
      <c r="D53" s="14">
        <v>0.81665618448637312</v>
      </c>
      <c r="E53" s="14">
        <v>0.28999371069182389</v>
      </c>
      <c r="F53" s="38">
        <v>0.29449056603773582</v>
      </c>
      <c r="G53" s="38">
        <v>0.37484276729559751</v>
      </c>
    </row>
    <row r="54" spans="1:10">
      <c r="A54" s="29" t="s">
        <v>52</v>
      </c>
      <c r="B54" s="28">
        <v>226.9</v>
      </c>
      <c r="C54" s="30">
        <f t="shared" si="0"/>
        <v>143.1</v>
      </c>
      <c r="D54" s="14">
        <v>0.88436976641692377</v>
      </c>
      <c r="E54" s="14">
        <v>0.33062185985015424</v>
      </c>
      <c r="F54" s="38">
        <v>0.33345791097399735</v>
      </c>
      <c r="G54" s="38">
        <v>0.3841339797267519</v>
      </c>
    </row>
    <row r="55" spans="1:10">
      <c r="A55" s="29" t="s">
        <v>53</v>
      </c>
      <c r="B55" s="28">
        <v>366</v>
      </c>
      <c r="C55" s="30">
        <f>B54</f>
        <v>226.9</v>
      </c>
      <c r="D55" s="14">
        <v>0.9283155737704919</v>
      </c>
      <c r="E55" s="14">
        <v>0.35698934426229506</v>
      </c>
      <c r="F55" s="38">
        <v>0.35874754098360656</v>
      </c>
      <c r="G55" s="38">
        <v>0.39016393442622954</v>
      </c>
    </row>
    <row r="56" spans="1:10">
      <c r="A56" s="29" t="s">
        <v>53</v>
      </c>
      <c r="B56" s="31" t="s">
        <v>74</v>
      </c>
      <c r="C56" s="30">
        <f t="shared" si="0"/>
        <v>366</v>
      </c>
      <c r="D56" s="11">
        <v>49.1</v>
      </c>
      <c r="E56" s="11"/>
      <c r="F56" s="39"/>
      <c r="G56" s="39"/>
    </row>
    <row r="57" spans="1:10" ht="60">
      <c r="A57" s="33" t="s">
        <v>56</v>
      </c>
      <c r="C57" s="31"/>
      <c r="D57" s="11"/>
      <c r="E57" s="159">
        <v>43.727499999999999</v>
      </c>
      <c r="F57" s="41">
        <v>41.939999999999991</v>
      </c>
      <c r="G57" s="42">
        <v>10</v>
      </c>
      <c r="I57" s="31"/>
      <c r="J57" s="31"/>
    </row>
    <row r="58" spans="1:10" ht="96.75">
      <c r="A58" s="35" t="s">
        <v>57</v>
      </c>
      <c r="B58" s="11"/>
      <c r="C58" s="31"/>
      <c r="D58" s="11"/>
      <c r="E58" s="159">
        <v>26.236499999999999</v>
      </c>
      <c r="F58" s="39">
        <v>25.163999999999994</v>
      </c>
      <c r="G58" s="39">
        <v>6</v>
      </c>
      <c r="I58" s="29"/>
    </row>
    <row r="59" spans="1:10" ht="60.75" thickBot="1">
      <c r="A59" s="5" t="s">
        <v>56</v>
      </c>
      <c r="B59">
        <f>J57</f>
        <v>0</v>
      </c>
      <c r="C59" s="31"/>
    </row>
    <row r="60" spans="1:10">
      <c r="A60" s="16" t="s">
        <v>64</v>
      </c>
      <c r="B60" s="17">
        <f>AVERAGE(B11:B50)</f>
        <v>43.727499999999999</v>
      </c>
      <c r="C60" s="29"/>
    </row>
    <row r="61" spans="1:10">
      <c r="A61" s="16" t="s">
        <v>65</v>
      </c>
      <c r="B61" s="18">
        <f>AVERAGE(B16:B45)</f>
        <v>41.939999999999991</v>
      </c>
    </row>
    <row r="62" spans="1:10">
      <c r="A62" s="16" t="s">
        <v>66</v>
      </c>
      <c r="B62" s="18">
        <f>AVERAGE(B22:B40)</f>
        <v>41.526315789473685</v>
      </c>
    </row>
    <row r="63" spans="1:10">
      <c r="C63" s="17"/>
    </row>
    <row r="64" spans="1:10">
      <c r="A64" s="29"/>
      <c r="B64" s="31"/>
      <c r="C64" s="18"/>
      <c r="D64" s="11"/>
      <c r="E64" s="32">
        <f>AVERAGE(E6:E55)</f>
        <v>8.3381892901880819E-2</v>
      </c>
      <c r="F64" s="40">
        <f>AVERAGE(F6:F55)</f>
        <v>8.5772681662146869E-2</v>
      </c>
      <c r="G64" s="40"/>
    </row>
    <row r="65" spans="1:7">
      <c r="C65" s="18"/>
    </row>
    <row r="69" spans="1:7" ht="15" customHeight="1">
      <c r="A69" s="473" t="s">
        <v>0</v>
      </c>
      <c r="B69" s="473" t="s">
        <v>2</v>
      </c>
      <c r="C69" s="473"/>
      <c r="D69" s="473"/>
      <c r="E69" s="49">
        <f>(1-E124)^(1/3)-1</f>
        <v>-2.4596961729693723E-2</v>
      </c>
      <c r="F69" s="49">
        <f>(1-F124)^(1/3)-1</f>
        <v>-2.559310137273707E-2</v>
      </c>
      <c r="G69" s="49"/>
    </row>
    <row r="70" spans="1:7" ht="72">
      <c r="A70" s="473"/>
      <c r="B70" s="11" t="s">
        <v>4</v>
      </c>
      <c r="C70" s="11"/>
      <c r="D70" s="11" t="s">
        <v>80</v>
      </c>
      <c r="E70" s="11" t="s">
        <v>5</v>
      </c>
      <c r="F70" s="39" t="s">
        <v>5</v>
      </c>
      <c r="G70" s="39"/>
    </row>
    <row r="71" spans="1:7" ht="24">
      <c r="A71" s="473"/>
      <c r="B71" s="11" t="s">
        <v>8</v>
      </c>
      <c r="C71" s="11"/>
      <c r="D71" s="11" t="s">
        <v>7</v>
      </c>
      <c r="E71" s="11" t="s">
        <v>7</v>
      </c>
      <c r="F71" s="39" t="s">
        <v>7</v>
      </c>
      <c r="G71" s="39"/>
    </row>
    <row r="72" spans="1:7">
      <c r="A72" s="50">
        <v>1</v>
      </c>
      <c r="B72" s="51">
        <v>2</v>
      </c>
      <c r="C72" s="51"/>
      <c r="D72" s="51">
        <v>3</v>
      </c>
      <c r="E72" s="51">
        <v>4</v>
      </c>
      <c r="F72" s="52">
        <v>5</v>
      </c>
      <c r="G72" s="52"/>
    </row>
    <row r="73" spans="1:7">
      <c r="A73" s="27" t="s">
        <v>10</v>
      </c>
      <c r="B73" s="53">
        <v>9.9</v>
      </c>
      <c r="C73" s="253">
        <v>0</v>
      </c>
      <c r="D73" s="14">
        <v>0</v>
      </c>
      <c r="E73" s="14">
        <v>0</v>
      </c>
      <c r="F73" s="38">
        <v>0</v>
      </c>
      <c r="G73" s="38">
        <v>0</v>
      </c>
    </row>
    <row r="74" spans="1:7">
      <c r="A74" s="27" t="s">
        <v>58</v>
      </c>
      <c r="B74" s="53">
        <v>17.7</v>
      </c>
      <c r="C74" s="30">
        <f>B73</f>
        <v>9.9</v>
      </c>
      <c r="D74" s="14">
        <v>0</v>
      </c>
      <c r="E74" s="14">
        <v>0</v>
      </c>
      <c r="F74" s="38">
        <v>0</v>
      </c>
      <c r="G74" s="38">
        <v>0</v>
      </c>
    </row>
    <row r="75" spans="1:7">
      <c r="A75" s="27" t="s">
        <v>59</v>
      </c>
      <c r="B75" s="53">
        <v>20.7</v>
      </c>
      <c r="C75" s="30">
        <f t="shared" ref="C75:C123" si="1">B74</f>
        <v>17.7</v>
      </c>
      <c r="D75" s="14">
        <v>0</v>
      </c>
      <c r="E75" s="14">
        <v>0</v>
      </c>
      <c r="F75" s="38">
        <v>0</v>
      </c>
      <c r="G75" s="38">
        <v>1.27536231884058E-2</v>
      </c>
    </row>
    <row r="76" spans="1:7">
      <c r="A76" s="27" t="s">
        <v>60</v>
      </c>
      <c r="B76" s="53">
        <v>23</v>
      </c>
      <c r="C76" s="30">
        <f t="shared" si="1"/>
        <v>20.7</v>
      </c>
      <c r="D76" s="14">
        <v>0</v>
      </c>
      <c r="E76" s="14">
        <v>0</v>
      </c>
      <c r="F76" s="38">
        <v>0</v>
      </c>
      <c r="G76" s="38">
        <v>2.1478260869565224E-2</v>
      </c>
    </row>
    <row r="77" spans="1:7">
      <c r="A77" s="27" t="s">
        <v>61</v>
      </c>
      <c r="B77" s="53">
        <v>25.9</v>
      </c>
      <c r="C77" s="30">
        <f t="shared" si="1"/>
        <v>23</v>
      </c>
      <c r="D77" s="14">
        <v>0</v>
      </c>
      <c r="E77" s="14">
        <v>0</v>
      </c>
      <c r="F77" s="38">
        <v>0</v>
      </c>
      <c r="G77" s="38">
        <v>3.0270270270270273E-2</v>
      </c>
    </row>
    <row r="78" spans="1:7">
      <c r="A78" s="27" t="s">
        <v>62</v>
      </c>
      <c r="B78" s="53">
        <v>28.1</v>
      </c>
      <c r="C78" s="30">
        <f t="shared" si="1"/>
        <v>25.9</v>
      </c>
      <c r="D78" s="14">
        <v>0</v>
      </c>
      <c r="E78" s="14">
        <v>0</v>
      </c>
      <c r="F78" s="38">
        <v>0</v>
      </c>
      <c r="G78" s="38">
        <v>3.5729537366548048E-2</v>
      </c>
    </row>
    <row r="79" spans="1:7">
      <c r="A79" s="27" t="s">
        <v>63</v>
      </c>
      <c r="B79" s="53">
        <v>30</v>
      </c>
      <c r="C79" s="30">
        <f t="shared" si="1"/>
        <v>28.1</v>
      </c>
      <c r="D79" s="14">
        <v>0</v>
      </c>
      <c r="E79" s="14">
        <v>0</v>
      </c>
      <c r="F79" s="38">
        <v>0</v>
      </c>
      <c r="G79" s="38">
        <v>3.9800000000000009E-2</v>
      </c>
    </row>
    <row r="80" spans="1:7">
      <c r="A80" s="29" t="s">
        <v>11</v>
      </c>
      <c r="B80" s="53">
        <v>31.7</v>
      </c>
      <c r="C80" s="30">
        <f t="shared" si="1"/>
        <v>30</v>
      </c>
      <c r="D80" s="14">
        <v>0</v>
      </c>
      <c r="E80" s="14">
        <v>0</v>
      </c>
      <c r="F80" s="38">
        <v>0</v>
      </c>
      <c r="G80" s="38">
        <v>5.8170347003154564E-2</v>
      </c>
    </row>
    <row r="81" spans="1:7">
      <c r="A81" s="29" t="s">
        <v>12</v>
      </c>
      <c r="B81" s="53">
        <v>33.200000000000003</v>
      </c>
      <c r="C81" s="30">
        <f t="shared" si="1"/>
        <v>31.7</v>
      </c>
      <c r="D81" s="14">
        <v>0</v>
      </c>
      <c r="E81" s="14">
        <v>0</v>
      </c>
      <c r="F81" s="38">
        <v>0</v>
      </c>
      <c r="G81" s="38">
        <v>7.3614457831325322E-2</v>
      </c>
    </row>
    <row r="82" spans="1:7">
      <c r="A82" s="29" t="s">
        <v>13</v>
      </c>
      <c r="B82" s="53">
        <v>34.700000000000003</v>
      </c>
      <c r="C82" s="30">
        <f t="shared" si="1"/>
        <v>33.200000000000003</v>
      </c>
      <c r="D82" s="14">
        <v>2.4221902017291436E-2</v>
      </c>
      <c r="E82" s="14"/>
      <c r="F82" s="38">
        <v>4.2305475504323068E-3</v>
      </c>
      <c r="G82" s="38">
        <v>8.7723342939481294E-2</v>
      </c>
    </row>
    <row r="83" spans="1:7">
      <c r="A83" s="29" t="s">
        <v>14</v>
      </c>
      <c r="B83" s="53">
        <v>36.200000000000003</v>
      </c>
      <c r="C83" s="30">
        <f t="shared" si="1"/>
        <v>34.700000000000003</v>
      </c>
      <c r="D83" s="14">
        <v>6.4654696132597042E-2</v>
      </c>
      <c r="E83" s="14"/>
      <c r="F83" s="38">
        <v>8.198895027624338E-3</v>
      </c>
      <c r="G83" s="38">
        <v>0.10066298342541438</v>
      </c>
    </row>
    <row r="84" spans="1:7">
      <c r="A84" s="29" t="s">
        <v>15</v>
      </c>
      <c r="B84" s="53">
        <v>37.799999999999997</v>
      </c>
      <c r="C84" s="30">
        <f t="shared" si="1"/>
        <v>36.200000000000003</v>
      </c>
      <c r="D84" s="14">
        <v>0.10424603174603195</v>
      </c>
      <c r="E84" s="14">
        <v>1.0424603174603194E-2</v>
      </c>
      <c r="F84" s="38">
        <v>1.2084656084656099E-2</v>
      </c>
      <c r="G84" s="38">
        <v>0.11333333333333331</v>
      </c>
    </row>
    <row r="85" spans="1:7">
      <c r="A85" s="29" t="s">
        <v>16</v>
      </c>
      <c r="B85" s="53">
        <v>39.200000000000003</v>
      </c>
      <c r="C85" s="30">
        <f t="shared" si="1"/>
        <v>37.799999999999997</v>
      </c>
      <c r="D85" s="14">
        <v>0.13623724489795949</v>
      </c>
      <c r="E85" s="14">
        <v>1.3623724489795952E-2</v>
      </c>
      <c r="F85" s="38">
        <v>1.5224489795918394E-2</v>
      </c>
      <c r="G85" s="38">
        <v>0.1235714285714286</v>
      </c>
    </row>
    <row r="86" spans="1:7">
      <c r="A86" s="29" t="s">
        <v>17</v>
      </c>
      <c r="B86" s="53">
        <v>40.6</v>
      </c>
      <c r="C86" s="30">
        <f t="shared" si="1"/>
        <v>39.200000000000003</v>
      </c>
      <c r="D86" s="14">
        <v>0.166022167487685</v>
      </c>
      <c r="E86" s="14">
        <v>1.6602216748768502E-2</v>
      </c>
      <c r="F86" s="38">
        <v>1.814778325123155E-2</v>
      </c>
      <c r="G86" s="38">
        <v>0.1331034482758621</v>
      </c>
    </row>
    <row r="87" spans="1:7">
      <c r="A87" s="29" t="s">
        <v>18</v>
      </c>
      <c r="B87" s="53">
        <v>42</v>
      </c>
      <c r="C87" s="30">
        <f t="shared" si="1"/>
        <v>40.6</v>
      </c>
      <c r="D87" s="14">
        <v>0.19382142857142881</v>
      </c>
      <c r="E87" s="14">
        <v>1.9382142857142882E-2</v>
      </c>
      <c r="F87" s="38">
        <v>2.0876190476190496E-2</v>
      </c>
      <c r="G87" s="38">
        <v>0.14200000000000002</v>
      </c>
    </row>
    <row r="88" spans="1:7">
      <c r="A88" s="29" t="s">
        <v>19</v>
      </c>
      <c r="B88" s="53">
        <v>43.2</v>
      </c>
      <c r="C88" s="30">
        <f t="shared" si="1"/>
        <v>42</v>
      </c>
      <c r="D88" s="14">
        <v>0.21621527777777808</v>
      </c>
      <c r="E88" s="14">
        <v>2.1621527777777809E-2</v>
      </c>
      <c r="F88" s="38">
        <v>2.3074074074074098E-2</v>
      </c>
      <c r="G88" s="38">
        <v>0.1491666666666667</v>
      </c>
    </row>
    <row r="89" spans="1:7">
      <c r="A89" s="29" t="s">
        <v>20</v>
      </c>
      <c r="B89" s="53">
        <v>44.5</v>
      </c>
      <c r="C89" s="30">
        <f t="shared" si="1"/>
        <v>43.2</v>
      </c>
      <c r="D89" s="14">
        <v>0.23911235955056204</v>
      </c>
      <c r="E89" s="14">
        <v>2.3911235955056204E-2</v>
      </c>
      <c r="F89" s="38">
        <v>2.5321348314606761E-2</v>
      </c>
      <c r="G89" s="38">
        <v>0.15649438202247193</v>
      </c>
    </row>
    <row r="90" spans="1:7">
      <c r="A90" s="29" t="s">
        <v>21</v>
      </c>
      <c r="B90" s="53">
        <v>45.7</v>
      </c>
      <c r="C90" s="30">
        <f t="shared" si="1"/>
        <v>44.5</v>
      </c>
      <c r="D90" s="14">
        <v>0.25909190371991275</v>
      </c>
      <c r="E90" s="14">
        <v>2.5909190371991277E-2</v>
      </c>
      <c r="F90" s="38">
        <v>2.7282275711159761E-2</v>
      </c>
      <c r="G90" s="38">
        <v>0.16288840262582061</v>
      </c>
    </row>
    <row r="91" spans="1:7">
      <c r="A91" s="29" t="s">
        <v>22</v>
      </c>
      <c r="B91" s="53">
        <v>46.8</v>
      </c>
      <c r="C91" s="30">
        <f t="shared" si="1"/>
        <v>45.7</v>
      </c>
      <c r="D91" s="14">
        <v>0.27650641025641043</v>
      </c>
      <c r="E91" s="14">
        <v>2.7650641025641045E-2</v>
      </c>
      <c r="F91" s="38">
        <v>2.8991452991453007E-2</v>
      </c>
      <c r="G91" s="38">
        <v>0.16846153846153847</v>
      </c>
    </row>
    <row r="92" spans="1:7">
      <c r="A92" s="29" t="s">
        <v>23</v>
      </c>
      <c r="B92" s="53">
        <v>47.9</v>
      </c>
      <c r="C92" s="30">
        <f t="shared" si="1"/>
        <v>46.8</v>
      </c>
      <c r="D92" s="14">
        <v>0.29312108559498973</v>
      </c>
      <c r="E92" s="14">
        <v>2.9312108559498975E-2</v>
      </c>
      <c r="F92" s="38">
        <v>3.0622129436325696E-2</v>
      </c>
      <c r="G92" s="38">
        <v>0.17377870563674322</v>
      </c>
    </row>
    <row r="93" spans="1:7">
      <c r="A93" s="29" t="s">
        <v>24</v>
      </c>
      <c r="B93" s="53">
        <v>49.1</v>
      </c>
      <c r="C93" s="30">
        <f t="shared" si="1"/>
        <v>47.9</v>
      </c>
      <c r="D93" s="14">
        <v>0.3103971486761713</v>
      </c>
      <c r="E93" s="14">
        <v>3.1039714867617134E-2</v>
      </c>
      <c r="F93" s="38">
        <v>3.2317718940936886E-2</v>
      </c>
      <c r="G93" s="38">
        <v>0.17930753564154786</v>
      </c>
    </row>
    <row r="94" spans="1:7">
      <c r="A94" s="29" t="s">
        <v>25</v>
      </c>
      <c r="B94" s="53">
        <v>50.3</v>
      </c>
      <c r="C94" s="30">
        <f t="shared" si="1"/>
        <v>49.1</v>
      </c>
      <c r="D94" s="14">
        <v>0.32684890656063637</v>
      </c>
      <c r="E94" s="14">
        <v>3.2684890656063635E-2</v>
      </c>
      <c r="F94" s="38">
        <v>3.3932405566600411E-2</v>
      </c>
      <c r="G94" s="38">
        <v>0.18457256461232605</v>
      </c>
    </row>
    <row r="95" spans="1:7">
      <c r="A95" s="29" t="s">
        <v>26</v>
      </c>
      <c r="B95" s="53">
        <v>51.4</v>
      </c>
      <c r="C95" s="30">
        <f t="shared" si="1"/>
        <v>50.3</v>
      </c>
      <c r="D95" s="14">
        <v>0.34125486381322973</v>
      </c>
      <c r="E95" s="14">
        <v>3.4125486381322977E-2</v>
      </c>
      <c r="F95" s="38">
        <v>3.5346303501945536E-2</v>
      </c>
      <c r="G95" s="38">
        <v>0.18918287937743192</v>
      </c>
    </row>
    <row r="96" spans="1:7">
      <c r="A96" s="29" t="s">
        <v>27</v>
      </c>
      <c r="B96" s="53">
        <v>52.7</v>
      </c>
      <c r="C96" s="30">
        <f t="shared" si="1"/>
        <v>51.4</v>
      </c>
      <c r="D96" s="14">
        <v>0.35750474383301728</v>
      </c>
      <c r="E96" s="14">
        <v>3.5750474383301728E-2</v>
      </c>
      <c r="F96" s="38">
        <v>3.6941176470588255E-2</v>
      </c>
      <c r="G96" s="38">
        <v>0.1943833017077799</v>
      </c>
    </row>
    <row r="97" spans="1:7">
      <c r="A97" s="29" t="s">
        <v>28</v>
      </c>
      <c r="B97" s="53">
        <v>53.9</v>
      </c>
      <c r="C97" s="30">
        <f t="shared" si="1"/>
        <v>52.7</v>
      </c>
      <c r="D97" s="14">
        <v>0.37180890538033412</v>
      </c>
      <c r="E97" s="14">
        <v>3.7180890538033411E-2</v>
      </c>
      <c r="F97" s="38">
        <v>3.8345083487940641E-2</v>
      </c>
      <c r="G97" s="38">
        <v>0.19896103896103898</v>
      </c>
    </row>
    <row r="98" spans="1:7">
      <c r="A98" s="29" t="s">
        <v>29</v>
      </c>
      <c r="B98" s="53">
        <v>55</v>
      </c>
      <c r="C98" s="30">
        <f t="shared" si="1"/>
        <v>53.9</v>
      </c>
      <c r="D98" s="14">
        <v>0.38437272727272748</v>
      </c>
      <c r="E98" s="14">
        <v>3.843727272727275E-2</v>
      </c>
      <c r="F98" s="38">
        <v>3.9578181818181839E-2</v>
      </c>
      <c r="G98" s="38">
        <v>0.20298181818181821</v>
      </c>
    </row>
    <row r="99" spans="1:7">
      <c r="A99" s="29" t="s">
        <v>30</v>
      </c>
      <c r="B99" s="53">
        <v>56.3</v>
      </c>
      <c r="C99" s="30">
        <f t="shared" si="1"/>
        <v>55</v>
      </c>
      <c r="D99" s="14">
        <v>0.39858792184724706</v>
      </c>
      <c r="E99" s="14">
        <v>3.9858792184724712E-2</v>
      </c>
      <c r="F99" s="38">
        <v>4.5840142095914797E-2</v>
      </c>
      <c r="G99" s="38">
        <v>0.20753108348134991</v>
      </c>
    </row>
    <row r="100" spans="1:7">
      <c r="A100" s="29" t="s">
        <v>31</v>
      </c>
      <c r="B100" s="53">
        <v>57.6</v>
      </c>
      <c r="C100" s="30">
        <f t="shared" si="1"/>
        <v>56.3</v>
      </c>
      <c r="D100" s="14">
        <v>0.41216145833333351</v>
      </c>
      <c r="E100" s="14">
        <v>4.7296875000000085E-2</v>
      </c>
      <c r="F100" s="38">
        <v>5.3833333333333414E-2</v>
      </c>
      <c r="G100" s="38">
        <v>0.21187500000000001</v>
      </c>
    </row>
    <row r="101" spans="1:7">
      <c r="A101" s="29" t="s">
        <v>32</v>
      </c>
      <c r="B101" s="53">
        <v>58.9</v>
      </c>
      <c r="C101" s="30">
        <f t="shared" si="1"/>
        <v>57.6</v>
      </c>
      <c r="D101" s="14">
        <v>0.42513582342954176</v>
      </c>
      <c r="E101" s="14">
        <v>5.5081494057725021E-2</v>
      </c>
      <c r="F101" s="38">
        <v>6.1473684210526375E-2</v>
      </c>
      <c r="G101" s="38">
        <v>0.21602716468590832</v>
      </c>
    </row>
    <row r="102" spans="1:7">
      <c r="A102" s="29" t="s">
        <v>33</v>
      </c>
      <c r="B102" s="53">
        <v>60.2</v>
      </c>
      <c r="C102" s="30">
        <f t="shared" si="1"/>
        <v>58.9</v>
      </c>
      <c r="D102" s="14">
        <v>0.43754983388704338</v>
      </c>
      <c r="E102" s="14">
        <v>6.2529900332225996E-2</v>
      </c>
      <c r="F102" s="38">
        <v>6.8784053156146274E-2</v>
      </c>
      <c r="G102" s="38">
        <v>0.22000000000000003</v>
      </c>
    </row>
    <row r="103" spans="1:7">
      <c r="A103" s="29" t="s">
        <v>34</v>
      </c>
      <c r="B103" s="53">
        <v>61.6</v>
      </c>
      <c r="C103" s="30">
        <f t="shared" si="1"/>
        <v>60.2</v>
      </c>
      <c r="D103" s="14">
        <v>0.45033279220779238</v>
      </c>
      <c r="E103" s="14">
        <v>7.0199675324675401E-2</v>
      </c>
      <c r="F103" s="38">
        <v>7.6311688311688386E-2</v>
      </c>
      <c r="G103" s="38">
        <v>0.22409090909090912</v>
      </c>
    </row>
    <row r="104" spans="1:7">
      <c r="A104" s="29" t="s">
        <v>35</v>
      </c>
      <c r="B104" s="53">
        <v>63</v>
      </c>
      <c r="C104" s="30">
        <f t="shared" si="1"/>
        <v>61.6</v>
      </c>
      <c r="D104" s="14">
        <v>0.46254761904761921</v>
      </c>
      <c r="E104" s="14">
        <v>7.7528571428571502E-2</v>
      </c>
      <c r="F104" s="38">
        <v>8.350476190476197E-2</v>
      </c>
      <c r="G104" s="38">
        <v>0.22800000000000001</v>
      </c>
    </row>
    <row r="105" spans="1:7">
      <c r="A105" s="29" t="s">
        <v>36</v>
      </c>
      <c r="B105" s="53">
        <v>64.400000000000006</v>
      </c>
      <c r="C105" s="30">
        <f t="shared" si="1"/>
        <v>63</v>
      </c>
      <c r="D105" s="14">
        <v>0.47423136645962755</v>
      </c>
      <c r="E105" s="14">
        <v>8.4538819875776508E-2</v>
      </c>
      <c r="F105" s="38">
        <v>9.0385093167701949E-2</v>
      </c>
      <c r="G105" s="38">
        <v>0.23173913043478264</v>
      </c>
    </row>
    <row r="106" spans="1:7">
      <c r="A106" s="29" t="s">
        <v>37</v>
      </c>
      <c r="B106" s="53">
        <v>66.099999999999994</v>
      </c>
      <c r="C106" s="30">
        <f t="shared" si="1"/>
        <v>64.400000000000006</v>
      </c>
      <c r="D106" s="14">
        <v>0.4877534039334343</v>
      </c>
      <c r="E106" s="14">
        <v>9.2652042360060541E-2</v>
      </c>
      <c r="F106" s="38">
        <v>9.8347957639939518E-2</v>
      </c>
      <c r="G106" s="38">
        <v>0.23606656580937974</v>
      </c>
    </row>
    <row r="107" spans="1:7">
      <c r="A107" s="29" t="s">
        <v>38</v>
      </c>
      <c r="B107" s="53">
        <v>68</v>
      </c>
      <c r="C107" s="30">
        <f t="shared" si="1"/>
        <v>66.099999999999994</v>
      </c>
      <c r="D107" s="14">
        <v>0.50206617647058838</v>
      </c>
      <c r="E107" s="14">
        <v>0.10123970588235301</v>
      </c>
      <c r="F107" s="38">
        <v>0.10677647058823536</v>
      </c>
      <c r="G107" s="38">
        <v>0.24064705882352944</v>
      </c>
    </row>
    <row r="108" spans="1:7">
      <c r="A108" s="29" t="s">
        <v>39</v>
      </c>
      <c r="B108" s="53">
        <v>69.8</v>
      </c>
      <c r="C108" s="30">
        <f t="shared" si="1"/>
        <v>68</v>
      </c>
      <c r="D108" s="14">
        <v>0.51490687679083103</v>
      </c>
      <c r="E108" s="14">
        <v>0.10894412607449863</v>
      </c>
      <c r="F108" s="38">
        <v>0.11433810888252155</v>
      </c>
      <c r="G108" s="38">
        <v>0.244756446991404</v>
      </c>
    </row>
    <row r="109" spans="1:7">
      <c r="A109" s="29" t="s">
        <v>40</v>
      </c>
      <c r="B109" s="53">
        <v>71.599999999999994</v>
      </c>
      <c r="C109" s="30">
        <f t="shared" si="1"/>
        <v>69.8</v>
      </c>
      <c r="D109" s="14">
        <v>0.52710195530726267</v>
      </c>
      <c r="E109" s="14">
        <v>0.11626117318435759</v>
      </c>
      <c r="F109" s="38">
        <v>0.12151955307262574</v>
      </c>
      <c r="G109" s="38">
        <v>0.24865921787709497</v>
      </c>
    </row>
    <row r="110" spans="1:7">
      <c r="A110" s="29" t="s">
        <v>41</v>
      </c>
      <c r="B110" s="53">
        <v>73.599999999999994</v>
      </c>
      <c r="C110" s="30">
        <f t="shared" si="1"/>
        <v>71.599999999999994</v>
      </c>
      <c r="D110" s="14">
        <v>0.53995244565217404</v>
      </c>
      <c r="E110" s="14">
        <v>0.12397146739130438</v>
      </c>
      <c r="F110" s="38">
        <v>0.12908695652173915</v>
      </c>
      <c r="G110" s="38">
        <v>0.25277173913043477</v>
      </c>
    </row>
    <row r="111" spans="1:7">
      <c r="A111" s="29" t="s">
        <v>42</v>
      </c>
      <c r="B111" s="53">
        <v>75.8</v>
      </c>
      <c r="C111" s="30">
        <f t="shared" si="1"/>
        <v>73.599999999999994</v>
      </c>
      <c r="D111" s="14">
        <v>0.55330474934036955</v>
      </c>
      <c r="E111" s="14">
        <v>0.13198284960422169</v>
      </c>
      <c r="F111" s="38">
        <v>0.13694986807387866</v>
      </c>
      <c r="G111" s="38">
        <v>0.25704485488126649</v>
      </c>
    </row>
    <row r="112" spans="1:7">
      <c r="A112" s="29" t="s">
        <v>43</v>
      </c>
      <c r="B112" s="53">
        <v>78.400000000000006</v>
      </c>
      <c r="C112" s="30">
        <f t="shared" si="1"/>
        <v>75.8</v>
      </c>
      <c r="D112" s="14">
        <v>0.5681186224489797</v>
      </c>
      <c r="E112" s="14">
        <v>0.14087117346938782</v>
      </c>
      <c r="F112" s="38">
        <v>0.14567346938775519</v>
      </c>
      <c r="G112" s="38">
        <v>0.26178571428571434</v>
      </c>
    </row>
    <row r="113" spans="1:7">
      <c r="A113" s="29" t="s">
        <v>44</v>
      </c>
      <c r="B113" s="53">
        <v>81</v>
      </c>
      <c r="C113" s="30">
        <f t="shared" si="1"/>
        <v>78.400000000000006</v>
      </c>
      <c r="D113" s="14">
        <v>0.58198148148148166</v>
      </c>
      <c r="E113" s="14">
        <v>0.14918888888888895</v>
      </c>
      <c r="F113" s="38">
        <v>0.15383703703703708</v>
      </c>
      <c r="G113" s="38">
        <v>0.26622222222222225</v>
      </c>
    </row>
    <row r="114" spans="1:7">
      <c r="A114" s="29" t="s">
        <v>45</v>
      </c>
      <c r="B114" s="53">
        <v>83.8</v>
      </c>
      <c r="C114" s="30">
        <f t="shared" si="1"/>
        <v>81</v>
      </c>
      <c r="D114" s="14">
        <v>0.59594868735083539</v>
      </c>
      <c r="E114" s="14">
        <v>0.15756921241050123</v>
      </c>
      <c r="F114" s="38">
        <v>0.16206205250596664</v>
      </c>
      <c r="G114" s="38">
        <v>0.27069212410501198</v>
      </c>
    </row>
    <row r="115" spans="1:7">
      <c r="A115" s="29" t="s">
        <v>46</v>
      </c>
      <c r="B115" s="53">
        <v>87.3</v>
      </c>
      <c r="C115" s="30">
        <f t="shared" si="1"/>
        <v>83.8</v>
      </c>
      <c r="D115" s="14">
        <v>0.61214776632302415</v>
      </c>
      <c r="E115" s="14">
        <v>0.16728865979381449</v>
      </c>
      <c r="F115" s="38">
        <v>0.17160137457044677</v>
      </c>
      <c r="G115" s="38">
        <v>0.2758762886597938</v>
      </c>
    </row>
    <row r="116" spans="1:7">
      <c r="A116" s="29" t="s">
        <v>47</v>
      </c>
      <c r="B116" s="53">
        <v>91.1</v>
      </c>
      <c r="C116" s="30">
        <f t="shared" si="1"/>
        <v>87.3</v>
      </c>
      <c r="D116" s="14">
        <v>0.62832601536772781</v>
      </c>
      <c r="E116" s="14">
        <v>0.1769956092206367</v>
      </c>
      <c r="F116" s="38">
        <v>0.18112843029637762</v>
      </c>
      <c r="G116" s="38">
        <v>0.28105378704720091</v>
      </c>
    </row>
    <row r="117" spans="1:7">
      <c r="A117" s="29" t="s">
        <v>48</v>
      </c>
      <c r="B117" s="53">
        <v>94.8</v>
      </c>
      <c r="C117" s="30">
        <f t="shared" si="1"/>
        <v>91.1</v>
      </c>
      <c r="D117" s="14">
        <v>0.64283227848101276</v>
      </c>
      <c r="E117" s="14">
        <v>0.18569936708860763</v>
      </c>
      <c r="F117" s="38">
        <v>0.18967088607594942</v>
      </c>
      <c r="G117" s="38">
        <v>0.28569620253164552</v>
      </c>
    </row>
    <row r="118" spans="1:7">
      <c r="A118" s="29" t="s">
        <v>49</v>
      </c>
      <c r="B118" s="53">
        <v>100.1</v>
      </c>
      <c r="C118" s="30">
        <f t="shared" si="1"/>
        <v>94.8</v>
      </c>
      <c r="D118" s="14">
        <v>0.66174325674325674</v>
      </c>
      <c r="E118" s="14">
        <v>0.1970459540459541</v>
      </c>
      <c r="F118" s="38">
        <v>0.20080719280719284</v>
      </c>
      <c r="G118" s="38">
        <v>0.29174825174825175</v>
      </c>
    </row>
    <row r="119" spans="1:7">
      <c r="A119" s="29" t="s">
        <v>50</v>
      </c>
      <c r="B119" s="53">
        <v>105.3</v>
      </c>
      <c r="C119" s="30">
        <f t="shared" si="1"/>
        <v>100.1</v>
      </c>
      <c r="D119" s="14">
        <v>0.6784472934472936</v>
      </c>
      <c r="E119" s="14">
        <v>0.20706837606837611</v>
      </c>
      <c r="F119" s="38">
        <v>0.21064387464387468</v>
      </c>
      <c r="G119" s="38">
        <v>0.29709401709401712</v>
      </c>
    </row>
    <row r="120" spans="1:7">
      <c r="A120" s="29" t="s">
        <v>51</v>
      </c>
      <c r="B120" s="53">
        <v>111.5</v>
      </c>
      <c r="C120" s="30">
        <f t="shared" si="1"/>
        <v>105.3</v>
      </c>
      <c r="D120" s="14">
        <v>0.69632735426008974</v>
      </c>
      <c r="E120" s="14">
        <v>0.21779641255605386</v>
      </c>
      <c r="F120" s="38">
        <v>0.22117309417040362</v>
      </c>
      <c r="G120" s="38">
        <v>0.30281614349775787</v>
      </c>
    </row>
    <row r="121" spans="1:7">
      <c r="A121" s="29" t="s">
        <v>52</v>
      </c>
      <c r="B121" s="53">
        <v>121.4</v>
      </c>
      <c r="C121" s="30">
        <f t="shared" si="1"/>
        <v>111.5</v>
      </c>
      <c r="D121" s="14">
        <v>0.72109143327841851</v>
      </c>
      <c r="E121" s="14">
        <v>0.23265485996705115</v>
      </c>
      <c r="F121" s="38">
        <v>0.23575617792421752</v>
      </c>
      <c r="G121" s="38">
        <v>0.31074135090609556</v>
      </c>
    </row>
    <row r="122" spans="1:7">
      <c r="A122" s="29" t="s">
        <v>53</v>
      </c>
      <c r="B122" s="53">
        <v>134.30000000000001</v>
      </c>
      <c r="C122" s="30">
        <f>B121</f>
        <v>121.4</v>
      </c>
      <c r="D122" s="14">
        <v>0.74788160833953843</v>
      </c>
      <c r="E122" s="14">
        <v>0.24872896500372305</v>
      </c>
      <c r="F122" s="38">
        <v>0.25153239017125839</v>
      </c>
      <c r="G122" s="38">
        <v>0.31931496649292629</v>
      </c>
    </row>
    <row r="123" spans="1:7">
      <c r="A123" s="29" t="s">
        <v>53</v>
      </c>
      <c r="B123" s="29" t="s">
        <v>54</v>
      </c>
      <c r="C123" s="30">
        <f t="shared" si="1"/>
        <v>134.30000000000001</v>
      </c>
      <c r="D123" s="11" t="s">
        <v>81</v>
      </c>
      <c r="E123" s="11"/>
      <c r="F123" s="39"/>
      <c r="G123" s="39"/>
    </row>
    <row r="124" spans="1:7">
      <c r="A124" s="29"/>
      <c r="B124" s="29"/>
      <c r="C124" s="29"/>
      <c r="D124" s="11"/>
      <c r="E124" s="32">
        <v>7.1990735030847325E-2</v>
      </c>
      <c r="F124" s="40">
        <v>7.4831047260987188E-2</v>
      </c>
      <c r="G124" s="40">
        <v>0.18229280213533339</v>
      </c>
    </row>
    <row r="125" spans="1:7" ht="60">
      <c r="A125" s="33" t="s">
        <v>55</v>
      </c>
      <c r="B125" s="29">
        <v>30.1</v>
      </c>
      <c r="C125" s="29"/>
      <c r="D125" s="11"/>
      <c r="E125" s="34">
        <v>56.43249999999999</v>
      </c>
      <c r="F125" s="41">
        <v>55.386666666666656</v>
      </c>
      <c r="G125" s="42">
        <v>30.1</v>
      </c>
    </row>
    <row r="126" spans="1:7" ht="60">
      <c r="A126" s="33" t="s">
        <v>56</v>
      </c>
      <c r="B126" s="29">
        <v>59.2</v>
      </c>
      <c r="C126" s="29"/>
      <c r="D126" s="11"/>
      <c r="E126" s="11"/>
      <c r="F126" s="39"/>
      <c r="G126" s="39"/>
    </row>
    <row r="127" spans="1:7" ht="96.75">
      <c r="A127" s="35" t="s">
        <v>57</v>
      </c>
      <c r="B127" s="29">
        <v>12</v>
      </c>
      <c r="C127" s="29"/>
      <c r="D127" s="11"/>
      <c r="E127" s="11">
        <v>33.85949999999999</v>
      </c>
      <c r="F127" s="39">
        <v>33.231999999999992</v>
      </c>
      <c r="G127" s="39">
        <v>18.059999999999999</v>
      </c>
    </row>
    <row r="129" spans="1:7" ht="60.75" thickBot="1">
      <c r="A129" s="5" t="s">
        <v>56</v>
      </c>
      <c r="B129">
        <f>B126</f>
        <v>59.2</v>
      </c>
    </row>
    <row r="130" spans="1:7">
      <c r="A130" s="16" t="s">
        <v>64</v>
      </c>
      <c r="B130" s="17">
        <f>AVERAGE(B78:B117)</f>
        <v>56.43249999999999</v>
      </c>
      <c r="C130" s="17"/>
    </row>
    <row r="131" spans="1:7">
      <c r="A131" s="16" t="s">
        <v>65</v>
      </c>
      <c r="B131" s="18">
        <f>AVERAGE(B83:B112)</f>
        <v>55.386666666666656</v>
      </c>
      <c r="C131" s="18"/>
    </row>
    <row r="132" spans="1:7">
      <c r="A132" s="16" t="s">
        <v>66</v>
      </c>
      <c r="B132" s="18">
        <f>AVERAGE(B89:B107)</f>
        <v>55.442105263157899</v>
      </c>
      <c r="C132" s="18"/>
    </row>
    <row r="133" spans="1:7" ht="15.75" thickBot="1"/>
    <row r="134" spans="1:7" ht="15.75" thickBot="1">
      <c r="A134" s="522" t="s">
        <v>0</v>
      </c>
      <c r="B134" s="467" t="s">
        <v>78</v>
      </c>
      <c r="C134" s="468"/>
      <c r="D134" s="469"/>
      <c r="E134" s="19">
        <f>(1-E189)^(1/3)-1</f>
        <v>-2.9404021254908819E-2</v>
      </c>
      <c r="F134" s="19">
        <f>(1-F189)^(1/3)-1</f>
        <v>-3.1793228489839231E-2</v>
      </c>
      <c r="G134" s="19"/>
    </row>
    <row r="135" spans="1:7" ht="72.75" thickBot="1">
      <c r="A135" s="523"/>
      <c r="B135" s="1" t="s">
        <v>4</v>
      </c>
      <c r="C135" s="254"/>
      <c r="D135" s="11" t="s">
        <v>80</v>
      </c>
      <c r="E135" s="11" t="s">
        <v>5</v>
      </c>
      <c r="F135" s="39" t="s">
        <v>5</v>
      </c>
      <c r="G135" s="39"/>
    </row>
    <row r="136" spans="1:7" ht="24.75" thickBot="1">
      <c r="A136" s="524"/>
      <c r="B136" s="1" t="s">
        <v>9</v>
      </c>
      <c r="C136" s="254"/>
      <c r="D136" s="11" t="s">
        <v>7</v>
      </c>
      <c r="E136" s="11" t="s">
        <v>7</v>
      </c>
      <c r="F136" s="39" t="s">
        <v>7</v>
      </c>
      <c r="G136" s="39"/>
    </row>
    <row r="137" spans="1:7">
      <c r="A137" s="50">
        <v>1</v>
      </c>
      <c r="B137" s="51">
        <v>2</v>
      </c>
      <c r="C137" s="51"/>
      <c r="D137" s="51">
        <v>3</v>
      </c>
      <c r="E137" s="51">
        <v>4</v>
      </c>
      <c r="F137" s="52">
        <v>5</v>
      </c>
      <c r="G137" s="52"/>
    </row>
    <row r="138" spans="1:7" ht="15.75" thickBot="1">
      <c r="A138" s="8" t="s">
        <v>10</v>
      </c>
      <c r="B138" s="54">
        <v>0.04</v>
      </c>
      <c r="C138" s="255">
        <v>0</v>
      </c>
      <c r="D138" s="14">
        <v>0</v>
      </c>
      <c r="E138" s="14">
        <v>0</v>
      </c>
      <c r="F138" s="38">
        <v>0</v>
      </c>
      <c r="G138" s="38">
        <v>0</v>
      </c>
    </row>
    <row r="139" spans="1:7" ht="15.75" thickBot="1">
      <c r="A139" s="8" t="s">
        <v>58</v>
      </c>
      <c r="B139" s="54">
        <v>0.24</v>
      </c>
      <c r="C139" s="30">
        <f>B138</f>
        <v>0.04</v>
      </c>
      <c r="D139" s="14">
        <v>0</v>
      </c>
      <c r="E139" s="14">
        <v>0</v>
      </c>
      <c r="F139" s="38">
        <v>0</v>
      </c>
      <c r="G139" s="38">
        <v>0</v>
      </c>
    </row>
    <row r="140" spans="1:7" ht="15.75" thickBot="1">
      <c r="A140" s="8" t="s">
        <v>59</v>
      </c>
      <c r="B140" s="54">
        <v>0.47</v>
      </c>
      <c r="C140" s="30">
        <f t="shared" ref="C140:C188" si="2">B139</f>
        <v>0.24</v>
      </c>
      <c r="D140" s="14">
        <v>0</v>
      </c>
      <c r="E140" s="14">
        <v>0</v>
      </c>
      <c r="F140" s="38">
        <v>0</v>
      </c>
      <c r="G140" s="38">
        <v>0</v>
      </c>
    </row>
    <row r="141" spans="1:7" ht="15.75" thickBot="1">
      <c r="A141" s="8" t="s">
        <v>60</v>
      </c>
      <c r="B141" s="54">
        <v>0.8</v>
      </c>
      <c r="C141" s="30">
        <f t="shared" si="2"/>
        <v>0.47</v>
      </c>
      <c r="D141" s="14">
        <v>0</v>
      </c>
      <c r="E141" s="14">
        <v>0</v>
      </c>
      <c r="F141" s="38">
        <v>0</v>
      </c>
      <c r="G141" s="38">
        <v>0</v>
      </c>
    </row>
    <row r="142" spans="1:7" ht="15.75" thickBot="1">
      <c r="A142" s="8" t="s">
        <v>61</v>
      </c>
      <c r="B142" s="54">
        <v>1.1000000000000001</v>
      </c>
      <c r="C142" s="30">
        <f t="shared" si="2"/>
        <v>0.8</v>
      </c>
      <c r="D142" s="14">
        <v>0</v>
      </c>
      <c r="E142" s="14">
        <v>0</v>
      </c>
      <c r="F142" s="38">
        <v>0</v>
      </c>
      <c r="G142" s="38">
        <v>0</v>
      </c>
    </row>
    <row r="143" spans="1:7" ht="15.75" thickBot="1">
      <c r="A143" s="8" t="s">
        <v>62</v>
      </c>
      <c r="B143" s="54">
        <v>1.3</v>
      </c>
      <c r="C143" s="30">
        <f t="shared" si="2"/>
        <v>1.1000000000000001</v>
      </c>
      <c r="D143" s="14">
        <v>0</v>
      </c>
      <c r="E143" s="14">
        <v>0</v>
      </c>
      <c r="F143" s="38">
        <v>0</v>
      </c>
      <c r="G143" s="38">
        <v>0</v>
      </c>
    </row>
    <row r="144" spans="1:7" ht="15.75" thickBot="1">
      <c r="A144" s="8" t="s">
        <v>63</v>
      </c>
      <c r="B144" s="54">
        <v>1.5</v>
      </c>
      <c r="C144" s="30">
        <f t="shared" si="2"/>
        <v>1.3</v>
      </c>
      <c r="D144" s="14">
        <v>0</v>
      </c>
      <c r="E144" s="14">
        <v>0</v>
      </c>
      <c r="F144" s="38">
        <v>0</v>
      </c>
      <c r="G144" s="38">
        <v>0</v>
      </c>
    </row>
    <row r="145" spans="1:7" ht="15.75" thickBot="1">
      <c r="A145" s="3" t="s">
        <v>11</v>
      </c>
      <c r="B145" s="54">
        <v>1.7</v>
      </c>
      <c r="C145" s="30">
        <f t="shared" si="2"/>
        <v>1.5</v>
      </c>
      <c r="D145" s="14">
        <v>0</v>
      </c>
      <c r="E145" s="14">
        <v>0</v>
      </c>
      <c r="F145" s="38">
        <v>0</v>
      </c>
      <c r="G145" s="38">
        <v>0</v>
      </c>
    </row>
    <row r="146" spans="1:7" ht="15.75" thickBot="1">
      <c r="A146" s="3" t="s">
        <v>12</v>
      </c>
      <c r="B146" s="54">
        <v>1.9</v>
      </c>
      <c r="C146" s="30">
        <f t="shared" si="2"/>
        <v>1.7</v>
      </c>
      <c r="D146" s="14">
        <v>0</v>
      </c>
      <c r="E146" s="14">
        <v>0</v>
      </c>
      <c r="F146" s="38">
        <v>0</v>
      </c>
      <c r="G146" s="38">
        <v>0</v>
      </c>
    </row>
    <row r="147" spans="1:7" ht="15.75" thickBot="1">
      <c r="A147" s="3" t="s">
        <v>13</v>
      </c>
      <c r="B147" s="54">
        <v>2.1</v>
      </c>
      <c r="C147" s="30">
        <f t="shared" si="2"/>
        <v>1.9</v>
      </c>
      <c r="D147" s="14">
        <v>0</v>
      </c>
      <c r="E147" s="14">
        <v>0</v>
      </c>
      <c r="F147" s="38">
        <v>0</v>
      </c>
      <c r="G147" s="38">
        <v>0</v>
      </c>
    </row>
    <row r="148" spans="1:7" ht="15.75" thickBot="1">
      <c r="A148" s="3" t="s">
        <v>14</v>
      </c>
      <c r="B148" s="54">
        <v>2.2999999999999998</v>
      </c>
      <c r="C148" s="30">
        <f t="shared" si="2"/>
        <v>2.1</v>
      </c>
      <c r="D148" s="14">
        <v>0</v>
      </c>
      <c r="E148" s="14">
        <v>0</v>
      </c>
      <c r="F148" s="38">
        <v>0</v>
      </c>
      <c r="G148" s="38">
        <v>0</v>
      </c>
    </row>
    <row r="149" spans="1:7" ht="15.75" thickBot="1">
      <c r="A149" s="3" t="s">
        <v>15</v>
      </c>
      <c r="B149" s="54">
        <v>2.4</v>
      </c>
      <c r="C149" s="30">
        <f t="shared" si="2"/>
        <v>2.2999999999999998</v>
      </c>
      <c r="D149" s="14">
        <v>0</v>
      </c>
      <c r="E149" s="14">
        <v>0</v>
      </c>
      <c r="F149" s="38">
        <v>0</v>
      </c>
      <c r="G149" s="38">
        <v>0</v>
      </c>
    </row>
    <row r="150" spans="1:7" ht="15.75" thickBot="1">
      <c r="A150" s="3" t="s">
        <v>16</v>
      </c>
      <c r="B150" s="54">
        <v>2.6</v>
      </c>
      <c r="C150" s="30">
        <f t="shared" si="2"/>
        <v>2.4</v>
      </c>
      <c r="D150" s="14">
        <v>0</v>
      </c>
      <c r="E150" s="14">
        <v>0</v>
      </c>
      <c r="F150" s="38">
        <v>2.5384615384615662E-3</v>
      </c>
      <c r="G150" s="38">
        <v>0</v>
      </c>
    </row>
    <row r="151" spans="1:7" ht="15.75" thickBot="1">
      <c r="A151" s="3" t="s">
        <v>17</v>
      </c>
      <c r="B151" s="54">
        <v>2.7</v>
      </c>
      <c r="C151" s="30">
        <f t="shared" si="2"/>
        <v>2.6</v>
      </c>
      <c r="D151" s="14">
        <v>7.2222222222224951E-3</v>
      </c>
      <c r="E151" s="14"/>
      <c r="F151" s="38">
        <v>6.1481481481481786E-3</v>
      </c>
      <c r="G151" s="38">
        <v>0</v>
      </c>
    </row>
    <row r="152" spans="1:7" ht="15.75" thickBot="1">
      <c r="A152" s="3" t="s">
        <v>18</v>
      </c>
      <c r="B152" s="54">
        <v>2.8</v>
      </c>
      <c r="C152" s="30">
        <f t="shared" si="2"/>
        <v>2.7</v>
      </c>
      <c r="D152" s="14">
        <v>4.2678571428571566E-2</v>
      </c>
      <c r="E152" s="14"/>
      <c r="F152" s="38">
        <v>9.5000000000000171E-3</v>
      </c>
      <c r="G152" s="38">
        <v>0</v>
      </c>
    </row>
    <row r="153" spans="1:7" ht="15.75" thickBot="1">
      <c r="A153" s="3" t="s">
        <v>19</v>
      </c>
      <c r="B153" s="54">
        <v>2.9</v>
      </c>
      <c r="C153" s="30">
        <f t="shared" si="2"/>
        <v>2.8</v>
      </c>
      <c r="D153" s="14">
        <v>7.5689655172413953E-2</v>
      </c>
      <c r="E153" s="14"/>
      <c r="F153" s="38">
        <v>1.2620689655172433E-2</v>
      </c>
      <c r="G153" s="38">
        <v>0</v>
      </c>
    </row>
    <row r="154" spans="1:7" ht="15.75" thickBot="1">
      <c r="A154" s="3" t="s">
        <v>20</v>
      </c>
      <c r="B154" s="54">
        <v>3.1</v>
      </c>
      <c r="C154" s="30">
        <f t="shared" si="2"/>
        <v>2.9</v>
      </c>
      <c r="D154" s="14">
        <v>0.13532258064516151</v>
      </c>
      <c r="E154" s="14">
        <v>1.3532258064516151E-2</v>
      </c>
      <c r="F154" s="38">
        <v>1.8258064516129057E-2</v>
      </c>
      <c r="G154" s="38">
        <v>0</v>
      </c>
    </row>
    <row r="155" spans="1:7" ht="15.75" thickBot="1">
      <c r="A155" s="3" t="s">
        <v>21</v>
      </c>
      <c r="B155" s="54">
        <v>3.2</v>
      </c>
      <c r="C155" s="30">
        <f t="shared" si="2"/>
        <v>3.1</v>
      </c>
      <c r="D155" s="14">
        <v>0.16234375000000023</v>
      </c>
      <c r="E155" s="14">
        <v>1.6234375000000023E-2</v>
      </c>
      <c r="F155" s="38">
        <v>2.0812500000000025E-2</v>
      </c>
      <c r="G155" s="38">
        <v>0</v>
      </c>
    </row>
    <row r="156" spans="1:7" ht="15.75" thickBot="1">
      <c r="A156" s="3" t="s">
        <v>22</v>
      </c>
      <c r="B156" s="54">
        <v>3.3</v>
      </c>
      <c r="C156" s="30">
        <f t="shared" si="2"/>
        <v>3.2</v>
      </c>
      <c r="D156" s="14">
        <v>0.18772727272727285</v>
      </c>
      <c r="E156" s="14">
        <v>1.8772727272727285E-2</v>
      </c>
      <c r="F156" s="38">
        <v>2.3212121212121229E-2</v>
      </c>
      <c r="G156" s="38">
        <v>0</v>
      </c>
    </row>
    <row r="157" spans="1:7" ht="15.75" thickBot="1">
      <c r="A157" s="3" t="s">
        <v>23</v>
      </c>
      <c r="B157" s="54">
        <v>3.4</v>
      </c>
      <c r="C157" s="30">
        <f t="shared" si="2"/>
        <v>3.3</v>
      </c>
      <c r="D157" s="14">
        <v>0.21161764705882366</v>
      </c>
      <c r="E157" s="14">
        <v>2.1161764705882369E-2</v>
      </c>
      <c r="F157" s="38">
        <v>2.5470588235294137E-2</v>
      </c>
      <c r="G157" s="38">
        <v>0</v>
      </c>
    </row>
    <row r="158" spans="1:7" ht="15.75" thickBot="1">
      <c r="A158" s="3" t="s">
        <v>24</v>
      </c>
      <c r="B158" s="54">
        <v>3.5</v>
      </c>
      <c r="C158" s="30">
        <f t="shared" si="2"/>
        <v>3.4</v>
      </c>
      <c r="D158" s="14">
        <v>0.23414285714285729</v>
      </c>
      <c r="E158" s="14">
        <v>2.3414285714285731E-2</v>
      </c>
      <c r="F158" s="38">
        <v>2.760000000000002E-2</v>
      </c>
      <c r="G158" s="38">
        <v>0</v>
      </c>
    </row>
    <row r="159" spans="1:7" ht="15.75" thickBot="1">
      <c r="A159" s="3" t="s">
        <v>25</v>
      </c>
      <c r="B159" s="54">
        <v>3.6</v>
      </c>
      <c r="C159" s="30">
        <f t="shared" si="2"/>
        <v>3.5</v>
      </c>
      <c r="D159" s="14">
        <v>0.25541666666666685</v>
      </c>
      <c r="E159" s="14">
        <v>2.5541666666666685E-2</v>
      </c>
      <c r="F159" s="38">
        <v>2.9611111111111133E-2</v>
      </c>
      <c r="G159" s="38">
        <v>0</v>
      </c>
    </row>
    <row r="160" spans="1:7" ht="15.75" thickBot="1">
      <c r="A160" s="3" t="s">
        <v>26</v>
      </c>
      <c r="B160" s="54">
        <v>3.7</v>
      </c>
      <c r="C160" s="30">
        <f t="shared" si="2"/>
        <v>3.6</v>
      </c>
      <c r="D160" s="14">
        <v>0.27554054054054072</v>
      </c>
      <c r="E160" s="14">
        <v>2.7554054054054075E-2</v>
      </c>
      <c r="F160" s="38">
        <v>3.1513513513513537E-2</v>
      </c>
      <c r="G160" s="38">
        <v>0</v>
      </c>
    </row>
    <row r="161" spans="1:7" ht="15.75" thickBot="1">
      <c r="A161" s="3" t="s">
        <v>27</v>
      </c>
      <c r="B161" s="54">
        <v>3.8</v>
      </c>
      <c r="C161" s="30">
        <f t="shared" si="2"/>
        <v>3.7</v>
      </c>
      <c r="D161" s="14">
        <v>0.29460526315789487</v>
      </c>
      <c r="E161" s="14">
        <v>2.9460526315789489E-2</v>
      </c>
      <c r="F161" s="38">
        <v>3.3315789473684222E-2</v>
      </c>
      <c r="G161" s="38">
        <v>0</v>
      </c>
    </row>
    <row r="162" spans="1:7" ht="15.75" thickBot="1">
      <c r="A162" s="3" t="s">
        <v>28</v>
      </c>
      <c r="B162" s="54">
        <v>3.9</v>
      </c>
      <c r="C162" s="30">
        <f t="shared" si="2"/>
        <v>3.8</v>
      </c>
      <c r="D162" s="14">
        <v>0.31269230769230782</v>
      </c>
      <c r="E162" s="14">
        <v>3.1269230769230785E-2</v>
      </c>
      <c r="F162" s="38">
        <v>3.5025641025641041E-2</v>
      </c>
      <c r="G162" s="38">
        <v>0</v>
      </c>
    </row>
    <row r="163" spans="1:7" ht="15.75" thickBot="1">
      <c r="A163" s="3" t="s">
        <v>29</v>
      </c>
      <c r="B163" s="54">
        <v>4.0999999999999996</v>
      </c>
      <c r="C163" s="30">
        <f t="shared" si="2"/>
        <v>3.9</v>
      </c>
      <c r="D163" s="14">
        <v>0.34621951219512204</v>
      </c>
      <c r="E163" s="14">
        <v>3.4621951219512205E-2</v>
      </c>
      <c r="F163" s="38">
        <v>3.8195121951219525E-2</v>
      </c>
      <c r="G163" s="38">
        <v>0</v>
      </c>
    </row>
    <row r="164" spans="1:7" ht="15.75" thickBot="1">
      <c r="A164" s="3" t="s">
        <v>30</v>
      </c>
      <c r="B164" s="54">
        <v>4.2</v>
      </c>
      <c r="C164" s="30">
        <f t="shared" si="2"/>
        <v>4.0999999999999996</v>
      </c>
      <c r="D164" s="14">
        <v>0.36178571428571443</v>
      </c>
      <c r="E164" s="14">
        <v>3.6178571428571449E-2</v>
      </c>
      <c r="F164" s="38">
        <v>3.9666666666666683E-2</v>
      </c>
      <c r="G164" s="38">
        <v>0</v>
      </c>
    </row>
    <row r="165" spans="1:7" ht="15.75" thickBot="1">
      <c r="A165" s="3" t="s">
        <v>31</v>
      </c>
      <c r="B165" s="54">
        <v>4.3</v>
      </c>
      <c r="C165" s="30">
        <f t="shared" si="2"/>
        <v>4.2</v>
      </c>
      <c r="D165" s="14">
        <v>0.37662790697674431</v>
      </c>
      <c r="E165" s="14">
        <v>3.7662790697674427E-2</v>
      </c>
      <c r="F165" s="38">
        <v>4.6418604651162841E-2</v>
      </c>
      <c r="G165" s="38">
        <v>0</v>
      </c>
    </row>
    <row r="166" spans="1:7" ht="15.75" thickBot="1">
      <c r="A166" s="3" t="s">
        <v>32</v>
      </c>
      <c r="B166" s="54">
        <v>4.5</v>
      </c>
      <c r="C166" s="30">
        <f t="shared" si="2"/>
        <v>4.3</v>
      </c>
      <c r="D166" s="14">
        <v>0.40433333333333343</v>
      </c>
      <c r="E166" s="14">
        <v>4.2600000000000054E-2</v>
      </c>
      <c r="F166" s="38">
        <v>6.2133333333333401E-2</v>
      </c>
      <c r="G166" s="38">
        <v>0</v>
      </c>
    </row>
    <row r="167" spans="1:7" ht="15.75" thickBot="1">
      <c r="A167" s="3" t="s">
        <v>33</v>
      </c>
      <c r="B167" s="54">
        <v>4.5999999999999996</v>
      </c>
      <c r="C167" s="30">
        <f t="shared" si="2"/>
        <v>4.5</v>
      </c>
      <c r="D167" s="14">
        <v>0.41728260869565226</v>
      </c>
      <c r="E167" s="14">
        <v>5.0369565217391339E-2</v>
      </c>
      <c r="F167" s="38">
        <v>6.9478260869565239E-2</v>
      </c>
      <c r="G167" s="38">
        <v>0</v>
      </c>
    </row>
    <row r="168" spans="1:7" ht="15.75" thickBot="1">
      <c r="A168" s="3" t="s">
        <v>34</v>
      </c>
      <c r="B168" s="54">
        <v>4.8</v>
      </c>
      <c r="C168" s="30">
        <f t="shared" si="2"/>
        <v>4.5999999999999996</v>
      </c>
      <c r="D168" s="14">
        <v>0.44156250000000008</v>
      </c>
      <c r="E168" s="14">
        <v>6.4937500000000051E-2</v>
      </c>
      <c r="F168" s="38">
        <v>8.3250000000000046E-2</v>
      </c>
      <c r="G168" s="38">
        <v>0</v>
      </c>
    </row>
    <row r="169" spans="1:7" ht="15.75" thickBot="1">
      <c r="A169" s="3" t="s">
        <v>35</v>
      </c>
      <c r="B169" s="54">
        <v>5</v>
      </c>
      <c r="C169" s="30">
        <f t="shared" si="2"/>
        <v>4.8</v>
      </c>
      <c r="D169" s="14">
        <v>0.46390000000000009</v>
      </c>
      <c r="E169" s="14">
        <v>7.8340000000000048E-2</v>
      </c>
      <c r="F169" s="38">
        <v>9.5920000000000047E-2</v>
      </c>
      <c r="G169" s="38">
        <v>0</v>
      </c>
    </row>
    <row r="170" spans="1:7" ht="15.75" thickBot="1">
      <c r="A170" s="3" t="s">
        <v>36</v>
      </c>
      <c r="B170" s="54">
        <v>5.0999999999999996</v>
      </c>
      <c r="C170" s="30">
        <f t="shared" si="2"/>
        <v>5</v>
      </c>
      <c r="D170" s="14">
        <v>0.47441176470588242</v>
      </c>
      <c r="E170" s="14">
        <v>8.4647058823529436E-2</v>
      </c>
      <c r="F170" s="38">
        <v>0.10188235294117651</v>
      </c>
      <c r="G170" s="38">
        <v>1.1764705882352866E-3</v>
      </c>
    </row>
    <row r="171" spans="1:7" ht="15.75" thickBot="1">
      <c r="A171" s="3" t="s">
        <v>37</v>
      </c>
      <c r="B171" s="54">
        <v>5.4</v>
      </c>
      <c r="C171" s="30">
        <f t="shared" si="2"/>
        <v>5.0999999999999996</v>
      </c>
      <c r="D171" s="14">
        <v>0.50361111111111123</v>
      </c>
      <c r="E171" s="14">
        <v>0.10216666666666674</v>
      </c>
      <c r="F171" s="38">
        <v>0.1184444444444445</v>
      </c>
      <c r="G171" s="38">
        <v>6.6666666666666723E-3</v>
      </c>
    </row>
    <row r="172" spans="1:7" ht="15.75" thickBot="1">
      <c r="A172" s="3" t="s">
        <v>38</v>
      </c>
      <c r="B172" s="54">
        <v>5.6</v>
      </c>
      <c r="C172" s="30">
        <f t="shared" si="2"/>
        <v>5.4</v>
      </c>
      <c r="D172" s="14">
        <v>0.52133928571428578</v>
      </c>
      <c r="E172" s="14">
        <v>0.11280357142857146</v>
      </c>
      <c r="F172" s="38">
        <v>0.12850000000000003</v>
      </c>
      <c r="G172" s="38">
        <v>9.999999999999995E-3</v>
      </c>
    </row>
    <row r="173" spans="1:7" ht="15.75" thickBot="1">
      <c r="A173" s="3" t="s">
        <v>39</v>
      </c>
      <c r="B173" s="54">
        <v>5.8</v>
      </c>
      <c r="C173" s="30">
        <f t="shared" si="2"/>
        <v>5.6</v>
      </c>
      <c r="D173" s="14">
        <v>0.537844827586207</v>
      </c>
      <c r="E173" s="14">
        <v>0.12270689655172418</v>
      </c>
      <c r="F173" s="38">
        <v>0.13786206896551731</v>
      </c>
      <c r="G173" s="38">
        <v>1.3103448275862066E-2</v>
      </c>
    </row>
    <row r="174" spans="1:7" ht="15.75" thickBot="1">
      <c r="A174" s="3" t="s">
        <v>40</v>
      </c>
      <c r="B174" s="54">
        <v>6</v>
      </c>
      <c r="C174" s="30">
        <f t="shared" si="2"/>
        <v>5.8</v>
      </c>
      <c r="D174" s="14">
        <v>0.55325000000000013</v>
      </c>
      <c r="E174" s="14">
        <v>0.13195000000000004</v>
      </c>
      <c r="F174" s="38">
        <v>0.14660000000000006</v>
      </c>
      <c r="G174" s="38">
        <v>1.6E-2</v>
      </c>
    </row>
    <row r="175" spans="1:7" ht="15.75" thickBot="1">
      <c r="A175" s="3" t="s">
        <v>41</v>
      </c>
      <c r="B175" s="54">
        <v>6.3</v>
      </c>
      <c r="C175" s="30">
        <f t="shared" si="2"/>
        <v>6</v>
      </c>
      <c r="D175" s="14">
        <v>0.57452380952380955</v>
      </c>
      <c r="E175" s="14">
        <v>0.14471428571428574</v>
      </c>
      <c r="F175" s="38">
        <v>0.15866666666666671</v>
      </c>
      <c r="G175" s="38">
        <v>1.9999999999999997E-2</v>
      </c>
    </row>
    <row r="176" spans="1:7" ht="15.75" thickBot="1">
      <c r="A176" s="3" t="s">
        <v>42</v>
      </c>
      <c r="B176" s="54">
        <v>6.7</v>
      </c>
      <c r="C176" s="30">
        <f t="shared" si="2"/>
        <v>6.3</v>
      </c>
      <c r="D176" s="14">
        <v>0.59992537313432848</v>
      </c>
      <c r="E176" s="14">
        <v>0.15995522388059705</v>
      </c>
      <c r="F176" s="38">
        <v>0.17307462686567171</v>
      </c>
      <c r="G176" s="38">
        <v>2.4776119402985079E-2</v>
      </c>
    </row>
    <row r="177" spans="1:7" ht="15.75" thickBot="1">
      <c r="A177" s="3" t="s">
        <v>43</v>
      </c>
      <c r="B177" s="54">
        <v>7.1</v>
      </c>
      <c r="C177" s="30">
        <f t="shared" si="2"/>
        <v>6.7</v>
      </c>
      <c r="D177" s="14">
        <v>0.62246478873239441</v>
      </c>
      <c r="E177" s="14">
        <v>0.17347887323943667</v>
      </c>
      <c r="F177" s="38">
        <v>0.1858591549295775</v>
      </c>
      <c r="G177" s="38">
        <v>2.9014084507042251E-2</v>
      </c>
    </row>
    <row r="178" spans="1:7" ht="15.75" thickBot="1">
      <c r="A178" s="3" t="s">
        <v>44</v>
      </c>
      <c r="B178" s="54">
        <v>7.5</v>
      </c>
      <c r="C178" s="30">
        <f t="shared" si="2"/>
        <v>7.1</v>
      </c>
      <c r="D178" s="14">
        <v>0.64260000000000006</v>
      </c>
      <c r="E178" s="14">
        <v>0.18556000000000006</v>
      </c>
      <c r="F178" s="38">
        <v>0.19728000000000007</v>
      </c>
      <c r="G178" s="38">
        <v>3.2800000000000003E-2</v>
      </c>
    </row>
    <row r="179" spans="1:7" ht="15.75" thickBot="1">
      <c r="A179" s="3" t="s">
        <v>45</v>
      </c>
      <c r="B179" s="54">
        <v>7.8</v>
      </c>
      <c r="C179" s="30">
        <f t="shared" si="2"/>
        <v>7.5</v>
      </c>
      <c r="D179" s="14">
        <v>0.65634615384615391</v>
      </c>
      <c r="E179" s="14">
        <v>0.19380769230769235</v>
      </c>
      <c r="F179" s="38">
        <v>0.20507692307692313</v>
      </c>
      <c r="G179" s="38">
        <v>3.5384615384615382E-2</v>
      </c>
    </row>
    <row r="180" spans="1:7" ht="15.75" thickBot="1">
      <c r="A180" s="3" t="s">
        <v>46</v>
      </c>
      <c r="B180" s="54">
        <v>8.4</v>
      </c>
      <c r="C180" s="30">
        <f t="shared" si="2"/>
        <v>7.8</v>
      </c>
      <c r="D180" s="14">
        <v>0.68089285714285719</v>
      </c>
      <c r="E180" s="14">
        <v>0.20853571428571432</v>
      </c>
      <c r="F180" s="38">
        <v>0.21900000000000006</v>
      </c>
      <c r="G180" s="38">
        <v>4.0000000000000008E-2</v>
      </c>
    </row>
    <row r="181" spans="1:7" ht="15.75" thickBot="1">
      <c r="A181" s="3" t="s">
        <v>47</v>
      </c>
      <c r="B181" s="54">
        <v>9.3000000000000007</v>
      </c>
      <c r="C181" s="30">
        <f t="shared" si="2"/>
        <v>8.4</v>
      </c>
      <c r="D181" s="14">
        <v>0.71177419354838722</v>
      </c>
      <c r="E181" s="14">
        <v>0.22706451612903233</v>
      </c>
      <c r="F181" s="38">
        <v>0.2365161290322581</v>
      </c>
      <c r="G181" s="38">
        <v>7.4838709677419374E-2</v>
      </c>
    </row>
    <row r="182" spans="1:7" ht="15.75" thickBot="1">
      <c r="A182" s="3" t="s">
        <v>48</v>
      </c>
      <c r="B182" s="54">
        <v>10.5</v>
      </c>
      <c r="C182" s="30">
        <f t="shared" si="2"/>
        <v>9.3000000000000007</v>
      </c>
      <c r="D182" s="14">
        <v>0.74471428571428577</v>
      </c>
      <c r="E182" s="14">
        <v>0.24682857142857145</v>
      </c>
      <c r="F182" s="38">
        <v>0.25520000000000004</v>
      </c>
      <c r="G182" s="38">
        <v>0.11199999999999999</v>
      </c>
    </row>
    <row r="183" spans="1:7" ht="15.75" thickBot="1">
      <c r="A183" s="3" t="s">
        <v>49</v>
      </c>
      <c r="B183" s="54">
        <v>12.4</v>
      </c>
      <c r="C183" s="30">
        <f t="shared" si="2"/>
        <v>10.5</v>
      </c>
      <c r="D183" s="14">
        <v>0.78383064516129031</v>
      </c>
      <c r="E183" s="14">
        <v>0.27029838709677423</v>
      </c>
      <c r="F183" s="38">
        <v>0.2773870967741936</v>
      </c>
      <c r="G183" s="38">
        <v>0.15612903225806452</v>
      </c>
    </row>
    <row r="184" spans="1:7" ht="15.75" thickBot="1">
      <c r="A184" s="3" t="s">
        <v>50</v>
      </c>
      <c r="B184" s="54">
        <v>15.8</v>
      </c>
      <c r="C184" s="30">
        <f t="shared" si="2"/>
        <v>12.4</v>
      </c>
      <c r="D184" s="14">
        <v>0.83034810126582292</v>
      </c>
      <c r="E184" s="14">
        <v>0.29820886075949371</v>
      </c>
      <c r="F184" s="38">
        <v>0.30377215189873419</v>
      </c>
      <c r="G184" s="38">
        <v>0.20860759493670886</v>
      </c>
    </row>
    <row r="185" spans="1:7" ht="15.75" thickBot="1">
      <c r="A185" s="3" t="s">
        <v>51</v>
      </c>
      <c r="B185" s="54">
        <v>26.7</v>
      </c>
      <c r="C185" s="30">
        <f t="shared" si="2"/>
        <v>15.8</v>
      </c>
      <c r="D185" s="14">
        <v>0.89960674157303377</v>
      </c>
      <c r="E185" s="14">
        <v>0.33976404494382023</v>
      </c>
      <c r="F185" s="38">
        <v>0.34305617977528097</v>
      </c>
      <c r="G185" s="38">
        <v>0.28674157303370784</v>
      </c>
    </row>
    <row r="186" spans="1:7" ht="15.75" thickBot="1">
      <c r="A186" s="3" t="s">
        <v>52</v>
      </c>
      <c r="B186" s="54">
        <v>34.200000000000003</v>
      </c>
      <c r="C186" s="30">
        <f t="shared" si="2"/>
        <v>26.7</v>
      </c>
      <c r="D186" s="14">
        <v>0.92162280701754395</v>
      </c>
      <c r="E186" s="14">
        <v>0.35297368421052627</v>
      </c>
      <c r="F186" s="38">
        <v>0.35554385964912288</v>
      </c>
      <c r="G186" s="38">
        <v>0.31157894736842112</v>
      </c>
    </row>
    <row r="187" spans="1:7" ht="15.75" thickBot="1">
      <c r="A187" s="3" t="s">
        <v>53</v>
      </c>
      <c r="B187" s="23">
        <v>42.9</v>
      </c>
      <c r="C187" s="30">
        <f>B186</f>
        <v>34.200000000000003</v>
      </c>
      <c r="D187" s="14">
        <v>0.93751748251748246</v>
      </c>
      <c r="E187" s="14">
        <v>0.36251048951048948</v>
      </c>
      <c r="F187" s="38">
        <v>0.36455944055944056</v>
      </c>
      <c r="G187" s="38">
        <v>0.32951048951048956</v>
      </c>
    </row>
    <row r="188" spans="1:7" ht="15.75" thickBot="1">
      <c r="A188" s="3" t="s">
        <v>53</v>
      </c>
      <c r="B188" s="3" t="s">
        <v>79</v>
      </c>
      <c r="C188" s="30">
        <f t="shared" si="2"/>
        <v>42.9</v>
      </c>
      <c r="D188" s="22"/>
      <c r="E188" s="1"/>
      <c r="F188" s="37"/>
      <c r="G188" s="39"/>
    </row>
    <row r="189" spans="1:7" ht="15.75" thickBot="1">
      <c r="A189" s="3"/>
      <c r="B189" s="3">
        <v>5.4</v>
      </c>
      <c r="C189" s="4"/>
      <c r="D189" s="22"/>
      <c r="E189" s="15">
        <v>8.5643696979710984E-2</v>
      </c>
      <c r="F189" s="26">
        <v>9.2379394229604644E-2</v>
      </c>
      <c r="G189" s="26">
        <v>3.4166555032204365E-2</v>
      </c>
    </row>
    <row r="190" spans="1:7" ht="60.75" thickBot="1">
      <c r="A190" s="5" t="s">
        <v>55</v>
      </c>
      <c r="B190" s="3">
        <v>6</v>
      </c>
      <c r="C190" s="4"/>
      <c r="D190" s="22"/>
      <c r="E190" s="12">
        <v>4.4674999999999994</v>
      </c>
      <c r="F190" s="45">
        <v>4.2233333333333327</v>
      </c>
      <c r="G190" s="46">
        <v>6</v>
      </c>
    </row>
    <row r="191" spans="1:7" ht="60.75" thickBot="1">
      <c r="A191" s="5" t="s">
        <v>56</v>
      </c>
      <c r="B191" s="4">
        <v>4.9000000000000004</v>
      </c>
      <c r="C191" s="4"/>
      <c r="D191" s="1"/>
      <c r="E191" s="1"/>
      <c r="F191" s="37"/>
      <c r="G191" s="37"/>
    </row>
    <row r="192" spans="1:7" ht="97.5" thickBot="1">
      <c r="A192" s="6" t="s">
        <v>57</v>
      </c>
      <c r="B192" s="4">
        <v>3.6</v>
      </c>
      <c r="C192" s="4"/>
      <c r="D192" s="1"/>
      <c r="E192" s="1">
        <v>2.6804999999999994</v>
      </c>
      <c r="F192" s="37">
        <v>2.5339999999999994</v>
      </c>
      <c r="G192" s="37">
        <v>3.5999999999999996</v>
      </c>
    </row>
    <row r="195" spans="1:7">
      <c r="A195" s="16" t="s">
        <v>64</v>
      </c>
      <c r="B195" s="17">
        <f>AVERAGE(B143:B182)</f>
        <v>4.4674999999999994</v>
      </c>
      <c r="C195" s="17"/>
    </row>
    <row r="196" spans="1:7">
      <c r="A196" s="16" t="s">
        <v>65</v>
      </c>
      <c r="B196" s="18">
        <f>AVERAGE(B148:B177)</f>
        <v>4.2233333333333327</v>
      </c>
      <c r="C196" s="18"/>
    </row>
    <row r="197" spans="1:7">
      <c r="A197" s="16" t="s">
        <v>66</v>
      </c>
      <c r="B197" s="18">
        <f>AVERAGE(B154:B172)</f>
        <v>4.1631578947368419</v>
      </c>
      <c r="C197" s="18"/>
    </row>
    <row r="200" spans="1:7" ht="15" customHeight="1">
      <c r="A200" s="473" t="s">
        <v>0</v>
      </c>
      <c r="B200" s="473" t="s">
        <v>3</v>
      </c>
      <c r="C200" s="473"/>
      <c r="D200" s="473"/>
      <c r="E200" s="40">
        <f>(1-E255)^(1/3)-1</f>
        <v>-2.7839405345645996E-2</v>
      </c>
      <c r="F200" s="40">
        <f>(1-F255)^(1/3)-1</f>
        <v>-3.0010499435246252E-2</v>
      </c>
      <c r="G200" s="40"/>
    </row>
    <row r="201" spans="1:7" ht="72">
      <c r="A201" s="473"/>
      <c r="B201" s="11" t="s">
        <v>4</v>
      </c>
      <c r="C201" s="11"/>
      <c r="D201" s="11" t="s">
        <v>80</v>
      </c>
      <c r="E201" s="11" t="s">
        <v>5</v>
      </c>
      <c r="F201" s="39" t="s">
        <v>5</v>
      </c>
      <c r="G201" s="39"/>
    </row>
    <row r="202" spans="1:7" ht="24">
      <c r="A202" s="473"/>
      <c r="B202" s="11" t="s">
        <v>9</v>
      </c>
      <c r="C202" s="11"/>
      <c r="D202" s="11" t="s">
        <v>7</v>
      </c>
      <c r="E202" s="55" t="s">
        <v>65</v>
      </c>
      <c r="F202" s="39"/>
      <c r="G202" s="56"/>
    </row>
    <row r="203" spans="1:7">
      <c r="A203" s="50">
        <v>1</v>
      </c>
      <c r="B203" s="51">
        <v>2</v>
      </c>
      <c r="C203" s="51"/>
      <c r="D203" s="51">
        <v>3</v>
      </c>
      <c r="E203" s="51">
        <v>4</v>
      </c>
      <c r="F203" s="52">
        <v>5</v>
      </c>
      <c r="G203" s="52"/>
    </row>
    <row r="204" spans="1:7">
      <c r="A204" s="27" t="s">
        <v>10</v>
      </c>
      <c r="B204" s="57">
        <v>1.4</v>
      </c>
      <c r="C204" s="163">
        <v>0</v>
      </c>
      <c r="D204" s="14">
        <v>0</v>
      </c>
      <c r="E204" s="14">
        <v>0</v>
      </c>
      <c r="F204" s="38">
        <v>0</v>
      </c>
      <c r="G204" s="38">
        <v>0</v>
      </c>
    </row>
    <row r="205" spans="1:7">
      <c r="A205" s="27" t="s">
        <v>58</v>
      </c>
      <c r="B205" s="57">
        <v>2</v>
      </c>
      <c r="C205" s="30">
        <f>B204</f>
        <v>1.4</v>
      </c>
      <c r="D205" s="14">
        <v>0</v>
      </c>
      <c r="E205" s="14">
        <v>0</v>
      </c>
      <c r="F205" s="38">
        <v>0</v>
      </c>
      <c r="G205" s="38">
        <v>0</v>
      </c>
    </row>
    <row r="206" spans="1:7">
      <c r="A206" s="27" t="s">
        <v>59</v>
      </c>
      <c r="B206" s="57">
        <v>2.4</v>
      </c>
      <c r="C206" s="30">
        <f t="shared" ref="C206:C254" si="3">B205</f>
        <v>2</v>
      </c>
      <c r="D206" s="14">
        <v>0</v>
      </c>
      <c r="E206" s="14">
        <v>0</v>
      </c>
      <c r="F206" s="38">
        <v>0</v>
      </c>
      <c r="G206" s="38">
        <v>0</v>
      </c>
    </row>
    <row r="207" spans="1:7">
      <c r="A207" s="27" t="s">
        <v>60</v>
      </c>
      <c r="B207" s="57">
        <v>2.7</v>
      </c>
      <c r="C207" s="30">
        <f t="shared" si="3"/>
        <v>2.4</v>
      </c>
      <c r="D207" s="14">
        <v>0</v>
      </c>
      <c r="E207" s="14">
        <v>0</v>
      </c>
      <c r="F207" s="38">
        <v>0</v>
      </c>
      <c r="G207" s="38">
        <v>0</v>
      </c>
    </row>
    <row r="208" spans="1:7">
      <c r="A208" s="27" t="s">
        <v>61</v>
      </c>
      <c r="B208" s="57">
        <v>3</v>
      </c>
      <c r="C208" s="30">
        <f t="shared" si="3"/>
        <v>2.7</v>
      </c>
      <c r="D208" s="14">
        <v>0</v>
      </c>
      <c r="E208" s="14">
        <v>0</v>
      </c>
      <c r="F208" s="38">
        <v>0</v>
      </c>
      <c r="G208" s="38">
        <v>0</v>
      </c>
    </row>
    <row r="209" spans="1:7">
      <c r="A209" s="27" t="s">
        <v>62</v>
      </c>
      <c r="B209" s="57">
        <v>3.2</v>
      </c>
      <c r="C209" s="30">
        <f t="shared" si="3"/>
        <v>3</v>
      </c>
      <c r="D209" s="14">
        <v>0</v>
      </c>
      <c r="E209" s="14">
        <v>0</v>
      </c>
      <c r="F209" s="38">
        <v>0</v>
      </c>
      <c r="G209" s="38">
        <v>0</v>
      </c>
    </row>
    <row r="210" spans="1:7">
      <c r="A210" s="27" t="s">
        <v>63</v>
      </c>
      <c r="B210" s="57">
        <v>3.5</v>
      </c>
      <c r="C210" s="30">
        <f t="shared" si="3"/>
        <v>3.2</v>
      </c>
      <c r="D210" s="14">
        <v>0</v>
      </c>
      <c r="E210" s="14">
        <v>0</v>
      </c>
      <c r="F210" s="38">
        <v>0</v>
      </c>
      <c r="G210" s="38">
        <v>0</v>
      </c>
    </row>
    <row r="211" spans="1:7">
      <c r="A211" s="29" t="s">
        <v>11</v>
      </c>
      <c r="B211" s="57">
        <v>3.7</v>
      </c>
      <c r="C211" s="30">
        <f t="shared" si="3"/>
        <v>3.5</v>
      </c>
      <c r="D211" s="14">
        <v>0</v>
      </c>
      <c r="E211" s="14">
        <v>0</v>
      </c>
      <c r="F211" s="38">
        <v>0</v>
      </c>
      <c r="G211" s="38">
        <v>0</v>
      </c>
    </row>
    <row r="212" spans="1:7">
      <c r="A212" s="29" t="s">
        <v>12</v>
      </c>
      <c r="B212" s="57">
        <v>3.9</v>
      </c>
      <c r="C212" s="30">
        <f t="shared" si="3"/>
        <v>3.7</v>
      </c>
      <c r="D212" s="14">
        <v>0</v>
      </c>
      <c r="E212" s="14">
        <v>0</v>
      </c>
      <c r="F212" s="38">
        <v>0</v>
      </c>
      <c r="G212" s="38">
        <v>0</v>
      </c>
    </row>
    <row r="213" spans="1:7">
      <c r="A213" s="29" t="s">
        <v>13</v>
      </c>
      <c r="B213" s="57">
        <v>4.0999999999999996</v>
      </c>
      <c r="C213" s="30">
        <f t="shared" si="3"/>
        <v>3.9</v>
      </c>
      <c r="D213" s="14">
        <v>0</v>
      </c>
      <c r="E213" s="14">
        <v>0</v>
      </c>
      <c r="F213" s="38">
        <v>0</v>
      </c>
      <c r="G213" s="38">
        <v>0</v>
      </c>
    </row>
    <row r="214" spans="1:7">
      <c r="A214" s="29" t="s">
        <v>14</v>
      </c>
      <c r="B214" s="57">
        <v>4.3</v>
      </c>
      <c r="C214" s="30">
        <f t="shared" si="3"/>
        <v>4.0999999999999996</v>
      </c>
      <c r="D214" s="14">
        <v>0</v>
      </c>
      <c r="E214" s="14">
        <v>0</v>
      </c>
      <c r="F214" s="38">
        <v>0</v>
      </c>
      <c r="G214" s="38">
        <v>0</v>
      </c>
    </row>
    <row r="215" spans="1:7">
      <c r="A215" s="29" t="s">
        <v>15</v>
      </c>
      <c r="B215" s="57">
        <v>4.5</v>
      </c>
      <c r="C215" s="30">
        <f t="shared" si="3"/>
        <v>4.3</v>
      </c>
      <c r="D215" s="14">
        <v>0</v>
      </c>
      <c r="E215" s="14">
        <v>0</v>
      </c>
      <c r="F215" s="38">
        <v>4.044444444444433E-3</v>
      </c>
      <c r="G215" s="38">
        <v>0</v>
      </c>
    </row>
    <row r="216" spans="1:7">
      <c r="A216" s="29" t="s">
        <v>16</v>
      </c>
      <c r="B216" s="57">
        <v>4.5999999999999996</v>
      </c>
      <c r="C216" s="30">
        <f t="shared" si="3"/>
        <v>4.5</v>
      </c>
      <c r="D216" s="14">
        <v>1.5543478260869447E-2</v>
      </c>
      <c r="E216" s="14"/>
      <c r="F216" s="38">
        <v>6.1304347826086781E-3</v>
      </c>
      <c r="G216" s="38">
        <v>0</v>
      </c>
    </row>
    <row r="217" spans="1:7">
      <c r="A217" s="29" t="s">
        <v>17</v>
      </c>
      <c r="B217" s="57">
        <v>4.8</v>
      </c>
      <c r="C217" s="30">
        <f t="shared" si="3"/>
        <v>4.5999999999999996</v>
      </c>
      <c r="D217" s="14">
        <v>5.6562499999999925E-2</v>
      </c>
      <c r="E217" s="14"/>
      <c r="F217" s="38">
        <v>1.0041666666666654E-2</v>
      </c>
      <c r="G217" s="38">
        <v>0</v>
      </c>
    </row>
    <row r="218" spans="1:7">
      <c r="A218" s="29" t="s">
        <v>18</v>
      </c>
      <c r="B218" s="57">
        <v>5</v>
      </c>
      <c r="C218" s="30">
        <f t="shared" si="3"/>
        <v>4.8</v>
      </c>
      <c r="D218" s="14">
        <v>9.4299999999999967E-2</v>
      </c>
      <c r="E218" s="14"/>
      <c r="F218" s="38">
        <v>1.3639999999999991E-2</v>
      </c>
      <c r="G218" s="38">
        <v>0</v>
      </c>
    </row>
    <row r="219" spans="1:7">
      <c r="A219" s="29" t="s">
        <v>19</v>
      </c>
      <c r="B219" s="57">
        <v>5.2</v>
      </c>
      <c r="C219" s="30">
        <f t="shared" si="3"/>
        <v>5</v>
      </c>
      <c r="D219" s="14">
        <v>0.12913461538461538</v>
      </c>
      <c r="E219" s="14">
        <v>1.2913461538461539E-2</v>
      </c>
      <c r="F219" s="38">
        <v>1.6961538461538455E-2</v>
      </c>
      <c r="G219" s="38">
        <v>3.0769230769230795E-3</v>
      </c>
    </row>
    <row r="220" spans="1:7">
      <c r="A220" s="29" t="s">
        <v>20</v>
      </c>
      <c r="B220" s="57">
        <v>5.3</v>
      </c>
      <c r="C220" s="30">
        <f t="shared" si="3"/>
        <v>5.2</v>
      </c>
      <c r="D220" s="14">
        <v>0.145566037735849</v>
      </c>
      <c r="E220" s="14">
        <v>1.4556603773584901E-2</v>
      </c>
      <c r="F220" s="38">
        <v>1.8528301886792442E-2</v>
      </c>
      <c r="G220" s="38">
        <v>4.9056603773584874E-3</v>
      </c>
    </row>
    <row r="221" spans="1:7">
      <c r="A221" s="29" t="s">
        <v>21</v>
      </c>
      <c r="B221" s="57">
        <v>5.5</v>
      </c>
      <c r="C221" s="30">
        <f t="shared" si="3"/>
        <v>5.3</v>
      </c>
      <c r="D221" s="14">
        <v>0.17663636363636359</v>
      </c>
      <c r="E221" s="14">
        <v>1.7663636363636361E-2</v>
      </c>
      <c r="F221" s="38">
        <v>2.1490909090909085E-2</v>
      </c>
      <c r="G221" s="38">
        <v>8.363636363636363E-3</v>
      </c>
    </row>
    <row r="222" spans="1:7">
      <c r="A222" s="29" t="s">
        <v>22</v>
      </c>
      <c r="B222" s="57">
        <v>5.7</v>
      </c>
      <c r="C222" s="30">
        <f t="shared" si="3"/>
        <v>5.5</v>
      </c>
      <c r="D222" s="14">
        <v>0.20552631578947367</v>
      </c>
      <c r="E222" s="14">
        <v>2.0552631578947368E-2</v>
      </c>
      <c r="F222" s="38">
        <v>2.4245614035087713E-2</v>
      </c>
      <c r="G222" s="38">
        <v>1.1578947368421055E-2</v>
      </c>
    </row>
    <row r="223" spans="1:7">
      <c r="A223" s="29" t="s">
        <v>23</v>
      </c>
      <c r="B223" s="57">
        <v>5.9</v>
      </c>
      <c r="C223" s="30">
        <f t="shared" si="3"/>
        <v>5.7</v>
      </c>
      <c r="D223" s="14">
        <v>0.23245762711864409</v>
      </c>
      <c r="E223" s="14">
        <v>2.3245762711864407E-2</v>
      </c>
      <c r="F223" s="38">
        <v>2.6813559322033897E-2</v>
      </c>
      <c r="G223" s="38">
        <v>1.4576271186440682E-2</v>
      </c>
    </row>
    <row r="224" spans="1:7">
      <c r="A224" s="29" t="s">
        <v>24</v>
      </c>
      <c r="B224" s="57">
        <v>6.1</v>
      </c>
      <c r="C224" s="30">
        <f t="shared" si="3"/>
        <v>5.9</v>
      </c>
      <c r="D224" s="14">
        <v>0.25762295081967207</v>
      </c>
      <c r="E224" s="14">
        <v>2.5762295081967208E-2</v>
      </c>
      <c r="F224" s="38">
        <v>2.9213114754098348E-2</v>
      </c>
      <c r="G224" s="38">
        <v>1.7377049180327866E-2</v>
      </c>
    </row>
    <row r="225" spans="1:7">
      <c r="A225" s="29" t="s">
        <v>25</v>
      </c>
      <c r="B225" s="57">
        <v>6.3</v>
      </c>
      <c r="C225" s="30">
        <f t="shared" si="3"/>
        <v>6.1</v>
      </c>
      <c r="D225" s="14">
        <v>0.28119047619047616</v>
      </c>
      <c r="E225" s="14">
        <v>2.8119047619047616E-2</v>
      </c>
      <c r="F225" s="38">
        <v>3.1460317460317452E-2</v>
      </c>
      <c r="G225" s="38">
        <v>1.9999999999999997E-2</v>
      </c>
    </row>
    <row r="226" spans="1:7">
      <c r="A226" s="29" t="s">
        <v>26</v>
      </c>
      <c r="B226" s="57">
        <v>6.4</v>
      </c>
      <c r="C226" s="30">
        <f t="shared" si="3"/>
        <v>6.3</v>
      </c>
      <c r="D226" s="14">
        <v>0.292421875</v>
      </c>
      <c r="E226" s="14">
        <v>2.9242187500000006E-2</v>
      </c>
      <c r="F226" s="38">
        <v>3.2531249999999998E-2</v>
      </c>
      <c r="G226" s="38">
        <v>2.1250000000000005E-2</v>
      </c>
    </row>
    <row r="227" spans="1:7">
      <c r="A227" s="29" t="s">
        <v>27</v>
      </c>
      <c r="B227" s="57">
        <v>6.6</v>
      </c>
      <c r="C227" s="30">
        <f t="shared" si="3"/>
        <v>6.4</v>
      </c>
      <c r="D227" s="14">
        <v>0.31386363636363629</v>
      </c>
      <c r="E227" s="14">
        <v>3.1386363636363629E-2</v>
      </c>
      <c r="F227" s="38">
        <v>3.4575757575757565E-2</v>
      </c>
      <c r="G227" s="38">
        <v>2.3636363636363632E-2</v>
      </c>
    </row>
    <row r="228" spans="1:7">
      <c r="A228" s="29" t="s">
        <v>28</v>
      </c>
      <c r="B228" s="57">
        <v>6.8</v>
      </c>
      <c r="C228" s="30">
        <f t="shared" si="3"/>
        <v>6.6</v>
      </c>
      <c r="D228" s="14">
        <v>0.33404411764705877</v>
      </c>
      <c r="E228" s="14">
        <v>3.3404411764705877E-2</v>
      </c>
      <c r="F228" s="38">
        <v>3.6499999999999991E-2</v>
      </c>
      <c r="G228" s="38">
        <v>2.5882352941176471E-2</v>
      </c>
    </row>
    <row r="229" spans="1:7">
      <c r="A229" s="29" t="s">
        <v>29</v>
      </c>
      <c r="B229" s="57">
        <v>7</v>
      </c>
      <c r="C229" s="30">
        <f t="shared" si="3"/>
        <v>6.8</v>
      </c>
      <c r="D229" s="14">
        <v>0.35307142857142854</v>
      </c>
      <c r="E229" s="14">
        <v>3.5307142857142856E-2</v>
      </c>
      <c r="F229" s="38">
        <v>3.8314285714285704E-2</v>
      </c>
      <c r="G229" s="38">
        <v>2.8000000000000001E-2</v>
      </c>
    </row>
    <row r="230" spans="1:7">
      <c r="A230" s="29" t="s">
        <v>30</v>
      </c>
      <c r="B230" s="57">
        <v>7.2</v>
      </c>
      <c r="C230" s="30">
        <f t="shared" si="3"/>
        <v>7</v>
      </c>
      <c r="D230" s="14">
        <v>0.37104166666666666</v>
      </c>
      <c r="E230" s="14">
        <v>3.7104166666666667E-2</v>
      </c>
      <c r="F230" s="38">
        <v>4.0166666666666614E-2</v>
      </c>
      <c r="G230" s="38">
        <v>3.0000000000000002E-2</v>
      </c>
    </row>
    <row r="231" spans="1:7">
      <c r="A231" s="29" t="s">
        <v>31</v>
      </c>
      <c r="B231" s="57">
        <v>7.4</v>
      </c>
      <c r="C231" s="30">
        <f t="shared" si="3"/>
        <v>7.2</v>
      </c>
      <c r="D231" s="14">
        <v>0.38804054054054055</v>
      </c>
      <c r="E231" s="14">
        <v>3.8804054054054057E-2</v>
      </c>
      <c r="F231" s="38">
        <v>4.9891891891891846E-2</v>
      </c>
      <c r="G231" s="38">
        <v>3.1891891891891899E-2</v>
      </c>
    </row>
    <row r="232" spans="1:7">
      <c r="A232" s="29" t="s">
        <v>32</v>
      </c>
      <c r="B232" s="57">
        <v>7.7</v>
      </c>
      <c r="C232" s="30">
        <f t="shared" si="3"/>
        <v>7.4</v>
      </c>
      <c r="D232" s="14">
        <v>0.41188311688311685</v>
      </c>
      <c r="E232" s="14">
        <v>4.7129870129870091E-2</v>
      </c>
      <c r="F232" s="38">
        <v>6.3532467532467482E-2</v>
      </c>
      <c r="G232" s="38">
        <v>3.4545454545454546E-2</v>
      </c>
    </row>
    <row r="233" spans="1:7">
      <c r="A233" s="29" t="s">
        <v>33</v>
      </c>
      <c r="B233" s="57">
        <v>7.9</v>
      </c>
      <c r="C233" s="30">
        <f t="shared" si="3"/>
        <v>7.7</v>
      </c>
      <c r="D233" s="14">
        <v>0.42677215189873419</v>
      </c>
      <c r="E233" s="14">
        <v>5.6063291139240468E-2</v>
      </c>
      <c r="F233" s="38">
        <v>7.2050632911392368E-2</v>
      </c>
      <c r="G233" s="38">
        <v>3.6202531645569622E-2</v>
      </c>
    </row>
    <row r="234" spans="1:7">
      <c r="A234" s="29" t="s">
        <v>34</v>
      </c>
      <c r="B234" s="57">
        <v>8.1</v>
      </c>
      <c r="C234" s="30">
        <f t="shared" si="3"/>
        <v>7.9</v>
      </c>
      <c r="D234" s="14">
        <v>0.44092592592592589</v>
      </c>
      <c r="E234" s="14">
        <v>6.4555555555555491E-2</v>
      </c>
      <c r="F234" s="38">
        <v>8.0148148148148066E-2</v>
      </c>
      <c r="G234" s="38">
        <v>3.7777777777777778E-2</v>
      </c>
    </row>
    <row r="235" spans="1:7">
      <c r="A235" s="29" t="s">
        <v>35</v>
      </c>
      <c r="B235" s="57">
        <v>8.4</v>
      </c>
      <c r="C235" s="30">
        <f t="shared" si="3"/>
        <v>8.1</v>
      </c>
      <c r="D235" s="14">
        <v>0.46089285714285716</v>
      </c>
      <c r="E235" s="14">
        <v>7.6535714285714262E-2</v>
      </c>
      <c r="F235" s="38">
        <v>9.1571428571428526E-2</v>
      </c>
      <c r="G235" s="38">
        <v>4.0000000000000008E-2</v>
      </c>
    </row>
    <row r="236" spans="1:7">
      <c r="A236" s="29" t="s">
        <v>36</v>
      </c>
      <c r="B236" s="57">
        <v>8.6999999999999993</v>
      </c>
      <c r="C236" s="30">
        <f t="shared" si="3"/>
        <v>8.4</v>
      </c>
      <c r="D236" s="14">
        <v>0.47948275862068956</v>
      </c>
      <c r="E236" s="14">
        <v>8.7689655172413727E-2</v>
      </c>
      <c r="F236" s="38">
        <v>0.10220689655172407</v>
      </c>
      <c r="G236" s="38">
        <v>5.2413793103448236E-2</v>
      </c>
    </row>
    <row r="237" spans="1:7">
      <c r="A237" s="29" t="s">
        <v>37</v>
      </c>
      <c r="B237" s="57">
        <v>9</v>
      </c>
      <c r="C237" s="30">
        <f t="shared" si="3"/>
        <v>8.6999999999999993</v>
      </c>
      <c r="D237" s="14">
        <v>0.49683333333333329</v>
      </c>
      <c r="E237" s="14">
        <v>9.8099999999999951E-2</v>
      </c>
      <c r="F237" s="38">
        <v>0.11213333333333329</v>
      </c>
      <c r="G237" s="38">
        <v>6.4000000000000001E-2</v>
      </c>
    </row>
    <row r="238" spans="1:7">
      <c r="A238" s="29" t="s">
        <v>38</v>
      </c>
      <c r="B238" s="57">
        <v>9.3000000000000007</v>
      </c>
      <c r="C238" s="30">
        <f t="shared" si="3"/>
        <v>9</v>
      </c>
      <c r="D238" s="14">
        <v>0.51306451612903226</v>
      </c>
      <c r="E238" s="14">
        <v>0.10783870967741933</v>
      </c>
      <c r="F238" s="38">
        <v>0.12141935483870964</v>
      </c>
      <c r="G238" s="38">
        <v>7.4838709677419374E-2</v>
      </c>
    </row>
    <row r="239" spans="1:7">
      <c r="A239" s="29" t="s">
        <v>39</v>
      </c>
      <c r="B239" s="57">
        <v>9.6</v>
      </c>
      <c r="C239" s="30">
        <f t="shared" si="3"/>
        <v>9.3000000000000007</v>
      </c>
      <c r="D239" s="14">
        <v>0.52828124999999992</v>
      </c>
      <c r="E239" s="14">
        <v>0.11696874999999995</v>
      </c>
      <c r="F239" s="38">
        <v>0.13012499999999994</v>
      </c>
      <c r="G239" s="38">
        <v>8.4999999999999992E-2</v>
      </c>
    </row>
    <row r="240" spans="1:7">
      <c r="A240" s="29" t="s">
        <v>40</v>
      </c>
      <c r="B240" s="57">
        <v>10</v>
      </c>
      <c r="C240" s="30">
        <f t="shared" si="3"/>
        <v>9.6</v>
      </c>
      <c r="D240" s="14">
        <v>0.54715000000000003</v>
      </c>
      <c r="E240" s="14">
        <v>0.12828999999999996</v>
      </c>
      <c r="F240" s="38">
        <v>0.14091999999999996</v>
      </c>
      <c r="G240" s="38">
        <v>9.7599999999999992E-2</v>
      </c>
    </row>
    <row r="241" spans="1:7">
      <c r="A241" s="29" t="s">
        <v>41</v>
      </c>
      <c r="B241" s="57">
        <v>10.4</v>
      </c>
      <c r="C241" s="30">
        <f t="shared" si="3"/>
        <v>10</v>
      </c>
      <c r="D241" s="14">
        <v>0.56456730769230767</v>
      </c>
      <c r="E241" s="14">
        <v>0.1387403846153846</v>
      </c>
      <c r="F241" s="38">
        <v>0.15088461538461534</v>
      </c>
      <c r="G241" s="38">
        <v>0.10923076923076924</v>
      </c>
    </row>
    <row r="242" spans="1:7">
      <c r="A242" s="29" t="s">
        <v>42</v>
      </c>
      <c r="B242" s="57">
        <v>10.8</v>
      </c>
      <c r="C242" s="30">
        <f t="shared" si="3"/>
        <v>10.4</v>
      </c>
      <c r="D242" s="14">
        <v>0.5806944444444444</v>
      </c>
      <c r="E242" s="14">
        <v>0.14841666666666667</v>
      </c>
      <c r="F242" s="38">
        <v>0.16011111111111109</v>
      </c>
      <c r="G242" s="38">
        <v>0.12000000000000002</v>
      </c>
    </row>
    <row r="243" spans="1:7">
      <c r="A243" s="29" t="s">
        <v>43</v>
      </c>
      <c r="B243" s="57">
        <v>11.4</v>
      </c>
      <c r="C243" s="30">
        <f t="shared" si="3"/>
        <v>10.8</v>
      </c>
      <c r="D243" s="14">
        <v>0.60276315789473689</v>
      </c>
      <c r="E243" s="14">
        <v>0.16165789473684208</v>
      </c>
      <c r="F243" s="38">
        <v>0.17273684210526311</v>
      </c>
      <c r="G243" s="38">
        <v>0.13473684210526318</v>
      </c>
    </row>
    <row r="244" spans="1:7">
      <c r="A244" s="29" t="s">
        <v>44</v>
      </c>
      <c r="B244" s="57">
        <v>11.9</v>
      </c>
      <c r="C244" s="30">
        <f t="shared" si="3"/>
        <v>11.4</v>
      </c>
      <c r="D244" s="14">
        <v>0.619453781512605</v>
      </c>
      <c r="E244" s="14">
        <v>0.17167226890756301</v>
      </c>
      <c r="F244" s="38">
        <v>0.18228571428571427</v>
      </c>
      <c r="G244" s="38">
        <v>0.14588235294117649</v>
      </c>
    </row>
    <row r="245" spans="1:7">
      <c r="A245" s="29" t="s">
        <v>45</v>
      </c>
      <c r="B245" s="57">
        <v>12.6</v>
      </c>
      <c r="C245" s="30">
        <f t="shared" si="3"/>
        <v>11.9</v>
      </c>
      <c r="D245" s="14">
        <v>0.64059523809523811</v>
      </c>
      <c r="E245" s="14">
        <v>0.18435714285714283</v>
      </c>
      <c r="F245" s="38">
        <v>0.19438095238095238</v>
      </c>
      <c r="G245" s="38">
        <v>0.16</v>
      </c>
    </row>
    <row r="246" spans="1:7">
      <c r="A246" s="29" t="s">
        <v>46</v>
      </c>
      <c r="B246" s="57">
        <v>13.3</v>
      </c>
      <c r="C246" s="30">
        <f t="shared" si="3"/>
        <v>12.6</v>
      </c>
      <c r="D246" s="14">
        <v>0.6595112781954886</v>
      </c>
      <c r="E246" s="14">
        <v>0.19570676691729322</v>
      </c>
      <c r="F246" s="38">
        <v>0.205203007518797</v>
      </c>
      <c r="G246" s="38">
        <v>0.17263157894736844</v>
      </c>
    </row>
    <row r="247" spans="1:7">
      <c r="A247" s="29" t="s">
        <v>47</v>
      </c>
      <c r="B247" s="57">
        <v>14.2</v>
      </c>
      <c r="C247" s="30">
        <f t="shared" si="3"/>
        <v>13.3</v>
      </c>
      <c r="D247" s="14">
        <v>0.68109154929577453</v>
      </c>
      <c r="E247" s="14">
        <v>0.20865492957746479</v>
      </c>
      <c r="F247" s="38">
        <v>0.21754929577464785</v>
      </c>
      <c r="G247" s="38">
        <v>0.18704225352112674</v>
      </c>
    </row>
    <row r="248" spans="1:7">
      <c r="A248" s="29" t="s">
        <v>48</v>
      </c>
      <c r="B248" s="57">
        <v>15.6</v>
      </c>
      <c r="C248" s="30">
        <f t="shared" si="3"/>
        <v>14.2</v>
      </c>
      <c r="D248" s="14">
        <v>0.70971153846153845</v>
      </c>
      <c r="E248" s="14">
        <v>0.22582692307692306</v>
      </c>
      <c r="F248" s="38">
        <v>0.23392307692307693</v>
      </c>
      <c r="G248" s="38">
        <v>0.20615384615384616</v>
      </c>
    </row>
    <row r="249" spans="1:7">
      <c r="A249" s="29" t="s">
        <v>49</v>
      </c>
      <c r="B249" s="57">
        <v>17.5</v>
      </c>
      <c r="C249" s="30">
        <f t="shared" si="3"/>
        <v>15.6</v>
      </c>
      <c r="D249" s="14">
        <v>0.74122857142857135</v>
      </c>
      <c r="E249" s="14">
        <v>0.24473714285714285</v>
      </c>
      <c r="F249" s="38">
        <v>0.25195428571428569</v>
      </c>
      <c r="G249" s="38">
        <v>0.22719999999999999</v>
      </c>
    </row>
    <row r="250" spans="1:7">
      <c r="A250" s="29" t="s">
        <v>50</v>
      </c>
      <c r="B250" s="57">
        <v>20.2</v>
      </c>
      <c r="C250" s="30">
        <f t="shared" si="3"/>
        <v>17.5</v>
      </c>
      <c r="D250" s="14">
        <v>0.77581683168316828</v>
      </c>
      <c r="E250" s="14">
        <v>0.265490099009901</v>
      </c>
      <c r="F250" s="38">
        <v>0.27174257425742571</v>
      </c>
      <c r="G250" s="38">
        <v>0.2502970297029703</v>
      </c>
    </row>
    <row r="251" spans="1:7">
      <c r="A251" s="29" t="s">
        <v>51</v>
      </c>
      <c r="B251" s="57">
        <v>24.2</v>
      </c>
      <c r="C251" s="30">
        <f t="shared" si="3"/>
        <v>20.2</v>
      </c>
      <c r="D251" s="14">
        <v>0.81287190082644623</v>
      </c>
      <c r="E251" s="14">
        <v>0.28772314049586772</v>
      </c>
      <c r="F251" s="38">
        <v>0.29294214876033053</v>
      </c>
      <c r="G251" s="38">
        <v>0.2750413223140496</v>
      </c>
    </row>
    <row r="252" spans="1:7">
      <c r="A252" s="29" t="s">
        <v>52</v>
      </c>
      <c r="B252" s="57">
        <v>34.200000000000003</v>
      </c>
      <c r="C252" s="30">
        <f t="shared" si="3"/>
        <v>24.2</v>
      </c>
      <c r="D252" s="14">
        <v>0.86758771929824563</v>
      </c>
      <c r="E252" s="14">
        <v>0.32055263157894737</v>
      </c>
      <c r="F252" s="38">
        <v>0.32424561403508767</v>
      </c>
      <c r="G252" s="38">
        <v>0.31157894736842112</v>
      </c>
    </row>
    <row r="253" spans="1:7">
      <c r="A253" s="29" t="s">
        <v>53</v>
      </c>
      <c r="B253" s="29">
        <v>66.8</v>
      </c>
      <c r="C253" s="30">
        <f>B252</f>
        <v>34.200000000000003</v>
      </c>
      <c r="D253" s="14">
        <v>0.93220808383233533</v>
      </c>
      <c r="E253" s="14">
        <v>0.3593248502994012</v>
      </c>
      <c r="F253" s="38">
        <v>0.36121556886227546</v>
      </c>
      <c r="G253" s="38">
        <v>0.35473053892215567</v>
      </c>
    </row>
    <row r="254" spans="1:7">
      <c r="A254" s="29" t="s">
        <v>53</v>
      </c>
      <c r="B254" s="29" t="s">
        <v>77</v>
      </c>
      <c r="C254" s="30">
        <f t="shared" si="3"/>
        <v>66.8</v>
      </c>
      <c r="D254" s="58"/>
      <c r="E254" s="11"/>
      <c r="F254" s="39"/>
      <c r="G254" s="39"/>
    </row>
    <row r="255" spans="1:7">
      <c r="A255" s="29"/>
      <c r="B255" s="29">
        <v>5.4</v>
      </c>
      <c r="C255" s="29"/>
      <c r="D255" s="58"/>
      <c r="E255" s="32">
        <v>8.1214695010585661E-2</v>
      </c>
      <c r="F255" s="40">
        <v>8.7356636435077697E-2</v>
      </c>
      <c r="G255" s="40">
        <v>6.8348856879587111E-2</v>
      </c>
    </row>
    <row r="256" spans="1:7" ht="60">
      <c r="A256" s="33" t="s">
        <v>55</v>
      </c>
      <c r="B256" s="29">
        <v>8.4</v>
      </c>
      <c r="C256" s="29"/>
      <c r="D256" s="58"/>
      <c r="E256" s="34">
        <v>7.5475000000000012</v>
      </c>
      <c r="F256" s="41">
        <v>7.1966666666666681</v>
      </c>
      <c r="G256" s="42">
        <v>8.4</v>
      </c>
    </row>
    <row r="257" spans="1:7" ht="60">
      <c r="A257" s="33" t="s">
        <v>56</v>
      </c>
      <c r="B257" s="29">
        <v>9.1999999999999993</v>
      </c>
      <c r="C257" s="29"/>
      <c r="D257" s="11"/>
      <c r="E257" s="11"/>
      <c r="F257" s="39"/>
      <c r="G257" s="39"/>
    </row>
    <row r="258" spans="1:7" ht="96.75">
      <c r="A258" s="35" t="s">
        <v>57</v>
      </c>
      <c r="B258" s="29">
        <v>5</v>
      </c>
      <c r="C258" s="29"/>
      <c r="D258" s="11"/>
      <c r="E258" s="11">
        <v>4.5285000000000002</v>
      </c>
      <c r="F258" s="39">
        <v>4.3180000000000005</v>
      </c>
      <c r="G258" s="39">
        <v>5.04</v>
      </c>
    </row>
    <row r="261" spans="1:7">
      <c r="A261" s="16" t="s">
        <v>64</v>
      </c>
      <c r="B261" s="17">
        <f>AVERAGE(B209:B248)</f>
        <v>7.5475000000000012</v>
      </c>
      <c r="C261" s="17"/>
    </row>
    <row r="262" spans="1:7">
      <c r="A262" s="16" t="s">
        <v>65</v>
      </c>
      <c r="B262" s="18">
        <f>AVERAGE(B214:B243)</f>
        <v>7.1966666666666681</v>
      </c>
      <c r="C262" s="18"/>
    </row>
    <row r="263" spans="1:7">
      <c r="A263" s="16" t="s">
        <v>66</v>
      </c>
      <c r="B263" s="18">
        <f>AVERAGE(B220:B238)</f>
        <v>7.121052631578948</v>
      </c>
      <c r="C263" s="18"/>
    </row>
    <row r="265" spans="1:7" ht="15.75" thickBot="1"/>
    <row r="266" spans="1:7" ht="15" customHeight="1" thickBot="1">
      <c r="A266" s="522" t="s">
        <v>0</v>
      </c>
      <c r="B266" s="525" t="s">
        <v>67</v>
      </c>
      <c r="C266" s="526"/>
      <c r="D266" s="527"/>
      <c r="E266" s="19">
        <f>(1-E321)^(1/3)-1</f>
        <v>-2.8229530833971395E-2</v>
      </c>
      <c r="F266" s="19">
        <f>(1-F321)^(1/3)-1</f>
        <v>-2.8679339553748129E-2</v>
      </c>
      <c r="G266" s="19"/>
    </row>
    <row r="267" spans="1:7" ht="72.75" thickBot="1">
      <c r="A267" s="523"/>
      <c r="B267" s="11" t="s">
        <v>4</v>
      </c>
      <c r="C267" s="65"/>
      <c r="D267" s="11" t="s">
        <v>80</v>
      </c>
      <c r="E267" s="11" t="s">
        <v>5</v>
      </c>
      <c r="F267" s="39" t="s">
        <v>5</v>
      </c>
      <c r="G267" s="39"/>
    </row>
    <row r="268" spans="1:7" ht="25.5" thickBot="1">
      <c r="A268" s="524"/>
      <c r="B268" s="3" t="s">
        <v>68</v>
      </c>
      <c r="D268" s="20" t="s">
        <v>7</v>
      </c>
      <c r="E268" s="20" t="s">
        <v>7</v>
      </c>
      <c r="F268" s="20" t="s">
        <v>7</v>
      </c>
      <c r="G268" s="20"/>
    </row>
    <row r="269" spans="1:7" ht="15.75" thickBot="1">
      <c r="A269" s="50">
        <v>1</v>
      </c>
      <c r="B269" s="51">
        <v>2</v>
      </c>
      <c r="D269" s="51">
        <v>3</v>
      </c>
      <c r="E269" s="51">
        <v>4</v>
      </c>
      <c r="F269" s="52">
        <v>5</v>
      </c>
      <c r="G269" s="52"/>
    </row>
    <row r="270" spans="1:7" ht="15.75" thickBot="1">
      <c r="A270" s="8" t="s">
        <v>10</v>
      </c>
      <c r="B270" s="24">
        <v>0.8</v>
      </c>
      <c r="C270">
        <v>0</v>
      </c>
      <c r="D270" s="14">
        <v>0</v>
      </c>
      <c r="E270" s="14">
        <v>0</v>
      </c>
      <c r="F270" s="38">
        <v>0</v>
      </c>
      <c r="G270" s="38">
        <v>0</v>
      </c>
    </row>
    <row r="271" spans="1:7" ht="15.75" thickBot="1">
      <c r="A271" s="8" t="s">
        <v>58</v>
      </c>
      <c r="B271" s="25">
        <v>2</v>
      </c>
      <c r="C271" s="30">
        <f>B270</f>
        <v>0.8</v>
      </c>
      <c r="D271" s="14">
        <v>0</v>
      </c>
      <c r="E271" s="14">
        <v>0</v>
      </c>
      <c r="F271" s="38">
        <v>0</v>
      </c>
      <c r="G271" s="38">
        <v>0</v>
      </c>
    </row>
    <row r="272" spans="1:7" ht="15.75" thickBot="1">
      <c r="A272" s="8" t="s">
        <v>59</v>
      </c>
      <c r="B272" s="25">
        <v>3.2</v>
      </c>
      <c r="C272" s="30">
        <f t="shared" ref="C272:C320" si="4">B271</f>
        <v>2</v>
      </c>
      <c r="D272" s="14">
        <v>0</v>
      </c>
      <c r="E272" s="14">
        <v>0</v>
      </c>
      <c r="F272" s="38">
        <v>0</v>
      </c>
      <c r="G272" s="38">
        <v>0</v>
      </c>
    </row>
    <row r="273" spans="1:7" ht="15.75" thickBot="1">
      <c r="A273" s="8" t="s">
        <v>60</v>
      </c>
      <c r="B273" s="25">
        <v>4</v>
      </c>
      <c r="C273" s="30">
        <f t="shared" si="4"/>
        <v>3.2</v>
      </c>
      <c r="D273" s="14">
        <v>0</v>
      </c>
      <c r="E273" s="14">
        <v>0</v>
      </c>
      <c r="F273" s="38">
        <v>0</v>
      </c>
      <c r="G273" s="38">
        <v>0</v>
      </c>
    </row>
    <row r="274" spans="1:7" ht="15.75" thickBot="1">
      <c r="A274" s="8" t="s">
        <v>61</v>
      </c>
      <c r="B274" s="25">
        <v>4.9000000000000004</v>
      </c>
      <c r="C274" s="30">
        <f t="shared" si="4"/>
        <v>4</v>
      </c>
      <c r="D274" s="14">
        <v>0</v>
      </c>
      <c r="E274" s="14">
        <v>0</v>
      </c>
      <c r="F274" s="38">
        <v>0</v>
      </c>
      <c r="G274" s="38">
        <v>0</v>
      </c>
    </row>
    <row r="275" spans="1:7" ht="15.75" thickBot="1">
      <c r="A275" s="8" t="s">
        <v>62</v>
      </c>
      <c r="B275" s="25">
        <v>6</v>
      </c>
      <c r="C275" s="30">
        <f t="shared" si="4"/>
        <v>4.9000000000000004</v>
      </c>
      <c r="D275" s="14">
        <v>0</v>
      </c>
      <c r="E275" s="14">
        <v>0</v>
      </c>
      <c r="F275" s="38">
        <v>0</v>
      </c>
      <c r="G275" s="38">
        <v>0</v>
      </c>
    </row>
    <row r="276" spans="1:7" ht="15.75" thickBot="1">
      <c r="A276" s="8" t="s">
        <v>63</v>
      </c>
      <c r="B276" s="25">
        <v>7.6</v>
      </c>
      <c r="C276" s="30">
        <f t="shared" si="4"/>
        <v>6</v>
      </c>
      <c r="D276" s="14">
        <v>0</v>
      </c>
      <c r="E276" s="14">
        <v>0</v>
      </c>
      <c r="F276" s="38">
        <v>0</v>
      </c>
      <c r="G276" s="38">
        <v>0</v>
      </c>
    </row>
    <row r="277" spans="1:7" ht="15.75" thickBot="1">
      <c r="A277" s="3" t="s">
        <v>11</v>
      </c>
      <c r="B277" s="25">
        <v>9.6</v>
      </c>
      <c r="C277" s="30">
        <f t="shared" si="4"/>
        <v>7.6</v>
      </c>
      <c r="D277" s="14">
        <v>0</v>
      </c>
      <c r="E277" s="14">
        <v>0</v>
      </c>
      <c r="F277" s="38">
        <v>0</v>
      </c>
      <c r="G277" s="38">
        <v>0</v>
      </c>
    </row>
    <row r="278" spans="1:7" ht="15.75" thickBot="1">
      <c r="A278" s="3" t="s">
        <v>12</v>
      </c>
      <c r="B278" s="25">
        <v>11.4</v>
      </c>
      <c r="C278" s="30">
        <f t="shared" si="4"/>
        <v>9.6</v>
      </c>
      <c r="D278" s="14">
        <v>0</v>
      </c>
      <c r="E278" s="14">
        <v>0</v>
      </c>
      <c r="F278" s="38">
        <v>0</v>
      </c>
      <c r="G278" s="38">
        <v>0</v>
      </c>
    </row>
    <row r="279" spans="1:7" ht="15.75" thickBot="1">
      <c r="A279" s="3" t="s">
        <v>13</v>
      </c>
      <c r="B279" s="25">
        <v>12.8</v>
      </c>
      <c r="C279" s="30">
        <f t="shared" si="4"/>
        <v>11.4</v>
      </c>
      <c r="D279" s="14">
        <v>0</v>
      </c>
      <c r="E279" s="14">
        <v>0</v>
      </c>
      <c r="F279" s="38">
        <v>0</v>
      </c>
      <c r="G279" s="38">
        <v>0</v>
      </c>
    </row>
    <row r="280" spans="1:7" ht="15.75" thickBot="1">
      <c r="A280" s="3" t="s">
        <v>14</v>
      </c>
      <c r="B280" s="25">
        <v>14.7</v>
      </c>
      <c r="C280" s="30">
        <f t="shared" si="4"/>
        <v>12.8</v>
      </c>
      <c r="D280" s="14">
        <v>0</v>
      </c>
      <c r="E280" s="14">
        <v>0</v>
      </c>
      <c r="F280" s="38">
        <v>0</v>
      </c>
      <c r="G280" s="38">
        <v>0</v>
      </c>
    </row>
    <row r="281" spans="1:7" ht="15.75" thickBot="1">
      <c r="A281" s="3" t="s">
        <v>15</v>
      </c>
      <c r="B281" s="25">
        <v>17</v>
      </c>
      <c r="C281" s="30">
        <f t="shared" si="4"/>
        <v>14.7</v>
      </c>
      <c r="D281" s="14">
        <v>0</v>
      </c>
      <c r="E281" s="14">
        <v>0</v>
      </c>
      <c r="F281" s="38">
        <v>0</v>
      </c>
      <c r="G281" s="38">
        <v>0</v>
      </c>
    </row>
    <row r="282" spans="1:7" ht="15.75" thickBot="1">
      <c r="A282" s="3" t="s">
        <v>16</v>
      </c>
      <c r="B282" s="25">
        <v>19</v>
      </c>
      <c r="C282" s="30">
        <f t="shared" si="4"/>
        <v>17</v>
      </c>
      <c r="D282" s="14">
        <v>0</v>
      </c>
      <c r="E282" s="14">
        <v>0</v>
      </c>
      <c r="F282" s="38">
        <v>0</v>
      </c>
      <c r="G282" s="38">
        <v>0</v>
      </c>
    </row>
    <row r="283" spans="1:7" ht="15.75" thickBot="1">
      <c r="A283" s="3" t="s">
        <v>17</v>
      </c>
      <c r="B283" s="25">
        <v>21.3</v>
      </c>
      <c r="C283" s="30">
        <f t="shared" si="4"/>
        <v>19</v>
      </c>
      <c r="D283" s="14">
        <v>4.4507042253521312E-2</v>
      </c>
      <c r="E283" s="14"/>
      <c r="F283" s="38">
        <v>5.3239436619718326E-3</v>
      </c>
      <c r="G283" s="38">
        <v>3.6619718309859211E-3</v>
      </c>
    </row>
    <row r="284" spans="1:7" ht="15.75" thickBot="1">
      <c r="A284" s="3" t="s">
        <v>18</v>
      </c>
      <c r="B284" s="25">
        <v>22.3</v>
      </c>
      <c r="C284" s="30">
        <f t="shared" si="4"/>
        <v>21.3</v>
      </c>
      <c r="D284" s="14">
        <v>8.7354260089686275E-2</v>
      </c>
      <c r="E284" s="14"/>
      <c r="F284" s="38">
        <v>9.5695067264573996E-3</v>
      </c>
      <c r="G284" s="38">
        <v>7.9820627802690645E-3</v>
      </c>
    </row>
    <row r="285" spans="1:7" ht="15.75" thickBot="1">
      <c r="A285" s="3" t="s">
        <v>19</v>
      </c>
      <c r="B285" s="25">
        <v>24.4</v>
      </c>
      <c r="C285" s="30">
        <f t="shared" si="4"/>
        <v>22.3</v>
      </c>
      <c r="D285" s="14">
        <v>0.16590163934426239</v>
      </c>
      <c r="E285" s="14">
        <v>1.6590163934426239E-2</v>
      </c>
      <c r="F285" s="38">
        <v>1.7352459016393436E-2</v>
      </c>
      <c r="G285" s="38">
        <v>1.5901639344262291E-2</v>
      </c>
    </row>
    <row r="286" spans="1:7" ht="15.75" thickBot="1">
      <c r="A286" s="3" t="s">
        <v>20</v>
      </c>
      <c r="B286" s="25">
        <v>25.5</v>
      </c>
      <c r="C286" s="30">
        <f t="shared" si="4"/>
        <v>24.4</v>
      </c>
      <c r="D286" s="14">
        <v>0.2018823529411766</v>
      </c>
      <c r="E286" s="14">
        <v>2.0188235294117663E-2</v>
      </c>
      <c r="F286" s="38">
        <v>2.091764705882353E-2</v>
      </c>
      <c r="G286" s="38">
        <v>1.9529411764705885E-2</v>
      </c>
    </row>
    <row r="287" spans="1:7" ht="15.75" thickBot="1">
      <c r="A287" s="3" t="s">
        <v>21</v>
      </c>
      <c r="B287" s="25">
        <v>26.4</v>
      </c>
      <c r="C287" s="30">
        <f t="shared" si="4"/>
        <v>25.5</v>
      </c>
      <c r="D287" s="14">
        <v>0.22909090909090918</v>
      </c>
      <c r="E287" s="14">
        <v>2.2909090909090921E-2</v>
      </c>
      <c r="F287" s="38">
        <v>2.3613636363636357E-2</v>
      </c>
      <c r="G287" s="38">
        <v>2.2272727272727274E-2</v>
      </c>
    </row>
    <row r="288" spans="1:7" ht="15.75" thickBot="1">
      <c r="A288" s="3" t="s">
        <v>22</v>
      </c>
      <c r="B288" s="25">
        <v>27.5</v>
      </c>
      <c r="C288" s="30">
        <f t="shared" si="4"/>
        <v>26.4</v>
      </c>
      <c r="D288" s="14">
        <v>0.25992727272727284</v>
      </c>
      <c r="E288" s="14">
        <v>2.5992727272727285E-2</v>
      </c>
      <c r="F288" s="38">
        <v>2.666909090909091E-2</v>
      </c>
      <c r="G288" s="38">
        <v>2.5381818181818182E-2</v>
      </c>
    </row>
    <row r="289" spans="1:7" ht="15.75" thickBot="1">
      <c r="A289" s="3" t="s">
        <v>23</v>
      </c>
      <c r="B289" s="25">
        <v>28.4</v>
      </c>
      <c r="C289" s="30">
        <f t="shared" si="4"/>
        <v>27.5</v>
      </c>
      <c r="D289" s="14">
        <v>0.2833802816901409</v>
      </c>
      <c r="E289" s="14">
        <v>2.8338028169014092E-2</v>
      </c>
      <c r="F289" s="38">
        <v>2.8992957746478872E-2</v>
      </c>
      <c r="G289" s="38">
        <v>2.7746478873239434E-2</v>
      </c>
    </row>
    <row r="290" spans="1:7" ht="15.75" thickBot="1">
      <c r="A290" s="3" t="s">
        <v>24</v>
      </c>
      <c r="B290" s="25">
        <v>29.1</v>
      </c>
      <c r="C290" s="30">
        <f t="shared" si="4"/>
        <v>28.4</v>
      </c>
      <c r="D290" s="14">
        <v>0.30061855670103105</v>
      </c>
      <c r="E290" s="14">
        <v>3.0061855670103107E-2</v>
      </c>
      <c r="F290" s="38">
        <v>3.0701030927835056E-2</v>
      </c>
      <c r="G290" s="38">
        <v>2.9484536082474231E-2</v>
      </c>
    </row>
    <row r="291" spans="1:7" ht="15.75" thickBot="1">
      <c r="A291" s="3" t="s">
        <v>25</v>
      </c>
      <c r="B291" s="25">
        <v>29.9</v>
      </c>
      <c r="C291" s="30">
        <f t="shared" si="4"/>
        <v>29.1</v>
      </c>
      <c r="D291" s="14">
        <v>0.31933110367892986</v>
      </c>
      <c r="E291" s="14">
        <v>3.1933110367892988E-2</v>
      </c>
      <c r="F291" s="38">
        <v>3.2555183946488292E-2</v>
      </c>
      <c r="G291" s="38">
        <v>3.1371237458193979E-2</v>
      </c>
    </row>
    <row r="292" spans="1:7" ht="15.75" thickBot="1">
      <c r="A292" s="3" t="s">
        <v>26</v>
      </c>
      <c r="B292" s="25">
        <v>31</v>
      </c>
      <c r="C292" s="30">
        <f t="shared" si="4"/>
        <v>29.9</v>
      </c>
      <c r="D292" s="14">
        <v>0.34348387096774202</v>
      </c>
      <c r="E292" s="14">
        <v>3.4348387096774208E-2</v>
      </c>
      <c r="F292" s="38">
        <v>3.494838709677419E-2</v>
      </c>
      <c r="G292" s="38">
        <v>3.3806451612903229E-2</v>
      </c>
    </row>
    <row r="293" spans="1:7" ht="15.75" thickBot="1">
      <c r="A293" s="3" t="s">
        <v>27</v>
      </c>
      <c r="B293" s="25">
        <v>31.9</v>
      </c>
      <c r="C293" s="30">
        <f t="shared" si="4"/>
        <v>31</v>
      </c>
      <c r="D293" s="14">
        <v>0.36200626959247656</v>
      </c>
      <c r="E293" s="14">
        <v>3.620062695924766E-2</v>
      </c>
      <c r="F293" s="38">
        <v>3.6783699059561123E-2</v>
      </c>
      <c r="G293" s="38">
        <v>3.5673981191222566E-2</v>
      </c>
    </row>
    <row r="294" spans="1:7" ht="15.75" thickBot="1">
      <c r="A294" s="3" t="s">
        <v>28</v>
      </c>
      <c r="B294" s="25">
        <v>33</v>
      </c>
      <c r="C294" s="30">
        <f t="shared" si="4"/>
        <v>31.9</v>
      </c>
      <c r="D294" s="14">
        <v>0.38327272727272738</v>
      </c>
      <c r="E294" s="14">
        <v>3.8327272727272738E-2</v>
      </c>
      <c r="F294" s="38">
        <v>3.8890909090909094E-2</v>
      </c>
      <c r="G294" s="38">
        <v>3.7818181818181827E-2</v>
      </c>
    </row>
    <row r="295" spans="1:7" ht="15.75" thickBot="1">
      <c r="A295" s="3" t="s">
        <v>29</v>
      </c>
      <c r="B295" s="25">
        <v>33.799999999999997</v>
      </c>
      <c r="C295" s="30">
        <f t="shared" si="4"/>
        <v>33</v>
      </c>
      <c r="D295" s="14">
        <v>0.39786982248520714</v>
      </c>
      <c r="E295" s="14">
        <v>3.9786982248520716E-2</v>
      </c>
      <c r="F295" s="38">
        <v>4.2023668639053234E-2</v>
      </c>
      <c r="G295" s="38">
        <v>3.9289940828402363E-2</v>
      </c>
    </row>
    <row r="296" spans="1:7" ht="15.75" thickBot="1">
      <c r="A296" s="3" t="s">
        <v>30</v>
      </c>
      <c r="B296" s="25">
        <v>34.6</v>
      </c>
      <c r="C296" s="30">
        <f t="shared" si="4"/>
        <v>33.799999999999997</v>
      </c>
      <c r="D296" s="14">
        <v>0.41179190751445099</v>
      </c>
      <c r="E296" s="14">
        <v>4.7075144508670591E-2</v>
      </c>
      <c r="F296" s="38">
        <v>5.0300578034682103E-2</v>
      </c>
      <c r="G296" s="38">
        <v>4.4161849710982651E-2</v>
      </c>
    </row>
    <row r="297" spans="1:7" ht="15.75" thickBot="1">
      <c r="A297" s="3" t="s">
        <v>31</v>
      </c>
      <c r="B297" s="25">
        <v>35.6</v>
      </c>
      <c r="C297" s="30">
        <f t="shared" si="4"/>
        <v>34.6</v>
      </c>
      <c r="D297" s="14">
        <v>0.42831460674157312</v>
      </c>
      <c r="E297" s="14">
        <v>5.6988764044943893E-2</v>
      </c>
      <c r="F297" s="38">
        <v>6.0123595505618001E-2</v>
      </c>
      <c r="G297" s="38">
        <v>5.415730337078651E-2</v>
      </c>
    </row>
    <row r="298" spans="1:7" ht="15.75" thickBot="1">
      <c r="A298" s="3" t="s">
        <v>32</v>
      </c>
      <c r="B298" s="25">
        <v>36.700000000000003</v>
      </c>
      <c r="C298" s="30">
        <f t="shared" si="4"/>
        <v>35.6</v>
      </c>
      <c r="D298" s="14">
        <v>0.44544959128065409</v>
      </c>
      <c r="E298" s="14">
        <v>6.7269754768392462E-2</v>
      </c>
      <c r="F298" s="38">
        <v>7.0310626702997314E-2</v>
      </c>
      <c r="G298" s="38">
        <v>6.4523160762942788E-2</v>
      </c>
    </row>
    <row r="299" spans="1:7" ht="15.75" thickBot="1">
      <c r="A299" s="3" t="s">
        <v>33</v>
      </c>
      <c r="B299" s="25">
        <v>37.700000000000003</v>
      </c>
      <c r="C299" s="30">
        <f t="shared" si="4"/>
        <v>36.700000000000003</v>
      </c>
      <c r="D299" s="14">
        <v>0.4601591511936341</v>
      </c>
      <c r="E299" s="14">
        <v>7.6095490716180436E-2</v>
      </c>
      <c r="F299" s="38">
        <v>7.9055702917771906E-2</v>
      </c>
      <c r="G299" s="38">
        <v>7.3421750663129989E-2</v>
      </c>
    </row>
    <row r="300" spans="1:7" ht="15.75" thickBot="1">
      <c r="A300" s="3" t="s">
        <v>34</v>
      </c>
      <c r="B300" s="25">
        <v>38.799999999999997</v>
      </c>
      <c r="C300" s="30">
        <f t="shared" si="4"/>
        <v>37.700000000000003</v>
      </c>
      <c r="D300" s="14">
        <v>0.47546391752577322</v>
      </c>
      <c r="E300" s="14">
        <v>8.5278350515463938E-2</v>
      </c>
      <c r="F300" s="38">
        <v>8.8154639175257718E-2</v>
      </c>
      <c r="G300" s="38">
        <v>8.2680412371133979E-2</v>
      </c>
    </row>
    <row r="301" spans="1:7" ht="15.75" thickBot="1">
      <c r="A301" s="3" t="s">
        <v>35</v>
      </c>
      <c r="B301" s="25">
        <v>40.1</v>
      </c>
      <c r="C301" s="30">
        <f t="shared" si="4"/>
        <v>38.799999999999997</v>
      </c>
      <c r="D301" s="14">
        <v>0.49246882793017466</v>
      </c>
      <c r="E301" s="14">
        <v>9.5481296758104808E-2</v>
      </c>
      <c r="F301" s="38">
        <v>9.8264339152119726E-2</v>
      </c>
      <c r="G301" s="38">
        <v>9.2967581047381537E-2</v>
      </c>
    </row>
    <row r="302" spans="1:7" ht="15.75" thickBot="1">
      <c r="A302" s="3" t="s">
        <v>36</v>
      </c>
      <c r="B302" s="25">
        <v>41.5</v>
      </c>
      <c r="C302" s="30">
        <f t="shared" si="4"/>
        <v>40.1</v>
      </c>
      <c r="D302" s="14">
        <v>0.50959036144578318</v>
      </c>
      <c r="E302" s="14">
        <v>0.10575421686746991</v>
      </c>
      <c r="F302" s="38">
        <v>0.10844337349397593</v>
      </c>
      <c r="G302" s="38">
        <v>0.10332530120481927</v>
      </c>
    </row>
    <row r="303" spans="1:7" ht="15.75" thickBot="1">
      <c r="A303" s="3" t="s">
        <v>37</v>
      </c>
      <c r="B303" s="25">
        <v>42.8</v>
      </c>
      <c r="C303" s="30">
        <f t="shared" si="4"/>
        <v>41.5</v>
      </c>
      <c r="D303" s="14">
        <v>0.52448598130841129</v>
      </c>
      <c r="E303" s="14">
        <v>0.11469158878504676</v>
      </c>
      <c r="F303" s="38">
        <v>0.11729906542056075</v>
      </c>
      <c r="G303" s="38">
        <v>0.1123364485981308</v>
      </c>
    </row>
    <row r="304" spans="1:7" ht="15.75" thickBot="1">
      <c r="A304" s="3" t="s">
        <v>38</v>
      </c>
      <c r="B304" s="25">
        <v>44.2</v>
      </c>
      <c r="C304" s="30">
        <f t="shared" si="4"/>
        <v>42.8</v>
      </c>
      <c r="D304" s="14">
        <v>0.53954751131221734</v>
      </c>
      <c r="E304" s="14">
        <v>0.12372850678733038</v>
      </c>
      <c r="F304" s="38">
        <v>0.12625339366515839</v>
      </c>
      <c r="G304" s="38">
        <v>0.12144796380090497</v>
      </c>
    </row>
    <row r="305" spans="1:7" ht="15.75" thickBot="1">
      <c r="A305" s="3" t="s">
        <v>39</v>
      </c>
      <c r="B305" s="25">
        <v>45.3</v>
      </c>
      <c r="C305" s="30">
        <f t="shared" si="4"/>
        <v>44.2</v>
      </c>
      <c r="D305" s="14">
        <v>0.55072847682119208</v>
      </c>
      <c r="E305" s="14">
        <v>0.13043708609271526</v>
      </c>
      <c r="F305" s="38">
        <v>0.13290066225165562</v>
      </c>
      <c r="G305" s="38">
        <v>0.12821192052980129</v>
      </c>
    </row>
    <row r="306" spans="1:7" ht="15.75" thickBot="1">
      <c r="A306" s="3" t="s">
        <v>40</v>
      </c>
      <c r="B306" s="25">
        <v>46.5</v>
      </c>
      <c r="C306" s="30">
        <f t="shared" si="4"/>
        <v>45.3</v>
      </c>
      <c r="D306" s="14">
        <v>0.56232258064516139</v>
      </c>
      <c r="E306" s="14">
        <v>0.13739354838709683</v>
      </c>
      <c r="F306" s="38">
        <v>0.13979354838709679</v>
      </c>
      <c r="G306" s="38">
        <v>0.13522580645161289</v>
      </c>
    </row>
    <row r="307" spans="1:7" ht="15.75" thickBot="1">
      <c r="A307" s="3" t="s">
        <v>41</v>
      </c>
      <c r="B307" s="25">
        <v>47.9</v>
      </c>
      <c r="C307" s="30">
        <f t="shared" si="4"/>
        <v>46.5</v>
      </c>
      <c r="D307" s="14">
        <v>0.57511482254697288</v>
      </c>
      <c r="E307" s="14">
        <v>0.14506889352818375</v>
      </c>
      <c r="F307" s="38">
        <v>0.14739874739039668</v>
      </c>
      <c r="G307" s="38">
        <v>0.142964509394572</v>
      </c>
    </row>
    <row r="308" spans="1:7" ht="15.75" thickBot="1">
      <c r="A308" s="3" t="s">
        <v>42</v>
      </c>
      <c r="B308" s="25">
        <v>49.7</v>
      </c>
      <c r="C308" s="30">
        <f t="shared" si="4"/>
        <v>47.9</v>
      </c>
      <c r="D308" s="14">
        <v>0.59050301810865202</v>
      </c>
      <c r="E308" s="14">
        <v>0.15430181086519121</v>
      </c>
      <c r="F308" s="38">
        <v>0.1565472837022133</v>
      </c>
      <c r="G308" s="38">
        <v>0.15227364185110664</v>
      </c>
    </row>
    <row r="309" spans="1:7" ht="15.75" thickBot="1">
      <c r="A309" s="3" t="s">
        <v>43</v>
      </c>
      <c r="B309" s="25">
        <v>51.7</v>
      </c>
      <c r="C309" s="30">
        <f t="shared" si="4"/>
        <v>49.7</v>
      </c>
      <c r="D309" s="14">
        <v>0.60634429400386858</v>
      </c>
      <c r="E309" s="14">
        <v>0.16380657640232113</v>
      </c>
      <c r="F309" s="38">
        <v>0.16596518375241781</v>
      </c>
      <c r="G309" s="38">
        <v>0.16185686653771761</v>
      </c>
    </row>
    <row r="310" spans="1:7" ht="15.75" thickBot="1">
      <c r="A310" s="3" t="s">
        <v>44</v>
      </c>
      <c r="B310" s="25">
        <v>53.5</v>
      </c>
      <c r="C310" s="30">
        <f t="shared" si="4"/>
        <v>51.7</v>
      </c>
      <c r="D310" s="14">
        <v>0.61958878504672898</v>
      </c>
      <c r="E310" s="14">
        <v>0.17175327102803742</v>
      </c>
      <c r="F310" s="38">
        <v>0.17383925233644859</v>
      </c>
      <c r="G310" s="38">
        <v>0.16986915887850465</v>
      </c>
    </row>
    <row r="311" spans="1:7" ht="15.75" thickBot="1">
      <c r="A311" s="3" t="s">
        <v>45</v>
      </c>
      <c r="B311" s="25">
        <v>56.1</v>
      </c>
      <c r="C311" s="30">
        <f t="shared" si="4"/>
        <v>53.5</v>
      </c>
      <c r="D311" s="14">
        <v>0.6372192513368985</v>
      </c>
      <c r="E311" s="14">
        <v>0.18233155080213909</v>
      </c>
      <c r="F311" s="38">
        <v>0.18432085561497327</v>
      </c>
      <c r="G311" s="38">
        <v>0.18053475935828878</v>
      </c>
    </row>
    <row r="312" spans="1:7" ht="15.75" thickBot="1">
      <c r="A312" s="3" t="s">
        <v>46</v>
      </c>
      <c r="B312" s="25">
        <v>59.1</v>
      </c>
      <c r="C312" s="30">
        <f t="shared" si="4"/>
        <v>56.1</v>
      </c>
      <c r="D312" s="14">
        <v>0.6556345177664975</v>
      </c>
      <c r="E312" s="14">
        <v>0.19338071065989851</v>
      </c>
      <c r="F312" s="38">
        <v>0.19526903553299496</v>
      </c>
      <c r="G312" s="38">
        <v>0.19167512690355332</v>
      </c>
    </row>
    <row r="313" spans="1:7" ht="15.75" thickBot="1">
      <c r="A313" s="3" t="s">
        <v>47</v>
      </c>
      <c r="B313" s="25">
        <v>63.3</v>
      </c>
      <c r="C313" s="30">
        <f t="shared" si="4"/>
        <v>59.1</v>
      </c>
      <c r="D313" s="14">
        <v>0.67848341232227494</v>
      </c>
      <c r="E313" s="14">
        <v>0.20709004739336498</v>
      </c>
      <c r="F313" s="38">
        <v>0.20885308056872037</v>
      </c>
      <c r="G313" s="38">
        <v>0.20549763033175356</v>
      </c>
    </row>
    <row r="314" spans="1:7" ht="15.75" thickBot="1">
      <c r="A314" s="3" t="s">
        <v>48</v>
      </c>
      <c r="B314" s="25">
        <v>69.099999999999994</v>
      </c>
      <c r="C314" s="30">
        <f t="shared" si="4"/>
        <v>63.3</v>
      </c>
      <c r="D314" s="14">
        <v>0.70547033285094074</v>
      </c>
      <c r="E314" s="14">
        <v>0.22328219971056443</v>
      </c>
      <c r="F314" s="38">
        <v>0.2248972503617945</v>
      </c>
      <c r="G314" s="38">
        <v>0.22182344428364686</v>
      </c>
    </row>
    <row r="315" spans="1:7" ht="15.75" thickBot="1">
      <c r="A315" s="3" t="s">
        <v>49</v>
      </c>
      <c r="B315" s="25">
        <v>73</v>
      </c>
      <c r="C315" s="30">
        <f t="shared" si="4"/>
        <v>69.099999999999994</v>
      </c>
      <c r="D315" s="14">
        <v>0.72120547945205482</v>
      </c>
      <c r="E315" s="14">
        <v>0.23272328767123293</v>
      </c>
      <c r="F315" s="38">
        <v>0.23425205479452055</v>
      </c>
      <c r="G315" s="38">
        <v>0.23134246575342463</v>
      </c>
    </row>
    <row r="316" spans="1:7" ht="15.75" thickBot="1">
      <c r="A316" s="3" t="s">
        <v>50</v>
      </c>
      <c r="B316" s="25">
        <v>80</v>
      </c>
      <c r="C316" s="30">
        <f t="shared" si="4"/>
        <v>73</v>
      </c>
      <c r="D316" s="14">
        <v>0.74560000000000004</v>
      </c>
      <c r="E316" s="14">
        <v>0.24736000000000002</v>
      </c>
      <c r="F316" s="38">
        <v>0.248755</v>
      </c>
      <c r="G316" s="38">
        <v>0.24610000000000004</v>
      </c>
    </row>
    <row r="317" spans="1:7" ht="15.75" thickBot="1">
      <c r="A317" s="3" t="s">
        <v>51</v>
      </c>
      <c r="B317" s="25">
        <v>86.5</v>
      </c>
      <c r="C317" s="30">
        <f t="shared" si="4"/>
        <v>80</v>
      </c>
      <c r="D317" s="14">
        <v>0.76471676300578029</v>
      </c>
      <c r="E317" s="14">
        <v>0.25883005780346824</v>
      </c>
      <c r="F317" s="38">
        <v>0.26012023121387284</v>
      </c>
      <c r="G317" s="38">
        <v>0.25766473988439309</v>
      </c>
    </row>
    <row r="318" spans="1:7" ht="15.75" thickBot="1">
      <c r="A318" s="3" t="s">
        <v>52</v>
      </c>
      <c r="B318" s="25">
        <v>98.4</v>
      </c>
      <c r="C318" s="30">
        <f t="shared" si="4"/>
        <v>86.5</v>
      </c>
      <c r="D318" s="14">
        <v>0.793170731707317</v>
      </c>
      <c r="E318" s="14">
        <v>0.27590243902439032</v>
      </c>
      <c r="F318" s="38">
        <v>0.27703658536585368</v>
      </c>
      <c r="G318" s="38">
        <v>0.27487804878048783</v>
      </c>
    </row>
    <row r="319" spans="1:7" ht="15.75" thickBot="1">
      <c r="A319" s="3" t="s">
        <v>53</v>
      </c>
      <c r="B319" s="25">
        <v>103.6</v>
      </c>
      <c r="C319" s="30">
        <f>B318</f>
        <v>98.4</v>
      </c>
      <c r="D319" s="14">
        <v>0.80355212355212347</v>
      </c>
      <c r="E319" s="14">
        <v>0.2821312741312742</v>
      </c>
      <c r="F319" s="38">
        <v>0.2832084942084942</v>
      </c>
      <c r="G319" s="38">
        <v>0.28115830115830115</v>
      </c>
    </row>
    <row r="320" spans="1:7" ht="15.75" thickBot="1">
      <c r="A320" s="3" t="s">
        <v>53</v>
      </c>
      <c r="B320" s="3" t="s">
        <v>75</v>
      </c>
      <c r="C320" s="30">
        <f t="shared" si="4"/>
        <v>103.6</v>
      </c>
      <c r="D320" s="22"/>
      <c r="E320" s="1"/>
      <c r="F320" s="37"/>
      <c r="G320" s="39"/>
    </row>
    <row r="321" spans="1:7" ht="15.75" thickBot="1">
      <c r="A321" s="3"/>
      <c r="B321" s="3">
        <v>36.799999999999997</v>
      </c>
      <c r="D321" s="4"/>
      <c r="E321" s="15">
        <v>8.2320369562699794E-2</v>
      </c>
      <c r="F321" s="26">
        <v>8.359409399586136E-2</v>
      </c>
      <c r="G321" s="26">
        <v>8.1200372613335278E-2</v>
      </c>
    </row>
    <row r="322" spans="1:7" ht="60.75" thickBot="1">
      <c r="A322" s="5" t="s">
        <v>55</v>
      </c>
      <c r="B322" s="3">
        <v>34.200000000000003</v>
      </c>
      <c r="D322" s="4"/>
      <c r="E322" s="12">
        <v>33.919999999999995</v>
      </c>
      <c r="F322" s="45">
        <v>33.61</v>
      </c>
      <c r="G322" s="46">
        <v>34.200000000000003</v>
      </c>
    </row>
    <row r="323" spans="1:7" ht="60.75" thickBot="1">
      <c r="A323" s="5" t="s">
        <v>56</v>
      </c>
      <c r="B323" s="4">
        <v>34.200000000000003</v>
      </c>
      <c r="D323" s="1"/>
      <c r="E323" s="1"/>
      <c r="F323" s="37"/>
      <c r="G323" s="37"/>
    </row>
    <row r="324" spans="1:7" ht="97.5" thickBot="1">
      <c r="A324" s="6" t="s">
        <v>57</v>
      </c>
      <c r="B324" s="4">
        <v>20.5</v>
      </c>
      <c r="D324" s="1"/>
      <c r="E324" s="1">
        <v>20.351999999999997</v>
      </c>
      <c r="F324" s="37">
        <v>20.166</v>
      </c>
      <c r="G324" s="37">
        <v>20.52</v>
      </c>
    </row>
    <row r="327" spans="1:7">
      <c r="A327" s="16" t="s">
        <v>64</v>
      </c>
      <c r="B327" s="17">
        <f>AVERAGE(B275:B314)</f>
        <v>33.919999999999995</v>
      </c>
    </row>
    <row r="328" spans="1:7">
      <c r="A328" s="16" t="s">
        <v>65</v>
      </c>
      <c r="B328" s="18">
        <f>AVERAGE(B280:B309)</f>
        <v>33.61</v>
      </c>
    </row>
    <row r="329" spans="1:7">
      <c r="A329" s="16" t="s">
        <v>66</v>
      </c>
      <c r="B329" s="18">
        <f>AVERAGE(B286:B304)</f>
        <v>34.131578947368425</v>
      </c>
    </row>
    <row r="332" spans="1:7" ht="15.75" thickBot="1"/>
    <row r="333" spans="1:7" ht="15" customHeight="1" thickBot="1">
      <c r="A333" s="522" t="s">
        <v>0</v>
      </c>
      <c r="B333" s="525" t="s">
        <v>70</v>
      </c>
      <c r="C333" s="526"/>
      <c r="D333" s="527"/>
      <c r="E333" s="19">
        <f>(1-E388)^(1/3)-1</f>
        <v>-2.6996282457610765E-2</v>
      </c>
      <c r="F333" s="19">
        <f>(1-F388)^(1/3)-1</f>
        <v>-2.8922963968856297E-2</v>
      </c>
      <c r="G333" s="19"/>
    </row>
    <row r="334" spans="1:7" ht="72.75" thickBot="1">
      <c r="A334" s="523"/>
      <c r="B334" s="7" t="s">
        <v>4</v>
      </c>
      <c r="D334" s="11" t="s">
        <v>80</v>
      </c>
      <c r="E334" s="11" t="s">
        <v>5</v>
      </c>
      <c r="F334" s="39" t="s">
        <v>5</v>
      </c>
      <c r="G334" s="39"/>
    </row>
    <row r="335" spans="1:7" ht="25.5" thickBot="1">
      <c r="A335" s="524"/>
      <c r="B335" s="3" t="s">
        <v>72</v>
      </c>
      <c r="D335" s="20" t="s">
        <v>7</v>
      </c>
      <c r="E335" s="20" t="s">
        <v>7</v>
      </c>
      <c r="F335" s="20" t="s">
        <v>7</v>
      </c>
      <c r="G335" s="20"/>
    </row>
    <row r="336" spans="1:7" ht="15.75" thickBot="1">
      <c r="A336" s="50">
        <v>1</v>
      </c>
      <c r="B336" s="51">
        <v>2</v>
      </c>
      <c r="C336" s="117"/>
      <c r="D336" s="51">
        <v>3</v>
      </c>
      <c r="E336" s="51">
        <v>4</v>
      </c>
      <c r="F336" s="52">
        <v>5</v>
      </c>
      <c r="G336" s="52"/>
    </row>
    <row r="337" spans="1:7" ht="15.75" thickBot="1">
      <c r="A337" s="8" t="s">
        <v>10</v>
      </c>
      <c r="B337" s="24">
        <v>66.2</v>
      </c>
      <c r="C337">
        <v>0</v>
      </c>
      <c r="D337" s="14">
        <v>0</v>
      </c>
      <c r="E337" s="14">
        <v>0</v>
      </c>
      <c r="F337" s="38">
        <v>0</v>
      </c>
      <c r="G337" s="38">
        <v>0</v>
      </c>
    </row>
    <row r="338" spans="1:7" ht="15.75" thickBot="1">
      <c r="A338" s="8" t="s">
        <v>58</v>
      </c>
      <c r="B338" s="25">
        <v>77.400000000000006</v>
      </c>
      <c r="C338" s="30">
        <f>B337</f>
        <v>66.2</v>
      </c>
      <c r="D338" s="14">
        <v>0</v>
      </c>
      <c r="E338" s="14">
        <v>0</v>
      </c>
      <c r="F338" s="38">
        <v>0</v>
      </c>
      <c r="G338" s="38">
        <v>0</v>
      </c>
    </row>
    <row r="339" spans="1:7" ht="15.75" thickBot="1">
      <c r="A339" s="8" t="s">
        <v>59</v>
      </c>
      <c r="B339" s="25">
        <v>81.7</v>
      </c>
      <c r="C339" s="30">
        <f t="shared" ref="C339:C387" si="5">B338</f>
        <v>77.400000000000006</v>
      </c>
      <c r="D339" s="14">
        <v>0</v>
      </c>
      <c r="E339" s="14">
        <v>0</v>
      </c>
      <c r="F339" s="38">
        <v>0</v>
      </c>
      <c r="G339" s="38">
        <v>0</v>
      </c>
    </row>
    <row r="340" spans="1:7" ht="15.75" thickBot="1">
      <c r="A340" s="8" t="s">
        <v>60</v>
      </c>
      <c r="B340" s="25">
        <v>84.2</v>
      </c>
      <c r="C340" s="30">
        <f t="shared" si="5"/>
        <v>81.7</v>
      </c>
      <c r="D340" s="14">
        <v>0</v>
      </c>
      <c r="E340" s="14">
        <v>0</v>
      </c>
      <c r="F340" s="38">
        <v>0</v>
      </c>
      <c r="G340" s="38">
        <v>0</v>
      </c>
    </row>
    <row r="341" spans="1:7" ht="15.75" thickBot="1">
      <c r="A341" s="8" t="s">
        <v>61</v>
      </c>
      <c r="B341" s="25">
        <v>86.2</v>
      </c>
      <c r="C341" s="30">
        <f t="shared" si="5"/>
        <v>84.2</v>
      </c>
      <c r="D341" s="14">
        <v>0</v>
      </c>
      <c r="E341" s="14">
        <v>0</v>
      </c>
      <c r="F341" s="38">
        <v>0</v>
      </c>
      <c r="G341" s="38">
        <v>0</v>
      </c>
    </row>
    <row r="342" spans="1:7" ht="15.75" thickBot="1">
      <c r="A342" s="8" t="s">
        <v>62</v>
      </c>
      <c r="B342" s="25">
        <v>89.6</v>
      </c>
      <c r="C342" s="30">
        <f t="shared" si="5"/>
        <v>86.2</v>
      </c>
      <c r="D342" s="14">
        <v>0</v>
      </c>
      <c r="E342" s="14">
        <v>0</v>
      </c>
      <c r="F342" s="38">
        <v>0</v>
      </c>
      <c r="G342" s="38">
        <v>0</v>
      </c>
    </row>
    <row r="343" spans="1:7" ht="15.75" thickBot="1">
      <c r="A343" s="8" t="s">
        <v>63</v>
      </c>
      <c r="B343" s="25">
        <v>92.8</v>
      </c>
      <c r="C343" s="30">
        <f t="shared" si="5"/>
        <v>89.6</v>
      </c>
      <c r="D343" s="14">
        <v>0</v>
      </c>
      <c r="E343" s="14">
        <v>0</v>
      </c>
      <c r="F343" s="38">
        <v>0</v>
      </c>
      <c r="G343" s="38">
        <v>0</v>
      </c>
    </row>
    <row r="344" spans="1:7" ht="15.75" thickBot="1">
      <c r="A344" s="3" t="s">
        <v>11</v>
      </c>
      <c r="B344" s="25">
        <v>95.9</v>
      </c>
      <c r="C344" s="30">
        <f t="shared" si="5"/>
        <v>92.8</v>
      </c>
      <c r="D344" s="14">
        <v>0</v>
      </c>
      <c r="E344" s="14">
        <v>0</v>
      </c>
      <c r="F344" s="38">
        <v>0</v>
      </c>
      <c r="G344" s="38">
        <v>0</v>
      </c>
    </row>
    <row r="345" spans="1:7" ht="15.75" thickBot="1">
      <c r="A345" s="3" t="s">
        <v>12</v>
      </c>
      <c r="B345" s="25">
        <v>99.9</v>
      </c>
      <c r="C345" s="30">
        <f t="shared" si="5"/>
        <v>95.9</v>
      </c>
      <c r="D345" s="14">
        <v>0</v>
      </c>
      <c r="E345" s="14">
        <v>0</v>
      </c>
      <c r="F345" s="38">
        <v>0</v>
      </c>
      <c r="G345" s="38">
        <v>0</v>
      </c>
    </row>
    <row r="346" spans="1:7" ht="15.75" thickBot="1">
      <c r="A346" s="3" t="s">
        <v>13</v>
      </c>
      <c r="B346" s="25">
        <v>104.5</v>
      </c>
      <c r="C346" s="30">
        <f t="shared" si="5"/>
        <v>99.9</v>
      </c>
      <c r="D346" s="14">
        <v>0</v>
      </c>
      <c r="E346" s="14">
        <v>0</v>
      </c>
      <c r="F346" s="38">
        <v>0</v>
      </c>
      <c r="G346" s="38">
        <v>0</v>
      </c>
    </row>
    <row r="347" spans="1:7" ht="15.75" thickBot="1">
      <c r="A347" s="3" t="s">
        <v>14</v>
      </c>
      <c r="B347" s="25">
        <v>109.2</v>
      </c>
      <c r="C347" s="30">
        <f t="shared" si="5"/>
        <v>104.5</v>
      </c>
      <c r="D347" s="14">
        <v>0</v>
      </c>
      <c r="E347" s="14">
        <v>0</v>
      </c>
      <c r="F347" s="38">
        <v>0</v>
      </c>
      <c r="G347" s="38">
        <v>0</v>
      </c>
    </row>
    <row r="348" spans="1:7" ht="15.75" thickBot="1">
      <c r="A348" s="3" t="s">
        <v>15</v>
      </c>
      <c r="B348" s="25">
        <v>115.1</v>
      </c>
      <c r="C348" s="30">
        <f t="shared" si="5"/>
        <v>109.2</v>
      </c>
      <c r="D348" s="14">
        <v>0</v>
      </c>
      <c r="E348" s="14">
        <v>0</v>
      </c>
      <c r="F348" s="38">
        <v>2.0729800173761664E-3</v>
      </c>
      <c r="G348" s="38">
        <v>0</v>
      </c>
    </row>
    <row r="349" spans="1:7" ht="15.75" thickBot="1">
      <c r="A349" s="3" t="s">
        <v>16</v>
      </c>
      <c r="B349" s="25">
        <v>123.5</v>
      </c>
      <c r="C349" s="30">
        <f t="shared" si="5"/>
        <v>115.1</v>
      </c>
      <c r="D349" s="14">
        <v>4.8149797570850091E-2</v>
      </c>
      <c r="E349" s="14"/>
      <c r="F349" s="38">
        <v>8.7336032388663758E-3</v>
      </c>
      <c r="G349" s="38">
        <v>0</v>
      </c>
    </row>
    <row r="350" spans="1:7" ht="15.75" thickBot="1">
      <c r="A350" s="3" t="s">
        <v>17</v>
      </c>
      <c r="B350" s="25">
        <v>131</v>
      </c>
      <c r="C350" s="30">
        <f t="shared" si="5"/>
        <v>123.5</v>
      </c>
      <c r="D350" s="14">
        <v>0.10264503816793882</v>
      </c>
      <c r="E350" s="14">
        <v>1.0264503816793884E-2</v>
      </c>
      <c r="F350" s="38">
        <v>1.3958778625954179E-2</v>
      </c>
      <c r="G350" s="38">
        <v>0</v>
      </c>
    </row>
    <row r="351" spans="1:7" ht="15.75" thickBot="1">
      <c r="A351" s="3" t="s">
        <v>18</v>
      </c>
      <c r="B351" s="25">
        <v>136.69999999999999</v>
      </c>
      <c r="C351" s="30">
        <f t="shared" si="5"/>
        <v>131</v>
      </c>
      <c r="D351" s="14">
        <v>0.14006217995610809</v>
      </c>
      <c r="E351" s="14">
        <v>1.400621799561081E-2</v>
      </c>
      <c r="F351" s="38">
        <v>1.7546452084857327E-2</v>
      </c>
      <c r="G351" s="38">
        <v>1.682516459400134E-3</v>
      </c>
    </row>
    <row r="352" spans="1:7" ht="15.75" thickBot="1">
      <c r="A352" s="3" t="s">
        <v>19</v>
      </c>
      <c r="B352" s="25">
        <v>141.5</v>
      </c>
      <c r="C352" s="30">
        <f t="shared" si="5"/>
        <v>136.69999999999999</v>
      </c>
      <c r="D352" s="14">
        <v>0.16923321554770307</v>
      </c>
      <c r="E352" s="14">
        <v>1.6923321554770308E-2</v>
      </c>
      <c r="F352" s="38">
        <v>2.0343462897526483E-2</v>
      </c>
      <c r="G352" s="38">
        <v>5.0176678445229645E-3</v>
      </c>
    </row>
    <row r="353" spans="1:7" ht="15.75" thickBot="1">
      <c r="A353" s="3" t="s">
        <v>20</v>
      </c>
      <c r="B353" s="25">
        <v>146.5</v>
      </c>
      <c r="C353" s="30">
        <f t="shared" si="5"/>
        <v>141.5</v>
      </c>
      <c r="D353" s="14">
        <v>0.19758703071672346</v>
      </c>
      <c r="E353" s="14">
        <v>1.9758703071672344E-2</v>
      </c>
      <c r="F353" s="38">
        <v>2.3062116040955614E-2</v>
      </c>
      <c r="G353" s="38">
        <v>8.2593856655290062E-3</v>
      </c>
    </row>
    <row r="354" spans="1:7" ht="15.75" thickBot="1">
      <c r="A354" s="3" t="s">
        <v>21</v>
      </c>
      <c r="B354" s="25">
        <v>149.5</v>
      </c>
      <c r="C354" s="30">
        <f t="shared" si="5"/>
        <v>146.5</v>
      </c>
      <c r="D354" s="14">
        <v>0.21368896321070224</v>
      </c>
      <c r="E354" s="14">
        <v>2.1368896321070228E-2</v>
      </c>
      <c r="F354" s="38">
        <v>2.4606020066889615E-2</v>
      </c>
      <c r="G354" s="38">
        <v>1.0100334448160532E-2</v>
      </c>
    </row>
    <row r="355" spans="1:7" ht="15.75" thickBot="1">
      <c r="A355" s="3" t="s">
        <v>22</v>
      </c>
      <c r="B355" s="25">
        <v>153.4</v>
      </c>
      <c r="C355" s="30">
        <f t="shared" si="5"/>
        <v>149.5</v>
      </c>
      <c r="D355" s="14">
        <v>0.23367992177314206</v>
      </c>
      <c r="E355" s="14">
        <v>2.3367992177314206E-2</v>
      </c>
      <c r="F355" s="38">
        <v>2.6522816166883952E-2</v>
      </c>
      <c r="G355" s="38">
        <v>1.2385919165580184E-2</v>
      </c>
    </row>
    <row r="356" spans="1:7" ht="15.75" thickBot="1">
      <c r="A356" s="3" t="s">
        <v>23</v>
      </c>
      <c r="B356" s="25">
        <v>157.1</v>
      </c>
      <c r="C356" s="30">
        <f t="shared" si="5"/>
        <v>153.4</v>
      </c>
      <c r="D356" s="14">
        <v>0.25172819859961798</v>
      </c>
      <c r="E356" s="14">
        <v>2.5172819859961799E-2</v>
      </c>
      <c r="F356" s="38">
        <v>2.8253341820496478E-2</v>
      </c>
      <c r="G356" s="38">
        <v>1.4449395289624438E-2</v>
      </c>
    </row>
    <row r="357" spans="1:7" ht="15.75" thickBot="1">
      <c r="A357" s="3" t="s">
        <v>24</v>
      </c>
      <c r="B357" s="25">
        <v>161.19999999999999</v>
      </c>
      <c r="C357" s="30">
        <f t="shared" si="5"/>
        <v>157.1</v>
      </c>
      <c r="D357" s="14">
        <v>0.27075992555831252</v>
      </c>
      <c r="E357" s="14">
        <v>2.7075992555831253E-2</v>
      </c>
      <c r="F357" s="38">
        <v>3.007816377171214E-2</v>
      </c>
      <c r="G357" s="38">
        <v>1.6625310173697262E-2</v>
      </c>
    </row>
    <row r="358" spans="1:7" ht="15.75" thickBot="1">
      <c r="A358" s="3" t="s">
        <v>25</v>
      </c>
      <c r="B358" s="25">
        <v>165.8</v>
      </c>
      <c r="C358" s="30">
        <f t="shared" si="5"/>
        <v>161.19999999999999</v>
      </c>
      <c r="D358" s="14">
        <v>0.29099215922798549</v>
      </c>
      <c r="E358" s="14">
        <v>2.9099215922798551E-2</v>
      </c>
      <c r="F358" s="38">
        <v>3.2018094089264162E-2</v>
      </c>
      <c r="G358" s="38">
        <v>1.8938480096501811E-2</v>
      </c>
    </row>
    <row r="359" spans="1:7" ht="15.75" thickBot="1">
      <c r="A359" s="3" t="s">
        <v>26</v>
      </c>
      <c r="B359" s="25">
        <v>170.4</v>
      </c>
      <c r="C359" s="30">
        <f t="shared" si="5"/>
        <v>165.8</v>
      </c>
      <c r="D359" s="14">
        <v>0.31013204225352109</v>
      </c>
      <c r="E359" s="14">
        <v>3.1013204225352108E-2</v>
      </c>
      <c r="F359" s="38">
        <v>3.3853286384976512E-2</v>
      </c>
      <c r="G359" s="38">
        <v>2.1126760563380281E-2</v>
      </c>
    </row>
    <row r="360" spans="1:7" ht="15.75" thickBot="1">
      <c r="A360" s="3" t="s">
        <v>27</v>
      </c>
      <c r="B360" s="25">
        <v>175</v>
      </c>
      <c r="C360" s="30">
        <f t="shared" si="5"/>
        <v>170.4</v>
      </c>
      <c r="D360" s="14">
        <v>0.32826571428571422</v>
      </c>
      <c r="E360" s="14">
        <v>3.282657142857142E-2</v>
      </c>
      <c r="F360" s="38">
        <v>3.5591999999999985E-2</v>
      </c>
      <c r="G360" s="38">
        <v>2.3199999999999998E-2</v>
      </c>
    </row>
    <row r="361" spans="1:7" ht="15.75" thickBot="1">
      <c r="A361" s="3" t="s">
        <v>28</v>
      </c>
      <c r="B361" s="25">
        <v>179.8</v>
      </c>
      <c r="C361" s="30">
        <f t="shared" si="5"/>
        <v>175</v>
      </c>
      <c r="D361" s="14">
        <v>0.34619855394883198</v>
      </c>
      <c r="E361" s="14">
        <v>3.4619855394883201E-2</v>
      </c>
      <c r="F361" s="38">
        <v>3.7311457174638477E-2</v>
      </c>
      <c r="G361" s="38">
        <v>2.5250278086763073E-2</v>
      </c>
    </row>
    <row r="362" spans="1:7" ht="15.75" thickBot="1">
      <c r="A362" s="3" t="s">
        <v>29</v>
      </c>
      <c r="B362" s="25">
        <v>183</v>
      </c>
      <c r="C362" s="30">
        <f t="shared" si="5"/>
        <v>179.8</v>
      </c>
      <c r="D362" s="14">
        <v>0.35763114754098352</v>
      </c>
      <c r="E362" s="14">
        <v>3.5763114754098352E-2</v>
      </c>
      <c r="F362" s="38">
        <v>3.8407650273224028E-2</v>
      </c>
      <c r="G362" s="38">
        <v>2.6557377049180323E-2</v>
      </c>
    </row>
    <row r="363" spans="1:7" ht="15.75" thickBot="1">
      <c r="A363" s="3" t="s">
        <v>30</v>
      </c>
      <c r="B363" s="25">
        <v>186.4</v>
      </c>
      <c r="C363" s="30">
        <f t="shared" si="5"/>
        <v>183</v>
      </c>
      <c r="D363" s="14">
        <v>0.36934817596566516</v>
      </c>
      <c r="E363" s="14">
        <v>3.693481759656652E-2</v>
      </c>
      <c r="F363" s="38">
        <v>3.9531115879828313E-2</v>
      </c>
      <c r="G363" s="38">
        <v>2.7896995708154508E-2</v>
      </c>
    </row>
    <row r="364" spans="1:7" ht="15.75" thickBot="1">
      <c r="A364" s="3" t="s">
        <v>31</v>
      </c>
      <c r="B364" s="25">
        <v>191.1</v>
      </c>
      <c r="C364" s="30">
        <f t="shared" si="5"/>
        <v>186.4</v>
      </c>
      <c r="D364" s="14">
        <v>0.38485871271585548</v>
      </c>
      <c r="E364" s="14">
        <v>3.8485871271585551E-2</v>
      </c>
      <c r="F364" s="38">
        <v>4.6109890109890007E-2</v>
      </c>
      <c r="G364" s="38">
        <v>2.9670329670329666E-2</v>
      </c>
    </row>
    <row r="365" spans="1:7" ht="15.75" thickBot="1">
      <c r="A365" s="3" t="s">
        <v>32</v>
      </c>
      <c r="B365" s="25">
        <v>198.4</v>
      </c>
      <c r="C365" s="30">
        <f t="shared" si="5"/>
        <v>191.1</v>
      </c>
      <c r="D365" s="14">
        <v>0.40749243951612896</v>
      </c>
      <c r="E365" s="14">
        <v>4.4495463709677364E-2</v>
      </c>
      <c r="F365" s="38">
        <v>5.91310483870967E-2</v>
      </c>
      <c r="G365" s="38">
        <v>3.2258064516129031E-2</v>
      </c>
    </row>
    <row r="366" spans="1:7" ht="15.75" thickBot="1">
      <c r="A366" s="3" t="s">
        <v>33</v>
      </c>
      <c r="B366" s="25">
        <v>204.4</v>
      </c>
      <c r="C366" s="30">
        <f t="shared" si="5"/>
        <v>198.4</v>
      </c>
      <c r="D366" s="14">
        <v>0.42488502935420741</v>
      </c>
      <c r="E366" s="14">
        <v>5.4931017612524405E-2</v>
      </c>
      <c r="F366" s="38">
        <v>6.9136986301369788E-2</v>
      </c>
      <c r="G366" s="38">
        <v>3.4246575342465752E-2</v>
      </c>
    </row>
    <row r="367" spans="1:7" ht="15.75" thickBot="1">
      <c r="A367" s="3" t="s">
        <v>34</v>
      </c>
      <c r="B367" s="25">
        <v>209.8</v>
      </c>
      <c r="C367" s="30">
        <f t="shared" si="5"/>
        <v>204.4</v>
      </c>
      <c r="D367" s="14">
        <v>0.43968779790276452</v>
      </c>
      <c r="E367" s="14">
        <v>6.3812678741658677E-2</v>
      </c>
      <c r="F367" s="38">
        <v>7.7653002859866482E-2</v>
      </c>
      <c r="G367" s="38">
        <v>3.593898951382269E-2</v>
      </c>
    </row>
    <row r="368" spans="1:7" ht="15.75" thickBot="1">
      <c r="A368" s="3" t="s">
        <v>35</v>
      </c>
      <c r="B368" s="25">
        <v>214.5</v>
      </c>
      <c r="C368" s="30">
        <f t="shared" si="5"/>
        <v>209.8</v>
      </c>
      <c r="D368" s="14">
        <v>0.45196503496503487</v>
      </c>
      <c r="E368" s="14">
        <v>7.1179020979020916E-2</v>
      </c>
      <c r="F368" s="38">
        <v>8.4716083916083845E-2</v>
      </c>
      <c r="G368" s="38">
        <v>3.7342657342657341E-2</v>
      </c>
    </row>
    <row r="369" spans="1:7" ht="15.75" thickBot="1">
      <c r="A369" s="3" t="s">
        <v>36</v>
      </c>
      <c r="B369" s="25">
        <v>219.4</v>
      </c>
      <c r="C369" s="30">
        <f t="shared" si="5"/>
        <v>214.5</v>
      </c>
      <c r="D369" s="14">
        <v>0.46420464904284409</v>
      </c>
      <c r="E369" s="14">
        <v>7.8522789425706424E-2</v>
      </c>
      <c r="F369" s="38">
        <v>9.1757520510483082E-2</v>
      </c>
      <c r="G369" s="38">
        <v>3.8742023701002735E-2</v>
      </c>
    </row>
    <row r="370" spans="1:7" ht="15.75" thickBot="1">
      <c r="A370" s="3" t="s">
        <v>37</v>
      </c>
      <c r="B370" s="25">
        <v>229.1</v>
      </c>
      <c r="C370" s="30">
        <f t="shared" si="5"/>
        <v>219.4</v>
      </c>
      <c r="D370" s="14">
        <v>0.48689000436490609</v>
      </c>
      <c r="E370" s="14">
        <v>9.2134002618943639E-2</v>
      </c>
      <c r="F370" s="38">
        <v>0.10480838061981659</v>
      </c>
      <c r="G370" s="38">
        <v>4.8013967699694439E-2</v>
      </c>
    </row>
    <row r="371" spans="1:7" ht="15.75" thickBot="1">
      <c r="A371" s="3" t="s">
        <v>38</v>
      </c>
      <c r="B371" s="25">
        <v>238</v>
      </c>
      <c r="C371" s="30">
        <f t="shared" si="5"/>
        <v>229.1</v>
      </c>
      <c r="D371" s="14">
        <v>0.50607773109243692</v>
      </c>
      <c r="E371" s="14">
        <v>0.10364663865546214</v>
      </c>
      <c r="F371" s="38">
        <v>0.11584705882352936</v>
      </c>
      <c r="G371" s="38">
        <v>6.117647058823529E-2</v>
      </c>
    </row>
    <row r="372" spans="1:7" ht="15.75" thickBot="1">
      <c r="A372" s="3" t="s">
        <v>39</v>
      </c>
      <c r="B372" s="25">
        <v>246.3</v>
      </c>
      <c r="C372" s="30">
        <f t="shared" si="5"/>
        <v>238</v>
      </c>
      <c r="D372" s="14">
        <v>0.5227222898903775</v>
      </c>
      <c r="E372" s="14">
        <v>0.11363337393422651</v>
      </c>
      <c r="F372" s="38">
        <v>0.12542265529841651</v>
      </c>
      <c r="G372" s="38">
        <v>7.2594397076735692E-2</v>
      </c>
    </row>
    <row r="373" spans="1:7" ht="15.75" thickBot="1">
      <c r="A373" s="3" t="s">
        <v>40</v>
      </c>
      <c r="B373" s="25">
        <v>255.3</v>
      </c>
      <c r="C373" s="30">
        <f t="shared" si="5"/>
        <v>246.3</v>
      </c>
      <c r="D373" s="14">
        <v>0.53954759106933015</v>
      </c>
      <c r="E373" s="14">
        <v>0.12372855464159808</v>
      </c>
      <c r="F373" s="38">
        <v>0.13510223266745003</v>
      </c>
      <c r="G373" s="38">
        <v>8.4136310223266758E-2</v>
      </c>
    </row>
    <row r="374" spans="1:7" ht="15.75" thickBot="1">
      <c r="A374" s="3" t="s">
        <v>41</v>
      </c>
      <c r="B374" s="25">
        <v>266.60000000000002</v>
      </c>
      <c r="C374" s="30">
        <f t="shared" si="5"/>
        <v>255.3</v>
      </c>
      <c r="D374" s="14">
        <v>0.55906414103525881</v>
      </c>
      <c r="E374" s="14">
        <v>0.13543848462115529</v>
      </c>
      <c r="F374" s="38">
        <v>0.14633008252063012</v>
      </c>
      <c r="G374" s="38">
        <v>9.7524381095273838E-2</v>
      </c>
    </row>
    <row r="375" spans="1:7" ht="15.75" thickBot="1">
      <c r="A375" s="3" t="s">
        <v>42</v>
      </c>
      <c r="B375" s="25">
        <v>281.8</v>
      </c>
      <c r="C375" s="30">
        <f t="shared" si="5"/>
        <v>266.60000000000002</v>
      </c>
      <c r="D375" s="14">
        <v>0.58284776437189489</v>
      </c>
      <c r="E375" s="14">
        <v>0.14970865862313698</v>
      </c>
      <c r="F375" s="38">
        <v>0.16001277501774305</v>
      </c>
      <c r="G375" s="38">
        <v>0.11383960255500357</v>
      </c>
    </row>
    <row r="376" spans="1:7" ht="15.75" thickBot="1">
      <c r="A376" s="3" t="s">
        <v>43</v>
      </c>
      <c r="B376" s="25">
        <v>295.89999999999998</v>
      </c>
      <c r="C376" s="30">
        <f t="shared" si="5"/>
        <v>281.8</v>
      </c>
      <c r="D376" s="14">
        <v>0.60272558296721856</v>
      </c>
      <c r="E376" s="14">
        <v>0.16163534978033114</v>
      </c>
      <c r="F376" s="38">
        <v>0.17144846231835073</v>
      </c>
      <c r="G376" s="38">
        <v>0.12747549847921594</v>
      </c>
    </row>
    <row r="377" spans="1:7" ht="15.75" thickBot="1">
      <c r="A377" s="3" t="s">
        <v>44</v>
      </c>
      <c r="B377" s="25">
        <v>311.89999999999998</v>
      </c>
      <c r="C377" s="30">
        <f t="shared" si="5"/>
        <v>295.89999999999998</v>
      </c>
      <c r="D377" s="14">
        <v>0.62310516191086884</v>
      </c>
      <c r="E377" s="14">
        <v>0.17386309714652126</v>
      </c>
      <c r="F377" s="38">
        <v>0.18317281179865336</v>
      </c>
      <c r="G377" s="38">
        <v>0.14145559474190444</v>
      </c>
    </row>
    <row r="378" spans="1:7" ht="15.75" thickBot="1">
      <c r="A378" s="3" t="s">
        <v>45</v>
      </c>
      <c r="B378" s="25">
        <v>328.7</v>
      </c>
      <c r="C378" s="30">
        <f t="shared" si="5"/>
        <v>311.89999999999998</v>
      </c>
      <c r="D378" s="14">
        <v>0.64236842105263148</v>
      </c>
      <c r="E378" s="14">
        <v>0.18542105263157893</v>
      </c>
      <c r="F378" s="38">
        <v>0.19425494371767565</v>
      </c>
      <c r="G378" s="38">
        <v>0.15466991177365377</v>
      </c>
    </row>
    <row r="379" spans="1:7" ht="15.75" thickBot="1">
      <c r="A379" s="3" t="s">
        <v>46</v>
      </c>
      <c r="B379" s="25">
        <v>341.6</v>
      </c>
      <c r="C379" s="30">
        <f t="shared" si="5"/>
        <v>328.7</v>
      </c>
      <c r="D379" s="14">
        <v>0.65587382903981262</v>
      </c>
      <c r="E379" s="14">
        <v>0.19352429742388758</v>
      </c>
      <c r="F379" s="38">
        <v>0.20202459016393443</v>
      </c>
      <c r="G379" s="38">
        <v>0.16393442622950824</v>
      </c>
    </row>
    <row r="380" spans="1:7" ht="15.75" thickBot="1">
      <c r="A380" s="3" t="s">
        <v>47</v>
      </c>
      <c r="B380" s="25">
        <v>359.3</v>
      </c>
      <c r="C380" s="30">
        <f t="shared" si="5"/>
        <v>341.6</v>
      </c>
      <c r="D380" s="14">
        <v>0.67282632897300299</v>
      </c>
      <c r="E380" s="14">
        <v>0.20369579738380178</v>
      </c>
      <c r="F380" s="38">
        <v>0.21177734483718341</v>
      </c>
      <c r="G380" s="38">
        <v>0.1755635958808795</v>
      </c>
    </row>
    <row r="381" spans="1:7" ht="15.75" thickBot="1">
      <c r="A381" s="3" t="s">
        <v>48</v>
      </c>
      <c r="B381" s="25">
        <v>377</v>
      </c>
      <c r="C381" s="30">
        <f t="shared" si="5"/>
        <v>359.3</v>
      </c>
      <c r="D381" s="14">
        <v>0.68818700265251997</v>
      </c>
      <c r="E381" s="14">
        <v>0.21291220159151189</v>
      </c>
      <c r="F381" s="38">
        <v>0.22061432360742703</v>
      </c>
      <c r="G381" s="38">
        <v>0.18610079575596816</v>
      </c>
    </row>
    <row r="382" spans="1:7" ht="15.75" thickBot="1">
      <c r="A382" s="3" t="s">
        <v>49</v>
      </c>
      <c r="B382" s="25">
        <v>413.7</v>
      </c>
      <c r="C382" s="30">
        <f t="shared" si="5"/>
        <v>377</v>
      </c>
      <c r="D382" s="14">
        <v>0.71584844089920219</v>
      </c>
      <c r="E382" s="14">
        <v>0.22950906453952138</v>
      </c>
      <c r="F382" s="38">
        <v>0.23652791878172588</v>
      </c>
      <c r="G382" s="38">
        <v>0.20507614213197967</v>
      </c>
    </row>
    <row r="383" spans="1:7" ht="15.75" thickBot="1">
      <c r="A383" s="3" t="s">
        <v>50</v>
      </c>
      <c r="B383" s="25">
        <v>481.8</v>
      </c>
      <c r="C383" s="30">
        <f t="shared" si="5"/>
        <v>413.7</v>
      </c>
      <c r="D383" s="14">
        <v>0.75601183063511823</v>
      </c>
      <c r="E383" s="14">
        <v>0.25360709838107093</v>
      </c>
      <c r="F383" s="38">
        <v>0.25963387297633872</v>
      </c>
      <c r="G383" s="38">
        <v>0.23262764632627644</v>
      </c>
    </row>
    <row r="384" spans="1:7" ht="15.75" thickBot="1">
      <c r="A384" s="3" t="s">
        <v>51</v>
      </c>
      <c r="B384" s="25">
        <v>559.1</v>
      </c>
      <c r="C384" s="30">
        <f t="shared" si="5"/>
        <v>481.8</v>
      </c>
      <c r="D384" s="14">
        <v>0.78974512609551073</v>
      </c>
      <c r="E384" s="14">
        <v>0.27384707565730643</v>
      </c>
      <c r="F384" s="38">
        <v>0.27904060096583794</v>
      </c>
      <c r="G384" s="38">
        <v>0.25576819889107499</v>
      </c>
    </row>
    <row r="385" spans="1:7" ht="15.75" thickBot="1">
      <c r="A385" s="3" t="s">
        <v>52</v>
      </c>
      <c r="B385" s="25">
        <v>681.2</v>
      </c>
      <c r="C385" s="30">
        <f t="shared" si="5"/>
        <v>559.1</v>
      </c>
      <c r="D385" s="14">
        <v>0.82743173810921911</v>
      </c>
      <c r="E385" s="14">
        <v>0.29645904286553143</v>
      </c>
      <c r="F385" s="38">
        <v>0.30072166764533176</v>
      </c>
      <c r="G385" s="38">
        <v>0.28162066940692898</v>
      </c>
    </row>
    <row r="386" spans="1:7" ht="15.75" thickBot="1">
      <c r="A386" s="3" t="s">
        <v>53</v>
      </c>
      <c r="B386" s="23">
        <v>926.9</v>
      </c>
      <c r="C386" s="30">
        <f>B385</f>
        <v>681.2</v>
      </c>
      <c r="D386" s="14">
        <v>0.87317563922753261</v>
      </c>
      <c r="E386" s="14">
        <v>0.32390538353651965</v>
      </c>
      <c r="F386" s="38">
        <v>0.32703808393569966</v>
      </c>
      <c r="G386" s="38">
        <v>0.31300032365951019</v>
      </c>
    </row>
    <row r="387" spans="1:7" ht="15.75" thickBot="1">
      <c r="A387" s="3" t="s">
        <v>53</v>
      </c>
      <c r="B387" s="3" t="s">
        <v>76</v>
      </c>
      <c r="C387" s="30">
        <f t="shared" si="5"/>
        <v>926.9</v>
      </c>
      <c r="D387" s="22" t="s">
        <v>69</v>
      </c>
      <c r="E387" s="1"/>
      <c r="F387" s="37"/>
      <c r="G387" s="39"/>
    </row>
    <row r="388" spans="1:7" ht="15.75" thickBot="1">
      <c r="A388" s="3"/>
      <c r="B388" s="3">
        <v>189.2</v>
      </c>
      <c r="D388" s="4" t="s">
        <v>69</v>
      </c>
      <c r="E388" s="15">
        <v>7.8822124444093186E-2</v>
      </c>
      <c r="F388" s="26">
        <v>8.4283473526279684E-2</v>
      </c>
      <c r="G388" s="26">
        <v>6.2685339863040215E-2</v>
      </c>
    </row>
    <row r="389" spans="1:7" ht="60.75" thickBot="1">
      <c r="A389" s="5" t="s">
        <v>55</v>
      </c>
      <c r="B389" s="3"/>
      <c r="D389" s="4" t="s">
        <v>69</v>
      </c>
      <c r="E389" s="12">
        <v>195.92250000000004</v>
      </c>
      <c r="F389" s="45">
        <v>187.85666666666671</v>
      </c>
      <c r="G389" s="46">
        <v>224</v>
      </c>
    </row>
    <row r="390" spans="1:7" ht="60.75" thickBot="1">
      <c r="A390" s="5" t="s">
        <v>56</v>
      </c>
      <c r="B390" s="4">
        <v>224</v>
      </c>
      <c r="D390" s="1"/>
      <c r="E390" s="1"/>
      <c r="F390" s="37"/>
      <c r="G390" s="37"/>
    </row>
    <row r="391" spans="1:7" ht="97.5" thickBot="1">
      <c r="A391" s="6" t="s">
        <v>57</v>
      </c>
      <c r="B391" s="4">
        <v>134</v>
      </c>
      <c r="D391" s="1"/>
      <c r="E391" s="1">
        <v>117.55350000000001</v>
      </c>
      <c r="F391" s="37">
        <v>112.71400000000003</v>
      </c>
      <c r="G391" s="37">
        <v>134.4</v>
      </c>
    </row>
    <row r="394" spans="1:7">
      <c r="A394" s="16" t="s">
        <v>64</v>
      </c>
      <c r="B394" s="17">
        <f>AVERAGE(B342:B381)</f>
        <v>195.92250000000004</v>
      </c>
    </row>
    <row r="395" spans="1:7">
      <c r="A395" s="16" t="s">
        <v>65</v>
      </c>
      <c r="B395" s="18">
        <f>AVERAGE(B347:B376)</f>
        <v>187.85666666666671</v>
      </c>
    </row>
    <row r="396" spans="1:7">
      <c r="A396" s="16" t="s">
        <v>66</v>
      </c>
      <c r="B396" s="18">
        <f>AVERAGE(B353:B371)</f>
        <v>185.93684210526317</v>
      </c>
    </row>
    <row r="400" spans="1:7" ht="15.75" thickBot="1"/>
    <row r="401" spans="1:7" ht="15.75" thickBot="1">
      <c r="A401" s="522" t="s">
        <v>0</v>
      </c>
      <c r="B401" s="532" t="s">
        <v>71</v>
      </c>
      <c r="C401" s="533"/>
      <c r="D401" s="534"/>
      <c r="E401" s="19">
        <f>(1-E456)^(1/3)-1</f>
        <v>0</v>
      </c>
      <c r="F401" s="19">
        <f>(1-F456)^(1/3)-1</f>
        <v>0</v>
      </c>
      <c r="G401" s="19"/>
    </row>
    <row r="402" spans="1:7" ht="72.75" thickBot="1">
      <c r="A402" s="523"/>
      <c r="B402" s="7" t="s">
        <v>4</v>
      </c>
      <c r="C402">
        <v>0</v>
      </c>
      <c r="D402" s="1" t="s">
        <v>5</v>
      </c>
      <c r="E402" s="1" t="s">
        <v>5</v>
      </c>
      <c r="F402" s="37" t="s">
        <v>5</v>
      </c>
      <c r="G402" s="37"/>
    </row>
    <row r="403" spans="1:7" ht="73.5" thickBot="1">
      <c r="A403" s="524"/>
      <c r="B403" s="4" t="s">
        <v>73</v>
      </c>
      <c r="C403" s="30" t="str">
        <f>B402</f>
        <v>Фактическое удельное годовое потребление</v>
      </c>
      <c r="D403" s="20" t="s">
        <v>7</v>
      </c>
      <c r="E403" s="9" t="s">
        <v>65</v>
      </c>
      <c r="F403" s="47"/>
      <c r="G403" s="48"/>
    </row>
    <row r="404" spans="1:7" ht="25.5" thickBot="1">
      <c r="A404" s="2">
        <v>1</v>
      </c>
      <c r="B404" s="2"/>
      <c r="C404" s="30" t="str">
        <f t="shared" ref="C404:C452" si="6">B403</f>
        <v>кгут / кв. м</v>
      </c>
      <c r="D404" s="4" t="s">
        <v>73</v>
      </c>
      <c r="E404" s="10">
        <v>5</v>
      </c>
      <c r="F404" s="43">
        <v>6</v>
      </c>
      <c r="G404" s="44"/>
    </row>
    <row r="405" spans="1:7" ht="15.75" thickBot="1">
      <c r="A405" s="8" t="s">
        <v>10</v>
      </c>
      <c r="B405" s="3"/>
      <c r="C405" s="30">
        <f t="shared" si="6"/>
        <v>0</v>
      </c>
      <c r="D405" s="21"/>
      <c r="E405" s="14"/>
      <c r="F405" s="38"/>
      <c r="G405" s="38"/>
    </row>
    <row r="406" spans="1:7" ht="15.75" thickBot="1">
      <c r="A406" s="8" t="s">
        <v>58</v>
      </c>
      <c r="B406" s="3"/>
      <c r="C406" s="30">
        <f t="shared" si="6"/>
        <v>0</v>
      </c>
      <c r="D406" s="4"/>
      <c r="E406" s="14"/>
      <c r="F406" s="38"/>
      <c r="G406" s="38"/>
    </row>
    <row r="407" spans="1:7" ht="15.75" thickBot="1">
      <c r="A407" s="8" t="s">
        <v>59</v>
      </c>
      <c r="B407" s="3"/>
      <c r="C407" s="30">
        <f t="shared" si="6"/>
        <v>0</v>
      </c>
      <c r="D407" s="4"/>
      <c r="E407" s="14"/>
      <c r="F407" s="38"/>
      <c r="G407" s="38"/>
    </row>
    <row r="408" spans="1:7" ht="15.75" thickBot="1">
      <c r="A408" s="8" t="s">
        <v>60</v>
      </c>
      <c r="B408" s="3"/>
      <c r="C408" s="30">
        <f t="shared" si="6"/>
        <v>0</v>
      </c>
      <c r="D408" s="4"/>
      <c r="E408" s="14"/>
      <c r="F408" s="38"/>
      <c r="G408" s="38"/>
    </row>
    <row r="409" spans="1:7" ht="15.75" thickBot="1">
      <c r="A409" s="8" t="s">
        <v>61</v>
      </c>
      <c r="B409" s="3"/>
      <c r="C409" s="30">
        <f t="shared" si="6"/>
        <v>0</v>
      </c>
      <c r="D409" s="4"/>
      <c r="E409" s="14"/>
      <c r="F409" s="38"/>
      <c r="G409" s="38"/>
    </row>
    <row r="410" spans="1:7" ht="15.75" thickBot="1">
      <c r="A410" s="8" t="s">
        <v>62</v>
      </c>
      <c r="B410" s="3"/>
      <c r="C410" s="30">
        <f t="shared" si="6"/>
        <v>0</v>
      </c>
      <c r="D410" s="4"/>
      <c r="E410" s="14"/>
      <c r="F410" s="38"/>
      <c r="G410" s="38"/>
    </row>
    <row r="411" spans="1:7" ht="15.75" thickBot="1">
      <c r="A411" s="8" t="s">
        <v>63</v>
      </c>
      <c r="B411" s="3"/>
      <c r="C411" s="30">
        <f t="shared" si="6"/>
        <v>0</v>
      </c>
      <c r="D411" s="4"/>
      <c r="E411" s="14"/>
      <c r="F411" s="38"/>
      <c r="G411" s="38"/>
    </row>
    <row r="412" spans="1:7" ht="15.75" thickBot="1">
      <c r="A412" s="3" t="s">
        <v>11</v>
      </c>
      <c r="B412" s="3"/>
      <c r="C412" s="30">
        <f t="shared" si="6"/>
        <v>0</v>
      </c>
      <c r="D412" s="4"/>
      <c r="E412" s="14"/>
      <c r="F412" s="38"/>
      <c r="G412" s="38"/>
    </row>
    <row r="413" spans="1:7" ht="15.75" thickBot="1">
      <c r="A413" s="3" t="s">
        <v>12</v>
      </c>
      <c r="B413" s="3"/>
      <c r="C413" s="30">
        <f t="shared" si="6"/>
        <v>0</v>
      </c>
      <c r="D413" s="4"/>
      <c r="E413" s="14"/>
      <c r="F413" s="38"/>
      <c r="G413" s="38"/>
    </row>
    <row r="414" spans="1:7" ht="15.75" thickBot="1">
      <c r="A414" s="3" t="s">
        <v>13</v>
      </c>
      <c r="B414" s="3"/>
      <c r="C414" s="30">
        <f t="shared" si="6"/>
        <v>0</v>
      </c>
      <c r="D414" s="4"/>
      <c r="E414" s="14"/>
      <c r="F414" s="38"/>
      <c r="G414" s="38"/>
    </row>
    <row r="415" spans="1:7" ht="15.75" thickBot="1">
      <c r="A415" s="3" t="s">
        <v>14</v>
      </c>
      <c r="B415" s="3"/>
      <c r="C415" s="30">
        <f t="shared" si="6"/>
        <v>0</v>
      </c>
      <c r="D415" s="4"/>
      <c r="E415" s="14"/>
      <c r="F415" s="38"/>
      <c r="G415" s="38"/>
    </row>
    <row r="416" spans="1:7" ht="15.75" thickBot="1">
      <c r="A416" s="3" t="s">
        <v>15</v>
      </c>
      <c r="B416" s="3"/>
      <c r="C416" s="30">
        <f t="shared" si="6"/>
        <v>0</v>
      </c>
      <c r="D416" s="4"/>
      <c r="E416" s="14"/>
      <c r="F416" s="38"/>
      <c r="G416" s="38"/>
    </row>
    <row r="417" spans="1:7" ht="15.75" thickBot="1">
      <c r="A417" s="3" t="s">
        <v>16</v>
      </c>
      <c r="B417" s="3"/>
      <c r="C417" s="30">
        <f t="shared" si="6"/>
        <v>0</v>
      </c>
      <c r="D417" s="4"/>
      <c r="E417" s="14"/>
      <c r="F417" s="38"/>
      <c r="G417" s="38"/>
    </row>
    <row r="418" spans="1:7" ht="15.75" thickBot="1">
      <c r="A418" s="3" t="s">
        <v>17</v>
      </c>
      <c r="B418" s="3"/>
      <c r="C418" s="30">
        <f t="shared" si="6"/>
        <v>0</v>
      </c>
      <c r="D418" s="4"/>
      <c r="E418" s="14"/>
      <c r="F418" s="38"/>
      <c r="G418" s="38"/>
    </row>
    <row r="419" spans="1:7" ht="15.75" thickBot="1">
      <c r="A419" s="3" t="s">
        <v>18</v>
      </c>
      <c r="B419" s="3"/>
      <c r="C419" s="30">
        <f t="shared" si="6"/>
        <v>0</v>
      </c>
      <c r="D419" s="4"/>
      <c r="E419" s="14"/>
      <c r="F419" s="38"/>
      <c r="G419" s="38"/>
    </row>
    <row r="420" spans="1:7" ht="15.75" thickBot="1">
      <c r="A420" s="3" t="s">
        <v>19</v>
      </c>
      <c r="B420" s="3"/>
      <c r="C420" s="30">
        <f t="shared" si="6"/>
        <v>0</v>
      </c>
      <c r="D420" s="4"/>
      <c r="E420" s="14"/>
      <c r="F420" s="38"/>
      <c r="G420" s="38"/>
    </row>
    <row r="421" spans="1:7" ht="15.75" thickBot="1">
      <c r="A421" s="3" t="s">
        <v>20</v>
      </c>
      <c r="B421" s="3"/>
      <c r="C421" s="30">
        <f t="shared" si="6"/>
        <v>0</v>
      </c>
      <c r="D421" s="4"/>
      <c r="E421" s="14"/>
      <c r="F421" s="38"/>
      <c r="G421" s="38"/>
    </row>
    <row r="422" spans="1:7" ht="15.75" thickBot="1">
      <c r="A422" s="3" t="s">
        <v>21</v>
      </c>
      <c r="B422" s="3"/>
      <c r="C422" s="30">
        <f t="shared" si="6"/>
        <v>0</v>
      </c>
      <c r="D422" s="4"/>
      <c r="E422" s="14"/>
      <c r="F422" s="38"/>
      <c r="G422" s="38"/>
    </row>
    <row r="423" spans="1:7" ht="15.75" thickBot="1">
      <c r="A423" s="3" t="s">
        <v>22</v>
      </c>
      <c r="B423" s="3"/>
      <c r="C423" s="30">
        <f t="shared" si="6"/>
        <v>0</v>
      </c>
      <c r="D423" s="4"/>
      <c r="E423" s="14"/>
      <c r="F423" s="38"/>
      <c r="G423" s="38"/>
    </row>
    <row r="424" spans="1:7" ht="15.75" thickBot="1">
      <c r="A424" s="3" t="s">
        <v>23</v>
      </c>
      <c r="B424" s="3"/>
      <c r="C424" s="30">
        <f t="shared" si="6"/>
        <v>0</v>
      </c>
      <c r="D424" s="4"/>
      <c r="E424" s="14"/>
      <c r="F424" s="38"/>
      <c r="G424" s="38"/>
    </row>
    <row r="425" spans="1:7" ht="15.75" thickBot="1">
      <c r="A425" s="3" t="s">
        <v>24</v>
      </c>
      <c r="B425" s="3"/>
      <c r="C425" s="30">
        <f t="shared" si="6"/>
        <v>0</v>
      </c>
      <c r="D425" s="4"/>
      <c r="E425" s="14"/>
      <c r="F425" s="38"/>
      <c r="G425" s="38"/>
    </row>
    <row r="426" spans="1:7" ht="15.75" thickBot="1">
      <c r="A426" s="3" t="s">
        <v>25</v>
      </c>
      <c r="B426" s="3"/>
      <c r="C426" s="30">
        <f t="shared" si="6"/>
        <v>0</v>
      </c>
      <c r="D426" s="4"/>
      <c r="E426" s="14"/>
      <c r="F426" s="38"/>
      <c r="G426" s="38"/>
    </row>
    <row r="427" spans="1:7" ht="15.75" thickBot="1">
      <c r="A427" s="3" t="s">
        <v>26</v>
      </c>
      <c r="B427" s="3"/>
      <c r="C427" s="30">
        <f t="shared" si="6"/>
        <v>0</v>
      </c>
      <c r="D427" s="4"/>
      <c r="E427" s="14"/>
      <c r="F427" s="38"/>
      <c r="G427" s="38"/>
    </row>
    <row r="428" spans="1:7" ht="15.75" thickBot="1">
      <c r="A428" s="3" t="s">
        <v>27</v>
      </c>
      <c r="B428" s="3"/>
      <c r="C428" s="30">
        <f t="shared" si="6"/>
        <v>0</v>
      </c>
      <c r="D428" s="4"/>
      <c r="E428" s="14"/>
      <c r="F428" s="38"/>
      <c r="G428" s="38"/>
    </row>
    <row r="429" spans="1:7" ht="15.75" thickBot="1">
      <c r="A429" s="3" t="s">
        <v>28</v>
      </c>
      <c r="B429" s="3"/>
      <c r="C429" s="30">
        <f t="shared" si="6"/>
        <v>0</v>
      </c>
      <c r="D429" s="4"/>
      <c r="E429" s="14"/>
      <c r="F429" s="38"/>
      <c r="G429" s="38"/>
    </row>
    <row r="430" spans="1:7" ht="15.75" thickBot="1">
      <c r="A430" s="3" t="s">
        <v>29</v>
      </c>
      <c r="B430" s="3"/>
      <c r="C430" s="30">
        <f t="shared" si="6"/>
        <v>0</v>
      </c>
      <c r="D430" s="4"/>
      <c r="E430" s="14"/>
      <c r="F430" s="38"/>
      <c r="G430" s="38"/>
    </row>
    <row r="431" spans="1:7" ht="15.75" thickBot="1">
      <c r="A431" s="3" t="s">
        <v>30</v>
      </c>
      <c r="B431" s="3"/>
      <c r="C431" s="30">
        <f t="shared" si="6"/>
        <v>0</v>
      </c>
      <c r="D431" s="4"/>
      <c r="E431" s="14"/>
      <c r="F431" s="38"/>
      <c r="G431" s="38"/>
    </row>
    <row r="432" spans="1:7" ht="15.75" thickBot="1">
      <c r="A432" s="3" t="s">
        <v>31</v>
      </c>
      <c r="B432" s="3"/>
      <c r="C432" s="30">
        <f t="shared" si="6"/>
        <v>0</v>
      </c>
      <c r="D432" s="4"/>
      <c r="E432" s="14"/>
      <c r="F432" s="38"/>
      <c r="G432" s="38"/>
    </row>
    <row r="433" spans="1:7" ht="15.75" thickBot="1">
      <c r="A433" s="3" t="s">
        <v>32</v>
      </c>
      <c r="B433" s="3"/>
      <c r="C433" s="30">
        <f t="shared" si="6"/>
        <v>0</v>
      </c>
      <c r="D433" s="4"/>
      <c r="E433" s="14"/>
      <c r="F433" s="38"/>
      <c r="G433" s="38"/>
    </row>
    <row r="434" spans="1:7" ht="15.75" thickBot="1">
      <c r="A434" s="3" t="s">
        <v>33</v>
      </c>
      <c r="B434" s="3"/>
      <c r="C434" s="30">
        <f t="shared" si="6"/>
        <v>0</v>
      </c>
      <c r="D434" s="4"/>
      <c r="E434" s="14"/>
      <c r="F434" s="38"/>
      <c r="G434" s="38"/>
    </row>
    <row r="435" spans="1:7" ht="15.75" thickBot="1">
      <c r="A435" s="3" t="s">
        <v>34</v>
      </c>
      <c r="B435" s="3"/>
      <c r="C435" s="30">
        <f t="shared" si="6"/>
        <v>0</v>
      </c>
      <c r="D435" s="4"/>
      <c r="E435" s="14"/>
      <c r="F435" s="38"/>
      <c r="G435" s="38"/>
    </row>
    <row r="436" spans="1:7" ht="15.75" thickBot="1">
      <c r="A436" s="3" t="s">
        <v>35</v>
      </c>
      <c r="B436" s="3"/>
      <c r="C436" s="30">
        <f t="shared" si="6"/>
        <v>0</v>
      </c>
      <c r="D436" s="4"/>
      <c r="E436" s="14"/>
      <c r="F436" s="38"/>
      <c r="G436" s="38"/>
    </row>
    <row r="437" spans="1:7" ht="15.75" thickBot="1">
      <c r="A437" s="3" t="s">
        <v>36</v>
      </c>
      <c r="B437" s="3"/>
      <c r="C437" s="30">
        <f t="shared" si="6"/>
        <v>0</v>
      </c>
      <c r="D437" s="4"/>
      <c r="E437" s="14"/>
      <c r="F437" s="38"/>
      <c r="G437" s="38"/>
    </row>
    <row r="438" spans="1:7" ht="15.75" thickBot="1">
      <c r="A438" s="3" t="s">
        <v>37</v>
      </c>
      <c r="B438" s="3"/>
      <c r="C438" s="30">
        <f t="shared" si="6"/>
        <v>0</v>
      </c>
      <c r="D438" s="4"/>
      <c r="E438" s="14"/>
      <c r="F438" s="38"/>
      <c r="G438" s="38"/>
    </row>
    <row r="439" spans="1:7" ht="15.75" thickBot="1">
      <c r="A439" s="3" t="s">
        <v>38</v>
      </c>
      <c r="B439" s="3"/>
      <c r="C439" s="30">
        <f t="shared" si="6"/>
        <v>0</v>
      </c>
      <c r="D439" s="4"/>
      <c r="E439" s="14"/>
      <c r="F439" s="38"/>
      <c r="G439" s="38"/>
    </row>
    <row r="440" spans="1:7" ht="15.75" thickBot="1">
      <c r="A440" s="3" t="s">
        <v>39</v>
      </c>
      <c r="B440" s="3"/>
      <c r="C440" s="30">
        <f t="shared" si="6"/>
        <v>0</v>
      </c>
      <c r="D440" s="4"/>
      <c r="E440" s="14"/>
      <c r="F440" s="38"/>
      <c r="G440" s="38"/>
    </row>
    <row r="441" spans="1:7" ht="15.75" thickBot="1">
      <c r="A441" s="3" t="s">
        <v>40</v>
      </c>
      <c r="B441" s="3"/>
      <c r="C441" s="30">
        <f t="shared" si="6"/>
        <v>0</v>
      </c>
      <c r="D441" s="4"/>
      <c r="E441" s="14"/>
      <c r="F441" s="38"/>
      <c r="G441" s="38"/>
    </row>
    <row r="442" spans="1:7" ht="15.75" thickBot="1">
      <c r="A442" s="3" t="s">
        <v>41</v>
      </c>
      <c r="B442" s="3"/>
      <c r="C442" s="30">
        <f t="shared" si="6"/>
        <v>0</v>
      </c>
      <c r="D442" s="4"/>
      <c r="E442" s="14"/>
      <c r="F442" s="38"/>
      <c r="G442" s="38"/>
    </row>
    <row r="443" spans="1:7" ht="15.75" thickBot="1">
      <c r="A443" s="3" t="s">
        <v>42</v>
      </c>
      <c r="B443" s="3"/>
      <c r="C443" s="30">
        <f t="shared" si="6"/>
        <v>0</v>
      </c>
      <c r="D443" s="4"/>
      <c r="E443" s="14"/>
      <c r="F443" s="38"/>
      <c r="G443" s="38"/>
    </row>
    <row r="444" spans="1:7" ht="15.75" thickBot="1">
      <c r="A444" s="3" t="s">
        <v>43</v>
      </c>
      <c r="B444" s="3"/>
      <c r="C444" s="30">
        <f t="shared" si="6"/>
        <v>0</v>
      </c>
      <c r="D444" s="4"/>
      <c r="E444" s="14"/>
      <c r="F444" s="38"/>
      <c r="G444" s="38"/>
    </row>
    <row r="445" spans="1:7" ht="15.75" thickBot="1">
      <c r="A445" s="3" t="s">
        <v>44</v>
      </c>
      <c r="B445" s="3"/>
      <c r="C445" s="30">
        <f t="shared" si="6"/>
        <v>0</v>
      </c>
      <c r="D445" s="4"/>
      <c r="E445" s="14"/>
      <c r="F445" s="38"/>
      <c r="G445" s="38"/>
    </row>
    <row r="446" spans="1:7" ht="15.75" thickBot="1">
      <c r="A446" s="3" t="s">
        <v>45</v>
      </c>
      <c r="B446" s="3"/>
      <c r="C446" s="30">
        <f t="shared" si="6"/>
        <v>0</v>
      </c>
      <c r="D446" s="4"/>
      <c r="E446" s="14"/>
      <c r="F446" s="38"/>
      <c r="G446" s="38"/>
    </row>
    <row r="447" spans="1:7" ht="15.75" thickBot="1">
      <c r="A447" s="3" t="s">
        <v>46</v>
      </c>
      <c r="B447" s="3"/>
      <c r="C447" s="30">
        <f t="shared" si="6"/>
        <v>0</v>
      </c>
      <c r="D447" s="4"/>
      <c r="E447" s="14"/>
      <c r="F447" s="38"/>
      <c r="G447" s="38"/>
    </row>
    <row r="448" spans="1:7" ht="15.75" thickBot="1">
      <c r="A448" s="3" t="s">
        <v>47</v>
      </c>
      <c r="B448" s="3"/>
      <c r="C448" s="30">
        <f t="shared" si="6"/>
        <v>0</v>
      </c>
      <c r="D448" s="4"/>
      <c r="E448" s="14"/>
      <c r="F448" s="38"/>
      <c r="G448" s="38"/>
    </row>
    <row r="449" spans="1:7" ht="15.75" thickBot="1">
      <c r="A449" s="3" t="s">
        <v>48</v>
      </c>
      <c r="B449" s="3"/>
      <c r="C449" s="30">
        <f t="shared" si="6"/>
        <v>0</v>
      </c>
      <c r="D449" s="4"/>
      <c r="E449" s="14"/>
      <c r="F449" s="38"/>
      <c r="G449" s="38"/>
    </row>
    <row r="450" spans="1:7" ht="15.75" thickBot="1">
      <c r="A450" s="3" t="s">
        <v>49</v>
      </c>
      <c r="B450" s="3"/>
      <c r="C450" s="30">
        <f t="shared" si="6"/>
        <v>0</v>
      </c>
      <c r="D450" s="4"/>
      <c r="E450" s="14"/>
      <c r="F450" s="38"/>
      <c r="G450" s="38"/>
    </row>
    <row r="451" spans="1:7" ht="15.75" thickBot="1">
      <c r="A451" s="3" t="s">
        <v>50</v>
      </c>
      <c r="B451" s="3"/>
      <c r="C451" s="30">
        <f>B450</f>
        <v>0</v>
      </c>
      <c r="D451" s="4"/>
      <c r="E451" s="14"/>
      <c r="F451" s="38"/>
      <c r="G451" s="38"/>
    </row>
    <row r="452" spans="1:7" ht="15.75" thickBot="1">
      <c r="A452" s="3" t="s">
        <v>51</v>
      </c>
      <c r="B452" s="3"/>
      <c r="C452" s="30">
        <f t="shared" si="6"/>
        <v>0</v>
      </c>
      <c r="D452" s="4"/>
      <c r="E452" s="14"/>
      <c r="F452" s="38"/>
      <c r="G452" s="38"/>
    </row>
    <row r="453" spans="1:7" ht="15.75" thickBot="1">
      <c r="A453" s="3" t="s">
        <v>52</v>
      </c>
      <c r="B453" s="3"/>
      <c r="D453" s="4"/>
      <c r="E453" s="14"/>
      <c r="F453" s="38"/>
      <c r="G453" s="38"/>
    </row>
    <row r="454" spans="1:7" ht="15.75" thickBot="1">
      <c r="A454" s="3" t="s">
        <v>53</v>
      </c>
      <c r="B454" s="3"/>
      <c r="D454" s="4"/>
      <c r="E454" s="14"/>
      <c r="F454" s="38"/>
      <c r="G454" s="38"/>
    </row>
    <row r="455" spans="1:7" ht="15.75" thickBot="1">
      <c r="A455" s="3" t="s">
        <v>53</v>
      </c>
      <c r="B455" s="3"/>
      <c r="D455" s="22"/>
      <c r="E455" s="1"/>
      <c r="F455" s="37"/>
      <c r="G455" s="39"/>
    </row>
    <row r="456" spans="1:7" ht="15.75" thickBot="1">
      <c r="A456" s="3"/>
      <c r="B456" s="3"/>
      <c r="D456" s="4"/>
      <c r="E456" s="15"/>
      <c r="F456" s="26"/>
      <c r="G456" s="26"/>
    </row>
    <row r="457" spans="1:7" ht="60.75" thickBot="1">
      <c r="A457" s="5" t="s">
        <v>55</v>
      </c>
      <c r="B457" s="3"/>
      <c r="D457" s="4"/>
      <c r="E457" s="12"/>
      <c r="F457" s="45"/>
      <c r="G457" s="46"/>
    </row>
    <row r="458" spans="1:7" ht="60.75" thickBot="1">
      <c r="A458" s="5" t="s">
        <v>56</v>
      </c>
      <c r="B458" s="4"/>
      <c r="D458" s="1"/>
      <c r="E458" s="1"/>
      <c r="F458" s="37"/>
      <c r="G458" s="37"/>
    </row>
    <row r="459" spans="1:7" ht="97.5" thickBot="1">
      <c r="A459" s="6" t="s">
        <v>57</v>
      </c>
      <c r="B459" s="4"/>
      <c r="D459" s="1"/>
      <c r="E459" s="1"/>
      <c r="F459" s="37"/>
      <c r="G459" s="37"/>
    </row>
    <row r="462" spans="1:7">
      <c r="A462" s="16" t="s">
        <v>64</v>
      </c>
      <c r="B462" s="17" t="e">
        <f>AVERAGE(B410:B449)</f>
        <v>#DIV/0!</v>
      </c>
    </row>
    <row r="463" spans="1:7">
      <c r="A463" s="16" t="s">
        <v>65</v>
      </c>
      <c r="B463" s="18" t="e">
        <f>AVERAGE(B415:B444)</f>
        <v>#DIV/0!</v>
      </c>
    </row>
    <row r="464" spans="1:7">
      <c r="A464" s="16" t="s">
        <v>66</v>
      </c>
      <c r="B464" s="18" t="e">
        <f>AVERAGE(B421:B439)</f>
        <v>#DIV/0!</v>
      </c>
    </row>
  </sheetData>
  <mergeCells count="14">
    <mergeCell ref="A401:A403"/>
    <mergeCell ref="B401:D401"/>
    <mergeCell ref="A69:A71"/>
    <mergeCell ref="B69:D69"/>
    <mergeCell ref="A266:A268"/>
    <mergeCell ref="B266:D266"/>
    <mergeCell ref="A200:A202"/>
    <mergeCell ref="B200:D200"/>
    <mergeCell ref="A2:A4"/>
    <mergeCell ref="B2:D2"/>
    <mergeCell ref="A134:A136"/>
    <mergeCell ref="B134:D134"/>
    <mergeCell ref="A333:A335"/>
    <mergeCell ref="B333:D333"/>
  </mergeCells>
  <pageMargins left="0.7" right="0.7" top="0.75" bottom="0.75" header="0.3" footer="0.3"/>
  <pageSetup paperSize="9" orientation="portrait" horizontalDpi="4294967295" verticalDpi="4294967295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Лист16">
    <tabColor rgb="FF92D050"/>
  </sheetPr>
  <dimension ref="A1:G459"/>
  <sheetViews>
    <sheetView topLeftCell="A508" workbookViewId="0">
      <selection activeCell="E216" sqref="E216:E218"/>
    </sheetView>
  </sheetViews>
  <sheetFormatPr defaultColWidth="9.140625" defaultRowHeight="15"/>
  <cols>
    <col min="1" max="1" width="13" style="59" customWidth="1"/>
    <col min="2" max="2" width="10.28515625" style="59" customWidth="1"/>
    <col min="4" max="4" width="9.140625" style="59" customWidth="1"/>
    <col min="5" max="6" width="9.42578125" style="59" bestFit="1" customWidth="1"/>
    <col min="7" max="16384" width="9.140625" style="59"/>
  </cols>
  <sheetData>
    <row r="1" spans="1:7" ht="15.75" thickBot="1">
      <c r="E1" s="60">
        <v>0.1</v>
      </c>
      <c r="F1" s="61">
        <v>0.4</v>
      </c>
    </row>
    <row r="2" spans="1:7" ht="23.25" customHeight="1" thickBot="1">
      <c r="A2" s="535" t="s">
        <v>0</v>
      </c>
      <c r="B2" s="538" t="s">
        <v>1</v>
      </c>
      <c r="C2" s="539"/>
      <c r="D2" s="540"/>
      <c r="E2" s="62">
        <f>(1-E57)^(1/3)-1</f>
        <v>-2.8262282850816667E-2</v>
      </c>
      <c r="F2" s="63">
        <f>(1-F57)^(1/3)-1</f>
        <v>-2.9768178004080603E-2</v>
      </c>
      <c r="G2" s="64"/>
    </row>
    <row r="3" spans="1:7" ht="77.25" thickBot="1">
      <c r="A3" s="536"/>
      <c r="B3" s="65" t="s">
        <v>4</v>
      </c>
      <c r="C3" s="1"/>
      <c r="D3" s="65" t="s">
        <v>80</v>
      </c>
      <c r="E3" s="65" t="s">
        <v>5</v>
      </c>
      <c r="F3" s="65" t="s">
        <v>5</v>
      </c>
      <c r="G3" s="65"/>
    </row>
    <row r="4" spans="1:7" ht="26.25" thickBot="1">
      <c r="A4" s="537"/>
      <c r="B4" s="66" t="s">
        <v>6</v>
      </c>
      <c r="C4" s="1"/>
      <c r="D4" s="66" t="s">
        <v>7</v>
      </c>
      <c r="E4" s="67" t="s">
        <v>82</v>
      </c>
      <c r="F4" s="68" t="s">
        <v>83</v>
      </c>
      <c r="G4" s="68"/>
    </row>
    <row r="5" spans="1:7" ht="13.5" thickBot="1">
      <c r="A5" s="69">
        <v>1</v>
      </c>
      <c r="B5" s="70">
        <v>2</v>
      </c>
      <c r="C5" s="51"/>
      <c r="D5" s="71">
        <v>3</v>
      </c>
      <c r="E5" s="72">
        <v>4</v>
      </c>
      <c r="F5" s="73">
        <v>5</v>
      </c>
      <c r="G5" s="72"/>
    </row>
    <row r="6" spans="1:7" ht="12.75">
      <c r="A6" s="74" t="s">
        <v>10</v>
      </c>
      <c r="B6" s="75">
        <v>0.3</v>
      </c>
      <c r="C6" s="30">
        <v>0</v>
      </c>
      <c r="D6" s="76">
        <v>0</v>
      </c>
      <c r="E6" s="77">
        <v>0</v>
      </c>
      <c r="F6" s="77">
        <v>0</v>
      </c>
      <c r="G6" s="78">
        <v>0</v>
      </c>
    </row>
    <row r="7" spans="1:7" ht="12.75">
      <c r="A7" s="79" t="s">
        <v>58</v>
      </c>
      <c r="B7" s="80">
        <v>2.5</v>
      </c>
      <c r="C7" s="30">
        <f>B6</f>
        <v>0.3</v>
      </c>
      <c r="D7" s="76">
        <v>0</v>
      </c>
      <c r="E7" s="81">
        <v>0</v>
      </c>
      <c r="F7" s="81">
        <v>0</v>
      </c>
      <c r="G7" s="82">
        <v>0</v>
      </c>
    </row>
    <row r="8" spans="1:7" ht="12.75">
      <c r="A8" s="79" t="s">
        <v>59</v>
      </c>
      <c r="B8" s="80">
        <v>3.5</v>
      </c>
      <c r="C8" s="30">
        <f t="shared" ref="C8:C56" si="0">B7</f>
        <v>2.5</v>
      </c>
      <c r="D8" s="76">
        <v>0</v>
      </c>
      <c r="E8" s="81">
        <v>0</v>
      </c>
      <c r="F8" s="81">
        <v>0</v>
      </c>
      <c r="G8" s="82">
        <v>0</v>
      </c>
    </row>
    <row r="9" spans="1:7" ht="12.75">
      <c r="A9" s="79" t="s">
        <v>60</v>
      </c>
      <c r="B9" s="80">
        <v>4.4000000000000004</v>
      </c>
      <c r="C9" s="30">
        <f t="shared" si="0"/>
        <v>3.5</v>
      </c>
      <c r="D9" s="76">
        <v>0</v>
      </c>
      <c r="E9" s="81">
        <v>0</v>
      </c>
      <c r="F9" s="81">
        <v>0</v>
      </c>
      <c r="G9" s="82">
        <v>0</v>
      </c>
    </row>
    <row r="10" spans="1:7" ht="12.75">
      <c r="A10" s="79" t="s">
        <v>61</v>
      </c>
      <c r="B10" s="80">
        <v>5.5</v>
      </c>
      <c r="C10" s="30">
        <f t="shared" si="0"/>
        <v>4.4000000000000004</v>
      </c>
      <c r="D10" s="76">
        <v>0</v>
      </c>
      <c r="E10" s="81">
        <v>0</v>
      </c>
      <c r="F10" s="81">
        <v>0</v>
      </c>
      <c r="G10" s="82">
        <v>0</v>
      </c>
    </row>
    <row r="11" spans="1:7" ht="12.75">
      <c r="A11" s="79" t="s">
        <v>62</v>
      </c>
      <c r="B11" s="80">
        <v>6.2</v>
      </c>
      <c r="C11" s="30">
        <f t="shared" si="0"/>
        <v>5.5</v>
      </c>
      <c r="D11" s="76">
        <v>0</v>
      </c>
      <c r="E11" s="81">
        <v>0</v>
      </c>
      <c r="F11" s="81">
        <v>0</v>
      </c>
      <c r="G11" s="82">
        <v>0</v>
      </c>
    </row>
    <row r="12" spans="1:7" ht="12.75">
      <c r="A12" s="79" t="s">
        <v>63</v>
      </c>
      <c r="B12" s="80">
        <v>6.9</v>
      </c>
      <c r="C12" s="30">
        <f t="shared" si="0"/>
        <v>6.2</v>
      </c>
      <c r="D12" s="76">
        <v>0</v>
      </c>
      <c r="E12" s="81">
        <v>0</v>
      </c>
      <c r="F12" s="81">
        <v>0</v>
      </c>
      <c r="G12" s="82">
        <v>0</v>
      </c>
    </row>
    <row r="13" spans="1:7" ht="12.75">
      <c r="A13" s="83" t="s">
        <v>11</v>
      </c>
      <c r="B13" s="80">
        <v>7.6</v>
      </c>
      <c r="C13" s="30">
        <f t="shared" si="0"/>
        <v>6.9</v>
      </c>
      <c r="D13" s="76">
        <v>0</v>
      </c>
      <c r="E13" s="81">
        <v>0</v>
      </c>
      <c r="F13" s="81">
        <v>0</v>
      </c>
      <c r="G13" s="82">
        <v>0</v>
      </c>
    </row>
    <row r="14" spans="1:7" ht="12.75">
      <c r="A14" s="83" t="s">
        <v>12</v>
      </c>
      <c r="B14" s="80">
        <v>8.4</v>
      </c>
      <c r="C14" s="30">
        <f t="shared" si="0"/>
        <v>7.6</v>
      </c>
      <c r="D14" s="76">
        <v>0</v>
      </c>
      <c r="E14" s="81">
        <v>0</v>
      </c>
      <c r="F14" s="81">
        <v>0</v>
      </c>
      <c r="G14" s="82">
        <v>0</v>
      </c>
    </row>
    <row r="15" spans="1:7" ht="12.75">
      <c r="A15" s="83" t="s">
        <v>13</v>
      </c>
      <c r="B15" s="80">
        <v>9</v>
      </c>
      <c r="C15" s="30">
        <f t="shared" si="0"/>
        <v>8.4</v>
      </c>
      <c r="D15" s="76">
        <v>0</v>
      </c>
      <c r="E15" s="81">
        <v>0</v>
      </c>
      <c r="F15" s="81">
        <v>0</v>
      </c>
      <c r="G15" s="82">
        <v>0</v>
      </c>
    </row>
    <row r="16" spans="1:7" ht="12.75">
      <c r="A16" s="83" t="s">
        <v>14</v>
      </c>
      <c r="B16" s="80">
        <v>9.8000000000000007</v>
      </c>
      <c r="C16" s="30">
        <f t="shared" si="0"/>
        <v>9</v>
      </c>
      <c r="D16" s="76">
        <v>0</v>
      </c>
      <c r="E16" s="81">
        <v>0</v>
      </c>
      <c r="F16" s="81">
        <v>0</v>
      </c>
      <c r="G16" s="82">
        <v>0</v>
      </c>
    </row>
    <row r="17" spans="1:7" ht="12.75">
      <c r="A17" s="83" t="s">
        <v>15</v>
      </c>
      <c r="B17" s="80">
        <v>10.4</v>
      </c>
      <c r="C17" s="30">
        <f t="shared" si="0"/>
        <v>9.8000000000000007</v>
      </c>
      <c r="D17" s="76">
        <v>0</v>
      </c>
      <c r="E17" s="81">
        <v>0</v>
      </c>
      <c r="F17" s="81">
        <v>0</v>
      </c>
      <c r="G17" s="82">
        <v>0</v>
      </c>
    </row>
    <row r="18" spans="1:7" ht="12.75">
      <c r="A18" s="83" t="s">
        <v>16</v>
      </c>
      <c r="B18" s="80">
        <v>11.1</v>
      </c>
      <c r="C18" s="30">
        <f t="shared" si="0"/>
        <v>10.4</v>
      </c>
      <c r="D18" s="76">
        <v>0</v>
      </c>
      <c r="E18" s="81">
        <v>0</v>
      </c>
      <c r="F18" s="81">
        <v>0</v>
      </c>
      <c r="G18" s="82">
        <v>0</v>
      </c>
    </row>
    <row r="19" spans="1:7" ht="12.75">
      <c r="A19" s="83" t="s">
        <v>17</v>
      </c>
      <c r="B19" s="80">
        <v>11.6</v>
      </c>
      <c r="C19" s="30">
        <f t="shared" si="0"/>
        <v>11.1</v>
      </c>
      <c r="D19" s="76">
        <v>0</v>
      </c>
      <c r="E19" s="81">
        <v>0</v>
      </c>
      <c r="F19" s="81">
        <v>0</v>
      </c>
      <c r="G19" s="82">
        <v>0</v>
      </c>
    </row>
    <row r="20" spans="1:7" ht="12.75">
      <c r="A20" s="83" t="s">
        <v>18</v>
      </c>
      <c r="B20" s="80">
        <v>12.3</v>
      </c>
      <c r="C20" s="30">
        <f t="shared" si="0"/>
        <v>11.6</v>
      </c>
      <c r="D20" s="76">
        <v>1.3658536585365793E-2</v>
      </c>
      <c r="E20" s="81">
        <v>1.3658536585365792E-3</v>
      </c>
      <c r="F20" s="81">
        <v>4.6016260162601826E-3</v>
      </c>
      <c r="G20" s="82">
        <v>4.6983311938382606E-3</v>
      </c>
    </row>
    <row r="21" spans="1:7" ht="12.75">
      <c r="A21" s="83" t="s">
        <v>19</v>
      </c>
      <c r="B21" s="80">
        <v>12.8</v>
      </c>
      <c r="C21" s="30">
        <f t="shared" si="0"/>
        <v>12.3</v>
      </c>
      <c r="D21" s="76">
        <v>5.2187499999999942E-2</v>
      </c>
      <c r="E21" s="81">
        <v>5.2187499999999942E-3</v>
      </c>
      <c r="F21" s="81">
        <v>8.3281250000000195E-3</v>
      </c>
      <c r="G21" s="82">
        <v>8.4210526315789541E-3</v>
      </c>
    </row>
    <row r="22" spans="1:7" ht="12.75">
      <c r="A22" s="83" t="s">
        <v>20</v>
      </c>
      <c r="B22" s="80">
        <v>13.5</v>
      </c>
      <c r="C22" s="30">
        <f t="shared" si="0"/>
        <v>12.8</v>
      </c>
      <c r="D22" s="76">
        <v>0.10133333333333322</v>
      </c>
      <c r="E22" s="81">
        <v>1.0133333333333324E-2</v>
      </c>
      <c r="F22" s="81">
        <v>1.3081481481481496E-2</v>
      </c>
      <c r="G22" s="82">
        <v>1.3169590643274855E-2</v>
      </c>
    </row>
    <row r="23" spans="1:7" ht="12.75">
      <c r="A23" s="83" t="s">
        <v>21</v>
      </c>
      <c r="B23" s="80">
        <v>14.1</v>
      </c>
      <c r="C23" s="30">
        <f t="shared" si="0"/>
        <v>13.5</v>
      </c>
      <c r="D23" s="76">
        <v>0.13957446808510626</v>
      </c>
      <c r="E23" s="81">
        <v>1.3957446808510627E-2</v>
      </c>
      <c r="F23" s="81">
        <v>1.6780141843971641E-2</v>
      </c>
      <c r="G23" s="82">
        <v>1.6864501679731244E-2</v>
      </c>
    </row>
    <row r="24" spans="1:7" ht="12.75">
      <c r="A24" s="83" t="s">
        <v>22</v>
      </c>
      <c r="B24" s="80">
        <v>14.9</v>
      </c>
      <c r="C24" s="30">
        <f t="shared" si="0"/>
        <v>14.1</v>
      </c>
      <c r="D24" s="76">
        <v>0.18577181208053684</v>
      </c>
      <c r="E24" s="81">
        <v>1.8577181208053684E-2</v>
      </c>
      <c r="F24" s="81">
        <v>2.124832214765102E-2</v>
      </c>
      <c r="G24" s="82">
        <v>2.1328152596255746E-2</v>
      </c>
    </row>
    <row r="25" spans="1:7" ht="12.75">
      <c r="A25" s="83" t="s">
        <v>23</v>
      </c>
      <c r="B25" s="80">
        <v>15.8</v>
      </c>
      <c r="C25" s="30">
        <f t="shared" si="0"/>
        <v>14.9</v>
      </c>
      <c r="D25" s="76">
        <v>0.23215189873417716</v>
      </c>
      <c r="E25" s="81">
        <v>2.3215189873417717E-2</v>
      </c>
      <c r="F25" s="81">
        <v>2.5734177215189891E-2</v>
      </c>
      <c r="G25" s="82">
        <v>2.5809460359760165E-2</v>
      </c>
    </row>
    <row r="26" spans="1:7" ht="12.75">
      <c r="A26" s="83" t="s">
        <v>24</v>
      </c>
      <c r="B26" s="80">
        <v>16.399999999999999</v>
      </c>
      <c r="C26" s="30">
        <f t="shared" si="0"/>
        <v>15.8</v>
      </c>
      <c r="D26" s="76">
        <v>0.26024390243902423</v>
      </c>
      <c r="E26" s="81">
        <v>2.6024390243902424E-2</v>
      </c>
      <c r="F26" s="81">
        <v>2.845121951219513E-2</v>
      </c>
      <c r="G26" s="82">
        <v>2.8523748395378686E-2</v>
      </c>
    </row>
    <row r="27" spans="1:7" ht="12.75">
      <c r="A27" s="83" t="s">
        <v>25</v>
      </c>
      <c r="B27" s="80">
        <v>16.899999999999999</v>
      </c>
      <c r="C27" s="30">
        <f t="shared" si="0"/>
        <v>16.399999999999999</v>
      </c>
      <c r="D27" s="76">
        <v>0.28213017751479275</v>
      </c>
      <c r="E27" s="81">
        <v>2.8213017751479275E-2</v>
      </c>
      <c r="F27" s="81">
        <v>3.0568047337278113E-2</v>
      </c>
      <c r="G27" s="82">
        <v>3.0638430395515413E-2</v>
      </c>
    </row>
    <row r="28" spans="1:7" ht="12.75">
      <c r="A28" s="83" t="s">
        <v>26</v>
      </c>
      <c r="B28" s="80">
        <v>17.399999999999999</v>
      </c>
      <c r="C28" s="30">
        <f t="shared" si="0"/>
        <v>16.899999999999999</v>
      </c>
      <c r="D28" s="76">
        <v>0.30275862068965503</v>
      </c>
      <c r="E28" s="81">
        <v>3.0275862068965504E-2</v>
      </c>
      <c r="F28" s="81">
        <v>3.2563218390804609E-2</v>
      </c>
      <c r="G28" s="82">
        <v>3.2631578947368414E-2</v>
      </c>
    </row>
    <row r="29" spans="1:7" ht="12.75">
      <c r="A29" s="83" t="s">
        <v>27</v>
      </c>
      <c r="B29" s="80">
        <v>18</v>
      </c>
      <c r="C29" s="30">
        <f t="shared" si="0"/>
        <v>17.399999999999999</v>
      </c>
      <c r="D29" s="76">
        <v>0.3259999999999999</v>
      </c>
      <c r="E29" s="81">
        <v>3.259999999999999E-2</v>
      </c>
      <c r="F29" s="81">
        <v>3.4811111111111126E-2</v>
      </c>
      <c r="G29" s="82">
        <v>3.4877192982456146E-2</v>
      </c>
    </row>
    <row r="30" spans="1:7" ht="12.75">
      <c r="A30" s="83" t="s">
        <v>28</v>
      </c>
      <c r="B30" s="80">
        <v>18.5</v>
      </c>
      <c r="C30" s="30">
        <f t="shared" si="0"/>
        <v>18</v>
      </c>
      <c r="D30" s="76">
        <v>0.34421621621621612</v>
      </c>
      <c r="E30" s="81">
        <v>3.4421621621621615E-2</v>
      </c>
      <c r="F30" s="81">
        <v>3.6572972972972982E-2</v>
      </c>
      <c r="G30" s="82">
        <v>3.6637268847795168E-2</v>
      </c>
    </row>
    <row r="31" spans="1:7" ht="12.75">
      <c r="A31" s="83" t="s">
        <v>29</v>
      </c>
      <c r="B31" s="80">
        <v>18.899999999999999</v>
      </c>
      <c r="C31" s="30">
        <f t="shared" si="0"/>
        <v>18.5</v>
      </c>
      <c r="D31" s="76">
        <v>0.35809523809523797</v>
      </c>
      <c r="E31" s="81">
        <v>3.5809523809523798E-2</v>
      </c>
      <c r="F31" s="81">
        <v>3.7915343915343923E-2</v>
      </c>
      <c r="G31" s="82">
        <v>3.7978279030910604E-2</v>
      </c>
    </row>
    <row r="32" spans="1:7" ht="12.75">
      <c r="A32" s="83" t="s">
        <v>30</v>
      </c>
      <c r="B32" s="80">
        <v>19.8</v>
      </c>
      <c r="C32" s="30">
        <f t="shared" si="0"/>
        <v>18.899999999999999</v>
      </c>
      <c r="D32" s="76">
        <v>0.38727272727272721</v>
      </c>
      <c r="E32" s="81">
        <v>3.8727272727272721E-2</v>
      </c>
      <c r="F32" s="81">
        <v>4.4424242424242477E-2</v>
      </c>
      <c r="G32" s="82">
        <v>4.4784688995215323E-2</v>
      </c>
    </row>
    <row r="33" spans="1:7" ht="12.75">
      <c r="A33" s="83" t="s">
        <v>31</v>
      </c>
      <c r="B33" s="80">
        <v>20.3</v>
      </c>
      <c r="C33" s="30">
        <f t="shared" si="0"/>
        <v>19.8</v>
      </c>
      <c r="D33" s="76">
        <v>0.4023645320197044</v>
      </c>
      <c r="E33" s="81">
        <v>4.1418719211822635E-2</v>
      </c>
      <c r="F33" s="81">
        <v>5.3182266009852264E-2</v>
      </c>
      <c r="G33" s="82">
        <v>5.3533834586466177E-2</v>
      </c>
    </row>
    <row r="34" spans="1:7" ht="12.75">
      <c r="A34" s="83" t="s">
        <v>32</v>
      </c>
      <c r="B34" s="80">
        <v>20.9</v>
      </c>
      <c r="C34" s="30">
        <f t="shared" si="0"/>
        <v>20.3</v>
      </c>
      <c r="D34" s="76">
        <v>0.41952153110047835</v>
      </c>
      <c r="E34" s="81">
        <v>5.1712918660287023E-2</v>
      </c>
      <c r="F34" s="81">
        <v>6.3138755980861258E-2</v>
      </c>
      <c r="G34" s="82">
        <v>6.3480231679677632E-2</v>
      </c>
    </row>
    <row r="35" spans="1:7" ht="12.75">
      <c r="A35" s="83" t="s">
        <v>33</v>
      </c>
      <c r="B35" s="80">
        <v>21.6</v>
      </c>
      <c r="C35" s="30">
        <f t="shared" si="0"/>
        <v>20.9</v>
      </c>
      <c r="D35" s="76">
        <v>0.4383333333333333</v>
      </c>
      <c r="E35" s="81">
        <v>6.2999999999999987E-2</v>
      </c>
      <c r="F35" s="81">
        <v>7.4055555555555624E-2</v>
      </c>
      <c r="G35" s="82">
        <v>7.4385964912280736E-2</v>
      </c>
    </row>
    <row r="36" spans="1:7" ht="12.75">
      <c r="A36" s="83" t="s">
        <v>34</v>
      </c>
      <c r="B36" s="80">
        <v>22.7</v>
      </c>
      <c r="C36" s="30">
        <f t="shared" si="0"/>
        <v>21.6</v>
      </c>
      <c r="D36" s="76">
        <v>0.46555066079295149</v>
      </c>
      <c r="E36" s="81">
        <v>7.9330396475770878E-2</v>
      </c>
      <c r="F36" s="81">
        <v>8.9850220264317202E-2</v>
      </c>
      <c r="G36" s="82">
        <v>9.0164618594945511E-2</v>
      </c>
    </row>
    <row r="37" spans="1:7" ht="12.75">
      <c r="A37" s="83" t="s">
        <v>35</v>
      </c>
      <c r="B37" s="80">
        <v>23.9</v>
      </c>
      <c r="C37" s="30">
        <f t="shared" si="0"/>
        <v>22.7</v>
      </c>
      <c r="D37" s="76">
        <v>0.49238493723849364</v>
      </c>
      <c r="E37" s="81">
        <v>9.5430962343096185E-2</v>
      </c>
      <c r="F37" s="81">
        <v>0.10542259414225943</v>
      </c>
      <c r="G37" s="82">
        <v>0.10572120678264697</v>
      </c>
    </row>
    <row r="38" spans="1:7" ht="12.75">
      <c r="A38" s="83" t="s">
        <v>36</v>
      </c>
      <c r="B38" s="80">
        <v>24.8</v>
      </c>
      <c r="C38" s="30">
        <f t="shared" si="0"/>
        <v>23.9</v>
      </c>
      <c r="D38" s="76">
        <v>0.51080645161290317</v>
      </c>
      <c r="E38" s="81">
        <v>0.10648387096774192</v>
      </c>
      <c r="F38" s="81">
        <v>0.1161129032258065</v>
      </c>
      <c r="G38" s="82">
        <v>0.11640067911714773</v>
      </c>
    </row>
    <row r="39" spans="1:7" ht="12.75">
      <c r="A39" s="83" t="s">
        <v>37</v>
      </c>
      <c r="B39" s="80">
        <v>25.9</v>
      </c>
      <c r="C39" s="30">
        <f t="shared" si="0"/>
        <v>24.8</v>
      </c>
      <c r="D39" s="76">
        <v>0.53158301158301147</v>
      </c>
      <c r="E39" s="81">
        <v>0.1189498069498069</v>
      </c>
      <c r="F39" s="81">
        <v>0.1281698841698842</v>
      </c>
      <c r="G39" s="82">
        <v>0.12844543791912214</v>
      </c>
    </row>
    <row r="40" spans="1:7" ht="12.75">
      <c r="A40" s="83" t="s">
        <v>38</v>
      </c>
      <c r="B40" s="80">
        <v>26.9</v>
      </c>
      <c r="C40" s="30">
        <f t="shared" si="0"/>
        <v>25.9</v>
      </c>
      <c r="D40" s="76">
        <v>0.54899628252788091</v>
      </c>
      <c r="E40" s="81">
        <v>0.1293977695167286</v>
      </c>
      <c r="F40" s="81">
        <v>0.13827509293680298</v>
      </c>
      <c r="G40" s="82">
        <v>0.13854040305224025</v>
      </c>
    </row>
    <row r="41" spans="1:7" ht="12.75">
      <c r="A41" s="83" t="s">
        <v>39</v>
      </c>
      <c r="B41" s="80">
        <v>27.9</v>
      </c>
      <c r="C41" s="30">
        <f t="shared" si="0"/>
        <v>26.9</v>
      </c>
      <c r="D41" s="76">
        <v>0.56516129032258056</v>
      </c>
      <c r="E41" s="81">
        <v>0.13909677419354835</v>
      </c>
      <c r="F41" s="81">
        <v>0.14765591397849465</v>
      </c>
      <c r="G41" s="82">
        <v>0.14791171477079795</v>
      </c>
    </row>
    <row r="42" spans="1:7" ht="12.75">
      <c r="A42" s="83" t="s">
        <v>40</v>
      </c>
      <c r="B42" s="80">
        <v>28.5</v>
      </c>
      <c r="C42" s="30">
        <f t="shared" si="0"/>
        <v>27.9</v>
      </c>
      <c r="D42" s="76">
        <v>0.57431578947368411</v>
      </c>
      <c r="E42" s="81">
        <v>0.14458947368421049</v>
      </c>
      <c r="F42" s="81">
        <v>0.15296842105263159</v>
      </c>
      <c r="G42" s="82">
        <v>0.15321883656509697</v>
      </c>
    </row>
    <row r="43" spans="1:7" ht="12.75">
      <c r="A43" s="83" t="s">
        <v>41</v>
      </c>
      <c r="B43" s="80">
        <v>29</v>
      </c>
      <c r="C43" s="30">
        <f t="shared" si="0"/>
        <v>28.5</v>
      </c>
      <c r="D43" s="76">
        <v>0.58165517241379305</v>
      </c>
      <c r="E43" s="81">
        <v>0.14899310344827585</v>
      </c>
      <c r="F43" s="81">
        <v>0.15722758620689661</v>
      </c>
      <c r="G43" s="82">
        <v>0.15747368421052632</v>
      </c>
    </row>
    <row r="44" spans="1:7" ht="12.75">
      <c r="A44" s="83" t="s">
        <v>42</v>
      </c>
      <c r="B44" s="80">
        <v>30.2</v>
      </c>
      <c r="C44" s="30">
        <f t="shared" si="0"/>
        <v>29</v>
      </c>
      <c r="D44" s="76">
        <v>0.59827814569536419</v>
      </c>
      <c r="E44" s="81">
        <v>0.15896688741721851</v>
      </c>
      <c r="F44" s="81">
        <v>0.16687417218543049</v>
      </c>
      <c r="G44" s="82">
        <v>0.16711049146043919</v>
      </c>
    </row>
    <row r="45" spans="1:7" ht="12.75">
      <c r="A45" s="83" t="s">
        <v>43</v>
      </c>
      <c r="B45" s="80">
        <v>31.9</v>
      </c>
      <c r="C45" s="30">
        <f t="shared" si="0"/>
        <v>30.2</v>
      </c>
      <c r="D45" s="76">
        <v>0.61968652037617544</v>
      </c>
      <c r="E45" s="81">
        <v>0.1718119122257053</v>
      </c>
      <c r="F45" s="81">
        <v>0.17929780564263326</v>
      </c>
      <c r="G45" s="82">
        <v>0.17952153110047847</v>
      </c>
    </row>
    <row r="46" spans="1:7" ht="12.75">
      <c r="A46" s="83" t="s">
        <v>44</v>
      </c>
      <c r="B46" s="80">
        <v>33.1</v>
      </c>
      <c r="C46" s="30">
        <f t="shared" si="0"/>
        <v>31.9</v>
      </c>
      <c r="D46" s="76">
        <v>0.63347432024169181</v>
      </c>
      <c r="E46" s="81">
        <v>0.18008459214501513</v>
      </c>
      <c r="F46" s="81">
        <v>0.18729909365558917</v>
      </c>
      <c r="G46" s="82">
        <v>0.18751470822070282</v>
      </c>
    </row>
    <row r="47" spans="1:7" ht="12.75">
      <c r="A47" s="83" t="s">
        <v>45</v>
      </c>
      <c r="B47" s="80">
        <v>34.700000000000003</v>
      </c>
      <c r="C47" s="30">
        <f t="shared" si="0"/>
        <v>33.1</v>
      </c>
      <c r="D47" s="76">
        <v>0.65037463976945242</v>
      </c>
      <c r="E47" s="81">
        <v>0.19022478386167149</v>
      </c>
      <c r="F47" s="81">
        <v>0.19710662824207498</v>
      </c>
      <c r="G47" s="82">
        <v>0.19731230092522375</v>
      </c>
    </row>
    <row r="48" spans="1:7" ht="12.75">
      <c r="A48" s="83" t="s">
        <v>46</v>
      </c>
      <c r="B48" s="80">
        <v>36.1</v>
      </c>
      <c r="C48" s="30">
        <f t="shared" si="0"/>
        <v>34.700000000000003</v>
      </c>
      <c r="D48" s="76">
        <v>0.66393351800554012</v>
      </c>
      <c r="E48" s="81">
        <v>0.19836011080332408</v>
      </c>
      <c r="F48" s="81">
        <v>0.20497506925207759</v>
      </c>
      <c r="G48" s="82">
        <v>0.20517276570928708</v>
      </c>
    </row>
    <row r="49" spans="1:7" ht="12.75">
      <c r="A49" s="83" t="s">
        <v>47</v>
      </c>
      <c r="B49" s="80">
        <v>39.200000000000003</v>
      </c>
      <c r="C49" s="30">
        <f t="shared" si="0"/>
        <v>36.1</v>
      </c>
      <c r="D49" s="76">
        <v>0.69051020408163266</v>
      </c>
      <c r="E49" s="81">
        <v>0.21430612244897959</v>
      </c>
      <c r="F49" s="81">
        <v>0.2203979591836735</v>
      </c>
      <c r="G49" s="82">
        <v>0.22058002148227715</v>
      </c>
    </row>
    <row r="50" spans="1:7" ht="12.75">
      <c r="A50" s="83" t="s">
        <v>48</v>
      </c>
      <c r="B50" s="80">
        <v>40.9</v>
      </c>
      <c r="C50" s="30">
        <f t="shared" si="0"/>
        <v>39.200000000000003</v>
      </c>
      <c r="D50" s="76">
        <v>0.70337408312958427</v>
      </c>
      <c r="E50" s="81">
        <v>0.22202444987775058</v>
      </c>
      <c r="F50" s="81">
        <v>0.22786308068459663</v>
      </c>
      <c r="G50" s="82">
        <v>0.22803757560159565</v>
      </c>
    </row>
    <row r="51" spans="1:7" ht="12.75">
      <c r="A51" s="83" t="s">
        <v>49</v>
      </c>
      <c r="B51" s="80">
        <v>43.4</v>
      </c>
      <c r="C51" s="30">
        <f t="shared" si="0"/>
        <v>40.9</v>
      </c>
      <c r="D51" s="76">
        <v>0.72046082949308754</v>
      </c>
      <c r="E51" s="81">
        <v>0.23227649769585251</v>
      </c>
      <c r="F51" s="81">
        <v>0.23777880184331801</v>
      </c>
      <c r="G51" s="82">
        <v>0.23794324520979868</v>
      </c>
    </row>
    <row r="52" spans="1:7" ht="12.75">
      <c r="A52" s="83" t="s">
        <v>50</v>
      </c>
      <c r="B52" s="80">
        <v>46.8</v>
      </c>
      <c r="C52" s="30">
        <f t="shared" si="0"/>
        <v>43.4</v>
      </c>
      <c r="D52" s="76">
        <v>0.74076923076923062</v>
      </c>
      <c r="E52" s="81">
        <v>0.24446153846153842</v>
      </c>
      <c r="F52" s="81">
        <v>0.24956410256410258</v>
      </c>
      <c r="G52" s="82">
        <v>0.24971659919028341</v>
      </c>
    </row>
    <row r="53" spans="1:7" ht="12.75">
      <c r="A53" s="83" t="s">
        <v>51</v>
      </c>
      <c r="B53" s="80">
        <v>54.5</v>
      </c>
      <c r="C53" s="30">
        <f t="shared" si="0"/>
        <v>46.8</v>
      </c>
      <c r="D53" s="76">
        <v>0.777394495412844</v>
      </c>
      <c r="E53" s="81">
        <v>0.26643669724770647</v>
      </c>
      <c r="F53" s="81">
        <v>0.27081834862385323</v>
      </c>
      <c r="G53" s="82">
        <v>0.27094929985514243</v>
      </c>
    </row>
    <row r="54" spans="1:7" ht="12.75">
      <c r="A54" s="83" t="s">
        <v>52</v>
      </c>
      <c r="B54" s="80">
        <v>68.099999999999994</v>
      </c>
      <c r="C54" s="30">
        <f t="shared" si="0"/>
        <v>54.5</v>
      </c>
      <c r="D54" s="76">
        <v>0.82185022026431709</v>
      </c>
      <c r="E54" s="81">
        <v>0.29311013215859033</v>
      </c>
      <c r="F54" s="81">
        <v>0.29661674008810568</v>
      </c>
      <c r="G54" s="82">
        <v>0.29672153953164843</v>
      </c>
    </row>
    <row r="55" spans="1:7" ht="12.75">
      <c r="A55" s="83" t="s">
        <v>53</v>
      </c>
      <c r="B55" s="80">
        <v>106.5</v>
      </c>
      <c r="C55" s="30">
        <f>B54</f>
        <v>68.099999999999994</v>
      </c>
      <c r="D55" s="76">
        <v>0.8860845070422535</v>
      </c>
      <c r="E55" s="81">
        <v>0.33165070422535209</v>
      </c>
      <c r="F55" s="81">
        <v>0.33389295774647881</v>
      </c>
      <c r="G55" s="82">
        <v>0.33395997034840624</v>
      </c>
    </row>
    <row r="56" spans="1:7" ht="13.5" thickBot="1">
      <c r="A56" s="84" t="s">
        <v>53</v>
      </c>
      <c r="B56" s="85" t="s">
        <v>84</v>
      </c>
      <c r="C56" s="30">
        <f t="shared" si="0"/>
        <v>106.5</v>
      </c>
      <c r="D56" s="86"/>
      <c r="E56" s="87"/>
      <c r="F56" s="87"/>
      <c r="G56" s="88"/>
    </row>
    <row r="57" spans="1:7" ht="13.5" thickBot="1">
      <c r="A57" s="89"/>
      <c r="B57" s="90"/>
      <c r="C57" s="31"/>
      <c r="D57" s="91"/>
      <c r="E57" s="92">
        <v>8.2413153342492204E-2</v>
      </c>
      <c r="F57" s="92">
        <v>8.6672479652075973E-2</v>
      </c>
      <c r="G57" s="93">
        <v>8.6803578750506205E-2</v>
      </c>
    </row>
    <row r="58" spans="1:7" ht="51" customHeight="1">
      <c r="A58" s="94" t="s">
        <v>55</v>
      </c>
      <c r="B58" s="95">
        <v>20</v>
      </c>
      <c r="C58" s="31"/>
      <c r="D58" s="96"/>
      <c r="E58" s="97">
        <v>20.220000000000002</v>
      </c>
      <c r="F58" s="98">
        <v>19.556666666666665</v>
      </c>
      <c r="G58" s="99">
        <v>19.536842105263158</v>
      </c>
    </row>
    <row r="59" spans="1:7" ht="51.75" customHeight="1">
      <c r="A59" s="100" t="s">
        <v>56</v>
      </c>
      <c r="B59" s="101">
        <v>21.9</v>
      </c>
      <c r="C59" s="31"/>
      <c r="D59" s="102"/>
      <c r="E59" s="103"/>
      <c r="F59" s="103"/>
      <c r="G59" s="104"/>
    </row>
    <row r="60" spans="1:7" ht="75.75" customHeight="1" thickBot="1">
      <c r="A60" s="105" t="s">
        <v>57</v>
      </c>
      <c r="B60" s="106">
        <v>12</v>
      </c>
      <c r="C60" s="29"/>
      <c r="D60" s="87"/>
      <c r="E60" s="86">
        <v>12.132000000000001</v>
      </c>
      <c r="F60" s="86">
        <v>11.733999999999998</v>
      </c>
      <c r="G60" s="107">
        <v>11.722105263157895</v>
      </c>
    </row>
    <row r="61" spans="1:7" ht="15.75" thickBot="1"/>
    <row r="62" spans="1:7" ht="53.25" customHeight="1" thickBot="1">
      <c r="A62" s="108" t="s">
        <v>56</v>
      </c>
      <c r="B62" s="109">
        <f>B59</f>
        <v>21.9</v>
      </c>
    </row>
    <row r="63" spans="1:7">
      <c r="A63" s="110" t="s">
        <v>64</v>
      </c>
      <c r="B63" s="111">
        <f>AVERAGE(B11:B50)</f>
        <v>20.220000000000002</v>
      </c>
      <c r="C63" s="17"/>
    </row>
    <row r="64" spans="1:7">
      <c r="A64" s="112" t="s">
        <v>65</v>
      </c>
      <c r="B64" s="113">
        <f>AVERAGE(B16:B45)</f>
        <v>19.556666666666665</v>
      </c>
      <c r="C64" s="18"/>
    </row>
    <row r="65" spans="1:7" ht="15.75" thickBot="1">
      <c r="A65" s="114" t="s">
        <v>66</v>
      </c>
      <c r="B65" s="115">
        <f>AVERAGE(B22:B40)</f>
        <v>19.536842105263158</v>
      </c>
      <c r="C65" s="18"/>
    </row>
    <row r="68" spans="1:7" ht="15.75" thickBot="1"/>
    <row r="69" spans="1:7" ht="37.5" customHeight="1" thickBot="1">
      <c r="A69" s="535" t="s">
        <v>0</v>
      </c>
      <c r="B69" s="538" t="s">
        <v>2</v>
      </c>
      <c r="C69" s="539"/>
      <c r="D69" s="540"/>
      <c r="E69" s="62">
        <f>(1-E124)^(1/3)-1</f>
        <v>-2.4248004737546958E-2</v>
      </c>
      <c r="F69" s="63">
        <f>(1-F124)^(1/3)-1</f>
        <v>-2.4248004737546958E-2</v>
      </c>
      <c r="G69" s="64"/>
    </row>
    <row r="70" spans="1:7" ht="77.25" thickBot="1">
      <c r="A70" s="536"/>
      <c r="B70" s="65" t="s">
        <v>4</v>
      </c>
      <c r="C70" s="11"/>
      <c r="D70" s="65" t="s">
        <v>80</v>
      </c>
      <c r="E70" s="65" t="s">
        <v>5</v>
      </c>
      <c r="F70" s="65" t="s">
        <v>5</v>
      </c>
      <c r="G70" s="65"/>
    </row>
    <row r="71" spans="1:7" ht="26.25" thickBot="1">
      <c r="A71" s="537"/>
      <c r="B71" s="66" t="s">
        <v>8</v>
      </c>
      <c r="C71" s="11"/>
      <c r="D71" s="66" t="s">
        <v>7</v>
      </c>
      <c r="E71" s="67" t="s">
        <v>82</v>
      </c>
      <c r="F71" s="68" t="s">
        <v>83</v>
      </c>
      <c r="G71" s="68"/>
    </row>
    <row r="72" spans="1:7" ht="13.5" thickBot="1">
      <c r="A72" s="69">
        <v>1</v>
      </c>
      <c r="B72" s="116">
        <v>2</v>
      </c>
      <c r="C72" s="51"/>
      <c r="D72" s="117">
        <v>3</v>
      </c>
      <c r="E72" s="71">
        <v>4</v>
      </c>
      <c r="F72" s="117">
        <v>5</v>
      </c>
      <c r="G72" s="71"/>
    </row>
    <row r="73" spans="1:7" ht="12.75">
      <c r="A73" s="118" t="s">
        <v>10</v>
      </c>
      <c r="B73" s="119">
        <v>16.2</v>
      </c>
      <c r="C73" s="253">
        <v>0</v>
      </c>
      <c r="D73" s="76">
        <v>0</v>
      </c>
      <c r="E73" s="77">
        <v>0</v>
      </c>
      <c r="F73" s="77">
        <v>0</v>
      </c>
      <c r="G73" s="78">
        <v>0</v>
      </c>
    </row>
    <row r="74" spans="1:7" ht="12.75">
      <c r="A74" s="120" t="s">
        <v>58</v>
      </c>
      <c r="B74" s="121">
        <v>21.9</v>
      </c>
      <c r="C74" s="30">
        <f>B73</f>
        <v>16.2</v>
      </c>
      <c r="D74" s="76">
        <v>0</v>
      </c>
      <c r="E74" s="81">
        <v>0</v>
      </c>
      <c r="F74" s="81">
        <v>0</v>
      </c>
      <c r="G74" s="82">
        <v>0</v>
      </c>
    </row>
    <row r="75" spans="1:7" ht="12.75">
      <c r="A75" s="120" t="s">
        <v>59</v>
      </c>
      <c r="B75" s="121">
        <v>24.2</v>
      </c>
      <c r="C75" s="30">
        <f t="shared" ref="C75:C123" si="1">B74</f>
        <v>21.9</v>
      </c>
      <c r="D75" s="76">
        <v>0</v>
      </c>
      <c r="E75" s="81">
        <v>0</v>
      </c>
      <c r="F75" s="81">
        <v>0</v>
      </c>
      <c r="G75" s="82">
        <v>0</v>
      </c>
    </row>
    <row r="76" spans="1:7" ht="12.75">
      <c r="A76" s="120" t="s">
        <v>60</v>
      </c>
      <c r="B76" s="121">
        <v>25.9</v>
      </c>
      <c r="C76" s="30">
        <f t="shared" si="1"/>
        <v>24.2</v>
      </c>
      <c r="D76" s="76">
        <v>0</v>
      </c>
      <c r="E76" s="81">
        <v>0</v>
      </c>
      <c r="F76" s="81">
        <v>0</v>
      </c>
      <c r="G76" s="82">
        <v>0</v>
      </c>
    </row>
    <row r="77" spans="1:7" ht="12.75">
      <c r="A77" s="120" t="s">
        <v>61</v>
      </c>
      <c r="B77" s="121">
        <v>27.9</v>
      </c>
      <c r="C77" s="30">
        <f t="shared" si="1"/>
        <v>25.9</v>
      </c>
      <c r="D77" s="76">
        <v>0</v>
      </c>
      <c r="E77" s="81">
        <v>0</v>
      </c>
      <c r="F77" s="81">
        <v>0</v>
      </c>
      <c r="G77" s="82">
        <v>0</v>
      </c>
    </row>
    <row r="78" spans="1:7" ht="12.75">
      <c r="A78" s="120" t="s">
        <v>62</v>
      </c>
      <c r="B78" s="121">
        <v>28.9</v>
      </c>
      <c r="C78" s="30">
        <f t="shared" si="1"/>
        <v>27.9</v>
      </c>
      <c r="D78" s="76">
        <v>0</v>
      </c>
      <c r="E78" s="81">
        <v>0</v>
      </c>
      <c r="F78" s="81">
        <v>0</v>
      </c>
      <c r="G78" s="82">
        <v>1.2664359861592055E-3</v>
      </c>
    </row>
    <row r="79" spans="1:7" ht="12.75">
      <c r="A79" s="120" t="s">
        <v>63</v>
      </c>
      <c r="B79" s="121">
        <v>29.7</v>
      </c>
      <c r="C79" s="30">
        <f t="shared" si="1"/>
        <v>28.9</v>
      </c>
      <c r="D79" s="76">
        <v>1.6212121212121469E-2</v>
      </c>
      <c r="E79" s="81"/>
      <c r="F79" s="81">
        <v>1.6212121212121468E-3</v>
      </c>
      <c r="G79" s="82">
        <v>3.9259259259259629E-3</v>
      </c>
    </row>
    <row r="80" spans="1:7" ht="12.75">
      <c r="A80" s="122" t="s">
        <v>11</v>
      </c>
      <c r="B80" s="121">
        <v>31.2</v>
      </c>
      <c r="C80" s="30">
        <f t="shared" si="1"/>
        <v>29.7</v>
      </c>
      <c r="D80" s="76">
        <v>6.3509615384615623E-2</v>
      </c>
      <c r="E80" s="81"/>
      <c r="F80" s="81">
        <v>6.3509615384615631E-3</v>
      </c>
      <c r="G80" s="82">
        <v>8.5448717948718306E-3</v>
      </c>
    </row>
    <row r="81" spans="1:7" ht="12.75">
      <c r="A81" s="122" t="s">
        <v>12</v>
      </c>
      <c r="B81" s="121">
        <v>32.700000000000003</v>
      </c>
      <c r="C81" s="30">
        <f t="shared" si="1"/>
        <v>31.2</v>
      </c>
      <c r="D81" s="76">
        <v>0.10646788990825722</v>
      </c>
      <c r="E81" s="81">
        <v>1.0646788990825721E-2</v>
      </c>
      <c r="F81" s="81">
        <v>1.0646788990825721E-2</v>
      </c>
      <c r="G81" s="82">
        <v>1.2740061162079555E-2</v>
      </c>
    </row>
    <row r="82" spans="1:7" ht="12.75">
      <c r="A82" s="122" t="s">
        <v>13</v>
      </c>
      <c r="B82" s="121">
        <v>34</v>
      </c>
      <c r="C82" s="30">
        <f t="shared" si="1"/>
        <v>32.700000000000003</v>
      </c>
      <c r="D82" s="76">
        <v>0.14063235294117671</v>
      </c>
      <c r="E82" s="81">
        <v>1.4063235294117672E-2</v>
      </c>
      <c r="F82" s="81">
        <v>1.4063235294117672E-2</v>
      </c>
      <c r="G82" s="82">
        <v>1.6076470588235331E-2</v>
      </c>
    </row>
    <row r="83" spans="1:7" ht="12.75">
      <c r="A83" s="122" t="s">
        <v>14</v>
      </c>
      <c r="B83" s="121">
        <v>34.9</v>
      </c>
      <c r="C83" s="30">
        <f t="shared" si="1"/>
        <v>34</v>
      </c>
      <c r="D83" s="76">
        <v>0.16279369627507184</v>
      </c>
      <c r="E83" s="81">
        <v>1.6279369627507183E-2</v>
      </c>
      <c r="F83" s="81">
        <v>1.6279369627507183E-2</v>
      </c>
      <c r="G83" s="82">
        <v>1.8240687679083125E-2</v>
      </c>
    </row>
    <row r="84" spans="1:7" ht="12.75">
      <c r="A84" s="122" t="s">
        <v>15</v>
      </c>
      <c r="B84" s="121">
        <v>35.6</v>
      </c>
      <c r="C84" s="30">
        <f t="shared" si="1"/>
        <v>34.9</v>
      </c>
      <c r="D84" s="76">
        <v>0.17925561797752834</v>
      </c>
      <c r="E84" s="81">
        <v>1.7925561797752836E-2</v>
      </c>
      <c r="F84" s="81">
        <v>1.7925561797752836E-2</v>
      </c>
      <c r="G84" s="82">
        <v>1.9848314606741611E-2</v>
      </c>
    </row>
    <row r="85" spans="1:7" ht="12.75">
      <c r="A85" s="122" t="s">
        <v>16</v>
      </c>
      <c r="B85" s="121">
        <v>36.299999999999997</v>
      </c>
      <c r="C85" s="30">
        <f t="shared" si="1"/>
        <v>35.6</v>
      </c>
      <c r="D85" s="76">
        <v>0.19508264462809935</v>
      </c>
      <c r="E85" s="81">
        <v>1.9508264462809937E-2</v>
      </c>
      <c r="F85" s="81">
        <v>1.9508264462809937E-2</v>
      </c>
      <c r="G85" s="82">
        <v>2.1393939393939423E-2</v>
      </c>
    </row>
    <row r="86" spans="1:7" ht="12.75">
      <c r="A86" s="122" t="s">
        <v>17</v>
      </c>
      <c r="B86" s="121">
        <v>37.200000000000003</v>
      </c>
      <c r="C86" s="30">
        <f t="shared" si="1"/>
        <v>36.299999999999997</v>
      </c>
      <c r="D86" s="76">
        <v>0.21455645161290351</v>
      </c>
      <c r="E86" s="81">
        <v>2.1455645161290351E-2</v>
      </c>
      <c r="F86" s="81">
        <v>2.1455645161290351E-2</v>
      </c>
      <c r="G86" s="82">
        <v>2.3295698924731222E-2</v>
      </c>
    </row>
    <row r="87" spans="1:7" ht="12.75">
      <c r="A87" s="122" t="s">
        <v>18</v>
      </c>
      <c r="B87" s="121">
        <v>38.4</v>
      </c>
      <c r="C87" s="30">
        <f t="shared" si="1"/>
        <v>37.200000000000003</v>
      </c>
      <c r="D87" s="76">
        <v>0.2391015625000002</v>
      </c>
      <c r="E87" s="81">
        <v>2.3910156250000019E-2</v>
      </c>
      <c r="F87" s="81">
        <v>2.3910156250000019E-2</v>
      </c>
      <c r="G87" s="82">
        <v>2.5692708333333363E-2</v>
      </c>
    </row>
    <row r="88" spans="1:7" ht="12.75">
      <c r="A88" s="122" t="s">
        <v>19</v>
      </c>
      <c r="B88" s="121">
        <v>39.200000000000003</v>
      </c>
      <c r="C88" s="30">
        <f t="shared" si="1"/>
        <v>38.4</v>
      </c>
      <c r="D88" s="76">
        <v>0.2546301020408166</v>
      </c>
      <c r="E88" s="81">
        <v>2.5463010204081662E-2</v>
      </c>
      <c r="F88" s="81">
        <v>2.5463010204081662E-2</v>
      </c>
      <c r="G88" s="82">
        <v>2.7209183673469424E-2</v>
      </c>
    </row>
    <row r="89" spans="1:7" ht="12.75">
      <c r="A89" s="122" t="s">
        <v>20</v>
      </c>
      <c r="B89" s="121">
        <v>39.9</v>
      </c>
      <c r="C89" s="30">
        <f t="shared" si="1"/>
        <v>39.200000000000003</v>
      </c>
      <c r="D89" s="76">
        <v>0.26770676691729339</v>
      </c>
      <c r="E89" s="81">
        <v>2.6770676691729344E-2</v>
      </c>
      <c r="F89" s="81">
        <v>2.6770676691729344E-2</v>
      </c>
      <c r="G89" s="82">
        <v>2.848621553884715E-2</v>
      </c>
    </row>
    <row r="90" spans="1:7" ht="12.75">
      <c r="A90" s="122" t="s">
        <v>21</v>
      </c>
      <c r="B90" s="121">
        <v>40.6</v>
      </c>
      <c r="C90" s="30">
        <f t="shared" si="1"/>
        <v>39.9</v>
      </c>
      <c r="D90" s="76">
        <v>0.28033251231527118</v>
      </c>
      <c r="E90" s="81">
        <v>2.8033251231527119E-2</v>
      </c>
      <c r="F90" s="81">
        <v>2.8033251231527119E-2</v>
      </c>
      <c r="G90" s="82">
        <v>2.9719211822660133E-2</v>
      </c>
    </row>
    <row r="91" spans="1:7" ht="12.75">
      <c r="A91" s="122" t="s">
        <v>22</v>
      </c>
      <c r="B91" s="121">
        <v>41.4</v>
      </c>
      <c r="C91" s="30">
        <f t="shared" si="1"/>
        <v>40.6</v>
      </c>
      <c r="D91" s="76">
        <v>0.29423913043478278</v>
      </c>
      <c r="E91" s="81">
        <v>2.9423913043478279E-2</v>
      </c>
      <c r="F91" s="81">
        <v>2.9423913043478279E-2</v>
      </c>
      <c r="G91" s="82">
        <v>3.1077294685990364E-2</v>
      </c>
    </row>
    <row r="92" spans="1:7" ht="12.75">
      <c r="A92" s="122" t="s">
        <v>23</v>
      </c>
      <c r="B92" s="121">
        <v>42.4</v>
      </c>
      <c r="C92" s="30">
        <f t="shared" si="1"/>
        <v>41.4</v>
      </c>
      <c r="D92" s="76">
        <v>0.31088443396226434</v>
      </c>
      <c r="E92" s="81">
        <v>3.1088443396226434E-2</v>
      </c>
      <c r="F92" s="81">
        <v>3.1088443396226434E-2</v>
      </c>
      <c r="G92" s="82">
        <v>3.2702830188679276E-2</v>
      </c>
    </row>
    <row r="93" spans="1:7" ht="12.75">
      <c r="A93" s="122" t="s">
        <v>24</v>
      </c>
      <c r="B93" s="121">
        <v>43.1</v>
      </c>
      <c r="C93" s="30">
        <f t="shared" si="1"/>
        <v>42.4</v>
      </c>
      <c r="D93" s="76">
        <v>0.32207656612529023</v>
      </c>
      <c r="E93" s="81">
        <v>3.2207656612529029E-2</v>
      </c>
      <c r="F93" s="81">
        <v>3.2207656612529029E-2</v>
      </c>
      <c r="G93" s="82">
        <v>3.3795823665893301E-2</v>
      </c>
    </row>
    <row r="94" spans="1:7" ht="12.75">
      <c r="A94" s="122" t="s">
        <v>25</v>
      </c>
      <c r="B94" s="121">
        <v>43.8</v>
      </c>
      <c r="C94" s="30">
        <f t="shared" si="1"/>
        <v>43.1</v>
      </c>
      <c r="D94" s="76">
        <v>0.33291095890410971</v>
      </c>
      <c r="E94" s="81">
        <v>3.3291095890410981E-2</v>
      </c>
      <c r="F94" s="81">
        <v>3.3291095890410981E-2</v>
      </c>
      <c r="G94" s="82">
        <v>3.4853881278538841E-2</v>
      </c>
    </row>
    <row r="95" spans="1:7" ht="12.75">
      <c r="A95" s="122" t="s">
        <v>26</v>
      </c>
      <c r="B95" s="121">
        <v>45</v>
      </c>
      <c r="C95" s="30">
        <f t="shared" si="1"/>
        <v>43.8</v>
      </c>
      <c r="D95" s="76">
        <v>0.35070000000000018</v>
      </c>
      <c r="E95" s="81">
        <v>3.5070000000000018E-2</v>
      </c>
      <c r="F95" s="81">
        <v>3.5070000000000018E-2</v>
      </c>
      <c r="G95" s="82">
        <v>3.6591111111111137E-2</v>
      </c>
    </row>
    <row r="96" spans="1:7" ht="12.75">
      <c r="A96" s="122" t="s">
        <v>27</v>
      </c>
      <c r="B96" s="121">
        <v>45.5</v>
      </c>
      <c r="C96" s="30">
        <f t="shared" si="1"/>
        <v>45</v>
      </c>
      <c r="D96" s="76">
        <v>0.35783516483516503</v>
      </c>
      <c r="E96" s="81">
        <v>3.5783516483516506E-2</v>
      </c>
      <c r="F96" s="81">
        <v>3.5783516483516506E-2</v>
      </c>
      <c r="G96" s="82">
        <v>3.7287912087912115E-2</v>
      </c>
    </row>
    <row r="97" spans="1:7" ht="12.75">
      <c r="A97" s="122" t="s">
        <v>28</v>
      </c>
      <c r="B97" s="121">
        <v>46.1</v>
      </c>
      <c r="C97" s="30">
        <f t="shared" si="1"/>
        <v>45.5</v>
      </c>
      <c r="D97" s="76">
        <v>0.3661930585683299</v>
      </c>
      <c r="E97" s="81">
        <v>3.6619305856832998E-2</v>
      </c>
      <c r="F97" s="81">
        <v>3.6619305856832998E-2</v>
      </c>
      <c r="G97" s="82">
        <v>3.8104121475054265E-2</v>
      </c>
    </row>
    <row r="98" spans="1:7" ht="12.75">
      <c r="A98" s="122" t="s">
        <v>29</v>
      </c>
      <c r="B98" s="121">
        <v>46.8</v>
      </c>
      <c r="C98" s="30">
        <f t="shared" si="1"/>
        <v>46.1</v>
      </c>
      <c r="D98" s="76">
        <v>0.37567307692307705</v>
      </c>
      <c r="E98" s="81">
        <v>3.7567307692307705E-2</v>
      </c>
      <c r="F98" s="81">
        <v>3.7567307692307705E-2</v>
      </c>
      <c r="G98" s="82">
        <v>3.9029914529914549E-2</v>
      </c>
    </row>
    <row r="99" spans="1:7" ht="12.75">
      <c r="A99" s="122" t="s">
        <v>30</v>
      </c>
      <c r="B99" s="121">
        <v>47.3</v>
      </c>
      <c r="C99" s="30">
        <f t="shared" si="1"/>
        <v>46.8</v>
      </c>
      <c r="D99" s="76">
        <v>0.38227272727272743</v>
      </c>
      <c r="E99" s="81">
        <v>3.8227272727272742E-2</v>
      </c>
      <c r="F99" s="81">
        <v>3.8227272727272742E-2</v>
      </c>
      <c r="G99" s="82">
        <v>3.9674418604651186E-2</v>
      </c>
    </row>
    <row r="100" spans="1:7" ht="12.75">
      <c r="A100" s="122" t="s">
        <v>31</v>
      </c>
      <c r="B100" s="121">
        <v>48.3</v>
      </c>
      <c r="C100" s="30">
        <f t="shared" si="1"/>
        <v>47.3</v>
      </c>
      <c r="D100" s="76">
        <v>0.3950621118012424</v>
      </c>
      <c r="E100" s="81">
        <v>3.9506211180124241E-2</v>
      </c>
      <c r="F100" s="81">
        <v>3.9506211180124241E-2</v>
      </c>
      <c r="G100" s="82">
        <v>4.5540372670807565E-2</v>
      </c>
    </row>
    <row r="101" spans="1:7" ht="12.75">
      <c r="A101" s="122" t="s">
        <v>32</v>
      </c>
      <c r="B101" s="121">
        <v>49.1</v>
      </c>
      <c r="C101" s="30">
        <f t="shared" si="1"/>
        <v>48.3</v>
      </c>
      <c r="D101" s="76">
        <v>0.40491853360488816</v>
      </c>
      <c r="E101" s="81">
        <v>4.2951120162932878E-2</v>
      </c>
      <c r="F101" s="81">
        <v>4.2951120162932878E-2</v>
      </c>
      <c r="G101" s="82">
        <v>5.1315682281059198E-2</v>
      </c>
    </row>
    <row r="102" spans="1:7" ht="12.75">
      <c r="A102" s="122" t="s">
        <v>33</v>
      </c>
      <c r="B102" s="121">
        <v>50.4</v>
      </c>
      <c r="C102" s="30">
        <f t="shared" si="1"/>
        <v>49.1</v>
      </c>
      <c r="D102" s="76">
        <v>0.4202678571428573</v>
      </c>
      <c r="E102" s="81">
        <v>5.2160714285714352E-2</v>
      </c>
      <c r="F102" s="81">
        <v>5.2160714285714352E-2</v>
      </c>
      <c r="G102" s="82">
        <v>6.0309523809523917E-2</v>
      </c>
    </row>
    <row r="103" spans="1:7" ht="12.75">
      <c r="A103" s="122" t="s">
        <v>34</v>
      </c>
      <c r="B103" s="121">
        <v>51.2</v>
      </c>
      <c r="C103" s="30">
        <f t="shared" si="1"/>
        <v>50.4</v>
      </c>
      <c r="D103" s="76">
        <v>0.42932617187500022</v>
      </c>
      <c r="E103" s="81">
        <v>5.7595703125000085E-2</v>
      </c>
      <c r="F103" s="81">
        <v>5.7595703125000085E-2</v>
      </c>
      <c r="G103" s="82">
        <v>6.5617187500000146E-2</v>
      </c>
    </row>
    <row r="104" spans="1:7" ht="12.75">
      <c r="A104" s="122" t="s">
        <v>35</v>
      </c>
      <c r="B104" s="121">
        <v>52.5</v>
      </c>
      <c r="C104" s="30">
        <f t="shared" si="1"/>
        <v>51.2</v>
      </c>
      <c r="D104" s="76">
        <v>0.44345714285714299</v>
      </c>
      <c r="E104" s="81">
        <v>6.607428571428578E-2</v>
      </c>
      <c r="F104" s="81">
        <v>6.607428571428578E-2</v>
      </c>
      <c r="G104" s="82">
        <v>7.3897142857142981E-2</v>
      </c>
    </row>
    <row r="105" spans="1:7" ht="12.75">
      <c r="A105" s="122" t="s">
        <v>36</v>
      </c>
      <c r="B105" s="121">
        <v>53.8</v>
      </c>
      <c r="C105" s="30">
        <f t="shared" si="1"/>
        <v>52.5</v>
      </c>
      <c r="D105" s="76">
        <v>0.45690520446096666</v>
      </c>
      <c r="E105" s="81">
        <v>7.4143122676579978E-2</v>
      </c>
      <c r="F105" s="81">
        <v>7.4143122676579978E-2</v>
      </c>
      <c r="G105" s="82">
        <v>8.1776951672862544E-2</v>
      </c>
    </row>
    <row r="106" spans="1:7" ht="12.75">
      <c r="A106" s="122" t="s">
        <v>37</v>
      </c>
      <c r="B106" s="121">
        <v>55</v>
      </c>
      <c r="C106" s="30">
        <f t="shared" si="1"/>
        <v>53.8</v>
      </c>
      <c r="D106" s="76">
        <v>0.46875454545454559</v>
      </c>
      <c r="E106" s="81">
        <v>8.1252727272727351E-2</v>
      </c>
      <c r="F106" s="81">
        <v>8.1252727272727351E-2</v>
      </c>
      <c r="G106" s="82">
        <v>8.8720000000000118E-2</v>
      </c>
    </row>
    <row r="107" spans="1:7" ht="12.75">
      <c r="A107" s="122" t="s">
        <v>38</v>
      </c>
      <c r="B107" s="121">
        <v>56.1</v>
      </c>
      <c r="C107" s="30">
        <f t="shared" si="1"/>
        <v>55</v>
      </c>
      <c r="D107" s="76">
        <v>0.47917112299465259</v>
      </c>
      <c r="E107" s="81">
        <v>8.7502673796791525E-2</v>
      </c>
      <c r="F107" s="81">
        <v>8.7502673796791525E-2</v>
      </c>
      <c r="G107" s="82">
        <v>9.482352941176482E-2</v>
      </c>
    </row>
    <row r="108" spans="1:7" ht="12.75">
      <c r="A108" s="122" t="s">
        <v>39</v>
      </c>
      <c r="B108" s="121">
        <v>57.8</v>
      </c>
      <c r="C108" s="30">
        <f t="shared" si="1"/>
        <v>56.1</v>
      </c>
      <c r="D108" s="76">
        <v>0.49448961937716274</v>
      </c>
      <c r="E108" s="81">
        <v>9.6693771626297623E-2</v>
      </c>
      <c r="F108" s="81">
        <v>9.6693771626297623E-2</v>
      </c>
      <c r="G108" s="82">
        <v>0.1037993079584776</v>
      </c>
    </row>
    <row r="109" spans="1:7" ht="12.75">
      <c r="A109" s="122" t="s">
        <v>40</v>
      </c>
      <c r="B109" s="121">
        <v>60</v>
      </c>
      <c r="C109" s="30">
        <f t="shared" si="1"/>
        <v>57.8</v>
      </c>
      <c r="D109" s="76">
        <v>0.51302500000000018</v>
      </c>
      <c r="E109" s="81">
        <v>0.10781500000000005</v>
      </c>
      <c r="F109" s="81">
        <v>0.10781500000000005</v>
      </c>
      <c r="G109" s="82">
        <v>0.11466000000000012</v>
      </c>
    </row>
    <row r="110" spans="1:7" ht="12.75">
      <c r="A110" s="122" t="s">
        <v>41</v>
      </c>
      <c r="B110" s="121">
        <v>61.3</v>
      </c>
      <c r="C110" s="30">
        <f t="shared" si="1"/>
        <v>60</v>
      </c>
      <c r="D110" s="76">
        <v>0.52335236541598706</v>
      </c>
      <c r="E110" s="81">
        <v>0.11401141924959222</v>
      </c>
      <c r="F110" s="81">
        <v>0.11401141924959222</v>
      </c>
      <c r="G110" s="82">
        <v>0.12071125611745523</v>
      </c>
    </row>
    <row r="111" spans="1:7" ht="12.75">
      <c r="A111" s="122" t="s">
        <v>42</v>
      </c>
      <c r="B111" s="121">
        <v>63.2</v>
      </c>
      <c r="C111" s="30">
        <f t="shared" si="1"/>
        <v>61.3</v>
      </c>
      <c r="D111" s="76">
        <v>0.5376819620253166</v>
      </c>
      <c r="E111" s="81">
        <v>0.12260917721518995</v>
      </c>
      <c r="F111" s="81">
        <v>0.12260917721518995</v>
      </c>
      <c r="G111" s="82">
        <v>0.12910759493670898</v>
      </c>
    </row>
    <row r="112" spans="1:7" ht="12.75">
      <c r="A112" s="122" t="s">
        <v>43</v>
      </c>
      <c r="B112" s="121">
        <v>64.5</v>
      </c>
      <c r="C112" s="30">
        <f t="shared" si="1"/>
        <v>63.2</v>
      </c>
      <c r="D112" s="76">
        <v>0.54700000000000015</v>
      </c>
      <c r="E112" s="81">
        <v>0.12820000000000006</v>
      </c>
      <c r="F112" s="81">
        <v>0.12820000000000006</v>
      </c>
      <c r="G112" s="82">
        <v>0.13456744186046521</v>
      </c>
    </row>
    <row r="113" spans="1:7" ht="12.75">
      <c r="A113" s="122" t="s">
        <v>44</v>
      </c>
      <c r="B113" s="121">
        <v>67.7</v>
      </c>
      <c r="C113" s="30">
        <f t="shared" si="1"/>
        <v>64.5</v>
      </c>
      <c r="D113" s="76">
        <v>0.56841211225997057</v>
      </c>
      <c r="E113" s="81">
        <v>0.14104726735598233</v>
      </c>
      <c r="F113" s="81">
        <v>0.14104726735598233</v>
      </c>
      <c r="G113" s="82">
        <v>0.14711373707533246</v>
      </c>
    </row>
    <row r="114" spans="1:7" ht="12.75">
      <c r="A114" s="122" t="s">
        <v>45</v>
      </c>
      <c r="B114" s="121">
        <v>70.400000000000006</v>
      </c>
      <c r="C114" s="30">
        <f t="shared" si="1"/>
        <v>67.7</v>
      </c>
      <c r="D114" s="76">
        <v>0.58496448863636374</v>
      </c>
      <c r="E114" s="81">
        <v>0.15097869318181828</v>
      </c>
      <c r="F114" s="81">
        <v>0.15097869318181828</v>
      </c>
      <c r="G114" s="82">
        <v>0.1568125000000001</v>
      </c>
    </row>
    <row r="115" spans="1:7" ht="12.75">
      <c r="A115" s="122" t="s">
        <v>46</v>
      </c>
      <c r="B115" s="121">
        <v>73.2</v>
      </c>
      <c r="C115" s="30">
        <f t="shared" si="1"/>
        <v>70.400000000000006</v>
      </c>
      <c r="D115" s="76">
        <v>0.60084016393442641</v>
      </c>
      <c r="E115" s="81">
        <v>0.16050409836065582</v>
      </c>
      <c r="F115" s="81">
        <v>0.16050409836065582</v>
      </c>
      <c r="G115" s="82">
        <v>0.16611475409836077</v>
      </c>
    </row>
    <row r="116" spans="1:7" ht="12.75">
      <c r="A116" s="122" t="s">
        <v>47</v>
      </c>
      <c r="B116" s="121">
        <v>75.599999999999994</v>
      </c>
      <c r="C116" s="30">
        <f t="shared" si="1"/>
        <v>73.2</v>
      </c>
      <c r="D116" s="76">
        <v>0.61351190476190487</v>
      </c>
      <c r="E116" s="81">
        <v>0.16810714285714293</v>
      </c>
      <c r="F116" s="81">
        <v>0.16810714285714293</v>
      </c>
      <c r="G116" s="82">
        <v>0.1735396825396826</v>
      </c>
    </row>
    <row r="117" spans="1:7" ht="12.75">
      <c r="A117" s="122" t="s">
        <v>48</v>
      </c>
      <c r="B117" s="121">
        <v>77.8</v>
      </c>
      <c r="C117" s="30">
        <f t="shared" si="1"/>
        <v>75.599999999999994</v>
      </c>
      <c r="D117" s="76">
        <v>0.6244408740359898</v>
      </c>
      <c r="E117" s="81">
        <v>0.17466452442159389</v>
      </c>
      <c r="F117" s="81">
        <v>0.17466452442159389</v>
      </c>
      <c r="G117" s="82">
        <v>0.17994344473007717</v>
      </c>
    </row>
    <row r="118" spans="1:7" ht="12.75">
      <c r="A118" s="122" t="s">
        <v>49</v>
      </c>
      <c r="B118" s="121">
        <v>81.5</v>
      </c>
      <c r="C118" s="30">
        <f t="shared" si="1"/>
        <v>77.8</v>
      </c>
      <c r="D118" s="76">
        <v>0.64149079754601235</v>
      </c>
      <c r="E118" s="81">
        <v>0.18489447852760743</v>
      </c>
      <c r="F118" s="81">
        <v>0.18489447852760743</v>
      </c>
      <c r="G118" s="82">
        <v>0.18993374233128843</v>
      </c>
    </row>
    <row r="119" spans="1:7" ht="12.75">
      <c r="A119" s="122" t="s">
        <v>50</v>
      </c>
      <c r="B119" s="121">
        <v>89</v>
      </c>
      <c r="C119" s="30">
        <f t="shared" si="1"/>
        <v>81.5</v>
      </c>
      <c r="D119" s="76">
        <v>0.67170224719101135</v>
      </c>
      <c r="E119" s="81">
        <v>0.2030213483146068</v>
      </c>
      <c r="F119" s="81">
        <v>0.2030213483146068</v>
      </c>
      <c r="G119" s="82">
        <v>0.20763595505617982</v>
      </c>
    </row>
    <row r="120" spans="1:7" ht="12.75">
      <c r="A120" s="122" t="s">
        <v>51</v>
      </c>
      <c r="B120" s="121">
        <v>104.4</v>
      </c>
      <c r="C120" s="30">
        <f t="shared" si="1"/>
        <v>89</v>
      </c>
      <c r="D120" s="76">
        <v>0.72012931034482763</v>
      </c>
      <c r="E120" s="81">
        <v>0.23207758620689661</v>
      </c>
      <c r="F120" s="81">
        <v>0.23207758620689661</v>
      </c>
      <c r="G120" s="82">
        <v>0.23601149425287363</v>
      </c>
    </row>
    <row r="121" spans="1:7" ht="12.75">
      <c r="A121" s="122" t="s">
        <v>52</v>
      </c>
      <c r="B121" s="121">
        <v>118.7</v>
      </c>
      <c r="C121" s="30">
        <f t="shared" si="1"/>
        <v>104.4</v>
      </c>
      <c r="D121" s="76">
        <v>0.75384582982308346</v>
      </c>
      <c r="E121" s="81">
        <v>0.2523074978938501</v>
      </c>
      <c r="F121" s="81">
        <v>0.2523074978938501</v>
      </c>
      <c r="G121" s="82">
        <v>0.25576748104465041</v>
      </c>
    </row>
    <row r="122" spans="1:7" ht="12.75">
      <c r="A122" s="122" t="s">
        <v>53</v>
      </c>
      <c r="B122" s="121">
        <v>159.80000000000001</v>
      </c>
      <c r="C122" s="30">
        <f>B121</f>
        <v>118.7</v>
      </c>
      <c r="D122" s="76">
        <v>0.81715581977471841</v>
      </c>
      <c r="E122" s="81">
        <v>0.29029349186483105</v>
      </c>
      <c r="F122" s="81">
        <v>0.29029349186483105</v>
      </c>
      <c r="G122" s="82">
        <v>0.29286357947434305</v>
      </c>
    </row>
    <row r="123" spans="1:7" ht="13.5" thickBot="1">
      <c r="A123" s="123" t="s">
        <v>53</v>
      </c>
      <c r="B123" s="124" t="s">
        <v>85</v>
      </c>
      <c r="C123" s="30">
        <f t="shared" si="1"/>
        <v>159.80000000000001</v>
      </c>
      <c r="D123" s="86"/>
      <c r="E123" s="87"/>
      <c r="F123" s="87"/>
      <c r="G123" s="88"/>
    </row>
    <row r="124" spans="1:7" ht="13.5" thickBot="1">
      <c r="A124" s="89"/>
      <c r="B124" s="125"/>
      <c r="C124" s="29"/>
      <c r="D124" s="126"/>
      <c r="E124" s="127">
        <v>7.0994374007282243E-2</v>
      </c>
      <c r="F124" s="127">
        <v>7.0994374007282243E-2</v>
      </c>
      <c r="G124" s="128">
        <v>7.4602787894737579E-2</v>
      </c>
    </row>
    <row r="125" spans="1:7" ht="51">
      <c r="A125" s="94" t="s">
        <v>55</v>
      </c>
      <c r="B125" s="129">
        <v>52.2</v>
      </c>
      <c r="C125" s="29"/>
      <c r="D125" s="96"/>
      <c r="E125" s="97">
        <v>48.697499999999991</v>
      </c>
      <c r="F125" s="98">
        <v>48.697499999999991</v>
      </c>
      <c r="G125" s="99">
        <v>47.556666666666651</v>
      </c>
    </row>
    <row r="126" spans="1:7" ht="52.5" customHeight="1">
      <c r="A126" s="100" t="s">
        <v>56</v>
      </c>
      <c r="B126" s="130">
        <v>28.8</v>
      </c>
      <c r="C126" s="29"/>
      <c r="D126" s="102"/>
      <c r="E126" s="103"/>
      <c r="F126" s="103"/>
      <c r="G126" s="104"/>
    </row>
    <row r="127" spans="1:7" ht="78" customHeight="1" thickBot="1">
      <c r="A127" s="105" t="s">
        <v>57</v>
      </c>
      <c r="B127" s="131">
        <v>17.3</v>
      </c>
      <c r="C127" s="29"/>
      <c r="D127" s="87"/>
      <c r="E127" s="86">
        <v>29.218499999999992</v>
      </c>
      <c r="F127" s="86">
        <v>29.218499999999992</v>
      </c>
      <c r="G127" s="107">
        <v>28.533999999999988</v>
      </c>
    </row>
    <row r="128" spans="1:7" ht="15.75" thickBot="1"/>
    <row r="129" spans="1:7" ht="51.75" thickBot="1">
      <c r="A129" s="108" t="s">
        <v>56</v>
      </c>
      <c r="B129" s="109">
        <f>B126</f>
        <v>28.8</v>
      </c>
    </row>
    <row r="130" spans="1:7">
      <c r="A130" s="110" t="s">
        <v>64</v>
      </c>
      <c r="B130" s="111">
        <f>AVERAGE(B78:B117)</f>
        <v>48.697499999999991</v>
      </c>
      <c r="C130" s="17"/>
    </row>
    <row r="131" spans="1:7">
      <c r="A131" s="112" t="s">
        <v>65</v>
      </c>
      <c r="B131" s="113">
        <f>AVERAGE(B83:B112)</f>
        <v>47.556666666666651</v>
      </c>
      <c r="C131" s="18"/>
    </row>
    <row r="132" spans="1:7" ht="15.75" thickBot="1">
      <c r="A132" s="114" t="s">
        <v>66</v>
      </c>
      <c r="B132" s="115">
        <f>AVERAGE(B89:B107)</f>
        <v>47.278947368421058</v>
      </c>
      <c r="C132" s="18"/>
    </row>
    <row r="133" spans="1:7" ht="15.75" thickBot="1"/>
    <row r="134" spans="1:7" ht="13.5" thickBot="1">
      <c r="A134" s="535" t="s">
        <v>0</v>
      </c>
      <c r="B134" s="538" t="s">
        <v>78</v>
      </c>
      <c r="C134" s="539"/>
      <c r="D134" s="540"/>
      <c r="E134" s="62">
        <f>(1-E189)^(1/3)-1</f>
        <v>-3.0385937652835593E-2</v>
      </c>
      <c r="F134" s="63">
        <f>(1-F189)^(1/3)-1</f>
        <v>-3.0385937652835593E-2</v>
      </c>
      <c r="G134" s="64"/>
    </row>
    <row r="135" spans="1:7" ht="77.25" thickBot="1">
      <c r="A135" s="536"/>
      <c r="B135" s="65" t="s">
        <v>4</v>
      </c>
      <c r="C135" s="254"/>
      <c r="D135" s="65" t="s">
        <v>80</v>
      </c>
      <c r="E135" s="65" t="s">
        <v>5</v>
      </c>
      <c r="F135" s="65" t="s">
        <v>5</v>
      </c>
      <c r="G135" s="65"/>
    </row>
    <row r="136" spans="1:7" ht="26.25" thickBot="1">
      <c r="A136" s="537"/>
      <c r="B136" s="66" t="s">
        <v>9</v>
      </c>
      <c r="C136" s="254"/>
      <c r="D136" s="66" t="s">
        <v>7</v>
      </c>
      <c r="E136" s="67" t="s">
        <v>82</v>
      </c>
      <c r="F136" s="68" t="s">
        <v>83</v>
      </c>
      <c r="G136" s="68"/>
    </row>
    <row r="137" spans="1:7" ht="13.5" thickBot="1">
      <c r="A137" s="69">
        <v>1</v>
      </c>
      <c r="B137" s="70">
        <v>2</v>
      </c>
      <c r="C137" s="51"/>
      <c r="D137" s="71">
        <v>3</v>
      </c>
      <c r="E137" s="72">
        <v>4</v>
      </c>
      <c r="F137" s="73">
        <v>5</v>
      </c>
      <c r="G137" s="72"/>
    </row>
    <row r="138" spans="1:7" ht="12.75">
      <c r="A138" s="74" t="s">
        <v>10</v>
      </c>
      <c r="B138" s="132">
        <v>0.08</v>
      </c>
      <c r="C138" s="255">
        <v>0</v>
      </c>
      <c r="D138" s="76">
        <v>0</v>
      </c>
      <c r="E138" s="77">
        <v>0</v>
      </c>
      <c r="F138" s="77">
        <v>0</v>
      </c>
      <c r="G138" s="78">
        <v>0</v>
      </c>
    </row>
    <row r="139" spans="1:7" ht="12.75">
      <c r="A139" s="79" t="s">
        <v>58</v>
      </c>
      <c r="B139" s="133">
        <v>0.18</v>
      </c>
      <c r="C139" s="30">
        <f>B138</f>
        <v>0.08</v>
      </c>
      <c r="D139" s="76">
        <v>0</v>
      </c>
      <c r="E139" s="81">
        <v>0</v>
      </c>
      <c r="F139" s="81">
        <v>0</v>
      </c>
      <c r="G139" s="82">
        <v>0</v>
      </c>
    </row>
    <row r="140" spans="1:7" ht="12.75">
      <c r="A140" s="79" t="s">
        <v>59</v>
      </c>
      <c r="B140" s="133">
        <v>0.33</v>
      </c>
      <c r="C140" s="30">
        <f t="shared" ref="C140:C188" si="2">B139</f>
        <v>0.18</v>
      </c>
      <c r="D140" s="76">
        <v>0</v>
      </c>
      <c r="E140" s="81">
        <v>0</v>
      </c>
      <c r="F140" s="81">
        <v>0</v>
      </c>
      <c r="G140" s="82">
        <v>0</v>
      </c>
    </row>
    <row r="141" spans="1:7" ht="12.75">
      <c r="A141" s="79" t="s">
        <v>60</v>
      </c>
      <c r="B141" s="133">
        <v>0.48</v>
      </c>
      <c r="C141" s="30">
        <f t="shared" si="2"/>
        <v>0.33</v>
      </c>
      <c r="D141" s="76">
        <v>0</v>
      </c>
      <c r="E141" s="81">
        <v>0</v>
      </c>
      <c r="F141" s="81">
        <v>0</v>
      </c>
      <c r="G141" s="82">
        <v>0</v>
      </c>
    </row>
    <row r="142" spans="1:7" ht="12.75">
      <c r="A142" s="79" t="s">
        <v>61</v>
      </c>
      <c r="B142" s="133">
        <v>0.62</v>
      </c>
      <c r="C142" s="30">
        <f t="shared" si="2"/>
        <v>0.48</v>
      </c>
      <c r="D142" s="76">
        <v>0</v>
      </c>
      <c r="E142" s="81">
        <v>0</v>
      </c>
      <c r="F142" s="81">
        <v>0</v>
      </c>
      <c r="G142" s="82">
        <v>0</v>
      </c>
    </row>
    <row r="143" spans="1:7" ht="12.75">
      <c r="A143" s="79" t="s">
        <v>62</v>
      </c>
      <c r="B143" s="133">
        <v>0.73</v>
      </c>
      <c r="C143" s="30">
        <f t="shared" si="2"/>
        <v>0.62</v>
      </c>
      <c r="D143" s="76">
        <v>0</v>
      </c>
      <c r="E143" s="81">
        <v>0</v>
      </c>
      <c r="F143" s="81">
        <v>0</v>
      </c>
      <c r="G143" s="82">
        <v>0</v>
      </c>
    </row>
    <row r="144" spans="1:7" ht="12.75">
      <c r="A144" s="79" t="s">
        <v>63</v>
      </c>
      <c r="B144" s="133">
        <v>0.86</v>
      </c>
      <c r="C144" s="30">
        <f t="shared" si="2"/>
        <v>0.73</v>
      </c>
      <c r="D144" s="76">
        <v>0</v>
      </c>
      <c r="E144" s="81">
        <v>0</v>
      </c>
      <c r="F144" s="81">
        <v>0</v>
      </c>
      <c r="G144" s="82">
        <v>0</v>
      </c>
    </row>
    <row r="145" spans="1:7" ht="12.75">
      <c r="A145" s="83" t="s">
        <v>11</v>
      </c>
      <c r="B145" s="133">
        <v>0.94</v>
      </c>
      <c r="C145" s="30">
        <f t="shared" si="2"/>
        <v>0.86</v>
      </c>
      <c r="D145" s="76">
        <v>0</v>
      </c>
      <c r="E145" s="81">
        <v>0</v>
      </c>
      <c r="F145" s="81">
        <v>0</v>
      </c>
      <c r="G145" s="82">
        <v>0</v>
      </c>
    </row>
    <row r="146" spans="1:7" ht="12.75">
      <c r="A146" s="83" t="s">
        <v>12</v>
      </c>
      <c r="B146" s="133">
        <v>0.99</v>
      </c>
      <c r="C146" s="30">
        <f t="shared" si="2"/>
        <v>0.94</v>
      </c>
      <c r="D146" s="76">
        <v>0</v>
      </c>
      <c r="E146" s="81">
        <v>0</v>
      </c>
      <c r="F146" s="81">
        <v>0</v>
      </c>
      <c r="G146" s="82">
        <v>0</v>
      </c>
    </row>
    <row r="147" spans="1:7" ht="12.75">
      <c r="A147" s="83" t="s">
        <v>13</v>
      </c>
      <c r="B147" s="133">
        <v>1.02</v>
      </c>
      <c r="C147" s="30">
        <f t="shared" si="2"/>
        <v>0.99</v>
      </c>
      <c r="D147" s="76">
        <v>0</v>
      </c>
      <c r="E147" s="81">
        <v>0</v>
      </c>
      <c r="F147" s="81">
        <v>0</v>
      </c>
      <c r="G147" s="82">
        <v>0</v>
      </c>
    </row>
    <row r="148" spans="1:7" ht="12.75">
      <c r="A148" s="83" t="s">
        <v>14</v>
      </c>
      <c r="B148" s="133">
        <v>1.0900000000000001</v>
      </c>
      <c r="C148" s="30">
        <f t="shared" si="2"/>
        <v>1.02</v>
      </c>
      <c r="D148" s="76">
        <v>0</v>
      </c>
      <c r="E148" s="81">
        <v>0</v>
      </c>
      <c r="F148" s="81">
        <v>0</v>
      </c>
      <c r="G148" s="82">
        <v>0</v>
      </c>
    </row>
    <row r="149" spans="1:7" ht="12.75">
      <c r="A149" s="83" t="s">
        <v>15</v>
      </c>
      <c r="B149" s="133">
        <v>1.1399999999999999</v>
      </c>
      <c r="C149" s="30">
        <f t="shared" si="2"/>
        <v>1.0900000000000001</v>
      </c>
      <c r="D149" s="76">
        <v>0</v>
      </c>
      <c r="E149" s="81">
        <v>0</v>
      </c>
      <c r="F149" s="81">
        <v>0</v>
      </c>
      <c r="G149" s="82">
        <v>0</v>
      </c>
    </row>
    <row r="150" spans="1:7" ht="12.75">
      <c r="A150" s="83" t="s">
        <v>16</v>
      </c>
      <c r="B150" s="133">
        <v>1.19</v>
      </c>
      <c r="C150" s="30">
        <f t="shared" si="2"/>
        <v>1.1399999999999999</v>
      </c>
      <c r="D150" s="76">
        <v>0</v>
      </c>
      <c r="E150" s="81">
        <v>0</v>
      </c>
      <c r="F150" s="81">
        <v>0</v>
      </c>
      <c r="G150" s="82">
        <v>0</v>
      </c>
    </row>
    <row r="151" spans="1:7" ht="12.75">
      <c r="A151" s="83" t="s">
        <v>17</v>
      </c>
      <c r="B151" s="133">
        <v>1.25</v>
      </c>
      <c r="C151" s="30">
        <f t="shared" si="2"/>
        <v>1.19</v>
      </c>
      <c r="D151" s="76">
        <v>0</v>
      </c>
      <c r="E151" s="81">
        <v>0</v>
      </c>
      <c r="F151" s="81">
        <v>0</v>
      </c>
      <c r="G151" s="82">
        <v>0</v>
      </c>
    </row>
    <row r="152" spans="1:7" ht="12.75">
      <c r="A152" s="83" t="s">
        <v>18</v>
      </c>
      <c r="B152" s="133">
        <v>1.34</v>
      </c>
      <c r="C152" s="30">
        <f t="shared" si="2"/>
        <v>1.25</v>
      </c>
      <c r="D152" s="76">
        <v>0</v>
      </c>
      <c r="E152" s="81">
        <v>0</v>
      </c>
      <c r="F152" s="81">
        <v>0</v>
      </c>
      <c r="G152" s="82">
        <v>0</v>
      </c>
    </row>
    <row r="153" spans="1:7" ht="12.75">
      <c r="A153" s="83" t="s">
        <v>19</v>
      </c>
      <c r="B153" s="133">
        <v>1.4</v>
      </c>
      <c r="C153" s="30">
        <f t="shared" si="2"/>
        <v>1.34</v>
      </c>
      <c r="D153" s="76">
        <v>0</v>
      </c>
      <c r="E153" s="81">
        <v>0</v>
      </c>
      <c r="F153" s="81">
        <v>0</v>
      </c>
      <c r="G153" s="82">
        <v>6.4285714285715139E-4</v>
      </c>
    </row>
    <row r="154" spans="1:7" ht="12.75">
      <c r="A154" s="83" t="s">
        <v>20</v>
      </c>
      <c r="B154" s="133">
        <v>1.42</v>
      </c>
      <c r="C154" s="30">
        <f t="shared" si="2"/>
        <v>1.4</v>
      </c>
      <c r="D154" s="76">
        <v>0</v>
      </c>
      <c r="E154" s="81">
        <v>0</v>
      </c>
      <c r="F154" s="81">
        <v>0</v>
      </c>
      <c r="G154" s="82">
        <v>2.0422535211267702E-3</v>
      </c>
    </row>
    <row r="155" spans="1:7" ht="12.75">
      <c r="A155" s="83" t="s">
        <v>21</v>
      </c>
      <c r="B155" s="133">
        <v>1.49</v>
      </c>
      <c r="C155" s="30">
        <f t="shared" si="2"/>
        <v>1.42</v>
      </c>
      <c r="D155" s="76">
        <v>0</v>
      </c>
      <c r="E155" s="81">
        <v>0</v>
      </c>
      <c r="F155" s="81">
        <v>0</v>
      </c>
      <c r="G155" s="82">
        <v>6.6442953020134365E-3</v>
      </c>
    </row>
    <row r="156" spans="1:7" ht="12.75">
      <c r="A156" s="83" t="s">
        <v>22</v>
      </c>
      <c r="B156" s="133">
        <v>1.55</v>
      </c>
      <c r="C156" s="30">
        <f t="shared" si="2"/>
        <v>1.49</v>
      </c>
      <c r="D156" s="76">
        <v>2.9741935483870986E-2</v>
      </c>
      <c r="E156" s="81"/>
      <c r="F156" s="81">
        <v>2.9741935483870987E-3</v>
      </c>
      <c r="G156" s="82">
        <v>1.0258064516129048E-2</v>
      </c>
    </row>
    <row r="157" spans="1:7" ht="12.75">
      <c r="A157" s="83" t="s">
        <v>23</v>
      </c>
      <c r="B157" s="133">
        <v>1.62</v>
      </c>
      <c r="C157" s="30">
        <f t="shared" si="2"/>
        <v>1.55</v>
      </c>
      <c r="D157" s="76">
        <v>7.1666666666666712E-2</v>
      </c>
      <c r="E157" s="81"/>
      <c r="F157" s="81">
        <v>7.1666666666666719E-3</v>
      </c>
      <c r="G157" s="82">
        <v>1.4135802469135822E-2</v>
      </c>
    </row>
    <row r="158" spans="1:7" ht="12.75">
      <c r="A158" s="83" t="s">
        <v>24</v>
      </c>
      <c r="B158" s="133">
        <v>1.71</v>
      </c>
      <c r="C158" s="30">
        <f t="shared" si="2"/>
        <v>1.62</v>
      </c>
      <c r="D158" s="76">
        <v>0.12052631578947366</v>
      </c>
      <c r="E158" s="81">
        <v>1.2052631578947367E-2</v>
      </c>
      <c r="F158" s="81">
        <v>1.2052631578947367E-2</v>
      </c>
      <c r="G158" s="82">
        <v>1.8654970760233928E-2</v>
      </c>
    </row>
    <row r="159" spans="1:7" ht="12.75">
      <c r="A159" s="83" t="s">
        <v>25</v>
      </c>
      <c r="B159" s="133">
        <v>1.75</v>
      </c>
      <c r="C159" s="30">
        <f t="shared" si="2"/>
        <v>1.71</v>
      </c>
      <c r="D159" s="76">
        <v>0.14062857142857141</v>
      </c>
      <c r="E159" s="81">
        <v>1.4062857142857143E-2</v>
      </c>
      <c r="F159" s="81">
        <v>1.4062857142857143E-2</v>
      </c>
      <c r="G159" s="82">
        <v>2.0514285714285728E-2</v>
      </c>
    </row>
    <row r="160" spans="1:7" ht="12.75">
      <c r="A160" s="83" t="s">
        <v>26</v>
      </c>
      <c r="B160" s="133">
        <v>1.85</v>
      </c>
      <c r="C160" s="30">
        <f t="shared" si="2"/>
        <v>1.75</v>
      </c>
      <c r="D160" s="76">
        <v>0.18708108108108112</v>
      </c>
      <c r="E160" s="81">
        <v>1.870810810810811E-2</v>
      </c>
      <c r="F160" s="81">
        <v>1.870810810810811E-2</v>
      </c>
      <c r="G160" s="82">
        <v>2.4810810810810827E-2</v>
      </c>
    </row>
    <row r="161" spans="1:7" ht="12.75">
      <c r="A161" s="83" t="s">
        <v>27</v>
      </c>
      <c r="B161" s="133">
        <v>1.93</v>
      </c>
      <c r="C161" s="30">
        <f t="shared" si="2"/>
        <v>1.85</v>
      </c>
      <c r="D161" s="76">
        <v>0.22077720207253881</v>
      </c>
      <c r="E161" s="81">
        <v>2.2077720207253883E-2</v>
      </c>
      <c r="F161" s="81">
        <v>2.2077720207253883E-2</v>
      </c>
      <c r="G161" s="82">
        <v>2.7927461139896383E-2</v>
      </c>
    </row>
    <row r="162" spans="1:7" ht="12.75">
      <c r="A162" s="83" t="s">
        <v>28</v>
      </c>
      <c r="B162" s="133">
        <v>2.08</v>
      </c>
      <c r="C162" s="30">
        <f t="shared" si="2"/>
        <v>1.93</v>
      </c>
      <c r="D162" s="76">
        <v>0.27697115384615384</v>
      </c>
      <c r="E162" s="81">
        <v>2.7697115384615386E-2</v>
      </c>
      <c r="F162" s="81">
        <v>2.7697115384615386E-2</v>
      </c>
      <c r="G162" s="82">
        <v>3.3125000000000016E-2</v>
      </c>
    </row>
    <row r="163" spans="1:7" ht="12.75">
      <c r="A163" s="83" t="s">
        <v>29</v>
      </c>
      <c r="B163" s="133">
        <v>2.2200000000000002</v>
      </c>
      <c r="C163" s="30">
        <f t="shared" si="2"/>
        <v>2.08</v>
      </c>
      <c r="D163" s="76">
        <v>0.3225675675675676</v>
      </c>
      <c r="E163" s="81">
        <v>3.2256756756756766E-2</v>
      </c>
      <c r="F163" s="81">
        <v>3.2256756756756766E-2</v>
      </c>
      <c r="G163" s="82">
        <v>3.7342342342342356E-2</v>
      </c>
    </row>
    <row r="164" spans="1:7" ht="12.75">
      <c r="A164" s="83" t="s">
        <v>30</v>
      </c>
      <c r="B164" s="133">
        <v>2.3199999999999998</v>
      </c>
      <c r="C164" s="30">
        <f t="shared" si="2"/>
        <v>2.2200000000000002</v>
      </c>
      <c r="D164" s="76">
        <v>0.35176724137931031</v>
      </c>
      <c r="E164" s="81">
        <v>3.5176724137931034E-2</v>
      </c>
      <c r="F164" s="81">
        <v>3.5176724137931034E-2</v>
      </c>
      <c r="G164" s="82">
        <v>4.0258620689655217E-2</v>
      </c>
    </row>
    <row r="165" spans="1:7" ht="12.75">
      <c r="A165" s="83" t="s">
        <v>31</v>
      </c>
      <c r="B165" s="133">
        <v>2.4500000000000002</v>
      </c>
      <c r="C165" s="30">
        <f t="shared" si="2"/>
        <v>2.3199999999999998</v>
      </c>
      <c r="D165" s="76">
        <v>0.38616326530612249</v>
      </c>
      <c r="E165" s="81">
        <v>3.8616326530612255E-2</v>
      </c>
      <c r="F165" s="81">
        <v>3.8616326530612255E-2</v>
      </c>
      <c r="G165" s="82">
        <v>5.934693877551029E-2</v>
      </c>
    </row>
    <row r="166" spans="1:7" ht="12.75">
      <c r="A166" s="83" t="s">
        <v>32</v>
      </c>
      <c r="B166" s="133">
        <v>2.57</v>
      </c>
      <c r="C166" s="30">
        <f t="shared" si="2"/>
        <v>2.4500000000000002</v>
      </c>
      <c r="D166" s="76">
        <v>0.41482490272373534</v>
      </c>
      <c r="E166" s="81">
        <v>4.8894941634241233E-2</v>
      </c>
      <c r="F166" s="81">
        <v>4.8894941634241233E-2</v>
      </c>
      <c r="G166" s="82">
        <v>7.5252918287937787E-2</v>
      </c>
    </row>
    <row r="167" spans="1:7" ht="12.75">
      <c r="A167" s="83" t="s">
        <v>33</v>
      </c>
      <c r="B167" s="133">
        <v>2.72</v>
      </c>
      <c r="C167" s="30">
        <f t="shared" si="2"/>
        <v>2.57</v>
      </c>
      <c r="D167" s="76">
        <v>0.44709558823529416</v>
      </c>
      <c r="E167" s="81">
        <v>6.8257352941176505E-2</v>
      </c>
      <c r="F167" s="81">
        <v>6.8257352941176505E-2</v>
      </c>
      <c r="G167" s="82">
        <v>9.316176470588243E-2</v>
      </c>
    </row>
    <row r="168" spans="1:7" ht="12.75">
      <c r="A168" s="83" t="s">
        <v>34</v>
      </c>
      <c r="B168" s="133">
        <v>2.85</v>
      </c>
      <c r="C168" s="30">
        <f t="shared" si="2"/>
        <v>2.72</v>
      </c>
      <c r="D168" s="76">
        <v>0.47231578947368424</v>
      </c>
      <c r="E168" s="81">
        <v>8.3389473684210541E-2</v>
      </c>
      <c r="F168" s="81">
        <v>8.3389473684210541E-2</v>
      </c>
      <c r="G168" s="82">
        <v>0.10715789473684219</v>
      </c>
    </row>
    <row r="169" spans="1:7" ht="12.75">
      <c r="A169" s="83" t="s">
        <v>35</v>
      </c>
      <c r="B169" s="133">
        <v>2.94</v>
      </c>
      <c r="C169" s="30">
        <f t="shared" si="2"/>
        <v>2.85</v>
      </c>
      <c r="D169" s="76">
        <v>0.48846938775510201</v>
      </c>
      <c r="E169" s="81">
        <v>9.3081632653061228E-2</v>
      </c>
      <c r="F169" s="81">
        <v>9.3081632653061228E-2</v>
      </c>
      <c r="G169" s="82">
        <v>0.11612244897959188</v>
      </c>
    </row>
    <row r="170" spans="1:7" ht="12.75">
      <c r="A170" s="83" t="s">
        <v>36</v>
      </c>
      <c r="B170" s="133">
        <v>3.05</v>
      </c>
      <c r="C170" s="30">
        <f t="shared" si="2"/>
        <v>2.94</v>
      </c>
      <c r="D170" s="76">
        <v>0.50691803278688519</v>
      </c>
      <c r="E170" s="81">
        <v>0.10415081967213113</v>
      </c>
      <c r="F170" s="81">
        <v>0.10415081967213113</v>
      </c>
      <c r="G170" s="82">
        <v>0.12636065573770497</v>
      </c>
    </row>
    <row r="171" spans="1:7" ht="12.75">
      <c r="A171" s="83" t="s">
        <v>37</v>
      </c>
      <c r="B171" s="133">
        <v>3.22</v>
      </c>
      <c r="C171" s="30">
        <f t="shared" si="2"/>
        <v>3.05</v>
      </c>
      <c r="D171" s="76">
        <v>0.53295031055900621</v>
      </c>
      <c r="E171" s="81">
        <v>0.11977018633540376</v>
      </c>
      <c r="F171" s="81">
        <v>0.11977018633540376</v>
      </c>
      <c r="G171" s="82">
        <v>0.14080745341614914</v>
      </c>
    </row>
    <row r="172" spans="1:7" ht="12.75">
      <c r="A172" s="83" t="s">
        <v>38</v>
      </c>
      <c r="B172" s="133">
        <v>3.28</v>
      </c>
      <c r="C172" s="30">
        <f t="shared" si="2"/>
        <v>3.22</v>
      </c>
      <c r="D172" s="76">
        <v>0.5414939024390244</v>
      </c>
      <c r="E172" s="81">
        <v>0.12489634146341463</v>
      </c>
      <c r="F172" s="81">
        <v>0.12489634146341463</v>
      </c>
      <c r="G172" s="82">
        <v>0.14554878048780492</v>
      </c>
    </row>
    <row r="173" spans="1:7" ht="12.75">
      <c r="A173" s="83" t="s">
        <v>39</v>
      </c>
      <c r="B173" s="133">
        <v>3.4</v>
      </c>
      <c r="C173" s="30">
        <f t="shared" si="2"/>
        <v>3.28</v>
      </c>
      <c r="D173" s="76">
        <v>0.55767647058823533</v>
      </c>
      <c r="E173" s="81">
        <v>0.13460588235294119</v>
      </c>
      <c r="F173" s="81">
        <v>0.13460588235294119</v>
      </c>
      <c r="G173" s="82">
        <v>0.15452941176470592</v>
      </c>
    </row>
    <row r="174" spans="1:7" ht="12.75">
      <c r="A174" s="83" t="s">
        <v>40</v>
      </c>
      <c r="B174" s="133">
        <v>3.69</v>
      </c>
      <c r="C174" s="30">
        <f t="shared" si="2"/>
        <v>3.4</v>
      </c>
      <c r="D174" s="76">
        <v>0.59243902439024387</v>
      </c>
      <c r="E174" s="81">
        <v>0.15546341463414637</v>
      </c>
      <c r="F174" s="81">
        <v>0.15546341463414637</v>
      </c>
      <c r="G174" s="82">
        <v>0.17382113821138218</v>
      </c>
    </row>
    <row r="175" spans="1:7" ht="12.75">
      <c r="A175" s="83" t="s">
        <v>41</v>
      </c>
      <c r="B175" s="133">
        <v>3.83</v>
      </c>
      <c r="C175" s="30">
        <f t="shared" si="2"/>
        <v>3.69</v>
      </c>
      <c r="D175" s="76">
        <v>0.60733681462140998</v>
      </c>
      <c r="E175" s="81">
        <v>0.16440208877284598</v>
      </c>
      <c r="F175" s="81">
        <v>0.16440208877284598</v>
      </c>
      <c r="G175" s="82">
        <v>0.18208877284595307</v>
      </c>
    </row>
    <row r="176" spans="1:7" ht="12.75">
      <c r="A176" s="83" t="s">
        <v>42</v>
      </c>
      <c r="B176" s="133">
        <v>3.99</v>
      </c>
      <c r="C176" s="30">
        <f t="shared" si="2"/>
        <v>3.83</v>
      </c>
      <c r="D176" s="76">
        <v>0.62308270676691735</v>
      </c>
      <c r="E176" s="81">
        <v>0.17384962406015042</v>
      </c>
      <c r="F176" s="81">
        <v>0.17384962406015042</v>
      </c>
      <c r="G176" s="82">
        <v>0.19082706766917298</v>
      </c>
    </row>
    <row r="177" spans="1:7" ht="12.75">
      <c r="A177" s="83" t="s">
        <v>43</v>
      </c>
      <c r="B177" s="133">
        <v>4.21</v>
      </c>
      <c r="C177" s="30">
        <f t="shared" si="2"/>
        <v>3.99</v>
      </c>
      <c r="D177" s="76">
        <v>0.64277909738717343</v>
      </c>
      <c r="E177" s="81">
        <v>0.18566745843230403</v>
      </c>
      <c r="F177" s="81">
        <v>0.18566745843230403</v>
      </c>
      <c r="G177" s="82">
        <v>0.2017577197149644</v>
      </c>
    </row>
    <row r="178" spans="1:7" ht="12.75">
      <c r="A178" s="83" t="s">
        <v>44</v>
      </c>
      <c r="B178" s="133">
        <v>4.42</v>
      </c>
      <c r="C178" s="30">
        <f t="shared" si="2"/>
        <v>4.21</v>
      </c>
      <c r="D178" s="76">
        <v>0.65975113122171947</v>
      </c>
      <c r="E178" s="81">
        <v>0.19585067873303169</v>
      </c>
      <c r="F178" s="81">
        <v>0.19585067873303169</v>
      </c>
      <c r="G178" s="82">
        <v>0.21117647058823535</v>
      </c>
    </row>
    <row r="179" spans="1:7" ht="12.75">
      <c r="A179" s="83" t="s">
        <v>45</v>
      </c>
      <c r="B179" s="133">
        <v>4.5599999999999996</v>
      </c>
      <c r="C179" s="30">
        <f t="shared" si="2"/>
        <v>4.42</v>
      </c>
      <c r="D179" s="76">
        <v>0.6701973684210526</v>
      </c>
      <c r="E179" s="81">
        <v>0.20211842105263159</v>
      </c>
      <c r="F179" s="81">
        <v>0.20211842105263159</v>
      </c>
      <c r="G179" s="82">
        <v>0.21697368421052635</v>
      </c>
    </row>
    <row r="180" spans="1:7" ht="12.75">
      <c r="A180" s="83" t="s">
        <v>46</v>
      </c>
      <c r="B180" s="133">
        <v>4.8600000000000003</v>
      </c>
      <c r="C180" s="30">
        <f t="shared" si="2"/>
        <v>4.5599999999999996</v>
      </c>
      <c r="D180" s="76">
        <v>0.69055555555555559</v>
      </c>
      <c r="E180" s="81">
        <v>0.21433333333333338</v>
      </c>
      <c r="F180" s="81">
        <v>0.21433333333333338</v>
      </c>
      <c r="G180" s="82">
        <v>0.22827160493827167</v>
      </c>
    </row>
    <row r="181" spans="1:7" ht="12.75">
      <c r="A181" s="83" t="s">
        <v>47</v>
      </c>
      <c r="B181" s="133">
        <v>5.62</v>
      </c>
      <c r="C181" s="30">
        <f t="shared" si="2"/>
        <v>4.8600000000000003</v>
      </c>
      <c r="D181" s="76">
        <v>0.73240213523131681</v>
      </c>
      <c r="E181" s="81">
        <v>0.23944128113879004</v>
      </c>
      <c r="F181" s="81">
        <v>0.23944128113879004</v>
      </c>
      <c r="G181" s="82">
        <v>0.25149466192170822</v>
      </c>
    </row>
    <row r="182" spans="1:7" ht="12.75">
      <c r="A182" s="83" t="s">
        <v>48</v>
      </c>
      <c r="B182" s="133">
        <v>6.71</v>
      </c>
      <c r="C182" s="30">
        <f t="shared" si="2"/>
        <v>5.62</v>
      </c>
      <c r="D182" s="76">
        <v>0.77587183308494789</v>
      </c>
      <c r="E182" s="81">
        <v>0.26552309985096872</v>
      </c>
      <c r="F182" s="81">
        <v>0.26552309985096872</v>
      </c>
      <c r="G182" s="82">
        <v>0.27561847988077504</v>
      </c>
    </row>
    <row r="183" spans="1:7" ht="12.75">
      <c r="A183" s="83" t="s">
        <v>49</v>
      </c>
      <c r="B183" s="133">
        <v>7.54</v>
      </c>
      <c r="C183" s="30">
        <f t="shared" si="2"/>
        <v>6.71</v>
      </c>
      <c r="D183" s="76">
        <v>0.80054376657824933</v>
      </c>
      <c r="E183" s="81">
        <v>0.28032625994694965</v>
      </c>
      <c r="F183" s="81">
        <v>0.28032625994694965</v>
      </c>
      <c r="G183" s="82">
        <v>0.28931034482758627</v>
      </c>
    </row>
    <row r="184" spans="1:7" ht="12.75">
      <c r="A184" s="83" t="s">
        <v>50</v>
      </c>
      <c r="B184" s="133">
        <v>9.11</v>
      </c>
      <c r="C184" s="30">
        <f t="shared" si="2"/>
        <v>7.54</v>
      </c>
      <c r="D184" s="76">
        <v>0.83491767288693741</v>
      </c>
      <c r="E184" s="81">
        <v>0.30095060373216248</v>
      </c>
      <c r="F184" s="81">
        <v>0.30095060373216248</v>
      </c>
      <c r="G184" s="82">
        <v>0.30838638858397371</v>
      </c>
    </row>
    <row r="185" spans="1:7" ht="12.75">
      <c r="A185" s="83" t="s">
        <v>51</v>
      </c>
      <c r="B185" s="133">
        <v>12.26</v>
      </c>
      <c r="C185" s="30">
        <f t="shared" si="2"/>
        <v>9.11</v>
      </c>
      <c r="D185" s="76">
        <v>0.87733278955954319</v>
      </c>
      <c r="E185" s="81">
        <v>0.32639967373572587</v>
      </c>
      <c r="F185" s="81">
        <v>0.32639967373572587</v>
      </c>
      <c r="G185" s="82">
        <v>0.33192495921696574</v>
      </c>
    </row>
    <row r="186" spans="1:7" ht="12.75">
      <c r="A186" s="83" t="s">
        <v>52</v>
      </c>
      <c r="B186" s="133">
        <v>19.36</v>
      </c>
      <c r="C186" s="30">
        <f t="shared" si="2"/>
        <v>12.26</v>
      </c>
      <c r="D186" s="76">
        <v>0.92231921487603297</v>
      </c>
      <c r="E186" s="81">
        <v>0.35339152892561987</v>
      </c>
      <c r="F186" s="81">
        <v>0.35339152892561987</v>
      </c>
      <c r="G186" s="82">
        <v>0.35689049586776866</v>
      </c>
    </row>
    <row r="187" spans="1:7" ht="12.75">
      <c r="A187" s="83" t="s">
        <v>53</v>
      </c>
      <c r="B187" s="133">
        <v>36.450000000000003</v>
      </c>
      <c r="C187" s="30">
        <f>B186</f>
        <v>19.36</v>
      </c>
      <c r="D187" s="76">
        <v>0.95874074074074067</v>
      </c>
      <c r="E187" s="81">
        <v>0.37524444444444444</v>
      </c>
      <c r="F187" s="81">
        <v>0.37524444444444444</v>
      </c>
      <c r="G187" s="82">
        <v>0.37710288065843622</v>
      </c>
    </row>
    <row r="188" spans="1:7" ht="13.5" thickBot="1">
      <c r="A188" s="84" t="s">
        <v>53</v>
      </c>
      <c r="B188" s="134" t="s">
        <v>86</v>
      </c>
      <c r="C188" s="30">
        <f t="shared" si="2"/>
        <v>36.450000000000003</v>
      </c>
      <c r="D188" s="87"/>
      <c r="E188" s="87"/>
      <c r="F188" s="87"/>
      <c r="G188" s="88"/>
    </row>
    <row r="189" spans="1:7" ht="13.5" thickBot="1">
      <c r="A189" s="89"/>
      <c r="B189" s="90">
        <v>5.4</v>
      </c>
      <c r="C189" s="4"/>
      <c r="D189" s="91"/>
      <c r="E189" s="92">
        <v>8.8415952831836397E-2</v>
      </c>
      <c r="F189" s="92">
        <v>8.8415952831836397E-2</v>
      </c>
      <c r="G189" s="93">
        <v>9.7005794008726734E-2</v>
      </c>
    </row>
    <row r="190" spans="1:7" ht="51.75" thickBot="1">
      <c r="A190" s="94" t="s">
        <v>55</v>
      </c>
      <c r="B190" s="129">
        <v>1.79</v>
      </c>
      <c r="C190" s="4"/>
      <c r="D190" s="96"/>
      <c r="E190" s="135">
        <v>2.5065</v>
      </c>
      <c r="F190" s="136">
        <v>2.5065</v>
      </c>
      <c r="G190" s="137">
        <v>2.3183333333333329</v>
      </c>
    </row>
    <row r="191" spans="1:7" ht="51.75" thickBot="1">
      <c r="A191" s="100" t="s">
        <v>56</v>
      </c>
      <c r="B191" s="130">
        <v>7.89</v>
      </c>
      <c r="C191" s="4"/>
      <c r="D191" s="102"/>
      <c r="E191" s="138"/>
      <c r="F191" s="138"/>
      <c r="G191" s="139"/>
    </row>
    <row r="192" spans="1:7" ht="77.25" thickBot="1">
      <c r="A192" s="105" t="s">
        <v>57</v>
      </c>
      <c r="B192" s="131">
        <v>1.07</v>
      </c>
      <c r="C192" s="4"/>
      <c r="D192" s="87"/>
      <c r="E192" s="140">
        <v>1.5039</v>
      </c>
      <c r="F192" s="140">
        <v>1.5039</v>
      </c>
      <c r="G192" s="141">
        <v>1.3909999999999998</v>
      </c>
    </row>
    <row r="193" spans="1:7" ht="15.75" thickBot="1"/>
    <row r="194" spans="1:7" ht="51.75" thickBot="1">
      <c r="A194" s="108" t="s">
        <v>56</v>
      </c>
      <c r="B194" s="109">
        <f>B191</f>
        <v>7.89</v>
      </c>
    </row>
    <row r="195" spans="1:7">
      <c r="A195" s="110" t="s">
        <v>64</v>
      </c>
      <c r="B195" s="142">
        <f>AVERAGE(B143:B182)</f>
        <v>2.5065</v>
      </c>
      <c r="C195" s="17"/>
    </row>
    <row r="196" spans="1:7">
      <c r="A196" s="112" t="s">
        <v>65</v>
      </c>
      <c r="B196" s="143">
        <f>AVERAGE(B148:B177)</f>
        <v>2.3183333333333329</v>
      </c>
      <c r="C196" s="18"/>
    </row>
    <row r="197" spans="1:7" ht="15.75" thickBot="1">
      <c r="A197" s="114" t="s">
        <v>66</v>
      </c>
      <c r="B197" s="144">
        <f>AVERAGE(B154:B172)</f>
        <v>2.2642105263157895</v>
      </c>
      <c r="C197" s="18"/>
    </row>
    <row r="199" spans="1:7" ht="15.75" thickBot="1"/>
    <row r="200" spans="1:7" ht="15" customHeight="1" thickBot="1">
      <c r="A200" s="535" t="s">
        <v>0</v>
      </c>
      <c r="B200" s="538" t="s">
        <v>3</v>
      </c>
      <c r="C200" s="539"/>
      <c r="D200" s="540"/>
      <c r="E200" s="62">
        <f>(1-E255)^(1/3)-1</f>
        <v>-2.7843227842761165E-2</v>
      </c>
      <c r="F200" s="63">
        <f>(1-F255)^(1/3)-1</f>
        <v>-2.7843227842761165E-2</v>
      </c>
      <c r="G200" s="64"/>
    </row>
    <row r="201" spans="1:7" ht="77.25" thickBot="1">
      <c r="A201" s="536"/>
      <c r="B201" s="65" t="s">
        <v>4</v>
      </c>
      <c r="C201" s="11"/>
      <c r="D201" s="65" t="s">
        <v>80</v>
      </c>
      <c r="E201" s="65" t="s">
        <v>5</v>
      </c>
      <c r="F201" s="65" t="s">
        <v>5</v>
      </c>
      <c r="G201" s="65"/>
    </row>
    <row r="202" spans="1:7" ht="26.25" thickBot="1">
      <c r="A202" s="537"/>
      <c r="B202" s="66" t="s">
        <v>9</v>
      </c>
      <c r="C202" s="11"/>
      <c r="D202" s="66" t="s">
        <v>7</v>
      </c>
      <c r="E202" s="67" t="s">
        <v>82</v>
      </c>
      <c r="F202" s="68" t="s">
        <v>83</v>
      </c>
      <c r="G202" s="68"/>
    </row>
    <row r="203" spans="1:7" ht="13.5" thickBot="1">
      <c r="A203" s="69">
        <v>1</v>
      </c>
      <c r="B203" s="116">
        <v>2</v>
      </c>
      <c r="C203" s="51"/>
      <c r="D203" s="117">
        <v>3</v>
      </c>
      <c r="E203" s="71">
        <v>4</v>
      </c>
      <c r="F203" s="117">
        <v>5</v>
      </c>
      <c r="G203" s="71"/>
    </row>
    <row r="204" spans="1:7" ht="12.75">
      <c r="A204" s="118" t="s">
        <v>10</v>
      </c>
      <c r="B204" s="119">
        <v>1.2</v>
      </c>
      <c r="C204" s="163">
        <v>0</v>
      </c>
      <c r="D204" s="76">
        <v>0</v>
      </c>
      <c r="E204" s="77">
        <v>0</v>
      </c>
      <c r="F204" s="77">
        <v>0</v>
      </c>
      <c r="G204" s="78">
        <v>0</v>
      </c>
    </row>
    <row r="205" spans="1:7" ht="12.75">
      <c r="A205" s="120" t="s">
        <v>58</v>
      </c>
      <c r="B205" s="121">
        <v>1.8</v>
      </c>
      <c r="C205" s="30">
        <f>B204</f>
        <v>1.2</v>
      </c>
      <c r="D205" s="76">
        <v>0</v>
      </c>
      <c r="E205" s="81">
        <v>0</v>
      </c>
      <c r="F205" s="81">
        <v>0</v>
      </c>
      <c r="G205" s="82">
        <v>0</v>
      </c>
    </row>
    <row r="206" spans="1:7" ht="12.75">
      <c r="A206" s="120" t="s">
        <v>59</v>
      </c>
      <c r="B206" s="121">
        <v>2.2000000000000002</v>
      </c>
      <c r="C206" s="30">
        <f t="shared" ref="C206:C254" si="3">B205</f>
        <v>1.8</v>
      </c>
      <c r="D206" s="76">
        <v>0</v>
      </c>
      <c r="E206" s="81">
        <v>0</v>
      </c>
      <c r="F206" s="81">
        <v>0</v>
      </c>
      <c r="G206" s="82">
        <v>0</v>
      </c>
    </row>
    <row r="207" spans="1:7" ht="12.75">
      <c r="A207" s="120" t="s">
        <v>60</v>
      </c>
      <c r="B207" s="121">
        <v>2.4</v>
      </c>
      <c r="C207" s="30">
        <f t="shared" si="3"/>
        <v>2.2000000000000002</v>
      </c>
      <c r="D207" s="76">
        <v>0</v>
      </c>
      <c r="E207" s="81">
        <v>0</v>
      </c>
      <c r="F207" s="81">
        <v>0</v>
      </c>
      <c r="G207" s="82">
        <v>0</v>
      </c>
    </row>
    <row r="208" spans="1:7" ht="12.75">
      <c r="A208" s="120" t="s">
        <v>61</v>
      </c>
      <c r="B208" s="121">
        <v>2.5</v>
      </c>
      <c r="C208" s="30">
        <f t="shared" si="3"/>
        <v>2.4</v>
      </c>
      <c r="D208" s="76">
        <v>0</v>
      </c>
      <c r="E208" s="81">
        <v>0</v>
      </c>
      <c r="F208" s="81">
        <v>0</v>
      </c>
      <c r="G208" s="82">
        <v>0</v>
      </c>
    </row>
    <row r="209" spans="1:7" ht="12.75">
      <c r="A209" s="120" t="s">
        <v>62</v>
      </c>
      <c r="B209" s="121">
        <v>2.7</v>
      </c>
      <c r="C209" s="30">
        <f t="shared" si="3"/>
        <v>2.5</v>
      </c>
      <c r="D209" s="76">
        <v>0</v>
      </c>
      <c r="E209" s="81">
        <v>0</v>
      </c>
      <c r="F209" s="81">
        <v>0</v>
      </c>
      <c r="G209" s="82">
        <v>0</v>
      </c>
    </row>
    <row r="210" spans="1:7" ht="12.75">
      <c r="A210" s="120" t="s">
        <v>63</v>
      </c>
      <c r="B210" s="121">
        <v>3.1</v>
      </c>
      <c r="C210" s="30">
        <f t="shared" si="3"/>
        <v>2.7</v>
      </c>
      <c r="D210" s="76">
        <v>0</v>
      </c>
      <c r="E210" s="81">
        <v>0</v>
      </c>
      <c r="F210" s="81">
        <v>0</v>
      </c>
      <c r="G210" s="82">
        <v>0</v>
      </c>
    </row>
    <row r="211" spans="1:7" ht="12.75">
      <c r="A211" s="122" t="s">
        <v>11</v>
      </c>
      <c r="B211" s="121">
        <v>3.4</v>
      </c>
      <c r="C211" s="30">
        <f t="shared" si="3"/>
        <v>3.1</v>
      </c>
      <c r="D211" s="76">
        <v>0</v>
      </c>
      <c r="E211" s="81">
        <v>0</v>
      </c>
      <c r="F211" s="81">
        <v>0</v>
      </c>
      <c r="G211" s="82">
        <v>0</v>
      </c>
    </row>
    <row r="212" spans="1:7" ht="12.75">
      <c r="A212" s="122" t="s">
        <v>12</v>
      </c>
      <c r="B212" s="121">
        <v>3.5</v>
      </c>
      <c r="C212" s="30">
        <f t="shared" si="3"/>
        <v>3.4</v>
      </c>
      <c r="D212" s="76">
        <v>0</v>
      </c>
      <c r="E212" s="81">
        <v>0</v>
      </c>
      <c r="F212" s="81">
        <v>0</v>
      </c>
      <c r="G212" s="82">
        <v>0</v>
      </c>
    </row>
    <row r="213" spans="1:7" ht="12.75">
      <c r="A213" s="122" t="s">
        <v>13</v>
      </c>
      <c r="B213" s="121">
        <v>3.8</v>
      </c>
      <c r="C213" s="30">
        <f t="shared" si="3"/>
        <v>3.5</v>
      </c>
      <c r="D213" s="76">
        <v>0</v>
      </c>
      <c r="E213" s="81">
        <v>0</v>
      </c>
      <c r="F213" s="81">
        <v>0</v>
      </c>
      <c r="G213" s="82">
        <v>0</v>
      </c>
    </row>
    <row r="214" spans="1:7" ht="12.75">
      <c r="A214" s="122" t="s">
        <v>14</v>
      </c>
      <c r="B214" s="121">
        <v>4</v>
      </c>
      <c r="C214" s="30">
        <f t="shared" si="3"/>
        <v>3.8</v>
      </c>
      <c r="D214" s="76">
        <v>0</v>
      </c>
      <c r="E214" s="81">
        <v>0</v>
      </c>
      <c r="F214" s="81">
        <v>0</v>
      </c>
      <c r="G214" s="82">
        <v>1.5500000000000071E-3</v>
      </c>
    </row>
    <row r="215" spans="1:7" ht="12.75">
      <c r="A215" s="122" t="s">
        <v>15</v>
      </c>
      <c r="B215" s="121">
        <v>4.0999999999999996</v>
      </c>
      <c r="C215" s="30">
        <f t="shared" si="3"/>
        <v>4</v>
      </c>
      <c r="D215" s="76">
        <v>0</v>
      </c>
      <c r="E215" s="81">
        <v>0</v>
      </c>
      <c r="F215" s="81">
        <v>0</v>
      </c>
      <c r="G215" s="82">
        <v>3.9512195121951203E-3</v>
      </c>
    </row>
    <row r="216" spans="1:7" ht="12.75">
      <c r="A216" s="122" t="s">
        <v>16</v>
      </c>
      <c r="B216" s="121">
        <v>4.3</v>
      </c>
      <c r="C216" s="30">
        <f t="shared" si="3"/>
        <v>4.0999999999999996</v>
      </c>
      <c r="D216" s="76">
        <v>3.5813953488372283E-2</v>
      </c>
      <c r="E216" s="81"/>
      <c r="F216" s="81">
        <v>3.581395348837228E-3</v>
      </c>
      <c r="G216" s="82">
        <v>8.4186046511627935E-3</v>
      </c>
    </row>
    <row r="217" spans="1:7" ht="12.75">
      <c r="A217" s="122" t="s">
        <v>17</v>
      </c>
      <c r="B217" s="121">
        <v>4.4000000000000004</v>
      </c>
      <c r="C217" s="30">
        <f t="shared" si="3"/>
        <v>4.3</v>
      </c>
      <c r="D217" s="76">
        <v>5.772727272727303E-2</v>
      </c>
      <c r="E217" s="81"/>
      <c r="F217" s="81">
        <v>5.7727272727273026E-3</v>
      </c>
      <c r="G217" s="82">
        <v>1.0500000000000015E-2</v>
      </c>
    </row>
    <row r="218" spans="1:7" ht="12.75">
      <c r="A218" s="122" t="s">
        <v>18</v>
      </c>
      <c r="B218" s="121">
        <v>4.5</v>
      </c>
      <c r="C218" s="30">
        <f t="shared" si="3"/>
        <v>4.4000000000000004</v>
      </c>
      <c r="D218" s="76">
        <v>7.8666666666666885E-2</v>
      </c>
      <c r="E218" s="81"/>
      <c r="F218" s="81">
        <v>7.8666666666666885E-3</v>
      </c>
      <c r="G218" s="82">
        <v>1.2488888888888895E-2</v>
      </c>
    </row>
    <row r="219" spans="1:7" ht="12.75">
      <c r="A219" s="122" t="s">
        <v>19</v>
      </c>
      <c r="B219" s="121">
        <v>4.5999999999999996</v>
      </c>
      <c r="C219" s="30">
        <f t="shared" si="3"/>
        <v>4.5</v>
      </c>
      <c r="D219" s="76">
        <v>9.8695652173913184E-2</v>
      </c>
      <c r="E219" s="81">
        <v>9.8695652173913188E-3</v>
      </c>
      <c r="F219" s="81">
        <v>9.8695652173913188E-3</v>
      </c>
      <c r="G219" s="82">
        <v>1.4391304347826086E-2</v>
      </c>
    </row>
    <row r="220" spans="1:7" ht="12.75">
      <c r="A220" s="122" t="s">
        <v>20</v>
      </c>
      <c r="B220" s="121">
        <v>4.8</v>
      </c>
      <c r="C220" s="30">
        <f t="shared" si="3"/>
        <v>4.5999999999999996</v>
      </c>
      <c r="D220" s="76">
        <v>0.13625000000000018</v>
      </c>
      <c r="E220" s="81">
        <v>1.3625000000000017E-2</v>
      </c>
      <c r="F220" s="81">
        <v>1.3625000000000017E-2</v>
      </c>
      <c r="G220" s="82">
        <v>1.7958333333333337E-2</v>
      </c>
    </row>
    <row r="221" spans="1:7" ht="12.75">
      <c r="A221" s="122" t="s">
        <v>21</v>
      </c>
      <c r="B221" s="121">
        <v>5</v>
      </c>
      <c r="C221" s="30">
        <f t="shared" si="3"/>
        <v>4.8</v>
      </c>
      <c r="D221" s="76">
        <v>0.1708000000000002</v>
      </c>
      <c r="E221" s="81">
        <v>1.7080000000000019E-2</v>
      </c>
      <c r="F221" s="81">
        <v>1.7080000000000019E-2</v>
      </c>
      <c r="G221" s="82">
        <v>2.1240000000000005E-2</v>
      </c>
    </row>
    <row r="222" spans="1:7" ht="12.75">
      <c r="A222" s="122" t="s">
        <v>22</v>
      </c>
      <c r="B222" s="121">
        <v>5.2</v>
      </c>
      <c r="C222" s="30">
        <f t="shared" si="3"/>
        <v>5</v>
      </c>
      <c r="D222" s="76">
        <v>0.20269230769230792</v>
      </c>
      <c r="E222" s="81">
        <v>2.0269230769230793E-2</v>
      </c>
      <c r="F222" s="81">
        <v>2.0269230769230793E-2</v>
      </c>
      <c r="G222" s="82">
        <v>2.4269230769230779E-2</v>
      </c>
    </row>
    <row r="223" spans="1:7" ht="12.75">
      <c r="A223" s="122" t="s">
        <v>23</v>
      </c>
      <c r="B223" s="121">
        <v>5.4</v>
      </c>
      <c r="C223" s="30">
        <f t="shared" si="3"/>
        <v>5.2</v>
      </c>
      <c r="D223" s="76">
        <v>0.23222222222222244</v>
      </c>
      <c r="E223" s="81">
        <v>2.3222222222222248E-2</v>
      </c>
      <c r="F223" s="81">
        <v>2.3222222222222248E-2</v>
      </c>
      <c r="G223" s="82">
        <v>2.7074074074074087E-2</v>
      </c>
    </row>
    <row r="224" spans="1:7" ht="12.75">
      <c r="A224" s="122" t="s">
        <v>24</v>
      </c>
      <c r="B224" s="121">
        <v>5.6</v>
      </c>
      <c r="C224" s="30">
        <f t="shared" si="3"/>
        <v>5.4</v>
      </c>
      <c r="D224" s="76">
        <v>0.25964285714285729</v>
      </c>
      <c r="E224" s="81">
        <v>2.5964285714285724E-2</v>
      </c>
      <c r="F224" s="81">
        <v>2.5964285714285724E-2</v>
      </c>
      <c r="G224" s="82">
        <v>2.9678571428571433E-2</v>
      </c>
    </row>
    <row r="225" spans="1:7" ht="12.75">
      <c r="A225" s="122" t="s">
        <v>25</v>
      </c>
      <c r="B225" s="121">
        <v>5.7</v>
      </c>
      <c r="C225" s="30">
        <f t="shared" si="3"/>
        <v>5.6</v>
      </c>
      <c r="D225" s="76">
        <v>0.27263157894736861</v>
      </c>
      <c r="E225" s="81">
        <v>2.7263157894736864E-2</v>
      </c>
      <c r="F225" s="81">
        <v>2.7263157894736864E-2</v>
      </c>
      <c r="G225" s="82">
        <v>3.0912280701754394E-2</v>
      </c>
    </row>
    <row r="226" spans="1:7" ht="12.75">
      <c r="A226" s="122" t="s">
        <v>26</v>
      </c>
      <c r="B226" s="121">
        <v>5.8</v>
      </c>
      <c r="C226" s="30">
        <f t="shared" si="3"/>
        <v>5.7</v>
      </c>
      <c r="D226" s="76">
        <v>0.2851724137931036</v>
      </c>
      <c r="E226" s="81">
        <v>2.8517241379310363E-2</v>
      </c>
      <c r="F226" s="81">
        <v>2.8517241379310363E-2</v>
      </c>
      <c r="G226" s="82">
        <v>3.2103448275862076E-2</v>
      </c>
    </row>
    <row r="227" spans="1:7" ht="12.75">
      <c r="A227" s="122" t="s">
        <v>27</v>
      </c>
      <c r="B227" s="121">
        <v>6</v>
      </c>
      <c r="C227" s="30">
        <f t="shared" si="3"/>
        <v>5.8</v>
      </c>
      <c r="D227" s="76">
        <v>0.30900000000000016</v>
      </c>
      <c r="E227" s="81">
        <v>3.0900000000000021E-2</v>
      </c>
      <c r="F227" s="81">
        <v>3.0900000000000021E-2</v>
      </c>
      <c r="G227" s="82">
        <v>3.4366666666666677E-2</v>
      </c>
    </row>
    <row r="228" spans="1:7" ht="12.75">
      <c r="A228" s="122" t="s">
        <v>28</v>
      </c>
      <c r="B228" s="121">
        <v>6.2</v>
      </c>
      <c r="C228" s="30">
        <f t="shared" si="3"/>
        <v>6</v>
      </c>
      <c r="D228" s="76">
        <v>0.33129032258064534</v>
      </c>
      <c r="E228" s="81">
        <v>3.3129032258064538E-2</v>
      </c>
      <c r="F228" s="81">
        <v>3.3129032258064538E-2</v>
      </c>
      <c r="G228" s="82">
        <v>3.6483870967741944E-2</v>
      </c>
    </row>
    <row r="229" spans="1:7" ht="12.75">
      <c r="A229" s="122" t="s">
        <v>29</v>
      </c>
      <c r="B229" s="121">
        <v>6.4</v>
      </c>
      <c r="C229" s="30">
        <f t="shared" si="3"/>
        <v>6.2</v>
      </c>
      <c r="D229" s="76">
        <v>0.35218750000000021</v>
      </c>
      <c r="E229" s="81">
        <v>3.5218750000000021E-2</v>
      </c>
      <c r="F229" s="81">
        <v>3.5218750000000021E-2</v>
      </c>
      <c r="G229" s="82">
        <v>3.846875000000001E-2</v>
      </c>
    </row>
    <row r="230" spans="1:7" ht="12.75">
      <c r="A230" s="122" t="s">
        <v>30</v>
      </c>
      <c r="B230" s="121">
        <v>6.6</v>
      </c>
      <c r="C230" s="30">
        <f t="shared" si="3"/>
        <v>6.4</v>
      </c>
      <c r="D230" s="76">
        <v>0.37181818181818194</v>
      </c>
      <c r="E230" s="81">
        <v>3.7181818181818191E-2</v>
      </c>
      <c r="F230" s="81">
        <v>3.7181818181818191E-2</v>
      </c>
      <c r="G230" s="82">
        <v>4.1999999999999989E-2</v>
      </c>
    </row>
    <row r="231" spans="1:7" ht="12.75">
      <c r="A231" s="122" t="s">
        <v>31</v>
      </c>
      <c r="B231" s="121">
        <v>6.7</v>
      </c>
      <c r="C231" s="30">
        <f t="shared" si="3"/>
        <v>6.6</v>
      </c>
      <c r="D231" s="76">
        <v>0.38119402985074641</v>
      </c>
      <c r="E231" s="81">
        <v>3.8119402985074644E-2</v>
      </c>
      <c r="F231" s="81">
        <v>3.8119402985074644E-2</v>
      </c>
      <c r="G231" s="82">
        <v>4.7343283582089564E-2</v>
      </c>
    </row>
    <row r="232" spans="1:7" ht="12.75">
      <c r="A232" s="122" t="s">
        <v>32</v>
      </c>
      <c r="B232" s="121">
        <v>7</v>
      </c>
      <c r="C232" s="30">
        <f t="shared" si="3"/>
        <v>6.7</v>
      </c>
      <c r="D232" s="76">
        <v>0.40771428571428586</v>
      </c>
      <c r="E232" s="81">
        <v>4.4628571428571476E-2</v>
      </c>
      <c r="F232" s="81">
        <v>4.4628571428571476E-2</v>
      </c>
      <c r="G232" s="82">
        <v>6.2457142857142864E-2</v>
      </c>
    </row>
    <row r="233" spans="1:7" ht="12.75">
      <c r="A233" s="122" t="s">
        <v>33</v>
      </c>
      <c r="B233" s="121">
        <v>7.2</v>
      </c>
      <c r="C233" s="30">
        <f t="shared" si="3"/>
        <v>7</v>
      </c>
      <c r="D233" s="76">
        <v>0.4241666666666668</v>
      </c>
      <c r="E233" s="81">
        <v>5.4500000000000055E-2</v>
      </c>
      <c r="F233" s="81">
        <v>5.4500000000000055E-2</v>
      </c>
      <c r="G233" s="82">
        <v>7.1833333333333346E-2</v>
      </c>
    </row>
    <row r="234" spans="1:7" ht="12.75">
      <c r="A234" s="122" t="s">
        <v>34</v>
      </c>
      <c r="B234" s="121">
        <v>7.5</v>
      </c>
      <c r="C234" s="30">
        <f t="shared" si="3"/>
        <v>7.2</v>
      </c>
      <c r="D234" s="76">
        <v>0.44720000000000015</v>
      </c>
      <c r="E234" s="81">
        <v>6.8320000000000061E-2</v>
      </c>
      <c r="F234" s="81">
        <v>6.8320000000000061E-2</v>
      </c>
      <c r="G234" s="82">
        <v>8.4959999999999994E-2</v>
      </c>
    </row>
    <row r="235" spans="1:7" ht="12.75">
      <c r="A235" s="122" t="s">
        <v>35</v>
      </c>
      <c r="B235" s="121">
        <v>7.6</v>
      </c>
      <c r="C235" s="30">
        <f t="shared" si="3"/>
        <v>7.5</v>
      </c>
      <c r="D235" s="76">
        <v>0.45447368421052642</v>
      </c>
      <c r="E235" s="81">
        <v>7.2684210526315823E-2</v>
      </c>
      <c r="F235" s="81">
        <v>7.2684210526315823E-2</v>
      </c>
      <c r="G235" s="82">
        <v>8.9105263157894729E-2</v>
      </c>
    </row>
    <row r="236" spans="1:7" ht="12.75">
      <c r="A236" s="122" t="s">
        <v>36</v>
      </c>
      <c r="B236" s="121">
        <v>7.8</v>
      </c>
      <c r="C236" s="30">
        <f t="shared" si="3"/>
        <v>7.6</v>
      </c>
      <c r="D236" s="76">
        <v>0.4684615384615386</v>
      </c>
      <c r="E236" s="81">
        <v>8.1076923076923116E-2</v>
      </c>
      <c r="F236" s="81">
        <v>8.1076923076923116E-2</v>
      </c>
      <c r="G236" s="82">
        <v>9.7076923076923075E-2</v>
      </c>
    </row>
    <row r="237" spans="1:7" ht="12.75">
      <c r="A237" s="122" t="s">
        <v>37</v>
      </c>
      <c r="B237" s="121">
        <v>8.1</v>
      </c>
      <c r="C237" s="30">
        <f t="shared" si="3"/>
        <v>7.8</v>
      </c>
      <c r="D237" s="76">
        <v>0.48814814814814822</v>
      </c>
      <c r="E237" s="81">
        <v>9.288888888888891E-2</v>
      </c>
      <c r="F237" s="81">
        <v>9.288888888888891E-2</v>
      </c>
      <c r="G237" s="82">
        <v>0.10829629629629628</v>
      </c>
    </row>
    <row r="238" spans="1:7" ht="12.75">
      <c r="A238" s="122" t="s">
        <v>38</v>
      </c>
      <c r="B238" s="121">
        <v>8.5</v>
      </c>
      <c r="C238" s="30">
        <f t="shared" si="3"/>
        <v>8.1</v>
      </c>
      <c r="D238" s="76">
        <v>0.51223529411764712</v>
      </c>
      <c r="E238" s="81">
        <v>0.10734117647058827</v>
      </c>
      <c r="F238" s="81">
        <v>0.10734117647058827</v>
      </c>
      <c r="G238" s="82">
        <v>0.1220235294117647</v>
      </c>
    </row>
    <row r="239" spans="1:7" ht="12.75">
      <c r="A239" s="122" t="s">
        <v>39</v>
      </c>
      <c r="B239" s="121">
        <v>8.9</v>
      </c>
      <c r="C239" s="30">
        <f t="shared" si="3"/>
        <v>8.5</v>
      </c>
      <c r="D239" s="76">
        <v>0.5341573033707866</v>
      </c>
      <c r="E239" s="81">
        <v>0.12049438202247195</v>
      </c>
      <c r="F239" s="81">
        <v>0.12049438202247195</v>
      </c>
      <c r="G239" s="82">
        <v>0.13451685393258428</v>
      </c>
    </row>
    <row r="240" spans="1:7" ht="12.75">
      <c r="A240" s="122" t="s">
        <v>40</v>
      </c>
      <c r="B240" s="121">
        <v>9.1999999999999993</v>
      </c>
      <c r="C240" s="30">
        <f t="shared" si="3"/>
        <v>8.9</v>
      </c>
      <c r="D240" s="76">
        <v>0.54934782608695665</v>
      </c>
      <c r="E240" s="81">
        <v>0.12960869565217395</v>
      </c>
      <c r="F240" s="81">
        <v>0.12960869565217395</v>
      </c>
      <c r="G240" s="82">
        <v>0.14317391304347823</v>
      </c>
    </row>
    <row r="241" spans="1:7" ht="12.75">
      <c r="A241" s="122" t="s">
        <v>41</v>
      </c>
      <c r="B241" s="121">
        <v>9.6</v>
      </c>
      <c r="C241" s="30">
        <f t="shared" si="3"/>
        <v>9.1999999999999993</v>
      </c>
      <c r="D241" s="76">
        <v>0.5681250000000001</v>
      </c>
      <c r="E241" s="81">
        <v>0.14087500000000003</v>
      </c>
      <c r="F241" s="81">
        <v>0.14087500000000003</v>
      </c>
      <c r="G241" s="82">
        <v>0.15387499999999998</v>
      </c>
    </row>
    <row r="242" spans="1:7" ht="12.75">
      <c r="A242" s="122" t="s">
        <v>42</v>
      </c>
      <c r="B242" s="121">
        <v>9.9</v>
      </c>
      <c r="C242" s="30">
        <f t="shared" si="3"/>
        <v>9.6</v>
      </c>
      <c r="D242" s="76">
        <v>0.58121212121212129</v>
      </c>
      <c r="E242" s="81">
        <v>0.14872727272727276</v>
      </c>
      <c r="F242" s="81">
        <v>0.14872727272727276</v>
      </c>
      <c r="G242" s="82">
        <v>0.16133333333333336</v>
      </c>
    </row>
    <row r="243" spans="1:7" ht="12.75">
      <c r="A243" s="122" t="s">
        <v>43</v>
      </c>
      <c r="B243" s="121">
        <v>10.3</v>
      </c>
      <c r="C243" s="30">
        <f t="shared" si="3"/>
        <v>9.9</v>
      </c>
      <c r="D243" s="76">
        <v>0.59747572815533989</v>
      </c>
      <c r="E243" s="81">
        <v>0.15848543689320393</v>
      </c>
      <c r="F243" s="81">
        <v>0.15848543689320393</v>
      </c>
      <c r="G243" s="82">
        <v>0.17060194174757284</v>
      </c>
    </row>
    <row r="244" spans="1:7" ht="12.75">
      <c r="A244" s="122" t="s">
        <v>44</v>
      </c>
      <c r="B244" s="121">
        <v>11</v>
      </c>
      <c r="C244" s="30">
        <f t="shared" si="3"/>
        <v>10.3</v>
      </c>
      <c r="D244" s="76">
        <v>0.62309090909090914</v>
      </c>
      <c r="E244" s="81">
        <v>0.17385454545454548</v>
      </c>
      <c r="F244" s="81">
        <v>0.17385454545454548</v>
      </c>
      <c r="G244" s="82">
        <v>0.1852</v>
      </c>
    </row>
    <row r="245" spans="1:7" ht="12.75">
      <c r="A245" s="122" t="s">
        <v>45</v>
      </c>
      <c r="B245" s="121">
        <v>11.6</v>
      </c>
      <c r="C245" s="30">
        <f t="shared" si="3"/>
        <v>11</v>
      </c>
      <c r="D245" s="76">
        <v>0.64258620689655177</v>
      </c>
      <c r="E245" s="81">
        <v>0.18555172413793108</v>
      </c>
      <c r="F245" s="81">
        <v>0.18555172413793108</v>
      </c>
      <c r="G245" s="82">
        <v>0.19631034482758619</v>
      </c>
    </row>
    <row r="246" spans="1:7" ht="12.75">
      <c r="A246" s="122" t="s">
        <v>46</v>
      </c>
      <c r="B246" s="121">
        <v>12.5</v>
      </c>
      <c r="C246" s="30">
        <f t="shared" si="3"/>
        <v>11.6</v>
      </c>
      <c r="D246" s="76">
        <v>0.66832000000000003</v>
      </c>
      <c r="E246" s="81">
        <v>0.20099200000000003</v>
      </c>
      <c r="F246" s="81">
        <v>0.20099200000000003</v>
      </c>
      <c r="G246" s="82">
        <v>0.210976</v>
      </c>
    </row>
    <row r="247" spans="1:7" ht="12.75">
      <c r="A247" s="122" t="s">
        <v>47</v>
      </c>
      <c r="B247" s="121">
        <v>13.2</v>
      </c>
      <c r="C247" s="30">
        <f t="shared" si="3"/>
        <v>12.5</v>
      </c>
      <c r="D247" s="76">
        <v>0.68590909090909091</v>
      </c>
      <c r="E247" s="81">
        <v>0.21154545454545456</v>
      </c>
      <c r="F247" s="81">
        <v>0.21154545454545456</v>
      </c>
      <c r="G247" s="82">
        <v>0.221</v>
      </c>
    </row>
    <row r="248" spans="1:7" ht="12.75">
      <c r="A248" s="122" t="s">
        <v>48</v>
      </c>
      <c r="B248" s="121">
        <v>14.7</v>
      </c>
      <c r="C248" s="30">
        <f t="shared" si="3"/>
        <v>13.2</v>
      </c>
      <c r="D248" s="76">
        <v>0.71795918367346945</v>
      </c>
      <c r="E248" s="81">
        <v>0.23077551020408166</v>
      </c>
      <c r="F248" s="81">
        <v>0.23077551020408166</v>
      </c>
      <c r="G248" s="82">
        <v>0.23926530612244901</v>
      </c>
    </row>
    <row r="249" spans="1:7" ht="12.75">
      <c r="A249" s="122" t="s">
        <v>49</v>
      </c>
      <c r="B249" s="121">
        <v>15.9</v>
      </c>
      <c r="C249" s="30">
        <f t="shared" si="3"/>
        <v>14.7</v>
      </c>
      <c r="D249" s="76">
        <v>0.73924528301886794</v>
      </c>
      <c r="E249" s="81">
        <v>0.24354716981132082</v>
      </c>
      <c r="F249" s="81">
        <v>0.24354716981132082</v>
      </c>
      <c r="G249" s="82">
        <v>0.25139622641509435</v>
      </c>
    </row>
    <row r="250" spans="1:7" ht="12.75">
      <c r="A250" s="122" t="s">
        <v>50</v>
      </c>
      <c r="B250" s="121">
        <v>17.8</v>
      </c>
      <c r="C250" s="30">
        <f t="shared" si="3"/>
        <v>15.9</v>
      </c>
      <c r="D250" s="76">
        <v>0.76707865168539335</v>
      </c>
      <c r="E250" s="81">
        <v>0.260247191011236</v>
      </c>
      <c r="F250" s="81">
        <v>0.260247191011236</v>
      </c>
      <c r="G250" s="82">
        <v>0.26725842696629221</v>
      </c>
    </row>
    <row r="251" spans="1:7" ht="12.75">
      <c r="A251" s="122" t="s">
        <v>51</v>
      </c>
      <c r="B251" s="121">
        <v>24.3</v>
      </c>
      <c r="C251" s="30">
        <f t="shared" si="3"/>
        <v>17.8</v>
      </c>
      <c r="D251" s="76">
        <v>0.82938271604938285</v>
      </c>
      <c r="E251" s="81">
        <v>0.29762962962962963</v>
      </c>
      <c r="F251" s="81">
        <v>0.29762962962962963</v>
      </c>
      <c r="G251" s="82">
        <v>0.3027654320987655</v>
      </c>
    </row>
    <row r="252" spans="1:7" ht="12.75">
      <c r="A252" s="122" t="s">
        <v>52</v>
      </c>
      <c r="B252" s="121">
        <v>30.3</v>
      </c>
      <c r="C252" s="30">
        <f t="shared" si="3"/>
        <v>24.3</v>
      </c>
      <c r="D252" s="76">
        <v>0.86316831683168327</v>
      </c>
      <c r="E252" s="81">
        <v>0.31790099009900991</v>
      </c>
      <c r="F252" s="81">
        <v>0.31790099009900991</v>
      </c>
      <c r="G252" s="82">
        <v>0.32201980198019803</v>
      </c>
    </row>
    <row r="253" spans="1:7" ht="12.75">
      <c r="A253" s="122" t="s">
        <v>53</v>
      </c>
      <c r="B253" s="121">
        <v>65.5</v>
      </c>
      <c r="C253" s="30">
        <f>B252</f>
        <v>30.3</v>
      </c>
      <c r="D253" s="76">
        <v>0.93670229007633588</v>
      </c>
      <c r="E253" s="81">
        <v>0.36202137404580154</v>
      </c>
      <c r="F253" s="81">
        <v>0.36202137404580154</v>
      </c>
      <c r="G253" s="82">
        <v>0.36392671755725198</v>
      </c>
    </row>
    <row r="254" spans="1:7" ht="13.5" thickBot="1">
      <c r="A254" s="123" t="s">
        <v>53</v>
      </c>
      <c r="B254" s="145" t="s">
        <v>87</v>
      </c>
      <c r="C254" s="30">
        <f t="shared" si="3"/>
        <v>65.5</v>
      </c>
      <c r="D254" s="87"/>
      <c r="E254" s="87"/>
      <c r="F254" s="87"/>
      <c r="G254" s="88"/>
    </row>
    <row r="255" spans="1:7" ht="13.5" thickBot="1">
      <c r="A255" s="89"/>
      <c r="B255" s="125">
        <v>5.4</v>
      </c>
      <c r="C255" s="29"/>
      <c r="D255" s="126"/>
      <c r="E255" s="127">
        <v>8.1225532850715737E-2</v>
      </c>
      <c r="F255" s="127">
        <v>8.1225532850715737E-2</v>
      </c>
      <c r="G255" s="128">
        <v>8.7851406267147159E-2</v>
      </c>
    </row>
    <row r="256" spans="1:7" ht="51">
      <c r="A256" s="94" t="s">
        <v>55</v>
      </c>
      <c r="B256" s="129">
        <v>3.6</v>
      </c>
      <c r="C256" s="29"/>
      <c r="D256" s="96"/>
      <c r="E256" s="97">
        <v>6.9099999999999993</v>
      </c>
      <c r="F256" s="98">
        <v>6.9099999999999993</v>
      </c>
      <c r="G256" s="99">
        <v>6.5633333333333335</v>
      </c>
    </row>
    <row r="257" spans="1:7" ht="54" customHeight="1">
      <c r="A257" s="100" t="s">
        <v>56</v>
      </c>
      <c r="B257" s="130">
        <v>9.1999999999999993</v>
      </c>
      <c r="C257" s="29"/>
      <c r="D257" s="102"/>
      <c r="E257" s="103"/>
      <c r="F257" s="103"/>
      <c r="G257" s="104"/>
    </row>
    <row r="258" spans="1:7" ht="77.25" customHeight="1" thickBot="1">
      <c r="A258" s="105" t="s">
        <v>57</v>
      </c>
      <c r="B258" s="131">
        <v>2.2000000000000002</v>
      </c>
      <c r="C258" s="29"/>
      <c r="D258" s="87"/>
      <c r="E258" s="86">
        <v>4.145999999999999</v>
      </c>
      <c r="F258" s="86">
        <v>4.145999999999999</v>
      </c>
      <c r="G258" s="107">
        <v>3.9379999999999997</v>
      </c>
    </row>
    <row r="259" spans="1:7" ht="15.75" thickBot="1"/>
    <row r="260" spans="1:7" ht="51.75" thickBot="1">
      <c r="A260" s="108" t="s">
        <v>56</v>
      </c>
      <c r="B260" s="109">
        <f>B257</f>
        <v>9.1999999999999993</v>
      </c>
    </row>
    <row r="261" spans="1:7">
      <c r="A261" s="110" t="s">
        <v>64</v>
      </c>
      <c r="B261" s="111">
        <f>AVERAGE(B209:B248)</f>
        <v>6.9099999999999993</v>
      </c>
      <c r="C261" s="17"/>
    </row>
    <row r="262" spans="1:7">
      <c r="A262" s="112" t="s">
        <v>65</v>
      </c>
      <c r="B262" s="113">
        <f>AVERAGE(B214:B243)</f>
        <v>6.5633333333333335</v>
      </c>
      <c r="C262" s="18"/>
    </row>
    <row r="263" spans="1:7" ht="15.75" thickBot="1">
      <c r="A263" s="114" t="s">
        <v>66</v>
      </c>
      <c r="B263" s="115">
        <f>AVERAGE(B220:B238)</f>
        <v>6.4789473684210526</v>
      </c>
      <c r="C263" s="18"/>
    </row>
    <row r="265" spans="1:7" ht="15.75" thickBot="1"/>
    <row r="266" spans="1:7" ht="15" customHeight="1" thickBot="1">
      <c r="A266" s="535" t="s">
        <v>0</v>
      </c>
      <c r="B266" s="538" t="s">
        <v>67</v>
      </c>
      <c r="C266" s="539"/>
      <c r="D266" s="540"/>
      <c r="E266" s="62" t="e">
        <f>(1-E321)^(1/3)-1</f>
        <v>#DIV/0!</v>
      </c>
      <c r="F266" s="63" t="e">
        <f>(1-F321)^(1/3)-1</f>
        <v>#DIV/0!</v>
      </c>
      <c r="G266" s="64"/>
    </row>
    <row r="267" spans="1:7" ht="77.25" thickBot="1">
      <c r="A267" s="536"/>
      <c r="B267" s="65" t="s">
        <v>4</v>
      </c>
      <c r="C267" s="65"/>
      <c r="D267" s="65" t="s">
        <v>80</v>
      </c>
      <c r="E267" s="65" t="s">
        <v>5</v>
      </c>
      <c r="F267" s="65" t="s">
        <v>5</v>
      </c>
      <c r="G267" s="65"/>
    </row>
    <row r="268" spans="1:7" ht="26.25" thickBot="1">
      <c r="A268" s="537"/>
      <c r="B268" s="66" t="s">
        <v>68</v>
      </c>
      <c r="D268" s="66" t="s">
        <v>7</v>
      </c>
      <c r="E268" s="67" t="s">
        <v>82</v>
      </c>
      <c r="F268" s="68" t="s">
        <v>83</v>
      </c>
      <c r="G268" s="68"/>
    </row>
    <row r="269" spans="1:7" ht="15.75" thickBot="1">
      <c r="A269" s="69">
        <v>1</v>
      </c>
      <c r="B269" s="116">
        <v>2</v>
      </c>
      <c r="D269" s="117">
        <v>3</v>
      </c>
      <c r="E269" s="71">
        <v>4</v>
      </c>
      <c r="F269" s="117">
        <v>5</v>
      </c>
      <c r="G269" s="71"/>
    </row>
    <row r="270" spans="1:7">
      <c r="A270" s="118" t="s">
        <v>10</v>
      </c>
      <c r="B270" s="146"/>
      <c r="C270">
        <v>0</v>
      </c>
      <c r="D270" s="76">
        <f>IF(B270=0,0,IF(B270&lt;=E$324,0,B270-E$324)/B270)</f>
        <v>0</v>
      </c>
      <c r="E270" s="77"/>
      <c r="F270" s="77"/>
      <c r="G270" s="78"/>
    </row>
    <row r="271" spans="1:7" ht="12.75">
      <c r="A271" s="120" t="s">
        <v>58</v>
      </c>
      <c r="B271" s="147"/>
      <c r="C271" s="30">
        <f>B270</f>
        <v>0</v>
      </c>
      <c r="D271" s="76">
        <f t="shared" ref="D271:D319" si="4">IF(B271=0,0,IF(B271&lt;=E$324,0,B271-E$324)/B271)</f>
        <v>0</v>
      </c>
      <c r="E271" s="81"/>
      <c r="F271" s="81"/>
      <c r="G271" s="82"/>
    </row>
    <row r="272" spans="1:7" ht="12.75">
      <c r="A272" s="120" t="s">
        <v>59</v>
      </c>
      <c r="B272" s="147"/>
      <c r="C272" s="30">
        <f t="shared" ref="C272:C320" si="5">B271</f>
        <v>0</v>
      </c>
      <c r="D272" s="76">
        <f t="shared" si="4"/>
        <v>0</v>
      </c>
      <c r="E272" s="81"/>
      <c r="F272" s="81"/>
      <c r="G272" s="82"/>
    </row>
    <row r="273" spans="1:7" ht="12.75">
      <c r="A273" s="120" t="s">
        <v>60</v>
      </c>
      <c r="B273" s="147"/>
      <c r="C273" s="30">
        <f t="shared" si="5"/>
        <v>0</v>
      </c>
      <c r="D273" s="76">
        <f t="shared" si="4"/>
        <v>0</v>
      </c>
      <c r="E273" s="81"/>
      <c r="F273" s="81"/>
      <c r="G273" s="82"/>
    </row>
    <row r="274" spans="1:7" ht="12.75">
      <c r="A274" s="120" t="s">
        <v>61</v>
      </c>
      <c r="B274" s="147"/>
      <c r="C274" s="30">
        <f t="shared" si="5"/>
        <v>0</v>
      </c>
      <c r="D274" s="76">
        <f t="shared" si="4"/>
        <v>0</v>
      </c>
      <c r="E274" s="81"/>
      <c r="F274" s="81"/>
      <c r="G274" s="82"/>
    </row>
    <row r="275" spans="1:7" ht="12.75">
      <c r="A275" s="120" t="s">
        <v>62</v>
      </c>
      <c r="B275" s="147"/>
      <c r="C275" s="30">
        <f t="shared" si="5"/>
        <v>0</v>
      </c>
      <c r="D275" s="76">
        <f t="shared" si="4"/>
        <v>0</v>
      </c>
      <c r="E275" s="81"/>
      <c r="F275" s="81"/>
      <c r="G275" s="82"/>
    </row>
    <row r="276" spans="1:7" ht="12.75">
      <c r="A276" s="120" t="s">
        <v>63</v>
      </c>
      <c r="B276" s="147"/>
      <c r="C276" s="30">
        <f t="shared" si="5"/>
        <v>0</v>
      </c>
      <c r="D276" s="76">
        <f t="shared" si="4"/>
        <v>0</v>
      </c>
      <c r="E276" s="81"/>
      <c r="F276" s="81"/>
      <c r="G276" s="82"/>
    </row>
    <row r="277" spans="1:7" ht="12.75">
      <c r="A277" s="122" t="s">
        <v>11</v>
      </c>
      <c r="B277" s="147"/>
      <c r="C277" s="30">
        <f t="shared" si="5"/>
        <v>0</v>
      </c>
      <c r="D277" s="76">
        <f t="shared" si="4"/>
        <v>0</v>
      </c>
      <c r="E277" s="81"/>
      <c r="F277" s="81"/>
      <c r="G277" s="82"/>
    </row>
    <row r="278" spans="1:7" ht="12.75">
      <c r="A278" s="122" t="s">
        <v>12</v>
      </c>
      <c r="B278" s="147"/>
      <c r="C278" s="30">
        <f t="shared" si="5"/>
        <v>0</v>
      </c>
      <c r="D278" s="76">
        <f t="shared" si="4"/>
        <v>0</v>
      </c>
      <c r="E278" s="81"/>
      <c r="F278" s="81"/>
      <c r="G278" s="82"/>
    </row>
    <row r="279" spans="1:7" ht="12.75">
      <c r="A279" s="122" t="s">
        <v>13</v>
      </c>
      <c r="B279" s="147"/>
      <c r="C279" s="30">
        <f t="shared" si="5"/>
        <v>0</v>
      </c>
      <c r="D279" s="76">
        <f t="shared" si="4"/>
        <v>0</v>
      </c>
      <c r="E279" s="81"/>
      <c r="F279" s="81"/>
      <c r="G279" s="82"/>
    </row>
    <row r="280" spans="1:7" ht="12.75">
      <c r="A280" s="122" t="s">
        <v>14</v>
      </c>
      <c r="B280" s="147"/>
      <c r="C280" s="30">
        <f t="shared" si="5"/>
        <v>0</v>
      </c>
      <c r="D280" s="76">
        <f t="shared" si="4"/>
        <v>0</v>
      </c>
      <c r="E280" s="81"/>
      <c r="F280" s="81"/>
      <c r="G280" s="82"/>
    </row>
    <row r="281" spans="1:7" ht="12.75">
      <c r="A281" s="122" t="s">
        <v>15</v>
      </c>
      <c r="B281" s="147"/>
      <c r="C281" s="30">
        <f t="shared" si="5"/>
        <v>0</v>
      </c>
      <c r="D281" s="76">
        <f t="shared" si="4"/>
        <v>0</v>
      </c>
      <c r="E281" s="81"/>
      <c r="F281" s="81"/>
      <c r="G281" s="82"/>
    </row>
    <row r="282" spans="1:7" ht="12.75">
      <c r="A282" s="122" t="s">
        <v>16</v>
      </c>
      <c r="B282" s="147"/>
      <c r="C282" s="30">
        <f t="shared" si="5"/>
        <v>0</v>
      </c>
      <c r="D282" s="76">
        <f t="shared" si="4"/>
        <v>0</v>
      </c>
      <c r="E282" s="81"/>
      <c r="F282" s="81"/>
      <c r="G282" s="82"/>
    </row>
    <row r="283" spans="1:7" ht="12.75">
      <c r="A283" s="122" t="s">
        <v>17</v>
      </c>
      <c r="B283" s="147"/>
      <c r="C283" s="30">
        <f t="shared" si="5"/>
        <v>0</v>
      </c>
      <c r="D283" s="76">
        <f t="shared" si="4"/>
        <v>0</v>
      </c>
      <c r="E283" s="81"/>
      <c r="F283" s="81"/>
      <c r="G283" s="82"/>
    </row>
    <row r="284" spans="1:7" ht="12.75">
      <c r="A284" s="122" t="s">
        <v>18</v>
      </c>
      <c r="B284" s="147"/>
      <c r="C284" s="30">
        <f t="shared" si="5"/>
        <v>0</v>
      </c>
      <c r="D284" s="76">
        <f t="shared" si="4"/>
        <v>0</v>
      </c>
      <c r="E284" s="81"/>
      <c r="F284" s="81"/>
      <c r="G284" s="82"/>
    </row>
    <row r="285" spans="1:7" ht="12.75">
      <c r="A285" s="122" t="s">
        <v>19</v>
      </c>
      <c r="B285" s="147"/>
      <c r="C285" s="30">
        <f t="shared" si="5"/>
        <v>0</v>
      </c>
      <c r="D285" s="76">
        <f t="shared" si="4"/>
        <v>0</v>
      </c>
      <c r="E285" s="81"/>
      <c r="F285" s="81"/>
      <c r="G285" s="82"/>
    </row>
    <row r="286" spans="1:7" ht="12.75">
      <c r="A286" s="122" t="s">
        <v>20</v>
      </c>
      <c r="B286" s="147"/>
      <c r="C286" s="30">
        <f t="shared" si="5"/>
        <v>0</v>
      </c>
      <c r="D286" s="76">
        <f t="shared" si="4"/>
        <v>0</v>
      </c>
      <c r="E286" s="81"/>
      <c r="F286" s="81"/>
      <c r="G286" s="82"/>
    </row>
    <row r="287" spans="1:7" ht="12.75">
      <c r="A287" s="122" t="s">
        <v>21</v>
      </c>
      <c r="B287" s="147"/>
      <c r="C287" s="30">
        <f t="shared" si="5"/>
        <v>0</v>
      </c>
      <c r="D287" s="76">
        <f t="shared" si="4"/>
        <v>0</v>
      </c>
      <c r="E287" s="81"/>
      <c r="F287" s="81"/>
      <c r="G287" s="82"/>
    </row>
    <row r="288" spans="1:7" ht="12.75">
      <c r="A288" s="122" t="s">
        <v>22</v>
      </c>
      <c r="B288" s="147"/>
      <c r="C288" s="30">
        <f t="shared" si="5"/>
        <v>0</v>
      </c>
      <c r="D288" s="76">
        <f t="shared" si="4"/>
        <v>0</v>
      </c>
      <c r="E288" s="81"/>
      <c r="F288" s="81"/>
      <c r="G288" s="82"/>
    </row>
    <row r="289" spans="1:7" ht="12.75">
      <c r="A289" s="122" t="s">
        <v>23</v>
      </c>
      <c r="B289" s="147"/>
      <c r="C289" s="30">
        <f t="shared" si="5"/>
        <v>0</v>
      </c>
      <c r="D289" s="76">
        <f t="shared" si="4"/>
        <v>0</v>
      </c>
      <c r="E289" s="81"/>
      <c r="F289" s="81"/>
      <c r="G289" s="82"/>
    </row>
    <row r="290" spans="1:7" ht="12.75">
      <c r="A290" s="122" t="s">
        <v>24</v>
      </c>
      <c r="B290" s="147"/>
      <c r="C290" s="30">
        <f t="shared" si="5"/>
        <v>0</v>
      </c>
      <c r="D290" s="76">
        <f t="shared" si="4"/>
        <v>0</v>
      </c>
      <c r="E290" s="81"/>
      <c r="F290" s="81"/>
      <c r="G290" s="82"/>
    </row>
    <row r="291" spans="1:7" ht="12.75">
      <c r="A291" s="122" t="s">
        <v>25</v>
      </c>
      <c r="B291" s="147"/>
      <c r="C291" s="30">
        <f t="shared" si="5"/>
        <v>0</v>
      </c>
      <c r="D291" s="76">
        <f t="shared" si="4"/>
        <v>0</v>
      </c>
      <c r="E291" s="81"/>
      <c r="F291" s="81"/>
      <c r="G291" s="82"/>
    </row>
    <row r="292" spans="1:7" ht="12.75">
      <c r="A292" s="122" t="s">
        <v>26</v>
      </c>
      <c r="B292" s="147"/>
      <c r="C292" s="30">
        <f t="shared" si="5"/>
        <v>0</v>
      </c>
      <c r="D292" s="76">
        <f t="shared" si="4"/>
        <v>0</v>
      </c>
      <c r="E292" s="81"/>
      <c r="F292" s="81"/>
      <c r="G292" s="82"/>
    </row>
    <row r="293" spans="1:7" ht="12.75">
      <c r="A293" s="122" t="s">
        <v>27</v>
      </c>
      <c r="B293" s="147"/>
      <c r="C293" s="30">
        <f t="shared" si="5"/>
        <v>0</v>
      </c>
      <c r="D293" s="76">
        <f t="shared" si="4"/>
        <v>0</v>
      </c>
      <c r="E293" s="81"/>
      <c r="F293" s="81"/>
      <c r="G293" s="82"/>
    </row>
    <row r="294" spans="1:7" ht="12.75">
      <c r="A294" s="122" t="s">
        <v>28</v>
      </c>
      <c r="B294" s="147"/>
      <c r="C294" s="30">
        <f t="shared" si="5"/>
        <v>0</v>
      </c>
      <c r="D294" s="76">
        <f t="shared" si="4"/>
        <v>0</v>
      </c>
      <c r="E294" s="81"/>
      <c r="F294" s="81"/>
      <c r="G294" s="82"/>
    </row>
    <row r="295" spans="1:7" ht="12.75">
      <c r="A295" s="122" t="s">
        <v>29</v>
      </c>
      <c r="B295" s="147"/>
      <c r="C295" s="30">
        <f t="shared" si="5"/>
        <v>0</v>
      </c>
      <c r="D295" s="76">
        <f t="shared" si="4"/>
        <v>0</v>
      </c>
      <c r="E295" s="81"/>
      <c r="F295" s="81"/>
      <c r="G295" s="82"/>
    </row>
    <row r="296" spans="1:7" ht="12.75">
      <c r="A296" s="122" t="s">
        <v>30</v>
      </c>
      <c r="B296" s="147"/>
      <c r="C296" s="30">
        <f t="shared" si="5"/>
        <v>0</v>
      </c>
      <c r="D296" s="76">
        <f t="shared" si="4"/>
        <v>0</v>
      </c>
      <c r="E296" s="81"/>
      <c r="F296" s="81"/>
      <c r="G296" s="82"/>
    </row>
    <row r="297" spans="1:7" ht="12.75">
      <c r="A297" s="122" t="s">
        <v>31</v>
      </c>
      <c r="B297" s="147"/>
      <c r="C297" s="30">
        <f t="shared" si="5"/>
        <v>0</v>
      </c>
      <c r="D297" s="76">
        <f t="shared" si="4"/>
        <v>0</v>
      </c>
      <c r="E297" s="81"/>
      <c r="F297" s="81"/>
      <c r="G297" s="82"/>
    </row>
    <row r="298" spans="1:7" ht="12.75">
      <c r="A298" s="122" t="s">
        <v>32</v>
      </c>
      <c r="B298" s="147"/>
      <c r="C298" s="30">
        <f t="shared" si="5"/>
        <v>0</v>
      </c>
      <c r="D298" s="76">
        <f t="shared" si="4"/>
        <v>0</v>
      </c>
      <c r="E298" s="81"/>
      <c r="F298" s="81"/>
      <c r="G298" s="82"/>
    </row>
    <row r="299" spans="1:7" ht="12.75">
      <c r="A299" s="122" t="s">
        <v>33</v>
      </c>
      <c r="B299" s="147"/>
      <c r="C299" s="30">
        <f t="shared" si="5"/>
        <v>0</v>
      </c>
      <c r="D299" s="76">
        <f t="shared" si="4"/>
        <v>0</v>
      </c>
      <c r="E299" s="81"/>
      <c r="F299" s="81"/>
      <c r="G299" s="82"/>
    </row>
    <row r="300" spans="1:7" ht="12.75">
      <c r="A300" s="122" t="s">
        <v>34</v>
      </c>
      <c r="B300" s="147"/>
      <c r="C300" s="30">
        <f t="shared" si="5"/>
        <v>0</v>
      </c>
      <c r="D300" s="76">
        <f t="shared" si="4"/>
        <v>0</v>
      </c>
      <c r="E300" s="81"/>
      <c r="F300" s="81"/>
      <c r="G300" s="82"/>
    </row>
    <row r="301" spans="1:7" ht="12.75">
      <c r="A301" s="122" t="s">
        <v>35</v>
      </c>
      <c r="B301" s="147"/>
      <c r="C301" s="30">
        <f t="shared" si="5"/>
        <v>0</v>
      </c>
      <c r="D301" s="76">
        <f t="shared" si="4"/>
        <v>0</v>
      </c>
      <c r="E301" s="81"/>
      <c r="F301" s="81"/>
      <c r="G301" s="82"/>
    </row>
    <row r="302" spans="1:7" ht="12.75">
      <c r="A302" s="122" t="s">
        <v>36</v>
      </c>
      <c r="B302" s="147"/>
      <c r="C302" s="30">
        <f t="shared" si="5"/>
        <v>0</v>
      </c>
      <c r="D302" s="76">
        <f t="shared" si="4"/>
        <v>0</v>
      </c>
      <c r="E302" s="81"/>
      <c r="F302" s="81"/>
      <c r="G302" s="82"/>
    </row>
    <row r="303" spans="1:7" ht="12.75">
      <c r="A303" s="122" t="s">
        <v>37</v>
      </c>
      <c r="B303" s="147"/>
      <c r="C303" s="30">
        <f t="shared" si="5"/>
        <v>0</v>
      </c>
      <c r="D303" s="76">
        <f t="shared" si="4"/>
        <v>0</v>
      </c>
      <c r="E303" s="81"/>
      <c r="F303" s="81"/>
      <c r="G303" s="82"/>
    </row>
    <row r="304" spans="1:7" ht="12.75">
      <c r="A304" s="122" t="s">
        <v>38</v>
      </c>
      <c r="B304" s="147"/>
      <c r="C304" s="30">
        <f t="shared" si="5"/>
        <v>0</v>
      </c>
      <c r="D304" s="76">
        <f t="shared" si="4"/>
        <v>0</v>
      </c>
      <c r="E304" s="81"/>
      <c r="F304" s="81"/>
      <c r="G304" s="82"/>
    </row>
    <row r="305" spans="1:7" ht="12.75">
      <c r="A305" s="122" t="s">
        <v>39</v>
      </c>
      <c r="B305" s="147"/>
      <c r="C305" s="30">
        <f t="shared" si="5"/>
        <v>0</v>
      </c>
      <c r="D305" s="76">
        <f t="shared" si="4"/>
        <v>0</v>
      </c>
      <c r="E305" s="81"/>
      <c r="F305" s="81"/>
      <c r="G305" s="82"/>
    </row>
    <row r="306" spans="1:7" ht="12.75">
      <c r="A306" s="122" t="s">
        <v>40</v>
      </c>
      <c r="B306" s="147"/>
      <c r="C306" s="30">
        <f t="shared" si="5"/>
        <v>0</v>
      </c>
      <c r="D306" s="76">
        <f t="shared" si="4"/>
        <v>0</v>
      </c>
      <c r="E306" s="81"/>
      <c r="F306" s="81"/>
      <c r="G306" s="82"/>
    </row>
    <row r="307" spans="1:7" ht="12.75">
      <c r="A307" s="122" t="s">
        <v>41</v>
      </c>
      <c r="B307" s="147"/>
      <c r="C307" s="30">
        <f t="shared" si="5"/>
        <v>0</v>
      </c>
      <c r="D307" s="76">
        <f t="shared" si="4"/>
        <v>0</v>
      </c>
      <c r="E307" s="81"/>
      <c r="F307" s="81"/>
      <c r="G307" s="82"/>
    </row>
    <row r="308" spans="1:7" ht="12.75">
      <c r="A308" s="122" t="s">
        <v>42</v>
      </c>
      <c r="B308" s="147"/>
      <c r="C308" s="30">
        <f t="shared" si="5"/>
        <v>0</v>
      </c>
      <c r="D308" s="76">
        <f t="shared" si="4"/>
        <v>0</v>
      </c>
      <c r="E308" s="81"/>
      <c r="F308" s="81"/>
      <c r="G308" s="82"/>
    </row>
    <row r="309" spans="1:7" ht="12.75">
      <c r="A309" s="122" t="s">
        <v>43</v>
      </c>
      <c r="B309" s="147"/>
      <c r="C309" s="30">
        <f t="shared" si="5"/>
        <v>0</v>
      </c>
      <c r="D309" s="76">
        <f t="shared" si="4"/>
        <v>0</v>
      </c>
      <c r="E309" s="81"/>
      <c r="F309" s="81"/>
      <c r="G309" s="82"/>
    </row>
    <row r="310" spans="1:7" ht="12.75">
      <c r="A310" s="122" t="s">
        <v>44</v>
      </c>
      <c r="B310" s="147"/>
      <c r="C310" s="30">
        <f t="shared" si="5"/>
        <v>0</v>
      </c>
      <c r="D310" s="76">
        <f t="shared" si="4"/>
        <v>0</v>
      </c>
      <c r="E310" s="81"/>
      <c r="F310" s="81"/>
      <c r="G310" s="82"/>
    </row>
    <row r="311" spans="1:7" ht="12.75">
      <c r="A311" s="122" t="s">
        <v>45</v>
      </c>
      <c r="B311" s="147"/>
      <c r="C311" s="30">
        <f t="shared" si="5"/>
        <v>0</v>
      </c>
      <c r="D311" s="76">
        <f t="shared" si="4"/>
        <v>0</v>
      </c>
      <c r="E311" s="81"/>
      <c r="F311" s="81"/>
      <c r="G311" s="82"/>
    </row>
    <row r="312" spans="1:7" ht="12.75">
      <c r="A312" s="122" t="s">
        <v>46</v>
      </c>
      <c r="B312" s="147"/>
      <c r="C312" s="30">
        <f t="shared" si="5"/>
        <v>0</v>
      </c>
      <c r="D312" s="76">
        <f t="shared" si="4"/>
        <v>0</v>
      </c>
      <c r="E312" s="81"/>
      <c r="F312" s="81"/>
      <c r="G312" s="82"/>
    </row>
    <row r="313" spans="1:7" ht="12.75">
      <c r="A313" s="122" t="s">
        <v>47</v>
      </c>
      <c r="B313" s="147"/>
      <c r="C313" s="30">
        <f t="shared" si="5"/>
        <v>0</v>
      </c>
      <c r="D313" s="76">
        <f t="shared" si="4"/>
        <v>0</v>
      </c>
      <c r="E313" s="81"/>
      <c r="F313" s="81"/>
      <c r="G313" s="82"/>
    </row>
    <row r="314" spans="1:7" ht="12.75">
      <c r="A314" s="122" t="s">
        <v>48</v>
      </c>
      <c r="B314" s="147"/>
      <c r="C314" s="30">
        <f t="shared" si="5"/>
        <v>0</v>
      </c>
      <c r="D314" s="76">
        <f t="shared" si="4"/>
        <v>0</v>
      </c>
      <c r="E314" s="81"/>
      <c r="F314" s="81"/>
      <c r="G314" s="82"/>
    </row>
    <row r="315" spans="1:7" ht="12.75">
      <c r="A315" s="122" t="s">
        <v>49</v>
      </c>
      <c r="B315" s="147"/>
      <c r="C315" s="30">
        <f t="shared" si="5"/>
        <v>0</v>
      </c>
      <c r="D315" s="76">
        <f t="shared" si="4"/>
        <v>0</v>
      </c>
      <c r="E315" s="81"/>
      <c r="F315" s="81"/>
      <c r="G315" s="82"/>
    </row>
    <row r="316" spans="1:7" ht="12.75">
      <c r="A316" s="122" t="s">
        <v>50</v>
      </c>
      <c r="B316" s="147"/>
      <c r="C316" s="30">
        <f t="shared" si="5"/>
        <v>0</v>
      </c>
      <c r="D316" s="76">
        <f t="shared" si="4"/>
        <v>0</v>
      </c>
      <c r="E316" s="81"/>
      <c r="F316" s="81"/>
      <c r="G316" s="82"/>
    </row>
    <row r="317" spans="1:7" ht="12.75">
      <c r="A317" s="122" t="s">
        <v>51</v>
      </c>
      <c r="B317" s="147"/>
      <c r="C317" s="30">
        <f t="shared" si="5"/>
        <v>0</v>
      </c>
      <c r="D317" s="76">
        <f t="shared" si="4"/>
        <v>0</v>
      </c>
      <c r="E317" s="81"/>
      <c r="F317" s="81"/>
      <c r="G317" s="82"/>
    </row>
    <row r="318" spans="1:7" ht="12.75">
      <c r="A318" s="122" t="s">
        <v>52</v>
      </c>
      <c r="B318" s="147"/>
      <c r="C318" s="30">
        <f t="shared" si="5"/>
        <v>0</v>
      </c>
      <c r="D318" s="76">
        <f t="shared" si="4"/>
        <v>0</v>
      </c>
      <c r="E318" s="81"/>
      <c r="F318" s="81"/>
      <c r="G318" s="82"/>
    </row>
    <row r="319" spans="1:7" ht="12.75">
      <c r="A319" s="122" t="s">
        <v>53</v>
      </c>
      <c r="B319" s="147"/>
      <c r="C319" s="30">
        <f>B318</f>
        <v>0</v>
      </c>
      <c r="D319" s="76">
        <f t="shared" si="4"/>
        <v>0</v>
      </c>
      <c r="E319" s="81"/>
      <c r="F319" s="81"/>
      <c r="G319" s="82"/>
    </row>
    <row r="320" spans="1:7" ht="13.5" thickBot="1">
      <c r="A320" s="123" t="s">
        <v>53</v>
      </c>
      <c r="B320" s="124"/>
      <c r="C320" s="30">
        <f t="shared" si="5"/>
        <v>0</v>
      </c>
      <c r="D320" s="87"/>
      <c r="E320" s="87">
        <f>IF(B320&lt;=E$60,0.1*MAX(0,(B320-E$60)),MAX(0,(B320-E$60))*0.1+0.5*(MAX(0,B320-E$58)))</f>
        <v>0</v>
      </c>
      <c r="F320" s="87"/>
      <c r="G320" s="88"/>
    </row>
    <row r="321" spans="1:7" ht="15.75" thickBot="1">
      <c r="A321" s="89"/>
      <c r="B321" s="125">
        <v>36.799999999999997</v>
      </c>
      <c r="D321" s="126"/>
      <c r="E321" s="127" t="e">
        <f>AVERAGE(E270:E319)</f>
        <v>#DIV/0!</v>
      </c>
      <c r="F321" s="127" t="e">
        <f>AVERAGE(F270:F319)</f>
        <v>#DIV/0!</v>
      </c>
      <c r="G321" s="128"/>
    </row>
    <row r="322" spans="1:7" ht="51">
      <c r="A322" s="94" t="s">
        <v>55</v>
      </c>
      <c r="B322" s="95">
        <v>22.1</v>
      </c>
      <c r="D322" s="96"/>
      <c r="E322" s="97">
        <f>B322</f>
        <v>22.1</v>
      </c>
      <c r="F322" s="98" t="e">
        <f>B327</f>
        <v>#DIV/0!</v>
      </c>
      <c r="G322" s="99"/>
    </row>
    <row r="323" spans="1:7" ht="53.25" customHeight="1">
      <c r="A323" s="100" t="s">
        <v>56</v>
      </c>
      <c r="B323" s="101">
        <v>59.2</v>
      </c>
      <c r="D323" s="102"/>
      <c r="E323" s="103"/>
      <c r="F323" s="103"/>
      <c r="G323" s="104"/>
    </row>
    <row r="324" spans="1:7" ht="78" customHeight="1" thickBot="1">
      <c r="A324" s="105" t="s">
        <v>57</v>
      </c>
      <c r="B324" s="106">
        <v>12</v>
      </c>
      <c r="D324" s="87"/>
      <c r="E324" s="86">
        <f>0.6*E322</f>
        <v>13.26</v>
      </c>
      <c r="F324" s="86" t="e">
        <f>0.6*F322</f>
        <v>#DIV/0!</v>
      </c>
      <c r="G324" s="107"/>
    </row>
    <row r="325" spans="1:7" ht="15.75" thickBot="1"/>
    <row r="326" spans="1:7" ht="51.75" thickBot="1">
      <c r="A326" s="108" t="s">
        <v>56</v>
      </c>
      <c r="B326" s="109">
        <f>B323</f>
        <v>59.2</v>
      </c>
    </row>
    <row r="327" spans="1:7">
      <c r="A327" s="110" t="s">
        <v>64</v>
      </c>
      <c r="B327" s="148" t="e">
        <f>AVERAGE(B275:B314)</f>
        <v>#DIV/0!</v>
      </c>
    </row>
    <row r="328" spans="1:7">
      <c r="A328" s="112" t="s">
        <v>65</v>
      </c>
      <c r="B328" s="149" t="e">
        <f>AVERAGE(B280:B309)</f>
        <v>#DIV/0!</v>
      </c>
    </row>
    <row r="329" spans="1:7" ht="15.75" thickBot="1">
      <c r="A329" s="114" t="s">
        <v>66</v>
      </c>
      <c r="B329" s="150" t="e">
        <f>AVERAGE(B286:B304)</f>
        <v>#DIV/0!</v>
      </c>
    </row>
    <row r="330" spans="1:7" ht="15.75" thickBot="1"/>
    <row r="331" spans="1:7" ht="15" customHeight="1" thickBot="1">
      <c r="A331" s="535" t="s">
        <v>0</v>
      </c>
      <c r="B331" s="538" t="s">
        <v>70</v>
      </c>
      <c r="C331" s="539"/>
      <c r="D331" s="540"/>
      <c r="E331" s="62" t="e">
        <f>(1-E386)^(1/3)-1</f>
        <v>#DIV/0!</v>
      </c>
      <c r="F331" s="63" t="e">
        <f>(1-F386)^(1/3)-1</f>
        <v>#DIV/0!</v>
      </c>
      <c r="G331" s="64"/>
    </row>
    <row r="332" spans="1:7" ht="77.25" thickBot="1">
      <c r="A332" s="536"/>
      <c r="B332" s="65" t="s">
        <v>4</v>
      </c>
      <c r="D332" s="65" t="s">
        <v>80</v>
      </c>
      <c r="E332" s="65" t="s">
        <v>5</v>
      </c>
      <c r="F332" s="65" t="s">
        <v>5</v>
      </c>
      <c r="G332" s="65"/>
    </row>
    <row r="333" spans="1:7" ht="26.25" thickBot="1">
      <c r="A333" s="537"/>
      <c r="B333" s="66" t="s">
        <v>88</v>
      </c>
      <c r="D333" s="66" t="s">
        <v>7</v>
      </c>
      <c r="E333" s="67" t="s">
        <v>82</v>
      </c>
      <c r="F333" s="68" t="s">
        <v>83</v>
      </c>
      <c r="G333" s="68"/>
    </row>
    <row r="334" spans="1:7" ht="15.75" thickBot="1">
      <c r="A334" s="69">
        <v>1</v>
      </c>
      <c r="B334" s="116">
        <v>2</v>
      </c>
      <c r="D334" s="117">
        <v>3</v>
      </c>
      <c r="E334" s="71">
        <v>4</v>
      </c>
      <c r="F334" s="117">
        <v>5</v>
      </c>
      <c r="G334" s="71"/>
    </row>
    <row r="335" spans="1:7">
      <c r="A335" s="118" t="s">
        <v>10</v>
      </c>
      <c r="B335" s="146"/>
      <c r="D335" s="76">
        <f>IF(B335=0,0,IF(B335&lt;=E$389,0,B335-E$389)/B335)</f>
        <v>0</v>
      </c>
      <c r="E335" s="77"/>
      <c r="F335" s="77"/>
      <c r="G335" s="78"/>
    </row>
    <row r="336" spans="1:7" ht="13.5" thickBot="1">
      <c r="A336" s="120" t="s">
        <v>58</v>
      </c>
      <c r="B336" s="147"/>
      <c r="C336" s="117"/>
      <c r="D336" s="76">
        <f t="shared" ref="D336:D384" si="6">IF(B336=0,0,IF(B336&lt;=E$389,0,B336-E$389)/B336)</f>
        <v>0</v>
      </c>
      <c r="E336" s="81"/>
      <c r="F336" s="81"/>
      <c r="G336" s="82"/>
    </row>
    <row r="337" spans="1:7">
      <c r="A337" s="120" t="s">
        <v>59</v>
      </c>
      <c r="B337" s="147"/>
      <c r="C337">
        <v>0</v>
      </c>
      <c r="D337" s="76">
        <f t="shared" si="6"/>
        <v>0</v>
      </c>
      <c r="E337" s="81"/>
      <c r="F337" s="81"/>
      <c r="G337" s="82"/>
    </row>
    <row r="338" spans="1:7" ht="12.75">
      <c r="A338" s="120" t="s">
        <v>60</v>
      </c>
      <c r="B338" s="147"/>
      <c r="C338" s="30">
        <f>B337</f>
        <v>0</v>
      </c>
      <c r="D338" s="76">
        <f t="shared" si="6"/>
        <v>0</v>
      </c>
      <c r="E338" s="81"/>
      <c r="F338" s="81"/>
      <c r="G338" s="82"/>
    </row>
    <row r="339" spans="1:7" ht="12.75">
      <c r="A339" s="120" t="s">
        <v>61</v>
      </c>
      <c r="B339" s="147"/>
      <c r="C339" s="30">
        <f t="shared" ref="C339:C387" si="7">B338</f>
        <v>0</v>
      </c>
      <c r="D339" s="76">
        <f t="shared" si="6"/>
        <v>0</v>
      </c>
      <c r="E339" s="81"/>
      <c r="F339" s="81"/>
      <c r="G339" s="82"/>
    </row>
    <row r="340" spans="1:7" ht="12.75">
      <c r="A340" s="120" t="s">
        <v>62</v>
      </c>
      <c r="B340" s="147"/>
      <c r="C340" s="30">
        <f t="shared" si="7"/>
        <v>0</v>
      </c>
      <c r="D340" s="76">
        <f t="shared" si="6"/>
        <v>0</v>
      </c>
      <c r="E340" s="81"/>
      <c r="F340" s="81"/>
      <c r="G340" s="82"/>
    </row>
    <row r="341" spans="1:7" ht="12.75">
      <c r="A341" s="120" t="s">
        <v>63</v>
      </c>
      <c r="B341" s="147"/>
      <c r="C341" s="30">
        <f t="shared" si="7"/>
        <v>0</v>
      </c>
      <c r="D341" s="76">
        <f t="shared" si="6"/>
        <v>0</v>
      </c>
      <c r="E341" s="81"/>
      <c r="F341" s="81"/>
      <c r="G341" s="82"/>
    </row>
    <row r="342" spans="1:7" ht="12.75">
      <c r="A342" s="122" t="s">
        <v>11</v>
      </c>
      <c r="B342" s="147"/>
      <c r="C342" s="30">
        <f t="shared" si="7"/>
        <v>0</v>
      </c>
      <c r="D342" s="76">
        <f t="shared" si="6"/>
        <v>0</v>
      </c>
      <c r="E342" s="81"/>
      <c r="F342" s="81"/>
      <c r="G342" s="82"/>
    </row>
    <row r="343" spans="1:7" ht="12.75">
      <c r="A343" s="122" t="s">
        <v>12</v>
      </c>
      <c r="B343" s="147"/>
      <c r="C343" s="30">
        <f t="shared" si="7"/>
        <v>0</v>
      </c>
      <c r="D343" s="76">
        <f t="shared" si="6"/>
        <v>0</v>
      </c>
      <c r="E343" s="81"/>
      <c r="F343" s="81"/>
      <c r="G343" s="82"/>
    </row>
    <row r="344" spans="1:7" ht="12.75">
      <c r="A344" s="122" t="s">
        <v>13</v>
      </c>
      <c r="B344" s="147"/>
      <c r="C344" s="30">
        <f t="shared" si="7"/>
        <v>0</v>
      </c>
      <c r="D344" s="76">
        <f t="shared" si="6"/>
        <v>0</v>
      </c>
      <c r="E344" s="81"/>
      <c r="F344" s="81"/>
      <c r="G344" s="82"/>
    </row>
    <row r="345" spans="1:7" ht="12.75">
      <c r="A345" s="122" t="s">
        <v>14</v>
      </c>
      <c r="B345" s="147"/>
      <c r="C345" s="30">
        <f t="shared" si="7"/>
        <v>0</v>
      </c>
      <c r="D345" s="76">
        <f t="shared" si="6"/>
        <v>0</v>
      </c>
      <c r="E345" s="81"/>
      <c r="F345" s="81"/>
      <c r="G345" s="82"/>
    </row>
    <row r="346" spans="1:7" ht="12.75">
      <c r="A346" s="122" t="s">
        <v>15</v>
      </c>
      <c r="B346" s="147"/>
      <c r="C346" s="30">
        <f t="shared" si="7"/>
        <v>0</v>
      </c>
      <c r="D346" s="76">
        <f t="shared" si="6"/>
        <v>0</v>
      </c>
      <c r="E346" s="81"/>
      <c r="F346" s="81"/>
      <c r="G346" s="82"/>
    </row>
    <row r="347" spans="1:7" ht="12.75">
      <c r="A347" s="122" t="s">
        <v>16</v>
      </c>
      <c r="B347" s="147"/>
      <c r="C347" s="30">
        <f t="shared" si="7"/>
        <v>0</v>
      </c>
      <c r="D347" s="76">
        <f t="shared" si="6"/>
        <v>0</v>
      </c>
      <c r="E347" s="81"/>
      <c r="F347" s="81"/>
      <c r="G347" s="82"/>
    </row>
    <row r="348" spans="1:7" ht="12.75">
      <c r="A348" s="122" t="s">
        <v>17</v>
      </c>
      <c r="B348" s="147"/>
      <c r="C348" s="30">
        <f t="shared" si="7"/>
        <v>0</v>
      </c>
      <c r="D348" s="76">
        <f t="shared" si="6"/>
        <v>0</v>
      </c>
      <c r="E348" s="81"/>
      <c r="F348" s="81"/>
      <c r="G348" s="82"/>
    </row>
    <row r="349" spans="1:7" ht="12.75">
      <c r="A349" s="122" t="s">
        <v>18</v>
      </c>
      <c r="B349" s="147"/>
      <c r="C349" s="30">
        <f t="shared" si="7"/>
        <v>0</v>
      </c>
      <c r="D349" s="76">
        <f t="shared" si="6"/>
        <v>0</v>
      </c>
      <c r="E349" s="81"/>
      <c r="F349" s="81"/>
      <c r="G349" s="82"/>
    </row>
    <row r="350" spans="1:7" ht="12.75">
      <c r="A350" s="122" t="s">
        <v>19</v>
      </c>
      <c r="B350" s="147"/>
      <c r="C350" s="30">
        <f t="shared" si="7"/>
        <v>0</v>
      </c>
      <c r="D350" s="76">
        <f t="shared" si="6"/>
        <v>0</v>
      </c>
      <c r="E350" s="81"/>
      <c r="F350" s="81"/>
      <c r="G350" s="82"/>
    </row>
    <row r="351" spans="1:7" ht="12.75">
      <c r="A351" s="122" t="s">
        <v>20</v>
      </c>
      <c r="B351" s="147"/>
      <c r="C351" s="30">
        <f t="shared" si="7"/>
        <v>0</v>
      </c>
      <c r="D351" s="76">
        <f t="shared" si="6"/>
        <v>0</v>
      </c>
      <c r="E351" s="81"/>
      <c r="F351" s="81"/>
      <c r="G351" s="82"/>
    </row>
    <row r="352" spans="1:7" ht="12.75">
      <c r="A352" s="122" t="s">
        <v>21</v>
      </c>
      <c r="B352" s="147"/>
      <c r="C352" s="30">
        <f t="shared" si="7"/>
        <v>0</v>
      </c>
      <c r="D352" s="76">
        <f t="shared" si="6"/>
        <v>0</v>
      </c>
      <c r="E352" s="81"/>
      <c r="F352" s="81"/>
      <c r="G352" s="82"/>
    </row>
    <row r="353" spans="1:7" ht="12.75">
      <c r="A353" s="122" t="s">
        <v>22</v>
      </c>
      <c r="B353" s="147"/>
      <c r="C353" s="30">
        <f t="shared" si="7"/>
        <v>0</v>
      </c>
      <c r="D353" s="76">
        <f t="shared" si="6"/>
        <v>0</v>
      </c>
      <c r="E353" s="81"/>
      <c r="F353" s="81"/>
      <c r="G353" s="82"/>
    </row>
    <row r="354" spans="1:7" ht="12.75">
      <c r="A354" s="122" t="s">
        <v>23</v>
      </c>
      <c r="B354" s="147"/>
      <c r="C354" s="30">
        <f t="shared" si="7"/>
        <v>0</v>
      </c>
      <c r="D354" s="76">
        <f t="shared" si="6"/>
        <v>0</v>
      </c>
      <c r="E354" s="81"/>
      <c r="F354" s="81"/>
      <c r="G354" s="82"/>
    </row>
    <row r="355" spans="1:7" ht="12.75">
      <c r="A355" s="122" t="s">
        <v>24</v>
      </c>
      <c r="B355" s="147"/>
      <c r="C355" s="30">
        <f t="shared" si="7"/>
        <v>0</v>
      </c>
      <c r="D355" s="76">
        <f t="shared" si="6"/>
        <v>0</v>
      </c>
      <c r="E355" s="81"/>
      <c r="F355" s="81"/>
      <c r="G355" s="82"/>
    </row>
    <row r="356" spans="1:7" ht="12.75">
      <c r="A356" s="122" t="s">
        <v>25</v>
      </c>
      <c r="B356" s="147"/>
      <c r="C356" s="30">
        <f t="shared" si="7"/>
        <v>0</v>
      </c>
      <c r="D356" s="76">
        <f t="shared" si="6"/>
        <v>0</v>
      </c>
      <c r="E356" s="81"/>
      <c r="F356" s="81"/>
      <c r="G356" s="82"/>
    </row>
    <row r="357" spans="1:7" ht="12.75">
      <c r="A357" s="122" t="s">
        <v>26</v>
      </c>
      <c r="B357" s="147"/>
      <c r="C357" s="30">
        <f t="shared" si="7"/>
        <v>0</v>
      </c>
      <c r="D357" s="76">
        <f t="shared" si="6"/>
        <v>0</v>
      </c>
      <c r="E357" s="81"/>
      <c r="F357" s="81"/>
      <c r="G357" s="82"/>
    </row>
    <row r="358" spans="1:7" ht="12.75">
      <c r="A358" s="122" t="s">
        <v>27</v>
      </c>
      <c r="B358" s="147"/>
      <c r="C358" s="30">
        <f t="shared" si="7"/>
        <v>0</v>
      </c>
      <c r="D358" s="76">
        <f t="shared" si="6"/>
        <v>0</v>
      </c>
      <c r="E358" s="81"/>
      <c r="F358" s="81"/>
      <c r="G358" s="82"/>
    </row>
    <row r="359" spans="1:7" ht="12.75">
      <c r="A359" s="122" t="s">
        <v>28</v>
      </c>
      <c r="B359" s="147"/>
      <c r="C359" s="30">
        <f t="shared" si="7"/>
        <v>0</v>
      </c>
      <c r="D359" s="76">
        <f t="shared" si="6"/>
        <v>0</v>
      </c>
      <c r="E359" s="81"/>
      <c r="F359" s="81"/>
      <c r="G359" s="82"/>
    </row>
    <row r="360" spans="1:7" ht="12.75">
      <c r="A360" s="122" t="s">
        <v>29</v>
      </c>
      <c r="B360" s="147"/>
      <c r="C360" s="30">
        <f t="shared" si="7"/>
        <v>0</v>
      </c>
      <c r="D360" s="76">
        <f t="shared" si="6"/>
        <v>0</v>
      </c>
      <c r="E360" s="81"/>
      <c r="F360" s="81"/>
      <c r="G360" s="82"/>
    </row>
    <row r="361" spans="1:7" ht="12.75">
      <c r="A361" s="122" t="s">
        <v>30</v>
      </c>
      <c r="B361" s="147"/>
      <c r="C361" s="30">
        <f t="shared" si="7"/>
        <v>0</v>
      </c>
      <c r="D361" s="76">
        <f t="shared" si="6"/>
        <v>0</v>
      </c>
      <c r="E361" s="81"/>
      <c r="F361" s="81"/>
      <c r="G361" s="82"/>
    </row>
    <row r="362" spans="1:7" ht="12.75">
      <c r="A362" s="122" t="s">
        <v>31</v>
      </c>
      <c r="B362" s="147"/>
      <c r="C362" s="30">
        <f t="shared" si="7"/>
        <v>0</v>
      </c>
      <c r="D362" s="76">
        <f t="shared" si="6"/>
        <v>0</v>
      </c>
      <c r="E362" s="81"/>
      <c r="F362" s="81"/>
      <c r="G362" s="82"/>
    </row>
    <row r="363" spans="1:7" ht="12.75">
      <c r="A363" s="122" t="s">
        <v>32</v>
      </c>
      <c r="B363" s="147"/>
      <c r="C363" s="30">
        <f t="shared" si="7"/>
        <v>0</v>
      </c>
      <c r="D363" s="76">
        <f t="shared" si="6"/>
        <v>0</v>
      </c>
      <c r="E363" s="81"/>
      <c r="F363" s="81"/>
      <c r="G363" s="82"/>
    </row>
    <row r="364" spans="1:7" ht="12.75">
      <c r="A364" s="122" t="s">
        <v>33</v>
      </c>
      <c r="B364" s="147"/>
      <c r="C364" s="30">
        <f t="shared" si="7"/>
        <v>0</v>
      </c>
      <c r="D364" s="76">
        <f t="shared" si="6"/>
        <v>0</v>
      </c>
      <c r="E364" s="81"/>
      <c r="F364" s="81"/>
      <c r="G364" s="82"/>
    </row>
    <row r="365" spans="1:7" ht="12.75">
      <c r="A365" s="122" t="s">
        <v>34</v>
      </c>
      <c r="B365" s="147"/>
      <c r="C365" s="30">
        <f t="shared" si="7"/>
        <v>0</v>
      </c>
      <c r="D365" s="76">
        <f t="shared" si="6"/>
        <v>0</v>
      </c>
      <c r="E365" s="81"/>
      <c r="F365" s="81"/>
      <c r="G365" s="82"/>
    </row>
    <row r="366" spans="1:7" ht="12.75">
      <c r="A366" s="122" t="s">
        <v>35</v>
      </c>
      <c r="B366" s="147"/>
      <c r="C366" s="30">
        <f t="shared" si="7"/>
        <v>0</v>
      </c>
      <c r="D366" s="76">
        <f t="shared" si="6"/>
        <v>0</v>
      </c>
      <c r="E366" s="81"/>
      <c r="F366" s="81"/>
      <c r="G366" s="82"/>
    </row>
    <row r="367" spans="1:7" ht="12.75">
      <c r="A367" s="122" t="s">
        <v>36</v>
      </c>
      <c r="B367" s="147"/>
      <c r="C367" s="30">
        <f t="shared" si="7"/>
        <v>0</v>
      </c>
      <c r="D367" s="76">
        <f t="shared" si="6"/>
        <v>0</v>
      </c>
      <c r="E367" s="81"/>
      <c r="F367" s="81"/>
      <c r="G367" s="82"/>
    </row>
    <row r="368" spans="1:7" ht="12.75">
      <c r="A368" s="122" t="s">
        <v>37</v>
      </c>
      <c r="B368" s="147"/>
      <c r="C368" s="30">
        <f t="shared" si="7"/>
        <v>0</v>
      </c>
      <c r="D368" s="76">
        <f t="shared" si="6"/>
        <v>0</v>
      </c>
      <c r="E368" s="81"/>
      <c r="F368" s="81"/>
      <c r="G368" s="82"/>
    </row>
    <row r="369" spans="1:7" ht="12.75">
      <c r="A369" s="122" t="s">
        <v>38</v>
      </c>
      <c r="B369" s="147"/>
      <c r="C369" s="30">
        <f t="shared" si="7"/>
        <v>0</v>
      </c>
      <c r="D369" s="76">
        <f t="shared" si="6"/>
        <v>0</v>
      </c>
      <c r="E369" s="81"/>
      <c r="F369" s="81"/>
      <c r="G369" s="82"/>
    </row>
    <row r="370" spans="1:7" ht="12.75">
      <c r="A370" s="122" t="s">
        <v>39</v>
      </c>
      <c r="B370" s="147"/>
      <c r="C370" s="30">
        <f t="shared" si="7"/>
        <v>0</v>
      </c>
      <c r="D370" s="76">
        <f t="shared" si="6"/>
        <v>0</v>
      </c>
      <c r="E370" s="81"/>
      <c r="F370" s="81"/>
      <c r="G370" s="82"/>
    </row>
    <row r="371" spans="1:7" ht="12.75">
      <c r="A371" s="122" t="s">
        <v>40</v>
      </c>
      <c r="B371" s="147"/>
      <c r="C371" s="30">
        <f t="shared" si="7"/>
        <v>0</v>
      </c>
      <c r="D371" s="76">
        <f t="shared" si="6"/>
        <v>0</v>
      </c>
      <c r="E371" s="81"/>
      <c r="F371" s="81"/>
      <c r="G371" s="82"/>
    </row>
    <row r="372" spans="1:7" ht="12.75">
      <c r="A372" s="122" t="s">
        <v>41</v>
      </c>
      <c r="B372" s="147"/>
      <c r="C372" s="30">
        <f t="shared" si="7"/>
        <v>0</v>
      </c>
      <c r="D372" s="76">
        <f t="shared" si="6"/>
        <v>0</v>
      </c>
      <c r="E372" s="81"/>
      <c r="F372" s="81"/>
      <c r="G372" s="82"/>
    </row>
    <row r="373" spans="1:7" ht="12.75">
      <c r="A373" s="122" t="s">
        <v>42</v>
      </c>
      <c r="B373" s="147"/>
      <c r="C373" s="30">
        <f t="shared" si="7"/>
        <v>0</v>
      </c>
      <c r="D373" s="76">
        <f t="shared" si="6"/>
        <v>0</v>
      </c>
      <c r="E373" s="81"/>
      <c r="F373" s="81"/>
      <c r="G373" s="82"/>
    </row>
    <row r="374" spans="1:7" ht="12.75">
      <c r="A374" s="122" t="s">
        <v>43</v>
      </c>
      <c r="B374" s="147"/>
      <c r="C374" s="30">
        <f t="shared" si="7"/>
        <v>0</v>
      </c>
      <c r="D374" s="76">
        <f t="shared" si="6"/>
        <v>0</v>
      </c>
      <c r="E374" s="81"/>
      <c r="F374" s="81"/>
      <c r="G374" s="82"/>
    </row>
    <row r="375" spans="1:7" ht="12.75">
      <c r="A375" s="122" t="s">
        <v>44</v>
      </c>
      <c r="B375" s="147"/>
      <c r="C375" s="30">
        <f t="shared" si="7"/>
        <v>0</v>
      </c>
      <c r="D375" s="76">
        <f t="shared" si="6"/>
        <v>0</v>
      </c>
      <c r="E375" s="81"/>
      <c r="F375" s="81"/>
      <c r="G375" s="82"/>
    </row>
    <row r="376" spans="1:7" ht="12.75">
      <c r="A376" s="122" t="s">
        <v>45</v>
      </c>
      <c r="B376" s="147"/>
      <c r="C376" s="30">
        <f t="shared" si="7"/>
        <v>0</v>
      </c>
      <c r="D376" s="76">
        <f t="shared" si="6"/>
        <v>0</v>
      </c>
      <c r="E376" s="81"/>
      <c r="F376" s="81"/>
      <c r="G376" s="82"/>
    </row>
    <row r="377" spans="1:7" ht="12.75">
      <c r="A377" s="122" t="s">
        <v>46</v>
      </c>
      <c r="B377" s="147"/>
      <c r="C377" s="30">
        <f t="shared" si="7"/>
        <v>0</v>
      </c>
      <c r="D377" s="76">
        <f t="shared" si="6"/>
        <v>0</v>
      </c>
      <c r="E377" s="81"/>
      <c r="F377" s="81"/>
      <c r="G377" s="82"/>
    </row>
    <row r="378" spans="1:7" ht="12.75">
      <c r="A378" s="122" t="s">
        <v>47</v>
      </c>
      <c r="B378" s="147"/>
      <c r="C378" s="30">
        <f t="shared" si="7"/>
        <v>0</v>
      </c>
      <c r="D378" s="76">
        <f t="shared" si="6"/>
        <v>0</v>
      </c>
      <c r="E378" s="81"/>
      <c r="F378" s="81"/>
      <c r="G378" s="82"/>
    </row>
    <row r="379" spans="1:7" ht="12.75">
      <c r="A379" s="122" t="s">
        <v>48</v>
      </c>
      <c r="B379" s="147"/>
      <c r="C379" s="30">
        <f t="shared" si="7"/>
        <v>0</v>
      </c>
      <c r="D379" s="76">
        <f t="shared" si="6"/>
        <v>0</v>
      </c>
      <c r="E379" s="81"/>
      <c r="F379" s="81"/>
      <c r="G379" s="82"/>
    </row>
    <row r="380" spans="1:7" ht="12.75">
      <c r="A380" s="122" t="s">
        <v>49</v>
      </c>
      <c r="B380" s="147"/>
      <c r="C380" s="30">
        <f t="shared" si="7"/>
        <v>0</v>
      </c>
      <c r="D380" s="76">
        <f t="shared" si="6"/>
        <v>0</v>
      </c>
      <c r="E380" s="81"/>
      <c r="F380" s="81"/>
      <c r="G380" s="82"/>
    </row>
    <row r="381" spans="1:7" ht="12.75">
      <c r="A381" s="122" t="s">
        <v>50</v>
      </c>
      <c r="B381" s="147"/>
      <c r="C381" s="30">
        <f t="shared" si="7"/>
        <v>0</v>
      </c>
      <c r="D381" s="76">
        <f t="shared" si="6"/>
        <v>0</v>
      </c>
      <c r="E381" s="81"/>
      <c r="F381" s="81"/>
      <c r="G381" s="82"/>
    </row>
    <row r="382" spans="1:7" ht="12.75">
      <c r="A382" s="122" t="s">
        <v>51</v>
      </c>
      <c r="B382" s="147"/>
      <c r="C382" s="30">
        <f t="shared" si="7"/>
        <v>0</v>
      </c>
      <c r="D382" s="76">
        <f t="shared" si="6"/>
        <v>0</v>
      </c>
      <c r="E382" s="81"/>
      <c r="F382" s="81"/>
      <c r="G382" s="82"/>
    </row>
    <row r="383" spans="1:7" ht="12.75">
      <c r="A383" s="122" t="s">
        <v>52</v>
      </c>
      <c r="B383" s="147"/>
      <c r="C383" s="30">
        <f t="shared" si="7"/>
        <v>0</v>
      </c>
      <c r="D383" s="76">
        <f t="shared" si="6"/>
        <v>0</v>
      </c>
      <c r="E383" s="81"/>
      <c r="F383" s="81"/>
      <c r="G383" s="82"/>
    </row>
    <row r="384" spans="1:7" ht="12.75">
      <c r="A384" s="122" t="s">
        <v>53</v>
      </c>
      <c r="B384" s="147"/>
      <c r="C384" s="30">
        <f t="shared" si="7"/>
        <v>0</v>
      </c>
      <c r="D384" s="76">
        <f t="shared" si="6"/>
        <v>0</v>
      </c>
      <c r="E384" s="81"/>
      <c r="F384" s="81"/>
      <c r="G384" s="82"/>
    </row>
    <row r="385" spans="1:7" ht="13.5" thickBot="1">
      <c r="A385" s="123" t="s">
        <v>53</v>
      </c>
      <c r="B385" s="124"/>
      <c r="C385" s="30">
        <f t="shared" si="7"/>
        <v>0</v>
      </c>
      <c r="D385" s="87"/>
      <c r="E385" s="87">
        <f>IF(B385&lt;=E$60,0.1*MAX(0,(B385-E$60)),MAX(0,(B385-E$60))*0.1+0.5*(MAX(0,B385-E$58)))</f>
        <v>0</v>
      </c>
      <c r="F385" s="87"/>
      <c r="G385" s="88"/>
    </row>
    <row r="386" spans="1:7" ht="13.5" thickBot="1">
      <c r="A386" s="89"/>
      <c r="B386" s="125">
        <v>189.2</v>
      </c>
      <c r="C386" s="30">
        <f>B385</f>
        <v>0</v>
      </c>
      <c r="D386" s="126"/>
      <c r="E386" s="127" t="e">
        <f>AVERAGE(E335:E384)</f>
        <v>#DIV/0!</v>
      </c>
      <c r="F386" s="127" t="e">
        <f>AVERAGE(F335:F384)</f>
        <v>#DIV/0!</v>
      </c>
      <c r="G386" s="128"/>
    </row>
    <row r="387" spans="1:7" ht="52.5" customHeight="1">
      <c r="A387" s="94" t="s">
        <v>55</v>
      </c>
      <c r="B387" s="95"/>
      <c r="C387" s="30">
        <f t="shared" si="7"/>
        <v>189.2</v>
      </c>
      <c r="D387" s="96"/>
      <c r="E387" s="97">
        <f>B387</f>
        <v>0</v>
      </c>
      <c r="F387" s="98" t="e">
        <f>B392</f>
        <v>#DIV/0!</v>
      </c>
      <c r="G387" s="99"/>
    </row>
    <row r="388" spans="1:7" ht="54.75" customHeight="1">
      <c r="A388" s="100" t="s">
        <v>56</v>
      </c>
      <c r="B388" s="101"/>
      <c r="D388" s="102"/>
      <c r="E388" s="103"/>
      <c r="F388" s="103"/>
      <c r="G388" s="104"/>
    </row>
    <row r="389" spans="1:7" ht="78" customHeight="1" thickBot="1">
      <c r="A389" s="105" t="s">
        <v>57</v>
      </c>
      <c r="B389" s="106"/>
      <c r="D389" s="87"/>
      <c r="E389" s="86">
        <f>0.6*E387</f>
        <v>0</v>
      </c>
      <c r="F389" s="86" t="e">
        <f>0.6*F387</f>
        <v>#DIV/0!</v>
      </c>
      <c r="G389" s="107"/>
    </row>
    <row r="390" spans="1:7" ht="15" customHeight="1" thickBot="1"/>
    <row r="391" spans="1:7" ht="51.75" thickBot="1">
      <c r="A391" s="108" t="s">
        <v>56</v>
      </c>
      <c r="B391" s="109">
        <f>B388</f>
        <v>0</v>
      </c>
    </row>
    <row r="392" spans="1:7">
      <c r="A392" s="110" t="s">
        <v>64</v>
      </c>
      <c r="B392" s="142" t="e">
        <f>AVERAGE(B340:B379)</f>
        <v>#DIV/0!</v>
      </c>
    </row>
    <row r="393" spans="1:7">
      <c r="A393" s="112" t="s">
        <v>65</v>
      </c>
      <c r="B393" s="143" t="e">
        <f>AVERAGE(B345:B374)</f>
        <v>#DIV/0!</v>
      </c>
    </row>
    <row r="394" spans="1:7" ht="15.75" thickBot="1">
      <c r="A394" s="114" t="s">
        <v>66</v>
      </c>
      <c r="B394" s="144" t="e">
        <f>AVERAGE(B351:B369)</f>
        <v>#DIV/0!</v>
      </c>
    </row>
    <row r="395" spans="1:7" ht="15.75" thickBot="1"/>
    <row r="396" spans="1:7" ht="15.75" customHeight="1" thickBot="1">
      <c r="A396" s="535" t="s">
        <v>0</v>
      </c>
      <c r="B396" s="538" t="s">
        <v>89</v>
      </c>
      <c r="C396" s="539"/>
      <c r="D396" s="540"/>
      <c r="E396" s="62">
        <f>(1-E451)^(1/3)-1</f>
        <v>0</v>
      </c>
      <c r="F396" s="63">
        <f>(1-F451)^(1/3)-1</f>
        <v>0</v>
      </c>
      <c r="G396" s="64"/>
    </row>
    <row r="397" spans="1:7" ht="77.25" thickBot="1">
      <c r="A397" s="536"/>
      <c r="B397" s="65" t="s">
        <v>4</v>
      </c>
      <c r="D397" s="65" t="s">
        <v>80</v>
      </c>
      <c r="E397" s="65" t="s">
        <v>5</v>
      </c>
      <c r="F397" s="65" t="s">
        <v>5</v>
      </c>
      <c r="G397" s="65"/>
    </row>
    <row r="398" spans="1:7" ht="15.75" thickBot="1">
      <c r="A398" s="537"/>
      <c r="B398" s="66" t="s">
        <v>90</v>
      </c>
      <c r="D398" s="66" t="s">
        <v>7</v>
      </c>
      <c r="E398" s="67" t="s">
        <v>82</v>
      </c>
      <c r="F398" s="68" t="s">
        <v>83</v>
      </c>
      <c r="G398" s="68"/>
    </row>
    <row r="399" spans="1:7" ht="15.75" thickBot="1">
      <c r="A399" s="69">
        <v>1</v>
      </c>
      <c r="B399" s="116">
        <v>2</v>
      </c>
      <c r="D399" s="117">
        <v>3</v>
      </c>
      <c r="E399" s="71">
        <v>4</v>
      </c>
      <c r="F399" s="117">
        <v>5</v>
      </c>
      <c r="G399" s="71"/>
    </row>
    <row r="400" spans="1:7">
      <c r="A400" s="118" t="s">
        <v>10</v>
      </c>
      <c r="B400" s="146"/>
      <c r="D400" s="76">
        <f>IF(B400=0,0,IF(B400&lt;=E$454,0,B400-E$454)/B400)</f>
        <v>0</v>
      </c>
      <c r="E400" s="77"/>
      <c r="F400" s="77"/>
      <c r="G400" s="78"/>
    </row>
    <row r="401" spans="1:7">
      <c r="A401" s="120" t="s">
        <v>58</v>
      </c>
      <c r="B401" s="147"/>
      <c r="D401" s="76">
        <f t="shared" ref="D401:D449" si="8">IF(B401=0,0,IF(B401&lt;=E$454,0,B401-E$454)/B401)</f>
        <v>0</v>
      </c>
      <c r="E401" s="81"/>
      <c r="F401" s="81"/>
      <c r="G401" s="82"/>
    </row>
    <row r="402" spans="1:7">
      <c r="A402" s="120" t="s">
        <v>59</v>
      </c>
      <c r="B402" s="147"/>
      <c r="C402">
        <v>0</v>
      </c>
      <c r="D402" s="76">
        <f t="shared" si="8"/>
        <v>0</v>
      </c>
      <c r="E402" s="81"/>
      <c r="F402" s="81"/>
      <c r="G402" s="82"/>
    </row>
    <row r="403" spans="1:7" ht="12.75">
      <c r="A403" s="120" t="s">
        <v>60</v>
      </c>
      <c r="B403" s="147"/>
      <c r="C403" s="30">
        <f>B402</f>
        <v>0</v>
      </c>
      <c r="D403" s="76">
        <f t="shared" si="8"/>
        <v>0</v>
      </c>
      <c r="E403" s="81"/>
      <c r="F403" s="81"/>
      <c r="G403" s="82"/>
    </row>
    <row r="404" spans="1:7" ht="12.75">
      <c r="A404" s="120" t="s">
        <v>61</v>
      </c>
      <c r="B404" s="147"/>
      <c r="C404" s="30">
        <f t="shared" ref="C404:C452" si="9">B403</f>
        <v>0</v>
      </c>
      <c r="D404" s="76">
        <f t="shared" si="8"/>
        <v>0</v>
      </c>
      <c r="E404" s="81"/>
      <c r="F404" s="81"/>
      <c r="G404" s="82"/>
    </row>
    <row r="405" spans="1:7" ht="12.75">
      <c r="A405" s="120" t="s">
        <v>62</v>
      </c>
      <c r="B405" s="147"/>
      <c r="C405" s="30">
        <f t="shared" si="9"/>
        <v>0</v>
      </c>
      <c r="D405" s="76">
        <f t="shared" si="8"/>
        <v>0</v>
      </c>
      <c r="E405" s="81"/>
      <c r="F405" s="81"/>
      <c r="G405" s="82"/>
    </row>
    <row r="406" spans="1:7" ht="12.75">
      <c r="A406" s="120" t="s">
        <v>63</v>
      </c>
      <c r="B406" s="147"/>
      <c r="C406" s="30">
        <f t="shared" si="9"/>
        <v>0</v>
      </c>
      <c r="D406" s="76">
        <f t="shared" si="8"/>
        <v>0</v>
      </c>
      <c r="E406" s="81"/>
      <c r="F406" s="81"/>
      <c r="G406" s="82"/>
    </row>
    <row r="407" spans="1:7" ht="12.75">
      <c r="A407" s="122" t="s">
        <v>11</v>
      </c>
      <c r="B407" s="147"/>
      <c r="C407" s="30">
        <f t="shared" si="9"/>
        <v>0</v>
      </c>
      <c r="D407" s="76">
        <f t="shared" si="8"/>
        <v>0</v>
      </c>
      <c r="E407" s="81"/>
      <c r="F407" s="81"/>
      <c r="G407" s="82"/>
    </row>
    <row r="408" spans="1:7" ht="12.75">
      <c r="A408" s="122" t="s">
        <v>12</v>
      </c>
      <c r="B408" s="147"/>
      <c r="C408" s="30">
        <f t="shared" si="9"/>
        <v>0</v>
      </c>
      <c r="D408" s="76">
        <f t="shared" si="8"/>
        <v>0</v>
      </c>
      <c r="E408" s="81"/>
      <c r="F408" s="81"/>
      <c r="G408" s="82"/>
    </row>
    <row r="409" spans="1:7" ht="12.75">
      <c r="A409" s="122" t="s">
        <v>13</v>
      </c>
      <c r="B409" s="147"/>
      <c r="C409" s="30">
        <f t="shared" si="9"/>
        <v>0</v>
      </c>
      <c r="D409" s="76">
        <f t="shared" si="8"/>
        <v>0</v>
      </c>
      <c r="E409" s="81"/>
      <c r="F409" s="81"/>
      <c r="G409" s="82"/>
    </row>
    <row r="410" spans="1:7" ht="12.75">
      <c r="A410" s="122" t="s">
        <v>14</v>
      </c>
      <c r="B410" s="147"/>
      <c r="C410" s="30">
        <f t="shared" si="9"/>
        <v>0</v>
      </c>
      <c r="D410" s="76">
        <f t="shared" si="8"/>
        <v>0</v>
      </c>
      <c r="E410" s="81"/>
      <c r="F410" s="81"/>
      <c r="G410" s="82"/>
    </row>
    <row r="411" spans="1:7" ht="12.75">
      <c r="A411" s="122" t="s">
        <v>15</v>
      </c>
      <c r="B411" s="147"/>
      <c r="C411" s="30">
        <f t="shared" si="9"/>
        <v>0</v>
      </c>
      <c r="D411" s="76">
        <f t="shared" si="8"/>
        <v>0</v>
      </c>
      <c r="E411" s="81"/>
      <c r="F411" s="81"/>
      <c r="G411" s="82"/>
    </row>
    <row r="412" spans="1:7" ht="12.75">
      <c r="A412" s="122" t="s">
        <v>16</v>
      </c>
      <c r="B412" s="147"/>
      <c r="C412" s="30">
        <f t="shared" si="9"/>
        <v>0</v>
      </c>
      <c r="D412" s="76">
        <f t="shared" si="8"/>
        <v>0</v>
      </c>
      <c r="E412" s="81"/>
      <c r="F412" s="81"/>
      <c r="G412" s="82"/>
    </row>
    <row r="413" spans="1:7" ht="12.75">
      <c r="A413" s="122" t="s">
        <v>17</v>
      </c>
      <c r="B413" s="147"/>
      <c r="C413" s="30">
        <f t="shared" si="9"/>
        <v>0</v>
      </c>
      <c r="D413" s="76">
        <f t="shared" si="8"/>
        <v>0</v>
      </c>
      <c r="E413" s="81"/>
      <c r="F413" s="81"/>
      <c r="G413" s="82"/>
    </row>
    <row r="414" spans="1:7" ht="12.75">
      <c r="A414" s="122" t="s">
        <v>18</v>
      </c>
      <c r="B414" s="147"/>
      <c r="C414" s="30">
        <f t="shared" si="9"/>
        <v>0</v>
      </c>
      <c r="D414" s="76">
        <f t="shared" si="8"/>
        <v>0</v>
      </c>
      <c r="E414" s="81"/>
      <c r="F414" s="81"/>
      <c r="G414" s="82"/>
    </row>
    <row r="415" spans="1:7" ht="12.75">
      <c r="A415" s="122" t="s">
        <v>19</v>
      </c>
      <c r="B415" s="147"/>
      <c r="C415" s="30">
        <f t="shared" si="9"/>
        <v>0</v>
      </c>
      <c r="D415" s="76">
        <f t="shared" si="8"/>
        <v>0</v>
      </c>
      <c r="E415" s="81"/>
      <c r="F415" s="81"/>
      <c r="G415" s="82"/>
    </row>
    <row r="416" spans="1:7" ht="12.75">
      <c r="A416" s="122" t="s">
        <v>20</v>
      </c>
      <c r="B416" s="147"/>
      <c r="C416" s="30">
        <f t="shared" si="9"/>
        <v>0</v>
      </c>
      <c r="D416" s="76">
        <f t="shared" si="8"/>
        <v>0</v>
      </c>
      <c r="E416" s="81"/>
      <c r="F416" s="81"/>
      <c r="G416" s="82"/>
    </row>
    <row r="417" spans="1:7" ht="12.75">
      <c r="A417" s="122" t="s">
        <v>21</v>
      </c>
      <c r="B417" s="147"/>
      <c r="C417" s="30">
        <f t="shared" si="9"/>
        <v>0</v>
      </c>
      <c r="D417" s="76">
        <f t="shared" si="8"/>
        <v>0</v>
      </c>
      <c r="E417" s="81"/>
      <c r="F417" s="81"/>
      <c r="G417" s="82"/>
    </row>
    <row r="418" spans="1:7" ht="12.75">
      <c r="A418" s="122" t="s">
        <v>22</v>
      </c>
      <c r="B418" s="147"/>
      <c r="C418" s="30">
        <f t="shared" si="9"/>
        <v>0</v>
      </c>
      <c r="D418" s="76">
        <f t="shared" si="8"/>
        <v>0</v>
      </c>
      <c r="E418" s="81"/>
      <c r="F418" s="81"/>
      <c r="G418" s="82"/>
    </row>
    <row r="419" spans="1:7" ht="12.75">
      <c r="A419" s="122" t="s">
        <v>23</v>
      </c>
      <c r="B419" s="147"/>
      <c r="C419" s="30">
        <f t="shared" si="9"/>
        <v>0</v>
      </c>
      <c r="D419" s="76">
        <f t="shared" si="8"/>
        <v>0</v>
      </c>
      <c r="E419" s="81"/>
      <c r="F419" s="81"/>
      <c r="G419" s="82"/>
    </row>
    <row r="420" spans="1:7" ht="12.75">
      <c r="A420" s="122" t="s">
        <v>24</v>
      </c>
      <c r="B420" s="147"/>
      <c r="C420" s="30">
        <f t="shared" si="9"/>
        <v>0</v>
      </c>
      <c r="D420" s="76">
        <f t="shared" si="8"/>
        <v>0</v>
      </c>
      <c r="E420" s="81"/>
      <c r="F420" s="81"/>
      <c r="G420" s="82"/>
    </row>
    <row r="421" spans="1:7" ht="12.75">
      <c r="A421" s="122" t="s">
        <v>25</v>
      </c>
      <c r="B421" s="147"/>
      <c r="C421" s="30">
        <f t="shared" si="9"/>
        <v>0</v>
      </c>
      <c r="D421" s="76">
        <f t="shared" si="8"/>
        <v>0</v>
      </c>
      <c r="E421" s="81"/>
      <c r="F421" s="81"/>
      <c r="G421" s="82"/>
    </row>
    <row r="422" spans="1:7" ht="12.75">
      <c r="A422" s="122" t="s">
        <v>26</v>
      </c>
      <c r="B422" s="147"/>
      <c r="C422" s="30">
        <f t="shared" si="9"/>
        <v>0</v>
      </c>
      <c r="D422" s="76">
        <f t="shared" si="8"/>
        <v>0</v>
      </c>
      <c r="E422" s="81"/>
      <c r="F422" s="81"/>
      <c r="G422" s="82"/>
    </row>
    <row r="423" spans="1:7" ht="12.75">
      <c r="A423" s="122" t="s">
        <v>27</v>
      </c>
      <c r="B423" s="147"/>
      <c r="C423" s="30">
        <f t="shared" si="9"/>
        <v>0</v>
      </c>
      <c r="D423" s="76">
        <f t="shared" si="8"/>
        <v>0</v>
      </c>
      <c r="E423" s="81"/>
      <c r="F423" s="81"/>
      <c r="G423" s="82"/>
    </row>
    <row r="424" spans="1:7" ht="12.75">
      <c r="A424" s="122" t="s">
        <v>28</v>
      </c>
      <c r="B424" s="147"/>
      <c r="C424" s="30">
        <f t="shared" si="9"/>
        <v>0</v>
      </c>
      <c r="D424" s="76">
        <f t="shared" si="8"/>
        <v>0</v>
      </c>
      <c r="E424" s="81"/>
      <c r="F424" s="81"/>
      <c r="G424" s="82"/>
    </row>
    <row r="425" spans="1:7" ht="12.75">
      <c r="A425" s="122" t="s">
        <v>29</v>
      </c>
      <c r="B425" s="147"/>
      <c r="C425" s="30">
        <f t="shared" si="9"/>
        <v>0</v>
      </c>
      <c r="D425" s="76">
        <f t="shared" si="8"/>
        <v>0</v>
      </c>
      <c r="E425" s="81"/>
      <c r="F425" s="81"/>
      <c r="G425" s="82"/>
    </row>
    <row r="426" spans="1:7" ht="12.75">
      <c r="A426" s="122" t="s">
        <v>30</v>
      </c>
      <c r="B426" s="147"/>
      <c r="C426" s="30">
        <f t="shared" si="9"/>
        <v>0</v>
      </c>
      <c r="D426" s="76">
        <f t="shared" si="8"/>
        <v>0</v>
      </c>
      <c r="E426" s="81"/>
      <c r="F426" s="81"/>
      <c r="G426" s="82"/>
    </row>
    <row r="427" spans="1:7" ht="12.75">
      <c r="A427" s="122" t="s">
        <v>31</v>
      </c>
      <c r="B427" s="147"/>
      <c r="C427" s="30">
        <f t="shared" si="9"/>
        <v>0</v>
      </c>
      <c r="D427" s="76">
        <f t="shared" si="8"/>
        <v>0</v>
      </c>
      <c r="E427" s="81"/>
      <c r="F427" s="81"/>
      <c r="G427" s="82"/>
    </row>
    <row r="428" spans="1:7" ht="12.75">
      <c r="A428" s="122" t="s">
        <v>32</v>
      </c>
      <c r="B428" s="147"/>
      <c r="C428" s="30">
        <f t="shared" si="9"/>
        <v>0</v>
      </c>
      <c r="D428" s="76">
        <f t="shared" si="8"/>
        <v>0</v>
      </c>
      <c r="E428" s="81"/>
      <c r="F428" s="81"/>
      <c r="G428" s="82"/>
    </row>
    <row r="429" spans="1:7" ht="12.75">
      <c r="A429" s="122" t="s">
        <v>33</v>
      </c>
      <c r="B429" s="147"/>
      <c r="C429" s="30">
        <f t="shared" si="9"/>
        <v>0</v>
      </c>
      <c r="D429" s="76">
        <f t="shared" si="8"/>
        <v>0</v>
      </c>
      <c r="E429" s="81"/>
      <c r="F429" s="81"/>
      <c r="G429" s="82"/>
    </row>
    <row r="430" spans="1:7" ht="12.75">
      <c r="A430" s="122" t="s">
        <v>34</v>
      </c>
      <c r="B430" s="147"/>
      <c r="C430" s="30">
        <f t="shared" si="9"/>
        <v>0</v>
      </c>
      <c r="D430" s="76">
        <f t="shared" si="8"/>
        <v>0</v>
      </c>
      <c r="E430" s="81"/>
      <c r="F430" s="81"/>
      <c r="G430" s="82"/>
    </row>
    <row r="431" spans="1:7" ht="12.75">
      <c r="A431" s="122" t="s">
        <v>35</v>
      </c>
      <c r="B431" s="147"/>
      <c r="C431" s="30">
        <f t="shared" si="9"/>
        <v>0</v>
      </c>
      <c r="D431" s="76">
        <f t="shared" si="8"/>
        <v>0</v>
      </c>
      <c r="E431" s="81"/>
      <c r="F431" s="81"/>
      <c r="G431" s="82"/>
    </row>
    <row r="432" spans="1:7" ht="12.75">
      <c r="A432" s="122" t="s">
        <v>36</v>
      </c>
      <c r="B432" s="147"/>
      <c r="C432" s="30">
        <f t="shared" si="9"/>
        <v>0</v>
      </c>
      <c r="D432" s="76">
        <f t="shared" si="8"/>
        <v>0</v>
      </c>
      <c r="E432" s="81"/>
      <c r="F432" s="81"/>
      <c r="G432" s="82"/>
    </row>
    <row r="433" spans="1:7" ht="12.75">
      <c r="A433" s="122" t="s">
        <v>37</v>
      </c>
      <c r="B433" s="147"/>
      <c r="C433" s="30">
        <f t="shared" si="9"/>
        <v>0</v>
      </c>
      <c r="D433" s="76">
        <f t="shared" si="8"/>
        <v>0</v>
      </c>
      <c r="E433" s="81"/>
      <c r="F433" s="81"/>
      <c r="G433" s="82"/>
    </row>
    <row r="434" spans="1:7" ht="12.75">
      <c r="A434" s="122" t="s">
        <v>38</v>
      </c>
      <c r="B434" s="147"/>
      <c r="C434" s="30">
        <f t="shared" si="9"/>
        <v>0</v>
      </c>
      <c r="D434" s="76">
        <f t="shared" si="8"/>
        <v>0</v>
      </c>
      <c r="E434" s="81"/>
      <c r="F434" s="81"/>
      <c r="G434" s="82"/>
    </row>
    <row r="435" spans="1:7" ht="12.75">
      <c r="A435" s="122" t="s">
        <v>39</v>
      </c>
      <c r="B435" s="147"/>
      <c r="C435" s="30">
        <f t="shared" si="9"/>
        <v>0</v>
      </c>
      <c r="D435" s="76">
        <f t="shared" si="8"/>
        <v>0</v>
      </c>
      <c r="E435" s="81"/>
      <c r="F435" s="81"/>
      <c r="G435" s="82"/>
    </row>
    <row r="436" spans="1:7" ht="12.75">
      <c r="A436" s="122" t="s">
        <v>40</v>
      </c>
      <c r="B436" s="147"/>
      <c r="C436" s="30">
        <f t="shared" si="9"/>
        <v>0</v>
      </c>
      <c r="D436" s="76">
        <f t="shared" si="8"/>
        <v>0</v>
      </c>
      <c r="E436" s="81"/>
      <c r="F436" s="81"/>
      <c r="G436" s="82"/>
    </row>
    <row r="437" spans="1:7" ht="12.75">
      <c r="A437" s="122" t="s">
        <v>41</v>
      </c>
      <c r="B437" s="147"/>
      <c r="C437" s="30">
        <f t="shared" si="9"/>
        <v>0</v>
      </c>
      <c r="D437" s="76">
        <f t="shared" si="8"/>
        <v>0</v>
      </c>
      <c r="E437" s="81"/>
      <c r="F437" s="81"/>
      <c r="G437" s="82"/>
    </row>
    <row r="438" spans="1:7" ht="12.75">
      <c r="A438" s="122" t="s">
        <v>42</v>
      </c>
      <c r="B438" s="147"/>
      <c r="C438" s="30">
        <f t="shared" si="9"/>
        <v>0</v>
      </c>
      <c r="D438" s="76">
        <f t="shared" si="8"/>
        <v>0</v>
      </c>
      <c r="E438" s="81"/>
      <c r="F438" s="81"/>
      <c r="G438" s="82"/>
    </row>
    <row r="439" spans="1:7" ht="12.75">
      <c r="A439" s="122" t="s">
        <v>43</v>
      </c>
      <c r="B439" s="147"/>
      <c r="C439" s="30">
        <f t="shared" si="9"/>
        <v>0</v>
      </c>
      <c r="D439" s="76">
        <f t="shared" si="8"/>
        <v>0</v>
      </c>
      <c r="E439" s="81"/>
      <c r="F439" s="81"/>
      <c r="G439" s="82"/>
    </row>
    <row r="440" spans="1:7" ht="12.75">
      <c r="A440" s="122" t="s">
        <v>44</v>
      </c>
      <c r="B440" s="147"/>
      <c r="C440" s="30">
        <f t="shared" si="9"/>
        <v>0</v>
      </c>
      <c r="D440" s="76">
        <f t="shared" si="8"/>
        <v>0</v>
      </c>
      <c r="E440" s="81"/>
      <c r="F440" s="81"/>
      <c r="G440" s="82"/>
    </row>
    <row r="441" spans="1:7" ht="12.75">
      <c r="A441" s="122" t="s">
        <v>45</v>
      </c>
      <c r="B441" s="147"/>
      <c r="C441" s="30">
        <f t="shared" si="9"/>
        <v>0</v>
      </c>
      <c r="D441" s="76">
        <f t="shared" si="8"/>
        <v>0</v>
      </c>
      <c r="E441" s="81"/>
      <c r="F441" s="81"/>
      <c r="G441" s="82"/>
    </row>
    <row r="442" spans="1:7" ht="12.75">
      <c r="A442" s="122" t="s">
        <v>46</v>
      </c>
      <c r="B442" s="147"/>
      <c r="C442" s="30">
        <f t="shared" si="9"/>
        <v>0</v>
      </c>
      <c r="D442" s="76">
        <f t="shared" si="8"/>
        <v>0</v>
      </c>
      <c r="E442" s="81"/>
      <c r="F442" s="81"/>
      <c r="G442" s="82"/>
    </row>
    <row r="443" spans="1:7" ht="12.75">
      <c r="A443" s="122" t="s">
        <v>47</v>
      </c>
      <c r="B443" s="147"/>
      <c r="C443" s="30">
        <f t="shared" si="9"/>
        <v>0</v>
      </c>
      <c r="D443" s="76">
        <f t="shared" si="8"/>
        <v>0</v>
      </c>
      <c r="E443" s="81"/>
      <c r="F443" s="81"/>
      <c r="G443" s="82"/>
    </row>
    <row r="444" spans="1:7" ht="12.75">
      <c r="A444" s="122" t="s">
        <v>48</v>
      </c>
      <c r="B444" s="147"/>
      <c r="C444" s="30">
        <f t="shared" si="9"/>
        <v>0</v>
      </c>
      <c r="D444" s="76">
        <f t="shared" si="8"/>
        <v>0</v>
      </c>
      <c r="E444" s="81"/>
      <c r="F444" s="81"/>
      <c r="G444" s="82"/>
    </row>
    <row r="445" spans="1:7" ht="12.75">
      <c r="A445" s="122" t="s">
        <v>49</v>
      </c>
      <c r="B445" s="147"/>
      <c r="C445" s="30">
        <f t="shared" si="9"/>
        <v>0</v>
      </c>
      <c r="D445" s="76">
        <f t="shared" si="8"/>
        <v>0</v>
      </c>
      <c r="E445" s="81"/>
      <c r="F445" s="81"/>
      <c r="G445" s="82"/>
    </row>
    <row r="446" spans="1:7" ht="12.75">
      <c r="A446" s="122" t="s">
        <v>50</v>
      </c>
      <c r="B446" s="147"/>
      <c r="C446" s="30">
        <f t="shared" si="9"/>
        <v>0</v>
      </c>
      <c r="D446" s="76">
        <f t="shared" si="8"/>
        <v>0</v>
      </c>
      <c r="E446" s="81"/>
      <c r="F446" s="81"/>
      <c r="G446" s="82"/>
    </row>
    <row r="447" spans="1:7" ht="12.75">
      <c r="A447" s="122" t="s">
        <v>51</v>
      </c>
      <c r="B447" s="147"/>
      <c r="C447" s="30">
        <f t="shared" si="9"/>
        <v>0</v>
      </c>
      <c r="D447" s="76">
        <f t="shared" si="8"/>
        <v>0</v>
      </c>
      <c r="E447" s="81"/>
      <c r="F447" s="81"/>
      <c r="G447" s="82"/>
    </row>
    <row r="448" spans="1:7" ht="12.75">
      <c r="A448" s="122" t="s">
        <v>52</v>
      </c>
      <c r="B448" s="147"/>
      <c r="C448" s="30">
        <f t="shared" si="9"/>
        <v>0</v>
      </c>
      <c r="D448" s="76">
        <f t="shared" si="8"/>
        <v>0</v>
      </c>
      <c r="E448" s="81"/>
      <c r="F448" s="81"/>
      <c r="G448" s="82"/>
    </row>
    <row r="449" spans="1:7" ht="12.75">
      <c r="A449" s="122" t="s">
        <v>53</v>
      </c>
      <c r="B449" s="147"/>
      <c r="C449" s="30">
        <f t="shared" si="9"/>
        <v>0</v>
      </c>
      <c r="D449" s="76">
        <f t="shared" si="8"/>
        <v>0</v>
      </c>
      <c r="E449" s="81"/>
      <c r="F449" s="81"/>
      <c r="G449" s="82"/>
    </row>
    <row r="450" spans="1:7" ht="13.5" thickBot="1">
      <c r="A450" s="123" t="s">
        <v>53</v>
      </c>
      <c r="B450" s="124"/>
      <c r="C450" s="30">
        <f t="shared" si="9"/>
        <v>0</v>
      </c>
      <c r="D450" s="87"/>
      <c r="E450" s="87"/>
      <c r="F450" s="87"/>
      <c r="G450" s="88"/>
    </row>
    <row r="451" spans="1:7" ht="13.5" thickBot="1">
      <c r="A451" s="89"/>
      <c r="B451" s="125">
        <v>189.2</v>
      </c>
      <c r="C451" s="30">
        <f>B450</f>
        <v>0</v>
      </c>
      <c r="D451" s="126"/>
      <c r="E451" s="127"/>
      <c r="F451" s="127"/>
      <c r="G451" s="128"/>
    </row>
    <row r="452" spans="1:7" ht="53.25" customHeight="1">
      <c r="A452" s="94" t="s">
        <v>55</v>
      </c>
      <c r="B452" s="95"/>
      <c r="C452" s="30">
        <f t="shared" si="9"/>
        <v>189.2</v>
      </c>
      <c r="D452" s="96"/>
      <c r="E452" s="97">
        <f>B452</f>
        <v>0</v>
      </c>
      <c r="F452" s="98" t="e">
        <f>B457</f>
        <v>#DIV/0!</v>
      </c>
      <c r="G452" s="99"/>
    </row>
    <row r="453" spans="1:7" ht="51.75" customHeight="1">
      <c r="A453" s="100" t="s">
        <v>56</v>
      </c>
      <c r="B453" s="101"/>
      <c r="D453" s="102"/>
      <c r="E453" s="103"/>
      <c r="F453" s="103"/>
      <c r="G453" s="104"/>
    </row>
    <row r="454" spans="1:7" ht="77.25" customHeight="1" thickBot="1">
      <c r="A454" s="105" t="s">
        <v>57</v>
      </c>
      <c r="B454" s="106"/>
      <c r="D454" s="87"/>
      <c r="E454" s="86">
        <f>0.6*E452</f>
        <v>0</v>
      </c>
      <c r="F454" s="86" t="e">
        <f>0.6*F452</f>
        <v>#DIV/0!</v>
      </c>
      <c r="G454" s="107"/>
    </row>
    <row r="455" spans="1:7" ht="15.75" thickBot="1"/>
    <row r="456" spans="1:7" ht="51.75" thickBot="1">
      <c r="A456" s="108" t="s">
        <v>56</v>
      </c>
      <c r="B456" s="109">
        <f>B453</f>
        <v>0</v>
      </c>
    </row>
    <row r="457" spans="1:7">
      <c r="A457" s="110" t="s">
        <v>64</v>
      </c>
      <c r="B457" s="142" t="e">
        <f>AVERAGE(B405:B444)</f>
        <v>#DIV/0!</v>
      </c>
    </row>
    <row r="458" spans="1:7">
      <c r="A458" s="112" t="s">
        <v>65</v>
      </c>
      <c r="B458" s="143" t="e">
        <f>AVERAGE(B410:B439)</f>
        <v>#DIV/0!</v>
      </c>
    </row>
    <row r="459" spans="1:7" ht="15.75" thickBot="1">
      <c r="A459" s="114" t="s">
        <v>66</v>
      </c>
      <c r="B459" s="144" t="e">
        <f>AVERAGE(B416:B434)</f>
        <v>#DIV/0!</v>
      </c>
    </row>
  </sheetData>
  <mergeCells count="14">
    <mergeCell ref="A2:A4"/>
    <mergeCell ref="B2:D2"/>
    <mergeCell ref="A69:A71"/>
    <mergeCell ref="B69:D69"/>
    <mergeCell ref="A134:A136"/>
    <mergeCell ref="B134:D134"/>
    <mergeCell ref="A396:A398"/>
    <mergeCell ref="B396:D396"/>
    <mergeCell ref="A200:A202"/>
    <mergeCell ref="B200:D200"/>
    <mergeCell ref="A266:A268"/>
    <mergeCell ref="B266:D266"/>
    <mergeCell ref="A331:A333"/>
    <mergeCell ref="B331:D331"/>
  </mergeCells>
  <pageMargins left="0.7" right="0.7" top="0.75" bottom="0.75" header="0.3" footer="0.3"/>
  <pageSetup paperSize="9" orientation="portrait" horizontalDpi="4294967295" verticalDpi="4294967295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Лист17"/>
  <dimension ref="A1:N461"/>
  <sheetViews>
    <sheetView topLeftCell="A451" workbookViewId="0">
      <selection activeCell="E424" sqref="E424:E426"/>
    </sheetView>
  </sheetViews>
  <sheetFormatPr defaultColWidth="9.140625" defaultRowHeight="15"/>
  <cols>
    <col min="1" max="1" width="13" style="59" customWidth="1"/>
    <col min="2" max="2" width="9.140625" style="59"/>
    <col min="3" max="3" width="8.7109375"/>
    <col min="4" max="4" width="9.140625" style="59"/>
    <col min="5" max="6" width="9.42578125" style="59" bestFit="1" customWidth="1"/>
    <col min="7" max="16384" width="9.140625" style="59"/>
  </cols>
  <sheetData>
    <row r="1" spans="1:7" ht="15.75" thickBot="1">
      <c r="E1" s="60">
        <v>0.1</v>
      </c>
      <c r="F1" s="61">
        <v>0.4</v>
      </c>
    </row>
    <row r="2" spans="1:7" ht="23.25" customHeight="1" thickBot="1">
      <c r="A2" s="535" t="s">
        <v>0</v>
      </c>
      <c r="B2" s="538" t="s">
        <v>1</v>
      </c>
      <c r="C2" s="539"/>
      <c r="D2" s="540"/>
      <c r="E2" s="62">
        <f>(1-E57)^(1/3)-1</f>
        <v>-3.0619083409482384E-2</v>
      </c>
      <c r="F2" s="63">
        <f>(1-F57)^(1/3)-1</f>
        <v>-3.0619083409482384E-2</v>
      </c>
      <c r="G2" s="64"/>
    </row>
    <row r="3" spans="1:7" ht="77.25" thickBot="1">
      <c r="A3" s="536"/>
      <c r="B3" s="65" t="s">
        <v>4</v>
      </c>
      <c r="C3" s="1"/>
      <c r="D3" s="65" t="s">
        <v>80</v>
      </c>
      <c r="E3" s="65" t="s">
        <v>5</v>
      </c>
      <c r="F3" s="65" t="s">
        <v>5</v>
      </c>
      <c r="G3" s="65"/>
    </row>
    <row r="4" spans="1:7" ht="26.25" thickBot="1">
      <c r="A4" s="537"/>
      <c r="B4" s="66" t="s">
        <v>6</v>
      </c>
      <c r="C4" s="1"/>
      <c r="D4" s="66" t="s">
        <v>7</v>
      </c>
      <c r="E4" s="67" t="s">
        <v>82</v>
      </c>
      <c r="F4" s="68" t="s">
        <v>83</v>
      </c>
      <c r="G4" s="68"/>
    </row>
    <row r="5" spans="1:7" ht="13.5" thickBot="1">
      <c r="A5" s="69">
        <v>1</v>
      </c>
      <c r="B5" s="70">
        <v>2</v>
      </c>
      <c r="C5" s="51"/>
      <c r="D5" s="71">
        <v>3</v>
      </c>
      <c r="E5" s="72">
        <v>4</v>
      </c>
      <c r="F5" s="73">
        <v>5</v>
      </c>
      <c r="G5" s="72"/>
    </row>
    <row r="6" spans="1:7" ht="12.75">
      <c r="A6" s="74" t="s">
        <v>10</v>
      </c>
      <c r="B6" s="151">
        <v>2.1</v>
      </c>
      <c r="C6" s="30">
        <v>0</v>
      </c>
      <c r="D6" s="76">
        <v>0</v>
      </c>
      <c r="E6" s="77">
        <v>0</v>
      </c>
      <c r="F6" s="77">
        <v>0</v>
      </c>
      <c r="G6" s="78">
        <v>0</v>
      </c>
    </row>
    <row r="7" spans="1:7" ht="12.75">
      <c r="A7" s="79" t="s">
        <v>58</v>
      </c>
      <c r="B7" s="152">
        <v>4.5999999999999996</v>
      </c>
      <c r="C7" s="30">
        <f>B6</f>
        <v>2.1</v>
      </c>
      <c r="D7" s="76">
        <v>0</v>
      </c>
      <c r="E7" s="81">
        <v>0</v>
      </c>
      <c r="F7" s="81">
        <v>0</v>
      </c>
      <c r="G7" s="82">
        <v>0</v>
      </c>
    </row>
    <row r="8" spans="1:7" ht="12.75">
      <c r="A8" s="79" t="s">
        <v>59</v>
      </c>
      <c r="B8" s="152">
        <v>6.7</v>
      </c>
      <c r="C8" s="30">
        <f t="shared" ref="C8:C56" si="0">B7</f>
        <v>4.5999999999999996</v>
      </c>
      <c r="D8" s="76">
        <v>0</v>
      </c>
      <c r="E8" s="81">
        <v>0</v>
      </c>
      <c r="F8" s="81">
        <v>0</v>
      </c>
      <c r="G8" s="82">
        <v>0</v>
      </c>
    </row>
    <row r="9" spans="1:7" ht="12.75">
      <c r="A9" s="79" t="s">
        <v>60</v>
      </c>
      <c r="B9" s="152">
        <v>8.5</v>
      </c>
      <c r="C9" s="30">
        <f t="shared" si="0"/>
        <v>6.7</v>
      </c>
      <c r="D9" s="76">
        <v>0</v>
      </c>
      <c r="E9" s="81">
        <v>0</v>
      </c>
      <c r="F9" s="81">
        <v>0</v>
      </c>
      <c r="G9" s="82">
        <v>0</v>
      </c>
    </row>
    <row r="10" spans="1:7" ht="12.75">
      <c r="A10" s="79" t="s">
        <v>61</v>
      </c>
      <c r="B10" s="152">
        <v>10.199999999999999</v>
      </c>
      <c r="C10" s="30">
        <f t="shared" si="0"/>
        <v>8.5</v>
      </c>
      <c r="D10" s="76">
        <v>0</v>
      </c>
      <c r="E10" s="81">
        <v>0</v>
      </c>
      <c r="F10" s="81">
        <v>0</v>
      </c>
      <c r="G10" s="82">
        <v>0</v>
      </c>
    </row>
    <row r="11" spans="1:7" ht="12.75">
      <c r="A11" s="79" t="s">
        <v>62</v>
      </c>
      <c r="B11" s="152">
        <v>11.8</v>
      </c>
      <c r="C11" s="30">
        <f t="shared" si="0"/>
        <v>10.199999999999999</v>
      </c>
      <c r="D11" s="76">
        <v>0</v>
      </c>
      <c r="E11" s="81">
        <v>0</v>
      </c>
      <c r="F11" s="81">
        <v>0</v>
      </c>
      <c r="G11" s="82">
        <v>0</v>
      </c>
    </row>
    <row r="12" spans="1:7" ht="12.75">
      <c r="A12" s="79" t="s">
        <v>63</v>
      </c>
      <c r="B12" s="152">
        <v>13.3</v>
      </c>
      <c r="C12" s="30">
        <f t="shared" si="0"/>
        <v>11.8</v>
      </c>
      <c r="D12" s="76">
        <v>0</v>
      </c>
      <c r="E12" s="81">
        <v>0</v>
      </c>
      <c r="F12" s="81">
        <v>0</v>
      </c>
      <c r="G12" s="82">
        <v>0</v>
      </c>
    </row>
    <row r="13" spans="1:7" ht="12.75">
      <c r="A13" s="83" t="s">
        <v>11</v>
      </c>
      <c r="B13" s="152">
        <v>14.8</v>
      </c>
      <c r="C13" s="30">
        <f t="shared" si="0"/>
        <v>13.3</v>
      </c>
      <c r="D13" s="76">
        <v>0</v>
      </c>
      <c r="E13" s="81">
        <v>0</v>
      </c>
      <c r="F13" s="81">
        <v>0</v>
      </c>
      <c r="G13" s="82">
        <v>0</v>
      </c>
    </row>
    <row r="14" spans="1:7" ht="12.75">
      <c r="A14" s="83" t="s">
        <v>12</v>
      </c>
      <c r="B14" s="152">
        <v>16.399999999999999</v>
      </c>
      <c r="C14" s="30">
        <f t="shared" si="0"/>
        <v>14.8</v>
      </c>
      <c r="D14" s="76">
        <v>0</v>
      </c>
      <c r="E14" s="81">
        <v>0</v>
      </c>
      <c r="F14" s="81">
        <v>0</v>
      </c>
      <c r="G14" s="82">
        <v>0</v>
      </c>
    </row>
    <row r="15" spans="1:7" ht="12.75">
      <c r="A15" s="83" t="s">
        <v>13</v>
      </c>
      <c r="B15" s="152">
        <v>17.899999999999999</v>
      </c>
      <c r="C15" s="30">
        <f t="shared" si="0"/>
        <v>16.399999999999999</v>
      </c>
      <c r="D15" s="76">
        <v>0</v>
      </c>
      <c r="E15" s="81">
        <v>0</v>
      </c>
      <c r="F15" s="81">
        <v>0</v>
      </c>
      <c r="G15" s="82">
        <v>0</v>
      </c>
    </row>
    <row r="16" spans="1:7" ht="12.75">
      <c r="A16" s="83" t="s">
        <v>14</v>
      </c>
      <c r="B16" s="152">
        <v>19.600000000000001</v>
      </c>
      <c r="C16" s="30">
        <f t="shared" si="0"/>
        <v>17.899999999999999</v>
      </c>
      <c r="D16" s="76">
        <v>0</v>
      </c>
      <c r="E16" s="81">
        <v>0</v>
      </c>
      <c r="F16" s="81">
        <v>0</v>
      </c>
      <c r="G16" s="82">
        <v>0</v>
      </c>
    </row>
    <row r="17" spans="1:7" ht="12.75">
      <c r="A17" s="83" t="s">
        <v>15</v>
      </c>
      <c r="B17" s="152">
        <v>21.2</v>
      </c>
      <c r="C17" s="30">
        <f t="shared" si="0"/>
        <v>19.600000000000001</v>
      </c>
      <c r="D17" s="76">
        <v>0</v>
      </c>
      <c r="E17" s="81">
        <v>0</v>
      </c>
      <c r="F17" s="81">
        <v>0</v>
      </c>
      <c r="G17" s="82">
        <v>0</v>
      </c>
    </row>
    <row r="18" spans="1:7" ht="12.75">
      <c r="A18" s="83" t="s">
        <v>16</v>
      </c>
      <c r="B18" s="152">
        <v>22.7</v>
      </c>
      <c r="C18" s="30">
        <f t="shared" si="0"/>
        <v>21.2</v>
      </c>
      <c r="D18" s="76">
        <v>0</v>
      </c>
      <c r="E18" s="81">
        <v>0</v>
      </c>
      <c r="F18" s="81">
        <v>0</v>
      </c>
      <c r="G18" s="82">
        <v>0</v>
      </c>
    </row>
    <row r="19" spans="1:7" ht="12.75">
      <c r="A19" s="83" t="s">
        <v>17</v>
      </c>
      <c r="B19" s="152">
        <v>24.4</v>
      </c>
      <c r="C19" s="30">
        <f t="shared" si="0"/>
        <v>22.7</v>
      </c>
      <c r="D19" s="76">
        <v>0</v>
      </c>
      <c r="E19" s="81">
        <v>0</v>
      </c>
      <c r="F19" s="81">
        <v>0</v>
      </c>
      <c r="G19" s="82">
        <v>0</v>
      </c>
    </row>
    <row r="20" spans="1:7" ht="12.75">
      <c r="A20" s="83" t="s">
        <v>18</v>
      </c>
      <c r="B20" s="152">
        <v>26.2</v>
      </c>
      <c r="C20" s="30">
        <f t="shared" si="0"/>
        <v>24.4</v>
      </c>
      <c r="D20" s="76">
        <v>0</v>
      </c>
      <c r="E20" s="81">
        <v>0</v>
      </c>
      <c r="F20" s="81">
        <v>0</v>
      </c>
      <c r="G20" s="82">
        <v>0</v>
      </c>
    </row>
    <row r="21" spans="1:7" ht="12.75">
      <c r="A21" s="83" t="s">
        <v>19</v>
      </c>
      <c r="B21" s="152">
        <v>28</v>
      </c>
      <c r="C21" s="30">
        <f t="shared" si="0"/>
        <v>26.2</v>
      </c>
      <c r="D21" s="76">
        <v>0</v>
      </c>
      <c r="E21" s="81">
        <v>0</v>
      </c>
      <c r="F21" s="81">
        <v>0</v>
      </c>
      <c r="G21" s="82">
        <v>0</v>
      </c>
    </row>
    <row r="22" spans="1:7" ht="12.75">
      <c r="A22" s="83" t="s">
        <v>20</v>
      </c>
      <c r="B22" s="152">
        <v>29.8</v>
      </c>
      <c r="C22" s="30">
        <f t="shared" si="0"/>
        <v>28</v>
      </c>
      <c r="D22" s="76">
        <v>0</v>
      </c>
      <c r="E22" s="81">
        <v>0</v>
      </c>
      <c r="F22" s="81">
        <v>0</v>
      </c>
      <c r="G22" s="82">
        <v>0</v>
      </c>
    </row>
    <row r="23" spans="1:7" ht="12.75">
      <c r="A23" s="83" t="s">
        <v>21</v>
      </c>
      <c r="B23" s="152">
        <v>31.6</v>
      </c>
      <c r="C23" s="30">
        <f t="shared" si="0"/>
        <v>29.8</v>
      </c>
      <c r="D23" s="76">
        <v>0</v>
      </c>
      <c r="E23" s="81">
        <v>0</v>
      </c>
      <c r="F23" s="81">
        <v>0</v>
      </c>
      <c r="G23" s="82">
        <v>4.5189873417721543E-3</v>
      </c>
    </row>
    <row r="24" spans="1:7" ht="12.75">
      <c r="A24" s="83" t="s">
        <v>22</v>
      </c>
      <c r="B24" s="152">
        <v>33.299999999999997</v>
      </c>
      <c r="C24" s="30">
        <f t="shared" si="0"/>
        <v>31.6</v>
      </c>
      <c r="D24" s="76">
        <v>0</v>
      </c>
      <c r="E24" s="81">
        <v>0</v>
      </c>
      <c r="F24" s="81">
        <v>0</v>
      </c>
      <c r="G24" s="82">
        <v>9.3933933933933855E-3</v>
      </c>
    </row>
    <row r="25" spans="1:7" ht="12.75">
      <c r="A25" s="83" t="s">
        <v>23</v>
      </c>
      <c r="B25" s="152">
        <v>35.1</v>
      </c>
      <c r="C25" s="30">
        <f t="shared" si="0"/>
        <v>33.299999999999997</v>
      </c>
      <c r="D25" s="76">
        <v>5.068376068376098E-2</v>
      </c>
      <c r="E25" s="81"/>
      <c r="F25" s="81">
        <v>5.0683760683760985E-3</v>
      </c>
      <c r="G25" s="82">
        <v>1.4039886039886042E-2</v>
      </c>
    </row>
    <row r="26" spans="1:7" ht="12.75">
      <c r="A26" s="83" t="s">
        <v>24</v>
      </c>
      <c r="B26" s="152">
        <v>36.9</v>
      </c>
      <c r="C26" s="30">
        <f t="shared" si="0"/>
        <v>35.1</v>
      </c>
      <c r="D26" s="76">
        <v>9.6991869918699403E-2</v>
      </c>
      <c r="E26" s="81">
        <v>9.6991869918699406E-3</v>
      </c>
      <c r="F26" s="81">
        <v>9.6991869918699406E-3</v>
      </c>
      <c r="G26" s="82">
        <v>1.8233062330623304E-2</v>
      </c>
    </row>
    <row r="27" spans="1:7" ht="12.75">
      <c r="A27" s="83" t="s">
        <v>25</v>
      </c>
      <c r="B27" s="152">
        <v>38.9</v>
      </c>
      <c r="C27" s="30">
        <f t="shared" si="0"/>
        <v>36.9</v>
      </c>
      <c r="D27" s="76">
        <v>0.14341902313624699</v>
      </c>
      <c r="E27" s="81">
        <v>1.4341902313624701E-2</v>
      </c>
      <c r="F27" s="81">
        <v>1.4341902313624701E-2</v>
      </c>
      <c r="G27" s="82">
        <v>2.2437017994858609E-2</v>
      </c>
    </row>
    <row r="28" spans="1:7" ht="12.75">
      <c r="A28" s="83" t="s">
        <v>26</v>
      </c>
      <c r="B28" s="152">
        <v>41</v>
      </c>
      <c r="C28" s="30">
        <f t="shared" si="0"/>
        <v>38.9</v>
      </c>
      <c r="D28" s="76">
        <v>0.18729268292682949</v>
      </c>
      <c r="E28" s="81">
        <v>1.8729268292682948E-2</v>
      </c>
      <c r="F28" s="81">
        <v>1.8729268292682948E-2</v>
      </c>
      <c r="G28" s="82">
        <v>2.6409756097560976E-2</v>
      </c>
    </row>
    <row r="29" spans="1:7" ht="12.75">
      <c r="A29" s="83" t="s">
        <v>27</v>
      </c>
      <c r="B29" s="152">
        <v>43</v>
      </c>
      <c r="C29" s="30">
        <f t="shared" si="0"/>
        <v>41</v>
      </c>
      <c r="D29" s="76">
        <v>0.22509302325581418</v>
      </c>
      <c r="E29" s="81">
        <v>2.2509302325581418E-2</v>
      </c>
      <c r="F29" s="81">
        <v>2.2509302325581418E-2</v>
      </c>
      <c r="G29" s="82">
        <v>2.9832558139534882E-2</v>
      </c>
    </row>
    <row r="30" spans="1:7" ht="12.75">
      <c r="A30" s="83" t="s">
        <v>28</v>
      </c>
      <c r="B30" s="152">
        <v>45.1</v>
      </c>
      <c r="C30" s="30">
        <f t="shared" si="0"/>
        <v>43</v>
      </c>
      <c r="D30" s="76">
        <v>0.26117516629711773</v>
      </c>
      <c r="E30" s="81">
        <v>2.6117516629711773E-2</v>
      </c>
      <c r="F30" s="81">
        <v>2.6117516629711773E-2</v>
      </c>
      <c r="G30" s="82">
        <v>3.3099778270509979E-2</v>
      </c>
    </row>
    <row r="31" spans="1:7" ht="12.75">
      <c r="A31" s="83" t="s">
        <v>29</v>
      </c>
      <c r="B31" s="152">
        <v>47.2</v>
      </c>
      <c r="C31" s="30">
        <f t="shared" si="0"/>
        <v>45.1</v>
      </c>
      <c r="D31" s="76">
        <v>0.29404661016949174</v>
      </c>
      <c r="E31" s="81">
        <v>2.9404661016949177E-2</v>
      </c>
      <c r="F31" s="81">
        <v>2.9404661016949177E-2</v>
      </c>
      <c r="G31" s="82">
        <v>3.6076271186440682E-2</v>
      </c>
    </row>
    <row r="32" spans="1:7" ht="12.75">
      <c r="A32" s="83" t="s">
        <v>30</v>
      </c>
      <c r="B32" s="152">
        <v>49.5</v>
      </c>
      <c r="C32" s="30">
        <f t="shared" si="0"/>
        <v>47.2</v>
      </c>
      <c r="D32" s="76">
        <v>0.32684848484848505</v>
      </c>
      <c r="E32" s="81">
        <v>3.2684848484848504E-2</v>
      </c>
      <c r="F32" s="81">
        <v>3.2684848484848504E-2</v>
      </c>
      <c r="G32" s="82">
        <v>3.9046464646464649E-2</v>
      </c>
    </row>
    <row r="33" spans="1:7" ht="12.75">
      <c r="A33" s="83" t="s">
        <v>31</v>
      </c>
      <c r="B33" s="152">
        <v>52</v>
      </c>
      <c r="C33" s="30">
        <f t="shared" si="0"/>
        <v>49.5</v>
      </c>
      <c r="D33" s="76">
        <v>0.35921153846153864</v>
      </c>
      <c r="E33" s="81">
        <v>3.5921153846153867E-2</v>
      </c>
      <c r="F33" s="81">
        <v>3.5921153846153867E-2</v>
      </c>
      <c r="G33" s="82">
        <v>5.1861538461538445E-2</v>
      </c>
    </row>
    <row r="34" spans="1:7" ht="12.75">
      <c r="A34" s="83" t="s">
        <v>32</v>
      </c>
      <c r="B34" s="152">
        <v>54.8</v>
      </c>
      <c r="C34" s="30">
        <f t="shared" si="0"/>
        <v>52</v>
      </c>
      <c r="D34" s="76">
        <v>0.39195255474452567</v>
      </c>
      <c r="E34" s="81">
        <v>3.9195255474452573E-2</v>
      </c>
      <c r="F34" s="81">
        <v>3.9195255474452573E-2</v>
      </c>
      <c r="G34" s="82">
        <v>6.9649635036496321E-2</v>
      </c>
    </row>
    <row r="35" spans="1:7" ht="12.75">
      <c r="A35" s="83" t="s">
        <v>33</v>
      </c>
      <c r="B35" s="152">
        <v>57.6</v>
      </c>
      <c r="C35" s="30">
        <f t="shared" si="0"/>
        <v>54.8</v>
      </c>
      <c r="D35" s="76">
        <v>0.42151041666666683</v>
      </c>
      <c r="E35" s="81">
        <v>5.2906250000000085E-2</v>
      </c>
      <c r="F35" s="81">
        <v>5.2906250000000085E-2</v>
      </c>
      <c r="G35" s="82">
        <v>8.5708333333333331E-2</v>
      </c>
    </row>
    <row r="36" spans="1:7" ht="12.75">
      <c r="A36" s="83" t="s">
        <v>34</v>
      </c>
      <c r="B36" s="152">
        <v>60.4</v>
      </c>
      <c r="C36" s="30">
        <f t="shared" si="0"/>
        <v>57.6</v>
      </c>
      <c r="D36" s="76">
        <v>0.44832781456953658</v>
      </c>
      <c r="E36" s="81">
        <v>6.899668874172192E-2</v>
      </c>
      <c r="F36" s="81">
        <v>6.899668874172192E-2</v>
      </c>
      <c r="G36" s="82">
        <v>0.10027814569536422</v>
      </c>
    </row>
    <row r="37" spans="1:7" ht="12.75">
      <c r="A37" s="83" t="s">
        <v>35</v>
      </c>
      <c r="B37" s="152">
        <v>63.3</v>
      </c>
      <c r="C37" s="30">
        <f t="shared" si="0"/>
        <v>60.4</v>
      </c>
      <c r="D37" s="76">
        <v>0.47360189573459727</v>
      </c>
      <c r="E37" s="81">
        <v>8.4161137440758357E-2</v>
      </c>
      <c r="F37" s="81">
        <v>8.4161137440758357E-2</v>
      </c>
      <c r="G37" s="82">
        <v>0.11400947867298578</v>
      </c>
    </row>
    <row r="38" spans="1:7" ht="12.75">
      <c r="A38" s="83" t="s">
        <v>36</v>
      </c>
      <c r="B38" s="152">
        <v>66.400000000000006</v>
      </c>
      <c r="C38" s="30">
        <f t="shared" si="0"/>
        <v>63.3</v>
      </c>
      <c r="D38" s="76">
        <v>0.4981777108433737</v>
      </c>
      <c r="E38" s="81">
        <v>9.8906626506024178E-2</v>
      </c>
      <c r="F38" s="81">
        <v>9.8906626506024178E-2</v>
      </c>
      <c r="G38" s="82">
        <v>0.12736144578313255</v>
      </c>
    </row>
    <row r="39" spans="1:7" ht="12.75">
      <c r="A39" s="83" t="s">
        <v>37</v>
      </c>
      <c r="B39" s="152">
        <v>69.8</v>
      </c>
      <c r="C39" s="30">
        <f t="shared" si="0"/>
        <v>66.400000000000006</v>
      </c>
      <c r="D39" s="76">
        <v>0.52262177650429809</v>
      </c>
      <c r="E39" s="81">
        <v>0.11357306590257885</v>
      </c>
      <c r="F39" s="81">
        <v>0.11357306590257885</v>
      </c>
      <c r="G39" s="82">
        <v>0.14064183381088824</v>
      </c>
    </row>
    <row r="40" spans="1:7" ht="12.75">
      <c r="A40" s="83" t="s">
        <v>38</v>
      </c>
      <c r="B40" s="152">
        <v>73.3</v>
      </c>
      <c r="C40" s="30">
        <f t="shared" si="0"/>
        <v>69.8</v>
      </c>
      <c r="D40" s="76">
        <v>0.54541609822646664</v>
      </c>
      <c r="E40" s="81">
        <v>0.12724965893588</v>
      </c>
      <c r="F40" s="81">
        <v>0.12724965893588</v>
      </c>
      <c r="G40" s="82">
        <v>0.15302592087312414</v>
      </c>
    </row>
    <row r="41" spans="1:7" ht="12.75">
      <c r="A41" s="83" t="s">
        <v>39</v>
      </c>
      <c r="B41" s="152">
        <v>77.400000000000006</v>
      </c>
      <c r="C41" s="30">
        <f t="shared" si="0"/>
        <v>73.3</v>
      </c>
      <c r="D41" s="76">
        <v>0.56949612403100791</v>
      </c>
      <c r="E41" s="81">
        <v>0.14169767441860476</v>
      </c>
      <c r="F41" s="81">
        <v>0.14169767441860476</v>
      </c>
      <c r="G41" s="82">
        <v>0.16610852713178298</v>
      </c>
    </row>
    <row r="42" spans="1:7" ht="12.75">
      <c r="A42" s="83" t="s">
        <v>40</v>
      </c>
      <c r="B42" s="152">
        <v>82</v>
      </c>
      <c r="C42" s="30">
        <f t="shared" si="0"/>
        <v>77.400000000000006</v>
      </c>
      <c r="D42" s="76">
        <v>0.59364634146341477</v>
      </c>
      <c r="E42" s="81">
        <v>0.15618780487804884</v>
      </c>
      <c r="F42" s="81">
        <v>0.15618780487804884</v>
      </c>
      <c r="G42" s="82">
        <v>0.17922926829268293</v>
      </c>
    </row>
    <row r="43" spans="1:7" ht="12.75">
      <c r="A43" s="83" t="s">
        <v>41</v>
      </c>
      <c r="B43" s="152">
        <v>87</v>
      </c>
      <c r="C43" s="30">
        <f t="shared" si="0"/>
        <v>82</v>
      </c>
      <c r="D43" s="76">
        <v>0.6170000000000001</v>
      </c>
      <c r="E43" s="81">
        <v>0.17020000000000005</v>
      </c>
      <c r="F43" s="81">
        <v>0.17020000000000005</v>
      </c>
      <c r="G43" s="82">
        <v>0.19191724137931035</v>
      </c>
    </row>
    <row r="44" spans="1:7" ht="12.75">
      <c r="A44" s="83" t="s">
        <v>42</v>
      </c>
      <c r="B44" s="152">
        <v>92.4</v>
      </c>
      <c r="C44" s="30">
        <f t="shared" si="0"/>
        <v>87</v>
      </c>
      <c r="D44" s="76">
        <v>0.639383116883117</v>
      </c>
      <c r="E44" s="81">
        <v>0.1836298701298702</v>
      </c>
      <c r="F44" s="81">
        <v>0.1836298701298702</v>
      </c>
      <c r="G44" s="82">
        <v>0.20407792207792211</v>
      </c>
    </row>
    <row r="45" spans="1:7" ht="12.75">
      <c r="A45" s="83" t="s">
        <v>43</v>
      </c>
      <c r="B45" s="152">
        <v>98.7</v>
      </c>
      <c r="C45" s="30">
        <f t="shared" si="0"/>
        <v>92.4</v>
      </c>
      <c r="D45" s="76">
        <v>0.66240121580547129</v>
      </c>
      <c r="E45" s="81">
        <v>0.1974407294832827</v>
      </c>
      <c r="F45" s="81">
        <v>0.1974407294832827</v>
      </c>
      <c r="G45" s="82">
        <v>0.21658358662613983</v>
      </c>
    </row>
    <row r="46" spans="1:7" ht="12.75">
      <c r="A46" s="83" t="s">
        <v>44</v>
      </c>
      <c r="B46" s="152">
        <v>106</v>
      </c>
      <c r="C46" s="30">
        <f t="shared" si="0"/>
        <v>98.7</v>
      </c>
      <c r="D46" s="76">
        <v>0.68565094339622645</v>
      </c>
      <c r="E46" s="81">
        <v>0.2113905660377359</v>
      </c>
      <c r="F46" s="81">
        <v>0.2113905660377359</v>
      </c>
      <c r="G46" s="82">
        <v>0.22921509433962264</v>
      </c>
    </row>
    <row r="47" spans="1:7" ht="12.75">
      <c r="A47" s="83" t="s">
        <v>45</v>
      </c>
      <c r="B47" s="152">
        <v>114.1</v>
      </c>
      <c r="C47" s="30">
        <f t="shared" si="0"/>
        <v>106</v>
      </c>
      <c r="D47" s="76">
        <v>0.7079666958808063</v>
      </c>
      <c r="E47" s="81">
        <v>0.22478001752848381</v>
      </c>
      <c r="F47" s="81">
        <v>0.22478001752848381</v>
      </c>
      <c r="G47" s="82">
        <v>0.24133917616126205</v>
      </c>
    </row>
    <row r="48" spans="1:7" ht="12.75">
      <c r="A48" s="83" t="s">
        <v>46</v>
      </c>
      <c r="B48" s="152">
        <v>124.6</v>
      </c>
      <c r="C48" s="30">
        <f t="shared" si="0"/>
        <v>114.1</v>
      </c>
      <c r="D48" s="76">
        <v>0.7325762439807384</v>
      </c>
      <c r="E48" s="81">
        <v>0.23954574638844303</v>
      </c>
      <c r="F48" s="81">
        <v>0.23954574638844303</v>
      </c>
      <c r="G48" s="82">
        <v>0.25470947030497593</v>
      </c>
    </row>
    <row r="49" spans="1:7" ht="12.75">
      <c r="A49" s="83" t="s">
        <v>47</v>
      </c>
      <c r="B49" s="152">
        <v>138.69999999999999</v>
      </c>
      <c r="C49" s="30">
        <f t="shared" si="0"/>
        <v>124.6</v>
      </c>
      <c r="D49" s="76">
        <v>0.75976207642393656</v>
      </c>
      <c r="E49" s="81">
        <v>0.25585724585436198</v>
      </c>
      <c r="F49" s="81">
        <v>0.25585724585436198</v>
      </c>
      <c r="G49" s="82">
        <v>0.26947945205479451</v>
      </c>
    </row>
    <row r="50" spans="1:7" ht="12.75">
      <c r="A50" s="83" t="s">
        <v>48</v>
      </c>
      <c r="B50" s="152">
        <v>155.19999999999999</v>
      </c>
      <c r="C50" s="30">
        <f t="shared" si="0"/>
        <v>138.69999999999999</v>
      </c>
      <c r="D50" s="76">
        <v>0.78530283505154641</v>
      </c>
      <c r="E50" s="81">
        <v>0.27118170103092787</v>
      </c>
      <c r="F50" s="81">
        <v>0.27118170103092787</v>
      </c>
      <c r="G50" s="82">
        <v>0.28335567010309276</v>
      </c>
    </row>
    <row r="51" spans="1:7" ht="12.75">
      <c r="A51" s="83" t="s">
        <v>49</v>
      </c>
      <c r="B51" s="152">
        <v>176.9</v>
      </c>
      <c r="C51" s="30">
        <f t="shared" si="0"/>
        <v>155.19999999999999</v>
      </c>
      <c r="D51" s="76">
        <v>0.81163934426229511</v>
      </c>
      <c r="E51" s="81">
        <v>0.28698360655737709</v>
      </c>
      <c r="F51" s="81">
        <v>0.28698360655737709</v>
      </c>
      <c r="G51" s="82">
        <v>0.29766421707179197</v>
      </c>
    </row>
    <row r="52" spans="1:7" ht="12.75">
      <c r="A52" s="83" t="s">
        <v>50</v>
      </c>
      <c r="B52" s="152">
        <v>207.6</v>
      </c>
      <c r="C52" s="30">
        <f t="shared" si="0"/>
        <v>176.9</v>
      </c>
      <c r="D52" s="76">
        <v>0.83949421965317916</v>
      </c>
      <c r="E52" s="81">
        <v>0.30369653179190753</v>
      </c>
      <c r="F52" s="81">
        <v>0.30369653179190753</v>
      </c>
      <c r="G52" s="82">
        <v>0.31279768786127171</v>
      </c>
    </row>
    <row r="53" spans="1:7" ht="12.75">
      <c r="A53" s="83" t="s">
        <v>51</v>
      </c>
      <c r="B53" s="152">
        <v>255.3</v>
      </c>
      <c r="C53" s="30">
        <f t="shared" si="0"/>
        <v>207.6</v>
      </c>
      <c r="D53" s="76">
        <v>0.86948296122209168</v>
      </c>
      <c r="E53" s="81">
        <v>0.321689776733255</v>
      </c>
      <c r="F53" s="81">
        <v>0.321689776733255</v>
      </c>
      <c r="G53" s="82">
        <v>0.32909048178613398</v>
      </c>
    </row>
    <row r="54" spans="1:7" ht="12.75">
      <c r="A54" s="83" t="s">
        <v>52</v>
      </c>
      <c r="B54" s="152">
        <v>339</v>
      </c>
      <c r="C54" s="30">
        <f t="shared" si="0"/>
        <v>255.3</v>
      </c>
      <c r="D54" s="76">
        <v>0.90170796460177005</v>
      </c>
      <c r="E54" s="81">
        <v>0.34102477876106202</v>
      </c>
      <c r="F54" s="81">
        <v>0.34102477876106202</v>
      </c>
      <c r="G54" s="82">
        <v>0.34659823008849555</v>
      </c>
    </row>
    <row r="55" spans="1:7" ht="12.75">
      <c r="A55" s="83" t="s">
        <v>53</v>
      </c>
      <c r="B55" s="152">
        <v>642.79999999999995</v>
      </c>
      <c r="C55" s="30">
        <f>B54</f>
        <v>339</v>
      </c>
      <c r="D55" s="76">
        <v>0.94816272557560666</v>
      </c>
      <c r="E55" s="81">
        <v>0.36889763534536407</v>
      </c>
      <c r="F55" s="81">
        <v>0.36889763534536407</v>
      </c>
      <c r="G55" s="82">
        <v>0.37183696328562543</v>
      </c>
    </row>
    <row r="56" spans="1:7" ht="13.5" thickBot="1">
      <c r="A56" s="84" t="s">
        <v>53</v>
      </c>
      <c r="B56" s="85" t="s">
        <v>91</v>
      </c>
      <c r="C56" s="30">
        <f t="shared" si="0"/>
        <v>642.79999999999995</v>
      </c>
      <c r="D56" s="86"/>
      <c r="E56" s="87"/>
      <c r="F56" s="87"/>
      <c r="G56" s="88"/>
    </row>
    <row r="57" spans="1:7" ht="13.5" thickBot="1">
      <c r="A57" s="89"/>
      <c r="B57" s="90"/>
      <c r="C57" s="31"/>
      <c r="D57" s="91"/>
      <c r="E57" s="92">
        <v>8.9073371678198801E-2</v>
      </c>
      <c r="F57" s="92">
        <v>8.9073371678198801E-2</v>
      </c>
      <c r="G57" s="93">
        <v>9.9392529913456262E-2</v>
      </c>
    </row>
    <row r="58" spans="1:7" ht="51" customHeight="1">
      <c r="A58" s="94" t="s">
        <v>55</v>
      </c>
      <c r="B58" s="95">
        <v>33.5</v>
      </c>
      <c r="C58" s="31"/>
      <c r="D58" s="96"/>
      <c r="E58" s="97">
        <v>55.534999999999989</v>
      </c>
      <c r="F58" s="98">
        <v>55.534999999999989</v>
      </c>
      <c r="G58" s="99">
        <v>50.286666666666669</v>
      </c>
    </row>
    <row r="59" spans="1:7" ht="51.75" customHeight="1">
      <c r="A59" s="100" t="s">
        <v>56</v>
      </c>
      <c r="B59" s="101">
        <v>77.5</v>
      </c>
      <c r="C59" s="31"/>
      <c r="D59" s="102"/>
      <c r="E59" s="103"/>
      <c r="F59" s="103"/>
      <c r="G59" s="104"/>
    </row>
    <row r="60" spans="1:7" ht="75.75" customHeight="1" thickBot="1">
      <c r="A60" s="105" t="s">
        <v>57</v>
      </c>
      <c r="B60" s="106">
        <v>20.100000000000001</v>
      </c>
      <c r="C60" s="29"/>
      <c r="D60" s="87"/>
      <c r="E60" s="86">
        <v>33.320999999999991</v>
      </c>
      <c r="F60" s="86">
        <v>33.320999999999991</v>
      </c>
      <c r="G60" s="107">
        <v>30.172000000000001</v>
      </c>
    </row>
    <row r="61" spans="1:7" ht="15.75" thickBot="1"/>
    <row r="62" spans="1:7" ht="53.25" customHeight="1" thickBot="1">
      <c r="A62" s="108" t="s">
        <v>56</v>
      </c>
      <c r="B62" s="109">
        <f>B59</f>
        <v>77.5</v>
      </c>
    </row>
    <row r="63" spans="1:7">
      <c r="A63" s="110" t="s">
        <v>64</v>
      </c>
      <c r="B63" s="111">
        <f>AVERAGE(B11:B50)</f>
        <v>55.534999999999989</v>
      </c>
      <c r="C63" s="17"/>
    </row>
    <row r="64" spans="1:7">
      <c r="A64" s="112" t="s">
        <v>65</v>
      </c>
      <c r="B64" s="113">
        <f>AVERAGE(B16:B45)</f>
        <v>50.286666666666669</v>
      </c>
      <c r="C64" s="18"/>
    </row>
    <row r="65" spans="1:7" ht="15.75" thickBot="1">
      <c r="A65" s="114" t="s">
        <v>66</v>
      </c>
      <c r="B65" s="115">
        <f>AVERAGE(B22:B40)</f>
        <v>48.89473684210526</v>
      </c>
      <c r="C65" s="18"/>
    </row>
    <row r="68" spans="1:7" ht="15.75" thickBot="1"/>
    <row r="69" spans="1:7" ht="37.5" customHeight="1" thickBot="1">
      <c r="A69" s="535" t="s">
        <v>0</v>
      </c>
      <c r="B69" s="538" t="s">
        <v>2</v>
      </c>
      <c r="C69" s="539"/>
      <c r="D69" s="540"/>
      <c r="E69" s="62">
        <f>(1-E124)^(1/3)-1</f>
        <v>-2.5618810747321641E-2</v>
      </c>
      <c r="F69" s="63">
        <f>(1-F124)^(1/3)-1</f>
        <v>-2.5618810747321641E-2</v>
      </c>
      <c r="G69" s="64"/>
    </row>
    <row r="70" spans="1:7" ht="77.25" thickBot="1">
      <c r="A70" s="536"/>
      <c r="B70" s="65" t="s">
        <v>4</v>
      </c>
      <c r="C70" s="11"/>
      <c r="D70" s="65" t="s">
        <v>80</v>
      </c>
      <c r="E70" s="65" t="s">
        <v>5</v>
      </c>
      <c r="F70" s="65" t="s">
        <v>5</v>
      </c>
      <c r="G70" s="65"/>
    </row>
    <row r="71" spans="1:7" ht="26.25" thickBot="1">
      <c r="A71" s="537"/>
      <c r="B71" s="66" t="s">
        <v>8</v>
      </c>
      <c r="C71" s="11"/>
      <c r="D71" s="66" t="s">
        <v>7</v>
      </c>
      <c r="E71" s="67" t="s">
        <v>82</v>
      </c>
      <c r="F71" s="68" t="s">
        <v>83</v>
      </c>
      <c r="G71" s="68"/>
    </row>
    <row r="72" spans="1:7" ht="13.5" thickBot="1">
      <c r="A72" s="69">
        <v>1</v>
      </c>
      <c r="B72" s="116">
        <v>2</v>
      </c>
      <c r="C72" s="51"/>
      <c r="D72" s="117">
        <v>3</v>
      </c>
      <c r="E72" s="71">
        <v>4</v>
      </c>
      <c r="F72" s="117">
        <v>5</v>
      </c>
      <c r="G72" s="71"/>
    </row>
    <row r="73" spans="1:7" ht="12.75">
      <c r="A73" s="118" t="s">
        <v>10</v>
      </c>
      <c r="B73" s="119">
        <v>19.2</v>
      </c>
      <c r="C73" s="253">
        <v>0</v>
      </c>
      <c r="D73" s="76">
        <v>0</v>
      </c>
      <c r="E73" s="77">
        <v>0</v>
      </c>
      <c r="F73" s="77">
        <v>0</v>
      </c>
      <c r="G73" s="78">
        <v>0</v>
      </c>
    </row>
    <row r="74" spans="1:7" ht="12.75">
      <c r="A74" s="120" t="s">
        <v>58</v>
      </c>
      <c r="B74" s="121">
        <v>21.5</v>
      </c>
      <c r="C74" s="30">
        <f>B73</f>
        <v>19.2</v>
      </c>
      <c r="D74" s="76">
        <v>0</v>
      </c>
      <c r="E74" s="81">
        <v>0</v>
      </c>
      <c r="F74" s="81">
        <v>0</v>
      </c>
      <c r="G74" s="82">
        <v>0</v>
      </c>
    </row>
    <row r="75" spans="1:7" ht="12.75">
      <c r="A75" s="120" t="s">
        <v>59</v>
      </c>
      <c r="B75" s="121">
        <v>23.5</v>
      </c>
      <c r="C75" s="30">
        <f t="shared" ref="C75:C123" si="1">B74</f>
        <v>21.5</v>
      </c>
      <c r="D75" s="76">
        <v>0</v>
      </c>
      <c r="E75" s="81">
        <v>0</v>
      </c>
      <c r="F75" s="81">
        <v>0</v>
      </c>
      <c r="G75" s="82">
        <v>0</v>
      </c>
    </row>
    <row r="76" spans="1:7" ht="12.75">
      <c r="A76" s="120" t="s">
        <v>60</v>
      </c>
      <c r="B76" s="121">
        <v>25.3</v>
      </c>
      <c r="C76" s="30">
        <f t="shared" si="1"/>
        <v>23.5</v>
      </c>
      <c r="D76" s="76">
        <v>0</v>
      </c>
      <c r="E76" s="81">
        <v>0</v>
      </c>
      <c r="F76" s="81">
        <v>0</v>
      </c>
      <c r="G76" s="82">
        <v>0</v>
      </c>
    </row>
    <row r="77" spans="1:7" ht="12.75">
      <c r="A77" s="120" t="s">
        <v>61</v>
      </c>
      <c r="B77" s="121">
        <v>26.7</v>
      </c>
      <c r="C77" s="30">
        <f t="shared" si="1"/>
        <v>25.3</v>
      </c>
      <c r="D77" s="76">
        <v>0</v>
      </c>
      <c r="E77" s="81">
        <v>0</v>
      </c>
      <c r="F77" s="81">
        <v>0</v>
      </c>
      <c r="G77" s="82">
        <v>0</v>
      </c>
    </row>
    <row r="78" spans="1:7" ht="12.75">
      <c r="A78" s="120" t="s">
        <v>62</v>
      </c>
      <c r="B78" s="121">
        <v>28.1</v>
      </c>
      <c r="C78" s="30">
        <f t="shared" si="1"/>
        <v>26.7</v>
      </c>
      <c r="D78" s="76">
        <v>0</v>
      </c>
      <c r="E78" s="81">
        <v>0</v>
      </c>
      <c r="F78" s="81">
        <v>0</v>
      </c>
      <c r="G78" s="82">
        <v>0</v>
      </c>
    </row>
    <row r="79" spans="1:7" ht="12.75">
      <c r="A79" s="120" t="s">
        <v>63</v>
      </c>
      <c r="B79" s="121">
        <v>29.2</v>
      </c>
      <c r="C79" s="30">
        <f t="shared" si="1"/>
        <v>28.1</v>
      </c>
      <c r="D79" s="76">
        <v>0</v>
      </c>
      <c r="E79" s="81">
        <v>0</v>
      </c>
      <c r="F79" s="81">
        <v>0</v>
      </c>
      <c r="G79" s="82">
        <v>1.6369863013698562E-3</v>
      </c>
    </row>
    <row r="80" spans="1:7" ht="12.75">
      <c r="A80" s="122" t="s">
        <v>11</v>
      </c>
      <c r="B80" s="121">
        <v>30.3</v>
      </c>
      <c r="C80" s="30">
        <f t="shared" si="1"/>
        <v>29.2</v>
      </c>
      <c r="D80" s="76">
        <v>1.9752475247524562E-2</v>
      </c>
      <c r="E80" s="81"/>
      <c r="F80" s="81">
        <v>1.9752475247524566E-3</v>
      </c>
      <c r="G80" s="82">
        <v>5.2079207920792056E-3</v>
      </c>
    </row>
    <row r="81" spans="1:7" ht="12.75">
      <c r="A81" s="122" t="s">
        <v>12</v>
      </c>
      <c r="B81" s="121">
        <v>31.3</v>
      </c>
      <c r="C81" s="30">
        <f t="shared" si="1"/>
        <v>30.3</v>
      </c>
      <c r="D81" s="76">
        <v>5.1070287539935914E-2</v>
      </c>
      <c r="E81" s="81"/>
      <c r="F81" s="81">
        <v>5.107028753993592E-3</v>
      </c>
      <c r="G81" s="82">
        <v>8.2364217252396156E-3</v>
      </c>
    </row>
    <row r="82" spans="1:7" ht="12.75">
      <c r="A82" s="122" t="s">
        <v>13</v>
      </c>
      <c r="B82" s="121">
        <v>32.299999999999997</v>
      </c>
      <c r="C82" s="30">
        <f t="shared" si="1"/>
        <v>31.3</v>
      </c>
      <c r="D82" s="76">
        <v>8.0448916408668456E-2</v>
      </c>
      <c r="E82" s="81"/>
      <c r="F82" s="81">
        <v>8.0448916408668459E-3</v>
      </c>
      <c r="G82" s="82">
        <v>1.1077399380804943E-2</v>
      </c>
    </row>
    <row r="83" spans="1:7" ht="12.75">
      <c r="A83" s="122" t="s">
        <v>14</v>
      </c>
      <c r="B83" s="121">
        <v>33.299999999999997</v>
      </c>
      <c r="C83" s="30">
        <f t="shared" si="1"/>
        <v>32.299999999999997</v>
      </c>
      <c r="D83" s="76">
        <v>0.10806306306306279</v>
      </c>
      <c r="E83" s="81">
        <v>1.0806306306306281E-2</v>
      </c>
      <c r="F83" s="81">
        <v>1.0806306306306281E-2</v>
      </c>
      <c r="G83" s="82">
        <v>1.3747747747747736E-2</v>
      </c>
    </row>
    <row r="84" spans="1:7" ht="12.75">
      <c r="A84" s="122" t="s">
        <v>15</v>
      </c>
      <c r="B84" s="121">
        <v>34.299999999999997</v>
      </c>
      <c r="C84" s="30">
        <f t="shared" si="1"/>
        <v>33.299999999999997</v>
      </c>
      <c r="D84" s="76">
        <v>0.13406705539358574</v>
      </c>
      <c r="E84" s="81">
        <v>1.3406705539358575E-2</v>
      </c>
      <c r="F84" s="81">
        <v>1.3406705539358575E-2</v>
      </c>
      <c r="G84" s="82">
        <v>1.6262390670553926E-2</v>
      </c>
    </row>
    <row r="85" spans="1:7" ht="12.75">
      <c r="A85" s="122" t="s">
        <v>16</v>
      </c>
      <c r="B85" s="121">
        <v>35.299999999999997</v>
      </c>
      <c r="C85" s="30">
        <f t="shared" si="1"/>
        <v>34.299999999999997</v>
      </c>
      <c r="D85" s="76">
        <v>0.15859773371104791</v>
      </c>
      <c r="E85" s="81">
        <v>1.585977337110479E-2</v>
      </c>
      <c r="F85" s="81">
        <v>1.585977337110479E-2</v>
      </c>
      <c r="G85" s="82">
        <v>1.8634560906515572E-2</v>
      </c>
    </row>
    <row r="86" spans="1:7" ht="12.75">
      <c r="A86" s="122" t="s">
        <v>17</v>
      </c>
      <c r="B86" s="121">
        <v>36.200000000000003</v>
      </c>
      <c r="C86" s="30">
        <f t="shared" si="1"/>
        <v>35.299999999999997</v>
      </c>
      <c r="D86" s="76">
        <v>0.17951657458563525</v>
      </c>
      <c r="E86" s="81">
        <v>1.7951657458563527E-2</v>
      </c>
      <c r="F86" s="81">
        <v>1.7951657458563527E-2</v>
      </c>
      <c r="G86" s="82">
        <v>2.0657458563535916E-2</v>
      </c>
    </row>
    <row r="87" spans="1:7" ht="12.75">
      <c r="A87" s="122" t="s">
        <v>18</v>
      </c>
      <c r="B87" s="121">
        <v>37.1</v>
      </c>
      <c r="C87" s="30">
        <f t="shared" si="1"/>
        <v>36.200000000000003</v>
      </c>
      <c r="D87" s="76">
        <v>0.199420485175202</v>
      </c>
      <c r="E87" s="81">
        <v>1.9942048517520204E-2</v>
      </c>
      <c r="F87" s="81">
        <v>1.9942048517520204E-2</v>
      </c>
      <c r="G87" s="82">
        <v>2.2582210242587605E-2</v>
      </c>
    </row>
    <row r="88" spans="1:7" ht="12.75">
      <c r="A88" s="122" t="s">
        <v>19</v>
      </c>
      <c r="B88" s="121">
        <v>37.9</v>
      </c>
      <c r="C88" s="30">
        <f t="shared" si="1"/>
        <v>37.1</v>
      </c>
      <c r="D88" s="76">
        <v>0.21631926121372011</v>
      </c>
      <c r="E88" s="81">
        <v>2.1631926121372012E-2</v>
      </c>
      <c r="F88" s="81">
        <v>2.1631926121372012E-2</v>
      </c>
      <c r="G88" s="82">
        <v>2.4216358839050125E-2</v>
      </c>
    </row>
    <row r="89" spans="1:7" ht="12.75">
      <c r="A89" s="122" t="s">
        <v>20</v>
      </c>
      <c r="B89" s="121">
        <v>38.9</v>
      </c>
      <c r="C89" s="30">
        <f t="shared" si="1"/>
        <v>37.9</v>
      </c>
      <c r="D89" s="76">
        <v>0.23646529562981985</v>
      </c>
      <c r="E89" s="81">
        <v>2.3646529562981987E-2</v>
      </c>
      <c r="F89" s="81">
        <v>2.3646529562981987E-2</v>
      </c>
      <c r="G89" s="82">
        <v>2.6164524421593827E-2</v>
      </c>
    </row>
    <row r="90" spans="1:7" ht="12.75">
      <c r="A90" s="122" t="s">
        <v>21</v>
      </c>
      <c r="B90" s="121">
        <v>39.700000000000003</v>
      </c>
      <c r="C90" s="30">
        <f t="shared" si="1"/>
        <v>38.9</v>
      </c>
      <c r="D90" s="76">
        <v>0.25185138539042812</v>
      </c>
      <c r="E90" s="81">
        <v>2.518513853904281E-2</v>
      </c>
      <c r="F90" s="81">
        <v>2.518513853904281E-2</v>
      </c>
      <c r="G90" s="82">
        <v>2.7652392947103276E-2</v>
      </c>
    </row>
    <row r="91" spans="1:7" ht="12.75">
      <c r="A91" s="122" t="s">
        <v>22</v>
      </c>
      <c r="B91" s="121">
        <v>40.5</v>
      </c>
      <c r="C91" s="30">
        <f t="shared" si="1"/>
        <v>39.700000000000003</v>
      </c>
      <c r="D91" s="76">
        <v>0.26662962962962949</v>
      </c>
      <c r="E91" s="81">
        <v>2.6662962962962947E-2</v>
      </c>
      <c r="F91" s="81">
        <v>2.6662962962962947E-2</v>
      </c>
      <c r="G91" s="82">
        <v>2.9081481481481479E-2</v>
      </c>
    </row>
    <row r="92" spans="1:7" ht="12.75">
      <c r="A92" s="122" t="s">
        <v>23</v>
      </c>
      <c r="B92" s="121">
        <v>41.4</v>
      </c>
      <c r="C92" s="30">
        <f t="shared" si="1"/>
        <v>40.5</v>
      </c>
      <c r="D92" s="76">
        <v>0.28257246376811579</v>
      </c>
      <c r="E92" s="81">
        <v>2.8257246376811575E-2</v>
      </c>
      <c r="F92" s="81">
        <v>2.8257246376811575E-2</v>
      </c>
      <c r="G92" s="82">
        <v>3.0623188405797096E-2</v>
      </c>
    </row>
    <row r="93" spans="1:7" ht="12.75">
      <c r="A93" s="122" t="s">
        <v>24</v>
      </c>
      <c r="B93" s="121">
        <v>42.2</v>
      </c>
      <c r="C93" s="30">
        <f t="shared" si="1"/>
        <v>41.4</v>
      </c>
      <c r="D93" s="76">
        <v>0.29617298578199042</v>
      </c>
      <c r="E93" s="81">
        <v>2.9617298578199041E-2</v>
      </c>
      <c r="F93" s="81">
        <v>2.9617298578199041E-2</v>
      </c>
      <c r="G93" s="82">
        <v>3.1938388625592423E-2</v>
      </c>
    </row>
    <row r="94" spans="1:7" ht="12.75">
      <c r="A94" s="122" t="s">
        <v>25</v>
      </c>
      <c r="B94" s="121">
        <v>43</v>
      </c>
      <c r="C94" s="30">
        <f t="shared" si="1"/>
        <v>42.2</v>
      </c>
      <c r="D94" s="76">
        <v>0.30926744186046495</v>
      </c>
      <c r="E94" s="81">
        <v>3.09267441860465E-2</v>
      </c>
      <c r="F94" s="81">
        <v>3.09267441860465E-2</v>
      </c>
      <c r="G94" s="82">
        <v>3.3204651162790699E-2</v>
      </c>
    </row>
    <row r="95" spans="1:7" ht="12.75">
      <c r="A95" s="122" t="s">
        <v>26</v>
      </c>
      <c r="B95" s="121">
        <v>44</v>
      </c>
      <c r="C95" s="30">
        <f t="shared" si="1"/>
        <v>43</v>
      </c>
      <c r="D95" s="76">
        <v>0.32496590909090894</v>
      </c>
      <c r="E95" s="81">
        <v>3.2496590909090899E-2</v>
      </c>
      <c r="F95" s="81">
        <v>3.2496590909090899E-2</v>
      </c>
      <c r="G95" s="82">
        <v>3.4722727272727273E-2</v>
      </c>
    </row>
    <row r="96" spans="1:7" ht="12.75">
      <c r="A96" s="122" t="s">
        <v>27</v>
      </c>
      <c r="B96" s="121">
        <v>45.1</v>
      </c>
      <c r="C96" s="30">
        <f t="shared" si="1"/>
        <v>44</v>
      </c>
      <c r="D96" s="76">
        <v>0.3414301552106429</v>
      </c>
      <c r="E96" s="81">
        <v>3.4143015521064288E-2</v>
      </c>
      <c r="F96" s="81">
        <v>3.4143015521064288E-2</v>
      </c>
      <c r="G96" s="82">
        <v>3.6314855875831491E-2</v>
      </c>
    </row>
    <row r="97" spans="1:7" ht="12.75">
      <c r="A97" s="122" t="s">
        <v>28</v>
      </c>
      <c r="B97" s="121">
        <v>46.1</v>
      </c>
      <c r="C97" s="30">
        <f t="shared" si="1"/>
        <v>45.1</v>
      </c>
      <c r="D97" s="76">
        <v>0.35571583514099769</v>
      </c>
      <c r="E97" s="81">
        <v>3.5571583514099774E-2</v>
      </c>
      <c r="F97" s="81">
        <v>3.5571583514099774E-2</v>
      </c>
      <c r="G97" s="82">
        <v>3.7696312364425159E-2</v>
      </c>
    </row>
    <row r="98" spans="1:7" ht="12.75">
      <c r="A98" s="122" t="s">
        <v>29</v>
      </c>
      <c r="B98" s="121">
        <v>47.1</v>
      </c>
      <c r="C98" s="30">
        <f t="shared" si="1"/>
        <v>46.1</v>
      </c>
      <c r="D98" s="76">
        <v>0.36939490445859863</v>
      </c>
      <c r="E98" s="81">
        <v>3.6939490445859861E-2</v>
      </c>
      <c r="F98" s="81">
        <v>3.6939490445859861E-2</v>
      </c>
      <c r="G98" s="82">
        <v>3.9019108280254781E-2</v>
      </c>
    </row>
    <row r="99" spans="1:7" ht="12.75">
      <c r="A99" s="122" t="s">
        <v>30</v>
      </c>
      <c r="B99" s="121">
        <v>48.1</v>
      </c>
      <c r="C99" s="30">
        <f t="shared" si="1"/>
        <v>47.1</v>
      </c>
      <c r="D99" s="76">
        <v>0.3825051975051974</v>
      </c>
      <c r="E99" s="81">
        <v>3.825051975051974E-2</v>
      </c>
      <c r="F99" s="81">
        <v>3.825051975051974E-2</v>
      </c>
      <c r="G99" s="82">
        <v>4.1721413721413705E-2</v>
      </c>
    </row>
    <row r="100" spans="1:7" ht="12.75">
      <c r="A100" s="122" t="s">
        <v>31</v>
      </c>
      <c r="B100" s="121">
        <v>49.2</v>
      </c>
      <c r="C100" s="30">
        <f t="shared" si="1"/>
        <v>48.1</v>
      </c>
      <c r="D100" s="76">
        <v>0.39631097560975598</v>
      </c>
      <c r="E100" s="81">
        <v>3.9631097560975603E-2</v>
      </c>
      <c r="F100" s="81">
        <v>3.9631097560975603E-2</v>
      </c>
      <c r="G100" s="82">
        <v>4.9731707317073159E-2</v>
      </c>
    </row>
    <row r="101" spans="1:7" ht="12.75">
      <c r="A101" s="122" t="s">
        <v>32</v>
      </c>
      <c r="B101" s="121">
        <v>50.3</v>
      </c>
      <c r="C101" s="30">
        <f t="shared" si="1"/>
        <v>49.2</v>
      </c>
      <c r="D101" s="76">
        <v>0.4095129224652086</v>
      </c>
      <c r="E101" s="81">
        <v>4.5707753479125146E-2</v>
      </c>
      <c r="F101" s="81">
        <v>4.5707753479125146E-2</v>
      </c>
      <c r="G101" s="82">
        <v>5.7391650099403529E-2</v>
      </c>
    </row>
    <row r="102" spans="1:7" ht="12.75">
      <c r="A102" s="122" t="s">
        <v>33</v>
      </c>
      <c r="B102" s="121">
        <v>51.6</v>
      </c>
      <c r="C102" s="30">
        <f t="shared" si="1"/>
        <v>50.3</v>
      </c>
      <c r="D102" s="76">
        <v>0.42438953488372083</v>
      </c>
      <c r="E102" s="81">
        <v>5.4633720930232492E-2</v>
      </c>
      <c r="F102" s="81">
        <v>5.4633720930232492E-2</v>
      </c>
      <c r="G102" s="82">
        <v>6.6023255813953477E-2</v>
      </c>
    </row>
    <row r="103" spans="1:7" ht="12.75">
      <c r="A103" s="122" t="s">
        <v>34</v>
      </c>
      <c r="B103" s="121">
        <v>52.8</v>
      </c>
      <c r="C103" s="30">
        <f t="shared" si="1"/>
        <v>51.6</v>
      </c>
      <c r="D103" s="76">
        <v>0.43747159090909077</v>
      </c>
      <c r="E103" s="81">
        <v>6.2482954545454453E-2</v>
      </c>
      <c r="F103" s="81">
        <v>6.2482954545454453E-2</v>
      </c>
      <c r="G103" s="82">
        <v>7.3613636363636312E-2</v>
      </c>
    </row>
    <row r="104" spans="1:7" ht="12.75">
      <c r="A104" s="122" t="s">
        <v>35</v>
      </c>
      <c r="B104" s="121">
        <v>54</v>
      </c>
      <c r="C104" s="30">
        <f t="shared" si="1"/>
        <v>52.8</v>
      </c>
      <c r="D104" s="76">
        <v>0.44997222222222211</v>
      </c>
      <c r="E104" s="81">
        <v>6.9983333333333259E-2</v>
      </c>
      <c r="F104" s="81">
        <v>6.9983333333333259E-2</v>
      </c>
      <c r="G104" s="82">
        <v>8.0866666666666642E-2</v>
      </c>
    </row>
    <row r="105" spans="1:7" ht="12.75">
      <c r="A105" s="122" t="s">
        <v>36</v>
      </c>
      <c r="B105" s="121">
        <v>55.2</v>
      </c>
      <c r="C105" s="30">
        <f t="shared" si="1"/>
        <v>54</v>
      </c>
      <c r="D105" s="76">
        <v>0.46192934782608686</v>
      </c>
      <c r="E105" s="81">
        <v>7.7157608695652108E-2</v>
      </c>
      <c r="F105" s="81">
        <v>7.7157608695652108E-2</v>
      </c>
      <c r="G105" s="82">
        <v>8.7804347826086954E-2</v>
      </c>
    </row>
    <row r="106" spans="1:7" ht="12.75">
      <c r="A106" s="122" t="s">
        <v>37</v>
      </c>
      <c r="B106" s="121">
        <v>56.4</v>
      </c>
      <c r="C106" s="30">
        <f t="shared" si="1"/>
        <v>55.2</v>
      </c>
      <c r="D106" s="76">
        <v>0.47337765957446798</v>
      </c>
      <c r="E106" s="81">
        <v>8.4026595744680771E-2</v>
      </c>
      <c r="F106" s="81">
        <v>8.4026595744680771E-2</v>
      </c>
      <c r="G106" s="82">
        <v>9.4446808510638275E-2</v>
      </c>
    </row>
    <row r="107" spans="1:7" ht="12.75">
      <c r="A107" s="122" t="s">
        <v>38</v>
      </c>
      <c r="B107" s="121">
        <v>57.9</v>
      </c>
      <c r="C107" s="30">
        <f t="shared" si="1"/>
        <v>56.4</v>
      </c>
      <c r="D107" s="76">
        <v>0.48702072538860092</v>
      </c>
      <c r="E107" s="81">
        <v>9.2212435233160542E-2</v>
      </c>
      <c r="F107" s="81">
        <v>9.2212435233160542E-2</v>
      </c>
      <c r="G107" s="82">
        <v>0.10236269430051811</v>
      </c>
    </row>
    <row r="108" spans="1:7" ht="12.75">
      <c r="A108" s="122" t="s">
        <v>39</v>
      </c>
      <c r="B108" s="121">
        <v>59.6</v>
      </c>
      <c r="C108" s="30">
        <f t="shared" si="1"/>
        <v>57.9</v>
      </c>
      <c r="D108" s="76">
        <v>0.50165268456375833</v>
      </c>
      <c r="E108" s="81">
        <v>0.10099161073825497</v>
      </c>
      <c r="F108" s="81">
        <v>0.10099161073825497</v>
      </c>
      <c r="G108" s="82">
        <v>0.11085234899328858</v>
      </c>
    </row>
    <row r="109" spans="1:7" ht="12.75">
      <c r="A109" s="122" t="s">
        <v>40</v>
      </c>
      <c r="B109" s="121">
        <v>61.4</v>
      </c>
      <c r="C109" s="30">
        <f t="shared" si="1"/>
        <v>59.6</v>
      </c>
      <c r="D109" s="76">
        <v>0.51626221498371327</v>
      </c>
      <c r="E109" s="81">
        <v>0.10975732899022794</v>
      </c>
      <c r="F109" s="81">
        <v>0.10975732899022794</v>
      </c>
      <c r="G109" s="82">
        <v>0.11932899022801301</v>
      </c>
    </row>
    <row r="110" spans="1:7" ht="12.75">
      <c r="A110" s="122" t="s">
        <v>41</v>
      </c>
      <c r="B110" s="121">
        <v>63.4</v>
      </c>
      <c r="C110" s="30">
        <f t="shared" si="1"/>
        <v>61.4</v>
      </c>
      <c r="D110" s="76">
        <v>0.53152208201892737</v>
      </c>
      <c r="E110" s="81">
        <v>0.1189132492113564</v>
      </c>
      <c r="F110" s="81">
        <v>0.1189132492113564</v>
      </c>
      <c r="G110" s="82">
        <v>0.12818296529968454</v>
      </c>
    </row>
    <row r="111" spans="1:7" ht="12.75">
      <c r="A111" s="122" t="s">
        <v>42</v>
      </c>
      <c r="B111" s="121">
        <v>65.8</v>
      </c>
      <c r="C111" s="30">
        <f t="shared" si="1"/>
        <v>63.4</v>
      </c>
      <c r="D111" s="76">
        <v>0.54860942249240108</v>
      </c>
      <c r="E111" s="81">
        <v>0.12916565349544065</v>
      </c>
      <c r="F111" s="81">
        <v>0.12916565349544065</v>
      </c>
      <c r="G111" s="82">
        <v>0.13809726443768994</v>
      </c>
    </row>
    <row r="112" spans="1:7" ht="12.75">
      <c r="A112" s="122" t="s">
        <v>43</v>
      </c>
      <c r="B112" s="121">
        <v>68.3</v>
      </c>
      <c r="C112" s="30">
        <f t="shared" si="1"/>
        <v>65.8</v>
      </c>
      <c r="D112" s="76">
        <v>0.56513177159590022</v>
      </c>
      <c r="E112" s="81">
        <v>0.13907906295754019</v>
      </c>
      <c r="F112" s="81">
        <v>0.13907906295754019</v>
      </c>
      <c r="G112" s="82">
        <v>0.1476837481698389</v>
      </c>
    </row>
    <row r="113" spans="1:7" ht="12.75">
      <c r="A113" s="122" t="s">
        <v>44</v>
      </c>
      <c r="B113" s="121">
        <v>71.2</v>
      </c>
      <c r="C113" s="30">
        <f t="shared" si="1"/>
        <v>68.3</v>
      </c>
      <c r="D113" s="76">
        <v>0.58284410112359542</v>
      </c>
      <c r="E113" s="81">
        <v>0.14970646067415724</v>
      </c>
      <c r="F113" s="81">
        <v>0.14970646067415724</v>
      </c>
      <c r="G113" s="82">
        <v>0.15796067415730336</v>
      </c>
    </row>
    <row r="114" spans="1:7" ht="12.75">
      <c r="A114" s="122" t="s">
        <v>45</v>
      </c>
      <c r="B114" s="121">
        <v>74.099999999999994</v>
      </c>
      <c r="C114" s="30">
        <f t="shared" si="1"/>
        <v>71.2</v>
      </c>
      <c r="D114" s="76">
        <v>0.59917004048582978</v>
      </c>
      <c r="E114" s="81">
        <v>0.1595020242914979</v>
      </c>
      <c r="F114" s="81">
        <v>0.1595020242914979</v>
      </c>
      <c r="G114" s="82">
        <v>0.16743319838056678</v>
      </c>
    </row>
    <row r="115" spans="1:7" ht="12.75">
      <c r="A115" s="122" t="s">
        <v>46</v>
      </c>
      <c r="B115" s="121">
        <v>78</v>
      </c>
      <c r="C115" s="30">
        <f t="shared" si="1"/>
        <v>74.099999999999994</v>
      </c>
      <c r="D115" s="76">
        <v>0.61921153846153831</v>
      </c>
      <c r="E115" s="81">
        <v>0.17152692307692302</v>
      </c>
      <c r="F115" s="81">
        <v>0.17152692307692302</v>
      </c>
      <c r="G115" s="82">
        <v>0.17906153846153844</v>
      </c>
    </row>
    <row r="116" spans="1:7" ht="12.75">
      <c r="A116" s="122" t="s">
        <v>47</v>
      </c>
      <c r="B116" s="121">
        <v>82.1</v>
      </c>
      <c r="C116" s="30">
        <f t="shared" si="1"/>
        <v>78</v>
      </c>
      <c r="D116" s="76">
        <v>0.63822777101096206</v>
      </c>
      <c r="E116" s="81">
        <v>0.18293666260657729</v>
      </c>
      <c r="F116" s="81">
        <v>0.18293666260657729</v>
      </c>
      <c r="G116" s="82">
        <v>0.19009500609013394</v>
      </c>
    </row>
    <row r="117" spans="1:7" ht="12.75">
      <c r="A117" s="122" t="s">
        <v>48</v>
      </c>
      <c r="B117" s="121">
        <v>87.4</v>
      </c>
      <c r="C117" s="30">
        <f t="shared" si="1"/>
        <v>82.1</v>
      </c>
      <c r="D117" s="76">
        <v>0.66016590389016006</v>
      </c>
      <c r="E117" s="81">
        <v>0.1960995423340961</v>
      </c>
      <c r="F117" s="81">
        <v>0.1960995423340961</v>
      </c>
      <c r="G117" s="82">
        <v>0.20282379862700228</v>
      </c>
    </row>
    <row r="118" spans="1:7" ht="12.75">
      <c r="A118" s="122" t="s">
        <v>49</v>
      </c>
      <c r="B118" s="121">
        <v>94.1</v>
      </c>
      <c r="C118" s="30">
        <f t="shared" si="1"/>
        <v>87.4</v>
      </c>
      <c r="D118" s="76">
        <v>0.68436238044633357</v>
      </c>
      <c r="E118" s="81">
        <v>0.21061742826780017</v>
      </c>
      <c r="F118" s="81">
        <v>0.21061742826780017</v>
      </c>
      <c r="G118" s="82">
        <v>0.21686291179596173</v>
      </c>
    </row>
    <row r="119" spans="1:7" ht="12.75">
      <c r="A119" s="122" t="s">
        <v>50</v>
      </c>
      <c r="B119" s="121">
        <v>103.4</v>
      </c>
      <c r="C119" s="30">
        <f t="shared" si="1"/>
        <v>94.1</v>
      </c>
      <c r="D119" s="76">
        <v>0.71275145067698253</v>
      </c>
      <c r="E119" s="81">
        <v>0.22765087040618953</v>
      </c>
      <c r="F119" s="81">
        <v>0.22765087040618953</v>
      </c>
      <c r="G119" s="82">
        <v>0.23333462282398454</v>
      </c>
    </row>
    <row r="120" spans="1:7" ht="12.75">
      <c r="A120" s="122" t="s">
        <v>51</v>
      </c>
      <c r="B120" s="121">
        <v>116.9</v>
      </c>
      <c r="C120" s="30">
        <f t="shared" si="1"/>
        <v>103.4</v>
      </c>
      <c r="D120" s="76">
        <v>0.74592386655260901</v>
      </c>
      <c r="E120" s="81">
        <v>0.24755431993156543</v>
      </c>
      <c r="F120" s="81">
        <v>0.24755431993156543</v>
      </c>
      <c r="G120" s="82">
        <v>0.25258169375534645</v>
      </c>
    </row>
    <row r="121" spans="1:7" ht="12.75">
      <c r="A121" s="122" t="s">
        <v>52</v>
      </c>
      <c r="B121" s="121">
        <v>147.30000000000001</v>
      </c>
      <c r="C121" s="30">
        <f t="shared" si="1"/>
        <v>116.9</v>
      </c>
      <c r="D121" s="76">
        <v>0.79836048879837063</v>
      </c>
      <c r="E121" s="81">
        <v>0.27901629327902239</v>
      </c>
      <c r="F121" s="81">
        <v>0.27901629327902239</v>
      </c>
      <c r="G121" s="82">
        <v>0.28300610997963344</v>
      </c>
    </row>
    <row r="122" spans="1:7" ht="12.75">
      <c r="A122" s="122" t="s">
        <v>53</v>
      </c>
      <c r="B122" s="121">
        <v>299.2</v>
      </c>
      <c r="C122" s="30">
        <f>B121</f>
        <v>147.30000000000001</v>
      </c>
      <c r="D122" s="76">
        <v>0.90073028074866301</v>
      </c>
      <c r="E122" s="81">
        <v>0.34043816844919794</v>
      </c>
      <c r="F122" s="81">
        <v>0.34043816844919794</v>
      </c>
      <c r="G122" s="82">
        <v>0.34240240641711228</v>
      </c>
    </row>
    <row r="123" spans="1:7" ht="13.5" thickBot="1">
      <c r="A123" s="123" t="s">
        <v>53</v>
      </c>
      <c r="B123" s="124" t="s">
        <v>92</v>
      </c>
      <c r="C123" s="30">
        <f t="shared" si="1"/>
        <v>299.2</v>
      </c>
      <c r="D123" s="76"/>
      <c r="E123" s="87"/>
      <c r="F123" s="87"/>
      <c r="G123" s="88"/>
    </row>
    <row r="124" spans="1:7" ht="13.5" thickBot="1">
      <c r="A124" s="89"/>
      <c r="B124" s="125"/>
      <c r="C124" s="29"/>
      <c r="D124" s="126"/>
      <c r="E124" s="127">
        <v>7.4904276076259574E-2</v>
      </c>
      <c r="F124" s="127">
        <v>7.4904276076259574E-2</v>
      </c>
      <c r="G124" s="128">
        <v>7.9846930884871409E-2</v>
      </c>
    </row>
    <row r="125" spans="1:7" ht="51">
      <c r="A125" s="94" t="s">
        <v>55</v>
      </c>
      <c r="B125" s="129">
        <v>34.200000000000003</v>
      </c>
      <c r="C125" s="29"/>
      <c r="D125" s="96"/>
      <c r="E125" s="97">
        <v>49.502500000000012</v>
      </c>
      <c r="F125" s="98">
        <v>49.502500000000012</v>
      </c>
      <c r="G125" s="99">
        <v>47.870000000000005</v>
      </c>
    </row>
    <row r="126" spans="1:7" ht="52.5" customHeight="1">
      <c r="A126" s="100" t="s">
        <v>56</v>
      </c>
      <c r="B126" s="130">
        <v>56.7</v>
      </c>
      <c r="C126" s="29"/>
      <c r="D126" s="102"/>
      <c r="E126" s="103"/>
      <c r="F126" s="103"/>
      <c r="G126" s="104"/>
    </row>
    <row r="127" spans="1:7" ht="78" customHeight="1" thickBot="1">
      <c r="A127" s="105" t="s">
        <v>57</v>
      </c>
      <c r="B127" s="131">
        <v>20.5</v>
      </c>
      <c r="C127" s="29"/>
      <c r="D127" s="87"/>
      <c r="E127" s="86">
        <v>29.701500000000006</v>
      </c>
      <c r="F127" s="86">
        <v>29.701500000000006</v>
      </c>
      <c r="G127" s="107">
        <v>28.722000000000001</v>
      </c>
    </row>
    <row r="128" spans="1:7" ht="15.75" thickBot="1"/>
    <row r="129" spans="1:7" ht="51.75" thickBot="1">
      <c r="A129" s="108" t="s">
        <v>56</v>
      </c>
      <c r="B129" s="109">
        <f>B126</f>
        <v>56.7</v>
      </c>
    </row>
    <row r="130" spans="1:7">
      <c r="A130" s="110" t="s">
        <v>64</v>
      </c>
      <c r="B130" s="111">
        <f>AVERAGE(B78:B117)</f>
        <v>49.502500000000012</v>
      </c>
      <c r="C130" s="17"/>
    </row>
    <row r="131" spans="1:7">
      <c r="A131" s="112" t="s">
        <v>65</v>
      </c>
      <c r="B131" s="113">
        <f>AVERAGE(B83:B112)</f>
        <v>47.870000000000005</v>
      </c>
      <c r="C131" s="18"/>
    </row>
    <row r="132" spans="1:7" ht="15.75" thickBot="1">
      <c r="A132" s="114" t="s">
        <v>66</v>
      </c>
      <c r="B132" s="115">
        <f>AVERAGE(B89:B107)</f>
        <v>47.55263157894737</v>
      </c>
      <c r="C132" s="18"/>
    </row>
    <row r="133" spans="1:7" ht="15.75" thickBot="1"/>
    <row r="134" spans="1:7" ht="13.5" thickBot="1">
      <c r="A134" s="535" t="s">
        <v>0</v>
      </c>
      <c r="B134" s="538" t="s">
        <v>78</v>
      </c>
      <c r="C134" s="539"/>
      <c r="D134" s="540"/>
      <c r="E134" s="62">
        <f>(1-E189)^(1/3)-1</f>
        <v>-2.9975092799374825E-2</v>
      </c>
      <c r="F134" s="63">
        <f>(1-F189)^(1/3)-1</f>
        <v>-2.9975092799374825E-2</v>
      </c>
      <c r="G134" s="64"/>
    </row>
    <row r="135" spans="1:7" ht="77.25" thickBot="1">
      <c r="A135" s="536"/>
      <c r="B135" s="65" t="s">
        <v>4</v>
      </c>
      <c r="C135" s="254"/>
      <c r="D135" s="65" t="s">
        <v>80</v>
      </c>
      <c r="E135" s="65" t="s">
        <v>5</v>
      </c>
      <c r="F135" s="65" t="s">
        <v>5</v>
      </c>
      <c r="G135" s="65"/>
    </row>
    <row r="136" spans="1:7" ht="26.25" thickBot="1">
      <c r="A136" s="537"/>
      <c r="B136" s="66" t="s">
        <v>9</v>
      </c>
      <c r="C136" s="254"/>
      <c r="D136" s="66" t="s">
        <v>7</v>
      </c>
      <c r="E136" s="67" t="s">
        <v>82</v>
      </c>
      <c r="F136" s="68" t="s">
        <v>83</v>
      </c>
      <c r="G136" s="68"/>
    </row>
    <row r="137" spans="1:7" ht="13.5" thickBot="1">
      <c r="A137" s="69">
        <v>1</v>
      </c>
      <c r="B137" s="70">
        <v>2</v>
      </c>
      <c r="C137" s="51"/>
      <c r="D137" s="71">
        <v>3</v>
      </c>
      <c r="E137" s="72">
        <v>4</v>
      </c>
      <c r="F137" s="73">
        <v>5</v>
      </c>
      <c r="G137" s="72"/>
    </row>
    <row r="138" spans="1:7" ht="12.75">
      <c r="A138" s="74" t="s">
        <v>10</v>
      </c>
      <c r="B138" s="132">
        <v>0.55000000000000004</v>
      </c>
      <c r="C138" s="255">
        <v>0</v>
      </c>
      <c r="D138" s="76">
        <v>0</v>
      </c>
      <c r="E138" s="77">
        <v>0</v>
      </c>
      <c r="F138" s="77">
        <v>0</v>
      </c>
      <c r="G138" s="78">
        <v>0</v>
      </c>
    </row>
    <row r="139" spans="1:7" ht="12.75">
      <c r="A139" s="79" t="s">
        <v>58</v>
      </c>
      <c r="B139" s="133">
        <v>0.64</v>
      </c>
      <c r="C139" s="30">
        <f>B138</f>
        <v>0.55000000000000004</v>
      </c>
      <c r="D139" s="76">
        <v>0</v>
      </c>
      <c r="E139" s="81">
        <v>0</v>
      </c>
      <c r="F139" s="81">
        <v>0</v>
      </c>
      <c r="G139" s="82">
        <v>0</v>
      </c>
    </row>
    <row r="140" spans="1:7" ht="12.75">
      <c r="A140" s="79" t="s">
        <v>59</v>
      </c>
      <c r="B140" s="133">
        <v>0.71</v>
      </c>
      <c r="C140" s="30">
        <f t="shared" ref="C140:C188" si="2">B139</f>
        <v>0.64</v>
      </c>
      <c r="D140" s="76">
        <v>0</v>
      </c>
      <c r="E140" s="81">
        <v>0</v>
      </c>
      <c r="F140" s="81">
        <v>0</v>
      </c>
      <c r="G140" s="82">
        <v>0</v>
      </c>
    </row>
    <row r="141" spans="1:7" ht="12.75">
      <c r="A141" s="79" t="s">
        <v>60</v>
      </c>
      <c r="B141" s="133">
        <v>0.77</v>
      </c>
      <c r="C141" s="30">
        <f t="shared" si="2"/>
        <v>0.71</v>
      </c>
      <c r="D141" s="76">
        <v>0</v>
      </c>
      <c r="E141" s="81">
        <v>0</v>
      </c>
      <c r="F141" s="81">
        <v>0</v>
      </c>
      <c r="G141" s="82">
        <v>0</v>
      </c>
    </row>
    <row r="142" spans="1:7" ht="12.75">
      <c r="A142" s="79" t="s">
        <v>61</v>
      </c>
      <c r="B142" s="133">
        <v>0.83</v>
      </c>
      <c r="C142" s="30">
        <f t="shared" si="2"/>
        <v>0.77</v>
      </c>
      <c r="D142" s="76">
        <v>0</v>
      </c>
      <c r="E142" s="81">
        <v>0</v>
      </c>
      <c r="F142" s="81">
        <v>0</v>
      </c>
      <c r="G142" s="82">
        <v>0</v>
      </c>
    </row>
    <row r="143" spans="1:7" ht="12.75">
      <c r="A143" s="79" t="s">
        <v>62</v>
      </c>
      <c r="B143" s="133">
        <v>0.9</v>
      </c>
      <c r="C143" s="30">
        <f t="shared" si="2"/>
        <v>0.83</v>
      </c>
      <c r="D143" s="76">
        <v>0</v>
      </c>
      <c r="E143" s="81">
        <v>0</v>
      </c>
      <c r="F143" s="81">
        <v>0</v>
      </c>
      <c r="G143" s="82">
        <v>0</v>
      </c>
    </row>
    <row r="144" spans="1:7" ht="12.75">
      <c r="A144" s="79" t="s">
        <v>63</v>
      </c>
      <c r="B144" s="133">
        <v>0.95</v>
      </c>
      <c r="C144" s="30">
        <f t="shared" si="2"/>
        <v>0.9</v>
      </c>
      <c r="D144" s="76">
        <v>0</v>
      </c>
      <c r="E144" s="81">
        <v>0</v>
      </c>
      <c r="F144" s="81">
        <v>0</v>
      </c>
      <c r="G144" s="82">
        <v>0</v>
      </c>
    </row>
    <row r="145" spans="1:7" ht="12.75">
      <c r="A145" s="83" t="s">
        <v>11</v>
      </c>
      <c r="B145" s="133">
        <v>1.02</v>
      </c>
      <c r="C145" s="30">
        <f t="shared" si="2"/>
        <v>0.95</v>
      </c>
      <c r="D145" s="76">
        <v>0</v>
      </c>
      <c r="E145" s="81">
        <v>0</v>
      </c>
      <c r="F145" s="81">
        <v>0</v>
      </c>
      <c r="G145" s="82">
        <v>0</v>
      </c>
    </row>
    <row r="146" spans="1:7" ht="12.75">
      <c r="A146" s="83" t="s">
        <v>12</v>
      </c>
      <c r="B146" s="133">
        <v>1.0900000000000001</v>
      </c>
      <c r="C146" s="30">
        <f t="shared" si="2"/>
        <v>1.02</v>
      </c>
      <c r="D146" s="76">
        <v>0</v>
      </c>
      <c r="E146" s="81">
        <v>0</v>
      </c>
      <c r="F146" s="81">
        <v>0</v>
      </c>
      <c r="G146" s="82">
        <v>0</v>
      </c>
    </row>
    <row r="147" spans="1:7" ht="12.75">
      <c r="A147" s="83" t="s">
        <v>13</v>
      </c>
      <c r="B147" s="133">
        <v>1.1599999999999999</v>
      </c>
      <c r="C147" s="30">
        <f t="shared" si="2"/>
        <v>1.0900000000000001</v>
      </c>
      <c r="D147" s="76">
        <v>0</v>
      </c>
      <c r="E147" s="81">
        <v>0</v>
      </c>
      <c r="F147" s="81">
        <v>0</v>
      </c>
      <c r="G147" s="82">
        <v>0</v>
      </c>
    </row>
    <row r="148" spans="1:7" ht="12.75">
      <c r="A148" s="83" t="s">
        <v>14</v>
      </c>
      <c r="B148" s="133">
        <v>1.22</v>
      </c>
      <c r="C148" s="30">
        <f t="shared" si="2"/>
        <v>1.1599999999999999</v>
      </c>
      <c r="D148" s="76">
        <v>0</v>
      </c>
      <c r="E148" s="81">
        <v>0</v>
      </c>
      <c r="F148" s="81">
        <v>0</v>
      </c>
      <c r="G148" s="82">
        <v>0</v>
      </c>
    </row>
    <row r="149" spans="1:7" ht="12.75">
      <c r="A149" s="83" t="s">
        <v>15</v>
      </c>
      <c r="B149" s="133">
        <v>1.28</v>
      </c>
      <c r="C149" s="30">
        <f t="shared" si="2"/>
        <v>1.22</v>
      </c>
      <c r="D149" s="76">
        <v>0</v>
      </c>
      <c r="E149" s="81">
        <v>0</v>
      </c>
      <c r="F149" s="81">
        <v>0</v>
      </c>
      <c r="G149" s="82">
        <v>0</v>
      </c>
    </row>
    <row r="150" spans="1:7" ht="12.75">
      <c r="A150" s="83" t="s">
        <v>16</v>
      </c>
      <c r="B150" s="133">
        <v>1.33</v>
      </c>
      <c r="C150" s="30">
        <f t="shared" si="2"/>
        <v>1.28</v>
      </c>
      <c r="D150" s="76">
        <v>0</v>
      </c>
      <c r="E150" s="81">
        <v>0</v>
      </c>
      <c r="F150" s="81">
        <v>0</v>
      </c>
      <c r="G150" s="82">
        <v>0</v>
      </c>
    </row>
    <row r="151" spans="1:7" ht="12.75">
      <c r="A151" s="83" t="s">
        <v>17</v>
      </c>
      <c r="B151" s="133">
        <v>1.41</v>
      </c>
      <c r="C151" s="30">
        <f t="shared" si="2"/>
        <v>1.33</v>
      </c>
      <c r="D151" s="76">
        <v>0</v>
      </c>
      <c r="E151" s="81">
        <v>0</v>
      </c>
      <c r="F151" s="81">
        <v>0</v>
      </c>
      <c r="G151" s="82">
        <v>0</v>
      </c>
    </row>
    <row r="152" spans="1:7" ht="12.75">
      <c r="A152" s="83" t="s">
        <v>18</v>
      </c>
      <c r="B152" s="133">
        <v>1.47</v>
      </c>
      <c r="C152" s="30">
        <f t="shared" si="2"/>
        <v>1.41</v>
      </c>
      <c r="D152" s="76">
        <v>0</v>
      </c>
      <c r="E152" s="81">
        <v>0</v>
      </c>
      <c r="F152" s="81">
        <v>0</v>
      </c>
      <c r="G152" s="82">
        <v>0</v>
      </c>
    </row>
    <row r="153" spans="1:7" ht="12.75">
      <c r="A153" s="83" t="s">
        <v>19</v>
      </c>
      <c r="B153" s="133">
        <v>1.55</v>
      </c>
      <c r="C153" s="30">
        <f t="shared" si="2"/>
        <v>1.47</v>
      </c>
      <c r="D153" s="76">
        <v>0</v>
      </c>
      <c r="E153" s="81">
        <v>0</v>
      </c>
      <c r="F153" s="81">
        <v>0</v>
      </c>
      <c r="G153" s="82">
        <v>0</v>
      </c>
    </row>
    <row r="154" spans="1:7" ht="12.75">
      <c r="A154" s="83" t="s">
        <v>20</v>
      </c>
      <c r="B154" s="133">
        <v>1.65</v>
      </c>
      <c r="C154" s="30">
        <f t="shared" si="2"/>
        <v>1.55</v>
      </c>
      <c r="D154" s="76">
        <v>0</v>
      </c>
      <c r="E154" s="81">
        <v>0</v>
      </c>
      <c r="F154" s="81">
        <v>0</v>
      </c>
      <c r="G154" s="82">
        <v>0</v>
      </c>
    </row>
    <row r="155" spans="1:7" ht="12.75">
      <c r="A155" s="83" t="s">
        <v>21</v>
      </c>
      <c r="B155" s="133">
        <v>1.73</v>
      </c>
      <c r="C155" s="30">
        <f t="shared" si="2"/>
        <v>1.65</v>
      </c>
      <c r="D155" s="76">
        <v>0</v>
      </c>
      <c r="E155" s="81">
        <v>0</v>
      </c>
      <c r="F155" s="81">
        <v>0</v>
      </c>
      <c r="G155" s="82">
        <v>0</v>
      </c>
    </row>
    <row r="156" spans="1:7" ht="12.75">
      <c r="A156" s="83" t="s">
        <v>22</v>
      </c>
      <c r="B156" s="133">
        <v>1.83</v>
      </c>
      <c r="C156" s="30">
        <f t="shared" si="2"/>
        <v>1.73</v>
      </c>
      <c r="D156" s="76">
        <v>0</v>
      </c>
      <c r="E156" s="81">
        <v>0</v>
      </c>
      <c r="F156" s="81">
        <v>0</v>
      </c>
      <c r="G156" s="82">
        <v>0</v>
      </c>
    </row>
    <row r="157" spans="1:7" ht="12.75">
      <c r="A157" s="83" t="s">
        <v>23</v>
      </c>
      <c r="B157" s="133">
        <v>1.93</v>
      </c>
      <c r="C157" s="30">
        <f t="shared" si="2"/>
        <v>1.83</v>
      </c>
      <c r="D157" s="76">
        <v>0</v>
      </c>
      <c r="E157" s="81">
        <v>0</v>
      </c>
      <c r="F157" s="81">
        <v>0</v>
      </c>
      <c r="G157" s="82">
        <v>3.7823834196891171E-3</v>
      </c>
    </row>
    <row r="158" spans="1:7" ht="12.75">
      <c r="A158" s="83" t="s">
        <v>24</v>
      </c>
      <c r="B158" s="133">
        <v>2.02</v>
      </c>
      <c r="C158" s="30">
        <f t="shared" si="2"/>
        <v>1.93</v>
      </c>
      <c r="D158" s="76">
        <v>0</v>
      </c>
      <c r="E158" s="81">
        <v>0</v>
      </c>
      <c r="F158" s="81">
        <v>0</v>
      </c>
      <c r="G158" s="82">
        <v>8.0693069306930713E-3</v>
      </c>
    </row>
    <row r="159" spans="1:7" ht="12.75">
      <c r="A159" s="83" t="s">
        <v>25</v>
      </c>
      <c r="B159" s="133">
        <v>2.12</v>
      </c>
      <c r="C159" s="30">
        <f t="shared" si="2"/>
        <v>2.02</v>
      </c>
      <c r="D159" s="76">
        <v>0</v>
      </c>
      <c r="E159" s="81">
        <v>0</v>
      </c>
      <c r="F159" s="81">
        <v>0</v>
      </c>
      <c r="G159" s="82">
        <v>1.2405660377358498E-2</v>
      </c>
    </row>
    <row r="160" spans="1:7" ht="12.75">
      <c r="A160" s="83" t="s">
        <v>26</v>
      </c>
      <c r="B160" s="133">
        <v>2.23</v>
      </c>
      <c r="C160" s="30">
        <f t="shared" si="2"/>
        <v>2.12</v>
      </c>
      <c r="D160" s="76">
        <v>0</v>
      </c>
      <c r="E160" s="81">
        <v>0</v>
      </c>
      <c r="F160" s="81">
        <v>0</v>
      </c>
      <c r="G160" s="82">
        <v>1.672645739910314E-2</v>
      </c>
    </row>
    <row r="161" spans="1:7" ht="12.75">
      <c r="A161" s="83" t="s">
        <v>27</v>
      </c>
      <c r="B161" s="133">
        <v>2.31</v>
      </c>
      <c r="C161" s="30">
        <f t="shared" si="2"/>
        <v>2.23</v>
      </c>
      <c r="D161" s="76">
        <v>0</v>
      </c>
      <c r="E161" s="81">
        <v>0</v>
      </c>
      <c r="F161" s="81">
        <v>0</v>
      </c>
      <c r="G161" s="82">
        <v>1.9610389610389613E-2</v>
      </c>
    </row>
    <row r="162" spans="1:7" ht="12.75">
      <c r="A162" s="83" t="s">
        <v>28</v>
      </c>
      <c r="B162" s="133">
        <v>2.4300000000000002</v>
      </c>
      <c r="C162" s="30">
        <f t="shared" si="2"/>
        <v>2.31</v>
      </c>
      <c r="D162" s="76">
        <v>4.6049382716049518E-2</v>
      </c>
      <c r="E162" s="81"/>
      <c r="F162" s="81">
        <v>4.6049382716049515E-3</v>
      </c>
      <c r="G162" s="82">
        <v>2.3580246913580252E-2</v>
      </c>
    </row>
    <row r="163" spans="1:7" ht="12.75">
      <c r="A163" s="83" t="s">
        <v>29</v>
      </c>
      <c r="B163" s="133">
        <v>2.57</v>
      </c>
      <c r="C163" s="30">
        <f t="shared" si="2"/>
        <v>2.4300000000000002</v>
      </c>
      <c r="D163" s="76">
        <v>9.8015564202334635E-2</v>
      </c>
      <c r="E163" s="81">
        <v>9.8015564202334655E-3</v>
      </c>
      <c r="F163" s="81">
        <v>9.8015564202334655E-3</v>
      </c>
      <c r="G163" s="82">
        <v>2.7743190661478595E-2</v>
      </c>
    </row>
    <row r="164" spans="1:7" ht="12.75">
      <c r="A164" s="83" t="s">
        <v>30</v>
      </c>
      <c r="B164" s="133">
        <v>2.73</v>
      </c>
      <c r="C164" s="30">
        <f t="shared" si="2"/>
        <v>2.57</v>
      </c>
      <c r="D164" s="76">
        <v>0.15087912087912095</v>
      </c>
      <c r="E164" s="81">
        <v>1.5087912087912094E-2</v>
      </c>
      <c r="F164" s="81">
        <v>1.5087912087912094E-2</v>
      </c>
      <c r="G164" s="82">
        <v>3.1978021978021978E-2</v>
      </c>
    </row>
    <row r="165" spans="1:7" ht="12.75">
      <c r="A165" s="83" t="s">
        <v>31</v>
      </c>
      <c r="B165" s="133">
        <v>2.89</v>
      </c>
      <c r="C165" s="30">
        <f t="shared" si="2"/>
        <v>2.73</v>
      </c>
      <c r="D165" s="76">
        <v>0.19788927335640147</v>
      </c>
      <c r="E165" s="81">
        <v>1.9788927335640149E-2</v>
      </c>
      <c r="F165" s="81">
        <v>1.9788927335640149E-2</v>
      </c>
      <c r="G165" s="82">
        <v>3.5743944636678203E-2</v>
      </c>
    </row>
    <row r="166" spans="1:7" ht="12.75">
      <c r="A166" s="83" t="s">
        <v>32</v>
      </c>
      <c r="B166" s="133">
        <v>3.06</v>
      </c>
      <c r="C166" s="30">
        <f t="shared" si="2"/>
        <v>2.89</v>
      </c>
      <c r="D166" s="76">
        <v>0.24245098039215693</v>
      </c>
      <c r="E166" s="81">
        <v>2.4245098039215693E-2</v>
      </c>
      <c r="F166" s="81">
        <v>2.4245098039215693E-2</v>
      </c>
      <c r="G166" s="82">
        <v>3.9313725490196086E-2</v>
      </c>
    </row>
    <row r="167" spans="1:7" ht="12.75">
      <c r="A167" s="83" t="s">
        <v>33</v>
      </c>
      <c r="B167" s="133">
        <v>3.26</v>
      </c>
      <c r="C167" s="30">
        <f t="shared" si="2"/>
        <v>3.06</v>
      </c>
      <c r="D167" s="76">
        <v>0.28892638036809815</v>
      </c>
      <c r="E167" s="81">
        <v>2.8892638036809817E-2</v>
      </c>
      <c r="F167" s="81">
        <v>2.8892638036809817E-2</v>
      </c>
      <c r="G167" s="82">
        <v>5.8220858895705482E-2</v>
      </c>
    </row>
    <row r="168" spans="1:7" ht="12.75">
      <c r="A168" s="83" t="s">
        <v>34</v>
      </c>
      <c r="B168" s="133">
        <v>3.46</v>
      </c>
      <c r="C168" s="30">
        <f t="shared" si="2"/>
        <v>3.26</v>
      </c>
      <c r="D168" s="76">
        <v>0.3300289017341041</v>
      </c>
      <c r="E168" s="81">
        <v>3.3002890173410411E-2</v>
      </c>
      <c r="F168" s="81">
        <v>3.3002890173410411E-2</v>
      </c>
      <c r="G168" s="82">
        <v>7.7976878612716738E-2</v>
      </c>
    </row>
    <row r="169" spans="1:7" ht="12.75">
      <c r="A169" s="83" t="s">
        <v>35</v>
      </c>
      <c r="B169" s="133">
        <v>3.73</v>
      </c>
      <c r="C169" s="30">
        <f t="shared" si="2"/>
        <v>3.46</v>
      </c>
      <c r="D169" s="76">
        <v>0.37852546916890084</v>
      </c>
      <c r="E169" s="81">
        <v>3.7852546916890085E-2</v>
      </c>
      <c r="F169" s="81">
        <v>3.7852546916890085E-2</v>
      </c>
      <c r="G169" s="82">
        <v>0.10128686327077747</v>
      </c>
    </row>
    <row r="170" spans="1:7" ht="12.75">
      <c r="A170" s="83" t="s">
        <v>36</v>
      </c>
      <c r="B170" s="133">
        <v>4.0599999999999996</v>
      </c>
      <c r="C170" s="30">
        <f t="shared" si="2"/>
        <v>3.73</v>
      </c>
      <c r="D170" s="76">
        <v>0.42903940886699504</v>
      </c>
      <c r="E170" s="81">
        <v>5.7423645320197038E-2</v>
      </c>
      <c r="F170" s="81">
        <v>5.7423645320197038E-2</v>
      </c>
      <c r="G170" s="82">
        <v>0.12556650246305415</v>
      </c>
    </row>
    <row r="171" spans="1:7" ht="12.75">
      <c r="A171" s="83" t="s">
        <v>37</v>
      </c>
      <c r="B171" s="133">
        <v>4.3899999999999997</v>
      </c>
      <c r="C171" s="30">
        <f t="shared" si="2"/>
        <v>4.0599999999999996</v>
      </c>
      <c r="D171" s="76">
        <v>0.47195899772209565</v>
      </c>
      <c r="E171" s="81">
        <v>8.3175398633257416E-2</v>
      </c>
      <c r="F171" s="81">
        <v>8.3175398633257416E-2</v>
      </c>
      <c r="G171" s="82">
        <v>0.14619589977220954</v>
      </c>
    </row>
    <row r="172" spans="1:7" ht="12.75">
      <c r="A172" s="83" t="s">
        <v>38</v>
      </c>
      <c r="B172" s="133">
        <v>4.6500000000000004</v>
      </c>
      <c r="C172" s="30">
        <f t="shared" si="2"/>
        <v>4.3899999999999997</v>
      </c>
      <c r="D172" s="76">
        <v>0.50148387096774205</v>
      </c>
      <c r="E172" s="81">
        <v>0.10089032258064522</v>
      </c>
      <c r="F172" s="81">
        <v>0.10089032258064522</v>
      </c>
      <c r="G172" s="82">
        <v>0.16038709677419358</v>
      </c>
    </row>
    <row r="173" spans="1:7" ht="12.75">
      <c r="A173" s="83" t="s">
        <v>39</v>
      </c>
      <c r="B173" s="133">
        <v>5.18</v>
      </c>
      <c r="C173" s="30">
        <f t="shared" si="2"/>
        <v>4.6500000000000004</v>
      </c>
      <c r="D173" s="76">
        <v>0.55249034749034753</v>
      </c>
      <c r="E173" s="81">
        <v>0.13149420849420851</v>
      </c>
      <c r="F173" s="81">
        <v>0.13149420849420851</v>
      </c>
      <c r="G173" s="82">
        <v>0.18490347490347489</v>
      </c>
    </row>
    <row r="174" spans="1:7" ht="12.75">
      <c r="A174" s="83" t="s">
        <v>40</v>
      </c>
      <c r="B174" s="133">
        <v>5.67</v>
      </c>
      <c r="C174" s="30">
        <f t="shared" si="2"/>
        <v>5.18</v>
      </c>
      <c r="D174" s="76">
        <v>0.59116402116402123</v>
      </c>
      <c r="E174" s="81">
        <v>0.15469841269841272</v>
      </c>
      <c r="F174" s="81">
        <v>0.15469841269841272</v>
      </c>
      <c r="G174" s="82">
        <v>0.20349206349206347</v>
      </c>
    </row>
    <row r="175" spans="1:7" ht="12.75">
      <c r="A175" s="83" t="s">
        <v>41</v>
      </c>
      <c r="B175" s="133">
        <v>6.19</v>
      </c>
      <c r="C175" s="30">
        <f t="shared" si="2"/>
        <v>5.67</v>
      </c>
      <c r="D175" s="76">
        <v>0.62550888529886917</v>
      </c>
      <c r="E175" s="81">
        <v>0.17530533117932154</v>
      </c>
      <c r="F175" s="81">
        <v>0.17530533117932154</v>
      </c>
      <c r="G175" s="82">
        <v>0.22</v>
      </c>
    </row>
    <row r="176" spans="1:7" ht="12.75">
      <c r="A176" s="83" t="s">
        <v>42</v>
      </c>
      <c r="B176" s="133">
        <v>6.86</v>
      </c>
      <c r="C176" s="30">
        <f t="shared" si="2"/>
        <v>6.19</v>
      </c>
      <c r="D176" s="76">
        <v>0.66208454810495621</v>
      </c>
      <c r="E176" s="81">
        <v>0.19725072886297379</v>
      </c>
      <c r="F176" s="81">
        <v>0.19725072886297379</v>
      </c>
      <c r="G176" s="82">
        <v>0.23758017492711375</v>
      </c>
    </row>
    <row r="177" spans="1:7" ht="12.75">
      <c r="A177" s="83" t="s">
        <v>43</v>
      </c>
      <c r="B177" s="133">
        <v>7.64</v>
      </c>
      <c r="C177" s="30">
        <f t="shared" si="2"/>
        <v>6.86</v>
      </c>
      <c r="D177" s="76">
        <v>0.69658376963350777</v>
      </c>
      <c r="E177" s="81">
        <v>0.21795026178010474</v>
      </c>
      <c r="F177" s="81">
        <v>0.21795026178010474</v>
      </c>
      <c r="G177" s="82">
        <v>0.25416230366492149</v>
      </c>
    </row>
    <row r="178" spans="1:7" ht="12.75">
      <c r="A178" s="83" t="s">
        <v>44</v>
      </c>
      <c r="B178" s="133">
        <v>8.8000000000000007</v>
      </c>
      <c r="C178" s="30">
        <f t="shared" si="2"/>
        <v>7.64</v>
      </c>
      <c r="D178" s="76">
        <v>0.73657954545454551</v>
      </c>
      <c r="E178" s="81">
        <v>0.24194772727272731</v>
      </c>
      <c r="F178" s="81">
        <v>0.24194772727272731</v>
      </c>
      <c r="G178" s="82">
        <v>0.27338636363636365</v>
      </c>
    </row>
    <row r="179" spans="1:7" ht="12.75">
      <c r="A179" s="83" t="s">
        <v>45</v>
      </c>
      <c r="B179" s="133">
        <v>9.8000000000000007</v>
      </c>
      <c r="C179" s="30">
        <f t="shared" si="2"/>
        <v>8.8000000000000007</v>
      </c>
      <c r="D179" s="76">
        <v>0.76345918367346943</v>
      </c>
      <c r="E179" s="81">
        <v>0.25807551020408165</v>
      </c>
      <c r="F179" s="81">
        <v>0.25807551020408165</v>
      </c>
      <c r="G179" s="82">
        <v>0.28630612244897963</v>
      </c>
    </row>
    <row r="180" spans="1:7" ht="12.75">
      <c r="A180" s="83" t="s">
        <v>46</v>
      </c>
      <c r="B180" s="133">
        <v>11.14</v>
      </c>
      <c r="C180" s="30">
        <f t="shared" si="2"/>
        <v>9.8000000000000007</v>
      </c>
      <c r="D180" s="76">
        <v>0.7919120287253143</v>
      </c>
      <c r="E180" s="81">
        <v>0.27514721723518853</v>
      </c>
      <c r="F180" s="81">
        <v>0.27514721723518853</v>
      </c>
      <c r="G180" s="82">
        <v>0.29998204667863554</v>
      </c>
    </row>
    <row r="181" spans="1:7" ht="12.75">
      <c r="A181" s="83" t="s">
        <v>47</v>
      </c>
      <c r="B181" s="133">
        <v>12.85</v>
      </c>
      <c r="C181" s="30">
        <f t="shared" si="2"/>
        <v>11.14</v>
      </c>
      <c r="D181" s="76">
        <v>0.81960311284046694</v>
      </c>
      <c r="E181" s="81">
        <v>0.29176186770428014</v>
      </c>
      <c r="F181" s="81">
        <v>0.29176186770428014</v>
      </c>
      <c r="G181" s="82">
        <v>0.31329182879377426</v>
      </c>
    </row>
    <row r="182" spans="1:7" ht="12.75">
      <c r="A182" s="83" t="s">
        <v>48</v>
      </c>
      <c r="B182" s="133">
        <v>13.98</v>
      </c>
      <c r="C182" s="30">
        <f t="shared" si="2"/>
        <v>12.85</v>
      </c>
      <c r="D182" s="76">
        <v>0.83418454935622321</v>
      </c>
      <c r="E182" s="81">
        <v>0.30051072961373393</v>
      </c>
      <c r="F182" s="81">
        <v>0.30051072961373393</v>
      </c>
      <c r="G182" s="82">
        <v>0.32030042918454937</v>
      </c>
    </row>
    <row r="183" spans="1:7" ht="12.75">
      <c r="A183" s="83" t="s">
        <v>49</v>
      </c>
      <c r="B183" s="133">
        <v>16.32</v>
      </c>
      <c r="C183" s="30">
        <f t="shared" si="2"/>
        <v>13.98</v>
      </c>
      <c r="D183" s="76">
        <v>0.85795955882352948</v>
      </c>
      <c r="E183" s="81">
        <v>0.31477573529411768</v>
      </c>
      <c r="F183" s="81">
        <v>0.31477573529411768</v>
      </c>
      <c r="G183" s="82">
        <v>0.33172794117647059</v>
      </c>
    </row>
    <row r="184" spans="1:7" ht="12.75">
      <c r="A184" s="83" t="s">
        <v>50</v>
      </c>
      <c r="B184" s="133">
        <v>20.190000000000001</v>
      </c>
      <c r="C184" s="30">
        <f t="shared" si="2"/>
        <v>16.32</v>
      </c>
      <c r="D184" s="76">
        <v>0.88518573551262991</v>
      </c>
      <c r="E184" s="81">
        <v>0.33111144130757808</v>
      </c>
      <c r="F184" s="81">
        <v>0.33111144130757808</v>
      </c>
      <c r="G184" s="82">
        <v>0.34481426448737001</v>
      </c>
    </row>
    <row r="185" spans="1:7" ht="12.75">
      <c r="A185" s="83" t="s">
        <v>51</v>
      </c>
      <c r="B185" s="133">
        <v>24.51</v>
      </c>
      <c r="C185" s="30">
        <f t="shared" si="2"/>
        <v>20.190000000000001</v>
      </c>
      <c r="D185" s="76">
        <v>0.90542227662178698</v>
      </c>
      <c r="E185" s="81">
        <v>0.34325336597307227</v>
      </c>
      <c r="F185" s="81">
        <v>0.34325336597307227</v>
      </c>
      <c r="G185" s="82">
        <v>0.35454100367197061</v>
      </c>
    </row>
    <row r="186" spans="1:7" ht="12.75">
      <c r="A186" s="83" t="s">
        <v>52</v>
      </c>
      <c r="B186" s="133">
        <v>28.72</v>
      </c>
      <c r="C186" s="30">
        <f t="shared" si="2"/>
        <v>24.51</v>
      </c>
      <c r="D186" s="76">
        <v>0.91928621169916436</v>
      </c>
      <c r="E186" s="81">
        <v>0.35157172701949868</v>
      </c>
      <c r="F186" s="81">
        <v>0.35157172701949868</v>
      </c>
      <c r="G186" s="82">
        <v>0.36120473537604458</v>
      </c>
    </row>
    <row r="187" spans="1:7" ht="12.75">
      <c r="A187" s="83" t="s">
        <v>53</v>
      </c>
      <c r="B187" s="133">
        <v>37.81</v>
      </c>
      <c r="C187" s="30">
        <f>B186</f>
        <v>28.72</v>
      </c>
      <c r="D187" s="76">
        <v>0.93869082253372116</v>
      </c>
      <c r="E187" s="81">
        <v>0.36321449352023277</v>
      </c>
      <c r="F187" s="81">
        <v>0.36321449352023277</v>
      </c>
      <c r="G187" s="82">
        <v>0.37053160539539809</v>
      </c>
    </row>
    <row r="188" spans="1:7" ht="13.5" thickBot="1">
      <c r="A188" s="84" t="s">
        <v>53</v>
      </c>
      <c r="B188" s="134" t="s">
        <v>93</v>
      </c>
      <c r="C188" s="30">
        <f t="shared" si="2"/>
        <v>37.81</v>
      </c>
      <c r="D188" s="87"/>
      <c r="E188" s="87"/>
      <c r="F188" s="87"/>
      <c r="G188" s="88"/>
    </row>
    <row r="189" spans="1:7" ht="13.5" thickBot="1">
      <c r="A189" s="89"/>
      <c r="B189" s="90">
        <v>5.4</v>
      </c>
      <c r="C189" s="4"/>
      <c r="D189" s="91"/>
      <c r="E189" s="92">
        <v>8.7256692639506958E-2</v>
      </c>
      <c r="F189" s="92">
        <v>8.7256692639506958E-2</v>
      </c>
      <c r="G189" s="93">
        <v>0.1048962357008595</v>
      </c>
    </row>
    <row r="190" spans="1:7" ht="51.75" thickBot="1">
      <c r="A190" s="94" t="s">
        <v>55</v>
      </c>
      <c r="B190" s="129">
        <v>1.79</v>
      </c>
      <c r="C190" s="4"/>
      <c r="D190" s="96"/>
      <c r="E190" s="135">
        <v>3.8634999999999997</v>
      </c>
      <c r="F190" s="136">
        <v>3.8634999999999997</v>
      </c>
      <c r="G190" s="137">
        <v>3.0950000000000002</v>
      </c>
    </row>
    <row r="191" spans="1:7" ht="51.75" thickBot="1">
      <c r="A191" s="100" t="s">
        <v>56</v>
      </c>
      <c r="B191" s="130">
        <v>7.89</v>
      </c>
      <c r="C191" s="4"/>
      <c r="D191" s="102"/>
      <c r="E191" s="138"/>
      <c r="F191" s="138"/>
      <c r="G191" s="139"/>
    </row>
    <row r="192" spans="1:7" ht="77.25" thickBot="1">
      <c r="A192" s="105" t="s">
        <v>57</v>
      </c>
      <c r="B192" s="131">
        <v>1.07</v>
      </c>
      <c r="C192" s="4"/>
      <c r="D192" s="87"/>
      <c r="E192" s="140">
        <v>2.3180999999999998</v>
      </c>
      <c r="F192" s="140">
        <v>2.3180999999999998</v>
      </c>
      <c r="G192" s="141">
        <v>1.857</v>
      </c>
    </row>
    <row r="193" spans="1:7" ht="15.75" thickBot="1"/>
    <row r="194" spans="1:7" ht="51.75" thickBot="1">
      <c r="A194" s="108" t="s">
        <v>56</v>
      </c>
      <c r="B194" s="109">
        <f>B191</f>
        <v>7.89</v>
      </c>
    </row>
    <row r="195" spans="1:7">
      <c r="A195" s="110" t="s">
        <v>64</v>
      </c>
      <c r="B195" s="142">
        <f>AVERAGE(B143:B182)</f>
        <v>3.8634999999999997</v>
      </c>
      <c r="C195" s="17"/>
    </row>
    <row r="196" spans="1:7">
      <c r="A196" s="112" t="s">
        <v>65</v>
      </c>
      <c r="B196" s="143">
        <f>AVERAGE(B148:B177)</f>
        <v>3.0950000000000002</v>
      </c>
      <c r="C196" s="18"/>
    </row>
    <row r="197" spans="1:7" ht="15.75" thickBot="1">
      <c r="A197" s="114" t="s">
        <v>66</v>
      </c>
      <c r="B197" s="144">
        <f>AVERAGE(B154:B172)</f>
        <v>2.7921052631578949</v>
      </c>
      <c r="C197" s="18"/>
    </row>
    <row r="199" spans="1:7" ht="15.75" thickBot="1"/>
    <row r="200" spans="1:7" ht="15" customHeight="1" thickBot="1">
      <c r="A200" s="535" t="s">
        <v>0</v>
      </c>
      <c r="B200" s="538" t="s">
        <v>3</v>
      </c>
      <c r="C200" s="539"/>
      <c r="D200" s="540"/>
      <c r="E200" s="62">
        <f>(1-E255)^(1/3)-1</f>
        <v>-2.9652959697021863E-2</v>
      </c>
      <c r="F200" s="63">
        <f>(1-F255)^(1/3)-1</f>
        <v>-2.9652959697021863E-2</v>
      </c>
      <c r="G200" s="64"/>
    </row>
    <row r="201" spans="1:7" ht="77.25" thickBot="1">
      <c r="A201" s="536"/>
      <c r="B201" s="65" t="s">
        <v>4</v>
      </c>
      <c r="C201" s="11"/>
      <c r="D201" s="65" t="s">
        <v>80</v>
      </c>
      <c r="E201" s="65" t="s">
        <v>5</v>
      </c>
      <c r="F201" s="65" t="s">
        <v>5</v>
      </c>
      <c r="G201" s="65"/>
    </row>
    <row r="202" spans="1:7" ht="26.25" thickBot="1">
      <c r="A202" s="537"/>
      <c r="B202" s="66" t="s">
        <v>9</v>
      </c>
      <c r="C202" s="11"/>
      <c r="D202" s="66" t="s">
        <v>7</v>
      </c>
      <c r="E202" s="67" t="s">
        <v>82</v>
      </c>
      <c r="F202" s="68" t="s">
        <v>83</v>
      </c>
      <c r="G202" s="68"/>
    </row>
    <row r="203" spans="1:7" ht="13.5" thickBot="1">
      <c r="A203" s="69">
        <v>1</v>
      </c>
      <c r="B203" s="116">
        <v>2</v>
      </c>
      <c r="C203" s="51"/>
      <c r="D203" s="117">
        <v>3</v>
      </c>
      <c r="E203" s="71">
        <v>4</v>
      </c>
      <c r="F203" s="117">
        <v>5</v>
      </c>
      <c r="G203" s="71"/>
    </row>
    <row r="204" spans="1:7" ht="12.75">
      <c r="A204" s="118" t="s">
        <v>10</v>
      </c>
      <c r="B204" s="119">
        <v>1.1000000000000001</v>
      </c>
      <c r="C204" s="163">
        <v>0</v>
      </c>
      <c r="D204" s="76">
        <v>0</v>
      </c>
      <c r="E204" s="77">
        <v>0</v>
      </c>
      <c r="F204" s="77">
        <v>0</v>
      </c>
      <c r="G204" s="78">
        <v>0</v>
      </c>
    </row>
    <row r="205" spans="1:7" ht="12.75">
      <c r="A205" s="120" t="s">
        <v>58</v>
      </c>
      <c r="B205" s="121">
        <v>1.5</v>
      </c>
      <c r="C205" s="30">
        <f>B204</f>
        <v>1.1000000000000001</v>
      </c>
      <c r="D205" s="76">
        <v>0</v>
      </c>
      <c r="E205" s="81">
        <v>0</v>
      </c>
      <c r="F205" s="81">
        <v>0</v>
      </c>
      <c r="G205" s="82">
        <v>0</v>
      </c>
    </row>
    <row r="206" spans="1:7" ht="12.75">
      <c r="A206" s="120" t="s">
        <v>59</v>
      </c>
      <c r="B206" s="121">
        <v>1.8</v>
      </c>
      <c r="C206" s="30">
        <f t="shared" ref="C206:C254" si="3">B205</f>
        <v>1.5</v>
      </c>
      <c r="D206" s="76">
        <v>0</v>
      </c>
      <c r="E206" s="81">
        <v>0</v>
      </c>
      <c r="F206" s="81">
        <v>0</v>
      </c>
      <c r="G206" s="82">
        <v>0</v>
      </c>
    </row>
    <row r="207" spans="1:7" ht="12.75">
      <c r="A207" s="120" t="s">
        <v>60</v>
      </c>
      <c r="B207" s="121">
        <v>2</v>
      </c>
      <c r="C207" s="30">
        <f t="shared" si="3"/>
        <v>1.8</v>
      </c>
      <c r="D207" s="76">
        <v>0</v>
      </c>
      <c r="E207" s="81">
        <v>0</v>
      </c>
      <c r="F207" s="81">
        <v>0</v>
      </c>
      <c r="G207" s="82">
        <v>0</v>
      </c>
    </row>
    <row r="208" spans="1:7" ht="12.75">
      <c r="A208" s="120" t="s">
        <v>61</v>
      </c>
      <c r="B208" s="121">
        <v>2.2999999999999998</v>
      </c>
      <c r="C208" s="30">
        <f t="shared" si="3"/>
        <v>2</v>
      </c>
      <c r="D208" s="76">
        <v>0</v>
      </c>
      <c r="E208" s="81">
        <v>0</v>
      </c>
      <c r="F208" s="81">
        <v>0</v>
      </c>
      <c r="G208" s="82">
        <v>0</v>
      </c>
    </row>
    <row r="209" spans="1:7" ht="12.75">
      <c r="A209" s="120" t="s">
        <v>62</v>
      </c>
      <c r="B209" s="121">
        <v>2.5</v>
      </c>
      <c r="C209" s="30">
        <f t="shared" si="3"/>
        <v>2.2999999999999998</v>
      </c>
      <c r="D209" s="76">
        <v>0</v>
      </c>
      <c r="E209" s="81">
        <v>0</v>
      </c>
      <c r="F209" s="81">
        <v>0</v>
      </c>
      <c r="G209" s="82">
        <v>0</v>
      </c>
    </row>
    <row r="210" spans="1:7" ht="12.75">
      <c r="A210" s="120" t="s">
        <v>63</v>
      </c>
      <c r="B210" s="121">
        <v>2.8</v>
      </c>
      <c r="C210" s="30">
        <f t="shared" si="3"/>
        <v>2.5</v>
      </c>
      <c r="D210" s="76">
        <v>0</v>
      </c>
      <c r="E210" s="81">
        <v>0</v>
      </c>
      <c r="F210" s="81">
        <v>0</v>
      </c>
      <c r="G210" s="82">
        <v>0</v>
      </c>
    </row>
    <row r="211" spans="1:7" ht="12.75">
      <c r="A211" s="122" t="s">
        <v>11</v>
      </c>
      <c r="B211" s="121">
        <v>3</v>
      </c>
      <c r="C211" s="30">
        <f t="shared" si="3"/>
        <v>2.8</v>
      </c>
      <c r="D211" s="76">
        <v>0</v>
      </c>
      <c r="E211" s="81">
        <v>0</v>
      </c>
      <c r="F211" s="81">
        <v>0</v>
      </c>
      <c r="G211" s="82">
        <v>0</v>
      </c>
    </row>
    <row r="212" spans="1:7" ht="12.75">
      <c r="A212" s="122" t="s">
        <v>12</v>
      </c>
      <c r="B212" s="121">
        <v>3.2</v>
      </c>
      <c r="C212" s="30">
        <f t="shared" si="3"/>
        <v>3</v>
      </c>
      <c r="D212" s="76">
        <v>0</v>
      </c>
      <c r="E212" s="81">
        <v>0</v>
      </c>
      <c r="F212" s="81">
        <v>0</v>
      </c>
      <c r="G212" s="82">
        <v>0</v>
      </c>
    </row>
    <row r="213" spans="1:7" ht="12.75">
      <c r="A213" s="122" t="s">
        <v>13</v>
      </c>
      <c r="B213" s="121">
        <v>3.4</v>
      </c>
      <c r="C213" s="30">
        <f t="shared" si="3"/>
        <v>3.2</v>
      </c>
      <c r="D213" s="76">
        <v>0</v>
      </c>
      <c r="E213" s="81">
        <v>0</v>
      </c>
      <c r="F213" s="81">
        <v>0</v>
      </c>
      <c r="G213" s="82">
        <v>0</v>
      </c>
    </row>
    <row r="214" spans="1:7" ht="12.75">
      <c r="A214" s="122" t="s">
        <v>14</v>
      </c>
      <c r="B214" s="121">
        <v>3.6</v>
      </c>
      <c r="C214" s="30">
        <f t="shared" si="3"/>
        <v>3.4</v>
      </c>
      <c r="D214" s="76">
        <v>0</v>
      </c>
      <c r="E214" s="81">
        <v>0</v>
      </c>
      <c r="F214" s="81">
        <v>0</v>
      </c>
      <c r="G214" s="82">
        <v>0</v>
      </c>
    </row>
    <row r="215" spans="1:7" ht="12.75">
      <c r="A215" s="122" t="s">
        <v>15</v>
      </c>
      <c r="B215" s="121">
        <v>3.8</v>
      </c>
      <c r="C215" s="30">
        <f t="shared" si="3"/>
        <v>3.6</v>
      </c>
      <c r="D215" s="76">
        <v>0</v>
      </c>
      <c r="E215" s="81">
        <v>0</v>
      </c>
      <c r="F215" s="81">
        <v>0</v>
      </c>
      <c r="G215" s="82">
        <v>0</v>
      </c>
    </row>
    <row r="216" spans="1:7" ht="12.75">
      <c r="A216" s="122" t="s">
        <v>16</v>
      </c>
      <c r="B216" s="121">
        <v>4</v>
      </c>
      <c r="C216" s="30">
        <f t="shared" si="3"/>
        <v>3.8</v>
      </c>
      <c r="D216" s="76">
        <v>0</v>
      </c>
      <c r="E216" s="81">
        <v>0</v>
      </c>
      <c r="F216" s="81">
        <v>0</v>
      </c>
      <c r="G216" s="82">
        <v>0</v>
      </c>
    </row>
    <row r="217" spans="1:7" ht="12.75">
      <c r="A217" s="122" t="s">
        <v>17</v>
      </c>
      <c r="B217" s="121">
        <v>4.2</v>
      </c>
      <c r="C217" s="30">
        <f t="shared" si="3"/>
        <v>4</v>
      </c>
      <c r="D217" s="76">
        <v>0</v>
      </c>
      <c r="E217" s="81">
        <v>0</v>
      </c>
      <c r="F217" s="81">
        <v>0</v>
      </c>
      <c r="G217" s="82">
        <v>0</v>
      </c>
    </row>
    <row r="218" spans="1:7" ht="12.75">
      <c r="A218" s="122" t="s">
        <v>18</v>
      </c>
      <c r="B218" s="121">
        <v>4.4000000000000004</v>
      </c>
      <c r="C218" s="30">
        <f t="shared" si="3"/>
        <v>4.2</v>
      </c>
      <c r="D218" s="76">
        <v>0</v>
      </c>
      <c r="E218" s="81">
        <v>0</v>
      </c>
      <c r="F218" s="81">
        <v>0</v>
      </c>
      <c r="G218" s="82">
        <v>0</v>
      </c>
    </row>
    <row r="219" spans="1:7" ht="12.75">
      <c r="A219" s="122" t="s">
        <v>19</v>
      </c>
      <c r="B219" s="121">
        <v>4.5999999999999996</v>
      </c>
      <c r="C219" s="30">
        <f t="shared" si="3"/>
        <v>4.4000000000000004</v>
      </c>
      <c r="D219" s="76">
        <v>0</v>
      </c>
      <c r="E219" s="81">
        <v>0</v>
      </c>
      <c r="F219" s="81">
        <v>0</v>
      </c>
      <c r="G219" s="82">
        <v>2.6086956521739154E-3</v>
      </c>
    </row>
    <row r="220" spans="1:7" ht="12.75">
      <c r="A220" s="122" t="s">
        <v>20</v>
      </c>
      <c r="B220" s="121">
        <v>4.8</v>
      </c>
      <c r="C220" s="30">
        <f t="shared" si="3"/>
        <v>4.5999999999999996</v>
      </c>
      <c r="D220" s="76">
        <v>0</v>
      </c>
      <c r="E220" s="81">
        <v>0</v>
      </c>
      <c r="F220" s="81">
        <v>0</v>
      </c>
      <c r="G220" s="82">
        <v>6.6666666666666732E-3</v>
      </c>
    </row>
    <row r="221" spans="1:7" ht="12.75">
      <c r="A221" s="122" t="s">
        <v>21</v>
      </c>
      <c r="B221" s="121">
        <v>5</v>
      </c>
      <c r="C221" s="30">
        <f t="shared" si="3"/>
        <v>4.8</v>
      </c>
      <c r="D221" s="76">
        <v>0</v>
      </c>
      <c r="E221" s="81">
        <v>0</v>
      </c>
      <c r="F221" s="81">
        <v>0</v>
      </c>
      <c r="G221" s="82">
        <v>1.040000000000001E-2</v>
      </c>
    </row>
    <row r="222" spans="1:7" ht="12.75">
      <c r="A222" s="122" t="s">
        <v>22</v>
      </c>
      <c r="B222" s="121">
        <v>5.2</v>
      </c>
      <c r="C222" s="30">
        <f t="shared" si="3"/>
        <v>5</v>
      </c>
      <c r="D222" s="76">
        <v>9.711538461538544E-3</v>
      </c>
      <c r="E222" s="81"/>
      <c r="F222" s="81">
        <v>9.7115384615385455E-4</v>
      </c>
      <c r="G222" s="82">
        <v>1.3846153846153859E-2</v>
      </c>
    </row>
    <row r="223" spans="1:7" ht="12.75">
      <c r="A223" s="122" t="s">
        <v>23</v>
      </c>
      <c r="B223" s="121">
        <v>5.4</v>
      </c>
      <c r="C223" s="30">
        <f t="shared" si="3"/>
        <v>5.2</v>
      </c>
      <c r="D223" s="76">
        <v>4.6388888888889E-2</v>
      </c>
      <c r="E223" s="81"/>
      <c r="F223" s="81">
        <v>4.6388888888888999E-3</v>
      </c>
      <c r="G223" s="82">
        <v>1.7037037037037052E-2</v>
      </c>
    </row>
    <row r="224" spans="1:7" ht="12.75">
      <c r="A224" s="122" t="s">
        <v>24</v>
      </c>
      <c r="B224" s="121">
        <v>5.6</v>
      </c>
      <c r="C224" s="30">
        <f t="shared" si="3"/>
        <v>5.4</v>
      </c>
      <c r="D224" s="76">
        <v>8.0446428571428558E-2</v>
      </c>
      <c r="E224" s="81"/>
      <c r="F224" s="81">
        <v>8.0446428571428561E-3</v>
      </c>
      <c r="G224" s="82">
        <v>2.0000000000000004E-2</v>
      </c>
    </row>
    <row r="225" spans="1:7" ht="12.75">
      <c r="A225" s="122" t="s">
        <v>25</v>
      </c>
      <c r="B225" s="121">
        <v>5.9</v>
      </c>
      <c r="C225" s="30">
        <f t="shared" si="3"/>
        <v>5.6</v>
      </c>
      <c r="D225" s="76">
        <v>0.12720338983050858</v>
      </c>
      <c r="E225" s="81">
        <v>1.2720338983050857E-2</v>
      </c>
      <c r="F225" s="81">
        <v>1.2720338983050857E-2</v>
      </c>
      <c r="G225" s="82">
        <v>2.4067796610169508E-2</v>
      </c>
    </row>
    <row r="226" spans="1:7" ht="12.75">
      <c r="A226" s="122" t="s">
        <v>26</v>
      </c>
      <c r="B226" s="121">
        <v>6.1</v>
      </c>
      <c r="C226" s="30">
        <f t="shared" si="3"/>
        <v>5.9</v>
      </c>
      <c r="D226" s="76">
        <v>0.15581967213114753</v>
      </c>
      <c r="E226" s="81">
        <v>1.5581967213114754E-2</v>
      </c>
      <c r="F226" s="81">
        <v>1.5581967213114754E-2</v>
      </c>
      <c r="G226" s="82">
        <v>2.6557377049180333E-2</v>
      </c>
    </row>
    <row r="227" spans="1:7" ht="12.75">
      <c r="A227" s="122" t="s">
        <v>27</v>
      </c>
      <c r="B227" s="121">
        <v>6.3</v>
      </c>
      <c r="C227" s="30">
        <f t="shared" si="3"/>
        <v>6.1</v>
      </c>
      <c r="D227" s="76">
        <v>0.18261904761904763</v>
      </c>
      <c r="E227" s="81">
        <v>1.8261904761904764E-2</v>
      </c>
      <c r="F227" s="81">
        <v>1.8261904761904764E-2</v>
      </c>
      <c r="G227" s="82">
        <v>2.8888888888888898E-2</v>
      </c>
    </row>
    <row r="228" spans="1:7" ht="12.75">
      <c r="A228" s="122" t="s">
        <v>28</v>
      </c>
      <c r="B228" s="121">
        <v>6.5</v>
      </c>
      <c r="C228" s="30">
        <f t="shared" si="3"/>
        <v>6.3</v>
      </c>
      <c r="D228" s="76">
        <v>0.20776923076923082</v>
      </c>
      <c r="E228" s="81">
        <v>2.0776923076923082E-2</v>
      </c>
      <c r="F228" s="81">
        <v>2.0776923076923082E-2</v>
      </c>
      <c r="G228" s="82">
        <v>3.1076923076923089E-2</v>
      </c>
    </row>
    <row r="229" spans="1:7" ht="12.75">
      <c r="A229" s="122" t="s">
        <v>29</v>
      </c>
      <c r="B229" s="121">
        <v>6.8</v>
      </c>
      <c r="C229" s="30">
        <f t="shared" si="3"/>
        <v>6.5</v>
      </c>
      <c r="D229" s="76">
        <v>0.24272058823529413</v>
      </c>
      <c r="E229" s="81">
        <v>2.4272058823529417E-2</v>
      </c>
      <c r="F229" s="81">
        <v>2.4272058823529417E-2</v>
      </c>
      <c r="G229" s="82">
        <v>3.4117647058823537E-2</v>
      </c>
    </row>
    <row r="230" spans="1:7" ht="12.75">
      <c r="A230" s="122" t="s">
        <v>30</v>
      </c>
      <c r="B230" s="121">
        <v>7.1</v>
      </c>
      <c r="C230" s="30">
        <f t="shared" si="3"/>
        <v>6.8</v>
      </c>
      <c r="D230" s="76">
        <v>0.27471830985915491</v>
      </c>
      <c r="E230" s="81">
        <v>2.7471830985915494E-2</v>
      </c>
      <c r="F230" s="81">
        <v>2.7471830985915494E-2</v>
      </c>
      <c r="G230" s="82">
        <v>3.6901408450704228E-2</v>
      </c>
    </row>
    <row r="231" spans="1:7" ht="12.75">
      <c r="A231" s="122" t="s">
        <v>31</v>
      </c>
      <c r="B231" s="121">
        <v>7.4</v>
      </c>
      <c r="C231" s="30">
        <f t="shared" si="3"/>
        <v>7.1</v>
      </c>
      <c r="D231" s="76">
        <v>0.30412162162162171</v>
      </c>
      <c r="E231" s="81">
        <v>3.0412162162162172E-2</v>
      </c>
      <c r="F231" s="81">
        <v>3.0412162162162172E-2</v>
      </c>
      <c r="G231" s="82">
        <v>3.9459459459459473E-2</v>
      </c>
    </row>
    <row r="232" spans="1:7" ht="12.75">
      <c r="A232" s="122" t="s">
        <v>32</v>
      </c>
      <c r="B232" s="121">
        <v>7.7</v>
      </c>
      <c r="C232" s="30">
        <f t="shared" si="3"/>
        <v>7.4</v>
      </c>
      <c r="D232" s="76">
        <v>0.33123376623376627</v>
      </c>
      <c r="E232" s="81">
        <v>3.3123376623376631E-2</v>
      </c>
      <c r="F232" s="81">
        <v>3.3123376623376631E-2</v>
      </c>
      <c r="G232" s="82">
        <v>5.0909090909090925E-2</v>
      </c>
    </row>
    <row r="233" spans="1:7" ht="12.75">
      <c r="A233" s="122" t="s">
        <v>33</v>
      </c>
      <c r="B233" s="121">
        <v>8.1</v>
      </c>
      <c r="C233" s="30">
        <f t="shared" si="3"/>
        <v>7.7</v>
      </c>
      <c r="D233" s="76">
        <v>0.36425925925925928</v>
      </c>
      <c r="E233" s="81">
        <v>3.6425925925925924E-2</v>
      </c>
      <c r="F233" s="81">
        <v>3.6425925925925924E-2</v>
      </c>
      <c r="G233" s="82">
        <v>6.8148148148148124E-2</v>
      </c>
    </row>
    <row r="234" spans="1:7" ht="12.75">
      <c r="A234" s="122" t="s">
        <v>34</v>
      </c>
      <c r="B234" s="121">
        <v>8.5</v>
      </c>
      <c r="C234" s="30">
        <f t="shared" si="3"/>
        <v>8.1</v>
      </c>
      <c r="D234" s="76">
        <v>0.39417647058823535</v>
      </c>
      <c r="E234" s="81">
        <v>3.9417647058823536E-2</v>
      </c>
      <c r="F234" s="81">
        <v>3.9417647058823536E-2</v>
      </c>
      <c r="G234" s="82">
        <v>8.3764705882352949E-2</v>
      </c>
    </row>
    <row r="235" spans="1:7" ht="12.75">
      <c r="A235" s="122" t="s">
        <v>35</v>
      </c>
      <c r="B235" s="121">
        <v>9</v>
      </c>
      <c r="C235" s="30">
        <f t="shared" si="3"/>
        <v>8.5</v>
      </c>
      <c r="D235" s="76">
        <v>0.42783333333333334</v>
      </c>
      <c r="E235" s="81">
        <v>5.6700000000000021E-2</v>
      </c>
      <c r="F235" s="81">
        <v>5.6700000000000021E-2</v>
      </c>
      <c r="G235" s="82">
        <v>0.10133333333333333</v>
      </c>
    </row>
    <row r="236" spans="1:7" ht="12.75">
      <c r="A236" s="122" t="s">
        <v>36</v>
      </c>
      <c r="B236" s="121">
        <v>9.4</v>
      </c>
      <c r="C236" s="30">
        <f t="shared" si="3"/>
        <v>9</v>
      </c>
      <c r="D236" s="76">
        <v>0.45218085106382983</v>
      </c>
      <c r="E236" s="81">
        <v>7.1308510638297906E-2</v>
      </c>
      <c r="F236" s="81">
        <v>7.1308510638297906E-2</v>
      </c>
      <c r="G236" s="82">
        <v>0.11404255319148937</v>
      </c>
    </row>
    <row r="237" spans="1:7" ht="12.75">
      <c r="A237" s="122" t="s">
        <v>37</v>
      </c>
      <c r="B237" s="121">
        <v>9.9</v>
      </c>
      <c r="C237" s="30">
        <f t="shared" si="3"/>
        <v>9.4</v>
      </c>
      <c r="D237" s="76">
        <v>0.47984848484848491</v>
      </c>
      <c r="E237" s="81">
        <v>8.7909090909090937E-2</v>
      </c>
      <c r="F237" s="81">
        <v>8.7909090909090937E-2</v>
      </c>
      <c r="G237" s="82">
        <v>0.12848484848484851</v>
      </c>
    </row>
    <row r="238" spans="1:7" ht="12.75">
      <c r="A238" s="122" t="s">
        <v>38</v>
      </c>
      <c r="B238" s="121">
        <v>10.5</v>
      </c>
      <c r="C238" s="30">
        <f t="shared" si="3"/>
        <v>9.9</v>
      </c>
      <c r="D238" s="76">
        <v>0.50957142857142856</v>
      </c>
      <c r="E238" s="81">
        <v>0.10574285714285717</v>
      </c>
      <c r="F238" s="81">
        <v>0.10574285714285717</v>
      </c>
      <c r="G238" s="82">
        <v>0.14399999999999999</v>
      </c>
    </row>
    <row r="239" spans="1:7" ht="12.75">
      <c r="A239" s="122" t="s">
        <v>39</v>
      </c>
      <c r="B239" s="121">
        <v>11.2</v>
      </c>
      <c r="C239" s="30">
        <f t="shared" si="3"/>
        <v>10.5</v>
      </c>
      <c r="D239" s="76">
        <v>0.54022321428571429</v>
      </c>
      <c r="E239" s="81">
        <v>0.12413392857142856</v>
      </c>
      <c r="F239" s="81">
        <v>0.12413392857142856</v>
      </c>
      <c r="G239" s="82">
        <v>0.16</v>
      </c>
    </row>
    <row r="240" spans="1:7" ht="12.75">
      <c r="A240" s="122" t="s">
        <v>40</v>
      </c>
      <c r="B240" s="121">
        <v>11.9</v>
      </c>
      <c r="C240" s="30">
        <f t="shared" si="3"/>
        <v>11.2</v>
      </c>
      <c r="D240" s="76">
        <v>0.56726890756302528</v>
      </c>
      <c r="E240" s="81">
        <v>0.14036134453781515</v>
      </c>
      <c r="F240" s="81">
        <v>0.14036134453781515</v>
      </c>
      <c r="G240" s="82">
        <v>0.17411764705882352</v>
      </c>
    </row>
    <row r="241" spans="1:7" ht="12.75">
      <c r="A241" s="122" t="s">
        <v>41</v>
      </c>
      <c r="B241" s="121">
        <v>12.6</v>
      </c>
      <c r="C241" s="30">
        <f t="shared" si="3"/>
        <v>11.9</v>
      </c>
      <c r="D241" s="76">
        <v>0.59130952380952384</v>
      </c>
      <c r="E241" s="81">
        <v>0.1547857142857143</v>
      </c>
      <c r="F241" s="81">
        <v>0.1547857142857143</v>
      </c>
      <c r="G241" s="82">
        <v>0.18666666666666668</v>
      </c>
    </row>
    <row r="242" spans="1:7" ht="12.75">
      <c r="A242" s="122" t="s">
        <v>42</v>
      </c>
      <c r="B242" s="121">
        <v>13.6</v>
      </c>
      <c r="C242" s="30">
        <f t="shared" si="3"/>
        <v>12.6</v>
      </c>
      <c r="D242" s="76">
        <v>0.62136029411764704</v>
      </c>
      <c r="E242" s="81">
        <v>0.17281617647058825</v>
      </c>
      <c r="F242" s="81">
        <v>0.17281617647058825</v>
      </c>
      <c r="G242" s="82">
        <v>0.20235294117647057</v>
      </c>
    </row>
    <row r="243" spans="1:7" ht="12.75">
      <c r="A243" s="122" t="s">
        <v>43</v>
      </c>
      <c r="B243" s="121">
        <v>14.9</v>
      </c>
      <c r="C243" s="30">
        <f t="shared" si="3"/>
        <v>13.6</v>
      </c>
      <c r="D243" s="76">
        <v>0.65439597315436249</v>
      </c>
      <c r="E243" s="81">
        <v>0.19263758389261748</v>
      </c>
      <c r="F243" s="81">
        <v>0.19263758389261748</v>
      </c>
      <c r="G243" s="82">
        <v>0.21959731543624161</v>
      </c>
    </row>
    <row r="244" spans="1:7" ht="12.75">
      <c r="A244" s="122" t="s">
        <v>44</v>
      </c>
      <c r="B244" s="121">
        <v>16.2</v>
      </c>
      <c r="C244" s="30">
        <f t="shared" si="3"/>
        <v>14.9</v>
      </c>
      <c r="D244" s="76">
        <v>0.68212962962962964</v>
      </c>
      <c r="E244" s="81">
        <v>0.20927777777777781</v>
      </c>
      <c r="F244" s="81">
        <v>0.20927777777777781</v>
      </c>
      <c r="G244" s="82">
        <v>0.23407407407407407</v>
      </c>
    </row>
    <row r="245" spans="1:7" ht="12.75">
      <c r="A245" s="122" t="s">
        <v>45</v>
      </c>
      <c r="B245" s="121">
        <v>18</v>
      </c>
      <c r="C245" s="30">
        <f t="shared" si="3"/>
        <v>16.2</v>
      </c>
      <c r="D245" s="76">
        <v>0.71391666666666664</v>
      </c>
      <c r="E245" s="81">
        <v>0.22835000000000003</v>
      </c>
      <c r="F245" s="81">
        <v>0.22835000000000003</v>
      </c>
      <c r="G245" s="82">
        <v>0.2506666666666667</v>
      </c>
    </row>
    <row r="246" spans="1:7" ht="12.75">
      <c r="A246" s="122" t="s">
        <v>46</v>
      </c>
      <c r="B246" s="121">
        <v>20.2</v>
      </c>
      <c r="C246" s="30">
        <f t="shared" si="3"/>
        <v>18</v>
      </c>
      <c r="D246" s="76">
        <v>0.74507425742574263</v>
      </c>
      <c r="E246" s="81">
        <v>0.24704455445544557</v>
      </c>
      <c r="F246" s="81">
        <v>0.24704455445544557</v>
      </c>
      <c r="G246" s="82">
        <v>0.26693069306930695</v>
      </c>
    </row>
    <row r="247" spans="1:7" ht="12.75">
      <c r="A247" s="122" t="s">
        <v>47</v>
      </c>
      <c r="B247" s="121">
        <v>23</v>
      </c>
      <c r="C247" s="30">
        <f t="shared" si="3"/>
        <v>20.2</v>
      </c>
      <c r="D247" s="76">
        <v>0.77610869565217389</v>
      </c>
      <c r="E247" s="81">
        <v>0.26566521739130439</v>
      </c>
      <c r="F247" s="81">
        <v>0.26566521739130439</v>
      </c>
      <c r="G247" s="82">
        <v>0.28313043478260874</v>
      </c>
    </row>
    <row r="248" spans="1:7" ht="12.75">
      <c r="A248" s="122" t="s">
        <v>48</v>
      </c>
      <c r="B248" s="121">
        <v>27</v>
      </c>
      <c r="C248" s="30">
        <f t="shared" si="3"/>
        <v>23</v>
      </c>
      <c r="D248" s="76">
        <v>0.80927777777777776</v>
      </c>
      <c r="E248" s="81">
        <v>0.28556666666666669</v>
      </c>
      <c r="F248" s="81">
        <v>0.28556666666666669</v>
      </c>
      <c r="G248" s="82">
        <v>0.30044444444444446</v>
      </c>
    </row>
    <row r="249" spans="1:7" ht="12.75">
      <c r="A249" s="122" t="s">
        <v>49</v>
      </c>
      <c r="B249" s="121">
        <v>31.9</v>
      </c>
      <c r="C249" s="30">
        <f t="shared" si="3"/>
        <v>27</v>
      </c>
      <c r="D249" s="76">
        <v>0.83857366771159869</v>
      </c>
      <c r="E249" s="81">
        <v>0.30314420062695924</v>
      </c>
      <c r="F249" s="81">
        <v>0.30314420062695924</v>
      </c>
      <c r="G249" s="82">
        <v>0.31573667711598752</v>
      </c>
    </row>
    <row r="250" spans="1:7" ht="12.75">
      <c r="A250" s="122" t="s">
        <v>50</v>
      </c>
      <c r="B250" s="121">
        <v>38.4</v>
      </c>
      <c r="C250" s="30">
        <f t="shared" si="3"/>
        <v>31.9</v>
      </c>
      <c r="D250" s="76">
        <v>0.86589843750000006</v>
      </c>
      <c r="E250" s="81">
        <v>0.31953906249999997</v>
      </c>
      <c r="F250" s="81">
        <v>0.31953906249999997</v>
      </c>
      <c r="G250" s="82">
        <v>0.33</v>
      </c>
    </row>
    <row r="251" spans="1:7" ht="12.75">
      <c r="A251" s="122" t="s">
        <v>51</v>
      </c>
      <c r="B251" s="121">
        <v>50.6</v>
      </c>
      <c r="C251" s="30">
        <f t="shared" si="3"/>
        <v>38.4</v>
      </c>
      <c r="D251" s="76">
        <v>0.89823122529644273</v>
      </c>
      <c r="E251" s="81">
        <v>0.33893873517786555</v>
      </c>
      <c r="F251" s="81">
        <v>0.33893873517786555</v>
      </c>
      <c r="G251" s="82">
        <v>0.34687747035573119</v>
      </c>
    </row>
    <row r="252" spans="1:7" ht="12.75">
      <c r="A252" s="122" t="s">
        <v>52</v>
      </c>
      <c r="B252" s="121">
        <v>75.3</v>
      </c>
      <c r="C252" s="30">
        <f t="shared" si="3"/>
        <v>50.6</v>
      </c>
      <c r="D252" s="76">
        <v>0.93161354581673306</v>
      </c>
      <c r="E252" s="81">
        <v>0.35896812749003987</v>
      </c>
      <c r="F252" s="81">
        <v>0.35896812749003987</v>
      </c>
      <c r="G252" s="82">
        <v>0.36430278884462153</v>
      </c>
    </row>
    <row r="253" spans="1:7" ht="12.75">
      <c r="A253" s="122" t="s">
        <v>53</v>
      </c>
      <c r="B253" s="121">
        <v>175</v>
      </c>
      <c r="C253" s="30">
        <f>B252</f>
        <v>75.3</v>
      </c>
      <c r="D253" s="76">
        <v>0.97057428571428572</v>
      </c>
      <c r="E253" s="81">
        <v>0.38234457142857137</v>
      </c>
      <c r="F253" s="81">
        <v>0.38234457142857137</v>
      </c>
      <c r="G253" s="82">
        <v>0.38463999999999998</v>
      </c>
    </row>
    <row r="254" spans="1:7" ht="13.5" thickBot="1">
      <c r="A254" s="123" t="s">
        <v>53</v>
      </c>
      <c r="B254" s="145" t="s">
        <v>94</v>
      </c>
      <c r="C254" s="30">
        <f t="shared" si="3"/>
        <v>175</v>
      </c>
      <c r="D254" s="87"/>
      <c r="E254" s="87"/>
      <c r="F254" s="87"/>
      <c r="G254" s="88"/>
    </row>
    <row r="255" spans="1:7" ht="13.5" thickBot="1">
      <c r="A255" s="89"/>
      <c r="B255" s="125">
        <v>5.4</v>
      </c>
      <c r="C255" s="29"/>
      <c r="D255" s="126"/>
      <c r="E255" s="127">
        <v>8.6347058823399048E-2</v>
      </c>
      <c r="F255" s="127">
        <v>8.6347058823399048E-2</v>
      </c>
      <c r="G255" s="128">
        <v>0.10003697106874176</v>
      </c>
    </row>
    <row r="256" spans="1:7" ht="51">
      <c r="A256" s="94" t="s">
        <v>55</v>
      </c>
      <c r="B256" s="129">
        <v>3.6</v>
      </c>
      <c r="C256" s="29"/>
      <c r="D256" s="96"/>
      <c r="E256" s="97">
        <v>8.5824999999999996</v>
      </c>
      <c r="F256" s="98">
        <v>8.5824999999999996</v>
      </c>
      <c r="G256" s="99">
        <v>7.4666666666666668</v>
      </c>
    </row>
    <row r="257" spans="1:7" ht="54" customHeight="1">
      <c r="A257" s="100" t="s">
        <v>56</v>
      </c>
      <c r="B257" s="130">
        <v>14.5</v>
      </c>
      <c r="C257" s="29"/>
      <c r="D257" s="102"/>
      <c r="E257" s="103"/>
      <c r="F257" s="103"/>
      <c r="G257" s="104"/>
    </row>
    <row r="258" spans="1:7" ht="77.25" customHeight="1" thickBot="1">
      <c r="A258" s="105" t="s">
        <v>57</v>
      </c>
      <c r="B258" s="131">
        <v>2.2000000000000002</v>
      </c>
      <c r="C258" s="29"/>
      <c r="D258" s="87"/>
      <c r="E258" s="86">
        <v>5.1494999999999997</v>
      </c>
      <c r="F258" s="86">
        <v>5.1494999999999997</v>
      </c>
      <c r="G258" s="107">
        <v>4.4799999999999995</v>
      </c>
    </row>
    <row r="259" spans="1:7" ht="15.75" thickBot="1"/>
    <row r="260" spans="1:7" ht="51.75" thickBot="1">
      <c r="A260" s="108" t="s">
        <v>56</v>
      </c>
      <c r="B260" s="109">
        <f>B257</f>
        <v>14.5</v>
      </c>
    </row>
    <row r="261" spans="1:7">
      <c r="A261" s="110" t="s">
        <v>64</v>
      </c>
      <c r="B261" s="111">
        <f>AVERAGE(B209:B248)</f>
        <v>8.5824999999999996</v>
      </c>
      <c r="C261" s="17"/>
    </row>
    <row r="262" spans="1:7">
      <c r="A262" s="112" t="s">
        <v>65</v>
      </c>
      <c r="B262" s="113">
        <f>AVERAGE(B214:B243)</f>
        <v>7.4666666666666668</v>
      </c>
      <c r="C262" s="18"/>
    </row>
    <row r="263" spans="1:7" ht="15.75" thickBot="1">
      <c r="A263" s="114" t="s">
        <v>66</v>
      </c>
      <c r="B263" s="115">
        <f>AVERAGE(B220:B238)</f>
        <v>7.1157894736842096</v>
      </c>
      <c r="C263" s="18"/>
    </row>
    <row r="265" spans="1:7" ht="15.75" thickBot="1"/>
    <row r="266" spans="1:7" ht="15" customHeight="1" thickBot="1">
      <c r="A266" s="535" t="s">
        <v>0</v>
      </c>
      <c r="B266" s="538" t="s">
        <v>67</v>
      </c>
      <c r="C266" s="539"/>
      <c r="D266" s="540"/>
      <c r="E266" s="62">
        <f>(1-E321)^(1/3)-1</f>
        <v>-2.6518332106425957E-2</v>
      </c>
      <c r="F266" s="63">
        <f>(1-F321)^(1/3)-1</f>
        <v>-2.6518332106425957E-2</v>
      </c>
      <c r="G266" s="64"/>
    </row>
    <row r="267" spans="1:7" ht="77.25" thickBot="1">
      <c r="A267" s="536"/>
      <c r="B267" s="65" t="s">
        <v>4</v>
      </c>
      <c r="C267" s="65"/>
      <c r="D267" s="65" t="s">
        <v>80</v>
      </c>
      <c r="E267" s="65" t="s">
        <v>5</v>
      </c>
      <c r="F267" s="65" t="s">
        <v>5</v>
      </c>
      <c r="G267" s="65"/>
    </row>
    <row r="268" spans="1:7" ht="26.25" thickBot="1">
      <c r="A268" s="537"/>
      <c r="B268" s="66" t="s">
        <v>68</v>
      </c>
      <c r="D268" s="66" t="s">
        <v>7</v>
      </c>
      <c r="E268" s="67" t="s">
        <v>82</v>
      </c>
      <c r="F268" s="68" t="s">
        <v>83</v>
      </c>
      <c r="G268" s="68"/>
    </row>
    <row r="269" spans="1:7" ht="15.75" thickBot="1">
      <c r="A269" s="69">
        <v>1</v>
      </c>
      <c r="B269" s="116">
        <v>2</v>
      </c>
      <c r="D269" s="117">
        <v>3</v>
      </c>
      <c r="E269" s="71">
        <v>4</v>
      </c>
      <c r="F269" s="117">
        <v>5</v>
      </c>
      <c r="G269" s="71"/>
    </row>
    <row r="270" spans="1:7">
      <c r="A270" s="118" t="s">
        <v>10</v>
      </c>
      <c r="B270" s="119">
        <v>1.5</v>
      </c>
      <c r="C270">
        <v>0</v>
      </c>
      <c r="D270" s="76">
        <v>0</v>
      </c>
      <c r="E270" s="77">
        <v>0</v>
      </c>
      <c r="F270" s="77">
        <v>0</v>
      </c>
      <c r="G270" s="78">
        <v>0</v>
      </c>
    </row>
    <row r="271" spans="1:7" ht="12.75">
      <c r="A271" s="120" t="s">
        <v>58</v>
      </c>
      <c r="B271" s="121">
        <v>7.2</v>
      </c>
      <c r="C271" s="30">
        <f>B270</f>
        <v>1.5</v>
      </c>
      <c r="D271" s="76">
        <v>0</v>
      </c>
      <c r="E271" s="81">
        <v>0</v>
      </c>
      <c r="F271" s="81">
        <v>0</v>
      </c>
      <c r="G271" s="82">
        <v>0</v>
      </c>
    </row>
    <row r="272" spans="1:7" ht="12.75">
      <c r="A272" s="120" t="s">
        <v>59</v>
      </c>
      <c r="B272" s="121">
        <v>11</v>
      </c>
      <c r="C272" s="30">
        <f t="shared" ref="C272:C320" si="4">B271</f>
        <v>7.2</v>
      </c>
      <c r="D272" s="76">
        <v>0</v>
      </c>
      <c r="E272" s="81">
        <v>0</v>
      </c>
      <c r="F272" s="81">
        <v>0</v>
      </c>
      <c r="G272" s="82">
        <v>0</v>
      </c>
    </row>
    <row r="273" spans="1:7" ht="12.75">
      <c r="A273" s="120" t="s">
        <v>60</v>
      </c>
      <c r="B273" s="121">
        <v>13.6</v>
      </c>
      <c r="C273" s="30">
        <f t="shared" si="4"/>
        <v>11</v>
      </c>
      <c r="D273" s="76">
        <v>0</v>
      </c>
      <c r="E273" s="81">
        <v>0</v>
      </c>
      <c r="F273" s="81">
        <v>0</v>
      </c>
      <c r="G273" s="82">
        <v>0</v>
      </c>
    </row>
    <row r="274" spans="1:7" ht="12.75">
      <c r="A274" s="120" t="s">
        <v>61</v>
      </c>
      <c r="B274" s="121">
        <v>15.7</v>
      </c>
      <c r="C274" s="30">
        <f t="shared" si="4"/>
        <v>13.6</v>
      </c>
      <c r="D274" s="76">
        <v>0</v>
      </c>
      <c r="E274" s="81">
        <v>0</v>
      </c>
      <c r="F274" s="81">
        <v>0</v>
      </c>
      <c r="G274" s="82">
        <v>0</v>
      </c>
    </row>
    <row r="275" spans="1:7" ht="12.75">
      <c r="A275" s="120" t="s">
        <v>62</v>
      </c>
      <c r="B275" s="121">
        <v>17.3</v>
      </c>
      <c r="C275" s="30">
        <f t="shared" si="4"/>
        <v>15.7</v>
      </c>
      <c r="D275" s="76">
        <v>0</v>
      </c>
      <c r="E275" s="81">
        <v>0</v>
      </c>
      <c r="F275" s="81">
        <v>0</v>
      </c>
      <c r="G275" s="82">
        <v>0</v>
      </c>
    </row>
    <row r="276" spans="1:7" ht="12.75">
      <c r="A276" s="120" t="s">
        <v>63</v>
      </c>
      <c r="B276" s="121">
        <v>18.7</v>
      </c>
      <c r="C276" s="30">
        <f t="shared" si="4"/>
        <v>17.3</v>
      </c>
      <c r="D276" s="76">
        <v>0</v>
      </c>
      <c r="E276" s="81">
        <v>0</v>
      </c>
      <c r="F276" s="81">
        <v>0</v>
      </c>
      <c r="G276" s="82">
        <v>0</v>
      </c>
    </row>
    <row r="277" spans="1:7" ht="12.75">
      <c r="A277" s="122" t="s">
        <v>11</v>
      </c>
      <c r="B277" s="121">
        <v>19.8</v>
      </c>
      <c r="C277" s="30">
        <f t="shared" si="4"/>
        <v>18.7</v>
      </c>
      <c r="D277" s="76">
        <v>0</v>
      </c>
      <c r="E277" s="81">
        <v>0</v>
      </c>
      <c r="F277" s="81">
        <v>0</v>
      </c>
      <c r="G277" s="82">
        <v>0</v>
      </c>
    </row>
    <row r="278" spans="1:7" ht="12.75">
      <c r="A278" s="122" t="s">
        <v>12</v>
      </c>
      <c r="B278" s="121">
        <v>21</v>
      </c>
      <c r="C278" s="30">
        <f t="shared" si="4"/>
        <v>19.8</v>
      </c>
      <c r="D278" s="76">
        <v>0</v>
      </c>
      <c r="E278" s="81">
        <v>0</v>
      </c>
      <c r="F278" s="81">
        <v>0</v>
      </c>
      <c r="G278" s="82">
        <v>0</v>
      </c>
    </row>
    <row r="279" spans="1:7" ht="12.75">
      <c r="A279" s="122" t="s">
        <v>13</v>
      </c>
      <c r="B279" s="121">
        <v>21.9</v>
      </c>
      <c r="C279" s="30">
        <f t="shared" si="4"/>
        <v>21</v>
      </c>
      <c r="D279" s="76">
        <v>0</v>
      </c>
      <c r="E279" s="81">
        <v>0</v>
      </c>
      <c r="F279" s="81">
        <v>0</v>
      </c>
      <c r="G279" s="82">
        <v>1.8447488584474559E-3</v>
      </c>
    </row>
    <row r="280" spans="1:7" ht="12.75">
      <c r="A280" s="122" t="s">
        <v>14</v>
      </c>
      <c r="B280" s="121">
        <v>23</v>
      </c>
      <c r="C280" s="30">
        <f t="shared" si="4"/>
        <v>21.9</v>
      </c>
      <c r="D280" s="76">
        <v>4.1630434782608833E-2</v>
      </c>
      <c r="E280" s="81"/>
      <c r="F280" s="81">
        <v>4.1630434782608831E-3</v>
      </c>
      <c r="G280" s="82">
        <v>6.5391304347825838E-3</v>
      </c>
    </row>
    <row r="281" spans="1:7" ht="12.75">
      <c r="A281" s="122" t="s">
        <v>15</v>
      </c>
      <c r="B281" s="121">
        <v>23.9</v>
      </c>
      <c r="C281" s="30">
        <f t="shared" si="4"/>
        <v>23</v>
      </c>
      <c r="D281" s="76">
        <v>7.7719665271966609E-2</v>
      </c>
      <c r="E281" s="81"/>
      <c r="F281" s="81">
        <v>7.7719665271966613E-3</v>
      </c>
      <c r="G281" s="82">
        <v>1.0058577405857711E-2</v>
      </c>
    </row>
    <row r="282" spans="1:7" ht="12.75">
      <c r="A282" s="122" t="s">
        <v>16</v>
      </c>
      <c r="B282" s="121">
        <v>24.9</v>
      </c>
      <c r="C282" s="30">
        <f t="shared" si="4"/>
        <v>23.9</v>
      </c>
      <c r="D282" s="76">
        <v>0.11475903614457839</v>
      </c>
      <c r="E282" s="81">
        <v>1.147590361445784E-2</v>
      </c>
      <c r="F282" s="81">
        <v>1.147590361445784E-2</v>
      </c>
      <c r="G282" s="82">
        <v>1.3670682730923669E-2</v>
      </c>
    </row>
    <row r="283" spans="1:7" ht="12.75">
      <c r="A283" s="122" t="s">
        <v>17</v>
      </c>
      <c r="B283" s="121">
        <v>26</v>
      </c>
      <c r="C283" s="30">
        <f t="shared" si="4"/>
        <v>24.9</v>
      </c>
      <c r="D283" s="76">
        <v>0.15221153846153859</v>
      </c>
      <c r="E283" s="81">
        <v>1.5221153846153858E-2</v>
      </c>
      <c r="F283" s="81">
        <v>1.5221153846153858E-2</v>
      </c>
      <c r="G283" s="82">
        <v>1.7323076923076903E-2</v>
      </c>
    </row>
    <row r="284" spans="1:7" ht="12.75">
      <c r="A284" s="122" t="s">
        <v>18</v>
      </c>
      <c r="B284" s="121">
        <v>26.7</v>
      </c>
      <c r="C284" s="30">
        <f t="shared" si="4"/>
        <v>26</v>
      </c>
      <c r="D284" s="76">
        <v>0.17443820224719112</v>
      </c>
      <c r="E284" s="81">
        <v>1.7443820224719114E-2</v>
      </c>
      <c r="F284" s="81">
        <v>1.7443820224719114E-2</v>
      </c>
      <c r="G284" s="82">
        <v>1.9490636704119831E-2</v>
      </c>
    </row>
    <row r="285" spans="1:7" ht="12.75">
      <c r="A285" s="122" t="s">
        <v>19</v>
      </c>
      <c r="B285" s="121">
        <v>27.6</v>
      </c>
      <c r="C285" s="30">
        <f t="shared" si="4"/>
        <v>26.7</v>
      </c>
      <c r="D285" s="76">
        <v>0.20135869565217407</v>
      </c>
      <c r="E285" s="81">
        <v>2.0135869565217408E-2</v>
      </c>
      <c r="F285" s="81">
        <v>2.0135869565217408E-2</v>
      </c>
      <c r="G285" s="82">
        <v>2.2115942028985491E-2</v>
      </c>
    </row>
    <row r="286" spans="1:7" ht="12.75">
      <c r="A286" s="122" t="s">
        <v>20</v>
      </c>
      <c r="B286" s="121">
        <v>28.4</v>
      </c>
      <c r="C286" s="30">
        <f t="shared" si="4"/>
        <v>27.6</v>
      </c>
      <c r="D286" s="76">
        <v>0.22385563380281698</v>
      </c>
      <c r="E286" s="81">
        <v>2.2385563380281699E-2</v>
      </c>
      <c r="F286" s="81">
        <v>2.2385563380281699E-2</v>
      </c>
      <c r="G286" s="82">
        <v>2.4309859154929555E-2</v>
      </c>
    </row>
    <row r="287" spans="1:7" ht="12.75">
      <c r="A287" s="122" t="s">
        <v>21</v>
      </c>
      <c r="B287" s="121">
        <v>29.1</v>
      </c>
      <c r="C287" s="30">
        <f t="shared" si="4"/>
        <v>28.4</v>
      </c>
      <c r="D287" s="76">
        <v>0.24252577319587643</v>
      </c>
      <c r="E287" s="81">
        <v>2.4252577319587645E-2</v>
      </c>
      <c r="F287" s="81">
        <v>2.4252577319587645E-2</v>
      </c>
      <c r="G287" s="82">
        <v>2.6130584192439847E-2</v>
      </c>
    </row>
    <row r="288" spans="1:7" ht="12.75">
      <c r="A288" s="122" t="s">
        <v>22</v>
      </c>
      <c r="B288" s="121">
        <v>29.9</v>
      </c>
      <c r="C288" s="30">
        <f t="shared" si="4"/>
        <v>29.1</v>
      </c>
      <c r="D288" s="76">
        <v>0.26279264214046832</v>
      </c>
      <c r="E288" s="81">
        <v>2.6279264214046829E-2</v>
      </c>
      <c r="F288" s="81">
        <v>2.6279264214046829E-2</v>
      </c>
      <c r="G288" s="82">
        <v>2.8107023411371217E-2</v>
      </c>
    </row>
    <row r="289" spans="1:7" ht="12.75">
      <c r="A289" s="122" t="s">
        <v>23</v>
      </c>
      <c r="B289" s="121">
        <v>30.6</v>
      </c>
      <c r="C289" s="30">
        <f t="shared" si="4"/>
        <v>29.9</v>
      </c>
      <c r="D289" s="76">
        <v>0.27965686274509816</v>
      </c>
      <c r="E289" s="81">
        <v>2.7965686274509818E-2</v>
      </c>
      <c r="F289" s="81">
        <v>2.7965686274509818E-2</v>
      </c>
      <c r="G289" s="82">
        <v>2.9751633986928091E-2</v>
      </c>
    </row>
    <row r="290" spans="1:7" ht="12.75">
      <c r="A290" s="122" t="s">
        <v>24</v>
      </c>
      <c r="B290" s="121">
        <v>31.3</v>
      </c>
      <c r="C290" s="30">
        <f t="shared" si="4"/>
        <v>30.6</v>
      </c>
      <c r="D290" s="76">
        <v>0.29576677316293942</v>
      </c>
      <c r="E290" s="81">
        <v>2.9576677316293942E-2</v>
      </c>
      <c r="F290" s="81">
        <v>2.9576677316293942E-2</v>
      </c>
      <c r="G290" s="82">
        <v>3.1322683706070269E-2</v>
      </c>
    </row>
    <row r="291" spans="1:7" ht="12.75">
      <c r="A291" s="122" t="s">
        <v>25</v>
      </c>
      <c r="B291" s="121">
        <v>32.1</v>
      </c>
      <c r="C291" s="30">
        <f t="shared" si="4"/>
        <v>31.3</v>
      </c>
      <c r="D291" s="76">
        <v>0.31331775700934594</v>
      </c>
      <c r="E291" s="81">
        <v>3.1331775700934594E-2</v>
      </c>
      <c r="F291" s="81">
        <v>3.1331775700934594E-2</v>
      </c>
      <c r="G291" s="82">
        <v>3.3034267912772572E-2</v>
      </c>
    </row>
    <row r="292" spans="1:7" ht="12.75">
      <c r="A292" s="122" t="s">
        <v>26</v>
      </c>
      <c r="B292" s="121">
        <v>32.799999999999997</v>
      </c>
      <c r="C292" s="30">
        <f t="shared" si="4"/>
        <v>32.1</v>
      </c>
      <c r="D292" s="76">
        <v>0.32797256097560978</v>
      </c>
      <c r="E292" s="81">
        <v>3.2797256097560977E-2</v>
      </c>
      <c r="F292" s="81">
        <v>3.2797256097560977E-2</v>
      </c>
      <c r="G292" s="82">
        <v>3.4463414634146317E-2</v>
      </c>
    </row>
    <row r="293" spans="1:7" ht="12.75">
      <c r="A293" s="122" t="s">
        <v>27</v>
      </c>
      <c r="B293" s="121">
        <v>33.6</v>
      </c>
      <c r="C293" s="30">
        <f t="shared" si="4"/>
        <v>32.799999999999997</v>
      </c>
      <c r="D293" s="76">
        <v>0.34397321428571442</v>
      </c>
      <c r="E293" s="81">
        <v>3.4397321428571444E-2</v>
      </c>
      <c r="F293" s="81">
        <v>3.4397321428571444E-2</v>
      </c>
      <c r="G293" s="82">
        <v>3.6023809523809514E-2</v>
      </c>
    </row>
    <row r="294" spans="1:7" ht="12.75">
      <c r="A294" s="122" t="s">
        <v>28</v>
      </c>
      <c r="B294" s="121">
        <v>34.5</v>
      </c>
      <c r="C294" s="30">
        <f t="shared" si="4"/>
        <v>33.6</v>
      </c>
      <c r="D294" s="76">
        <v>0.36108695652173922</v>
      </c>
      <c r="E294" s="81">
        <v>3.6108695652173922E-2</v>
      </c>
      <c r="F294" s="81">
        <v>3.6108695652173922E-2</v>
      </c>
      <c r="G294" s="82">
        <v>3.7692753623188392E-2</v>
      </c>
    </row>
    <row r="295" spans="1:7" ht="12.75">
      <c r="A295" s="122" t="s">
        <v>29</v>
      </c>
      <c r="B295" s="121">
        <v>35.5</v>
      </c>
      <c r="C295" s="30">
        <f t="shared" si="4"/>
        <v>34.5</v>
      </c>
      <c r="D295" s="76">
        <v>0.3790845070422536</v>
      </c>
      <c r="E295" s="81">
        <v>3.7908450704225362E-2</v>
      </c>
      <c r="F295" s="81">
        <v>3.7908450704225362E-2</v>
      </c>
      <c r="G295" s="82">
        <v>3.9447887323943644E-2</v>
      </c>
    </row>
    <row r="296" spans="1:7" ht="12.75">
      <c r="A296" s="122" t="s">
        <v>30</v>
      </c>
      <c r="B296" s="121">
        <v>36.4</v>
      </c>
      <c r="C296" s="30">
        <f t="shared" si="4"/>
        <v>35.5</v>
      </c>
      <c r="D296" s="76">
        <v>0.39443681318681323</v>
      </c>
      <c r="E296" s="81">
        <v>3.9443681318681326E-2</v>
      </c>
      <c r="F296" s="81">
        <v>3.9443681318681326E-2</v>
      </c>
      <c r="G296" s="82">
        <v>4.5670329670329572E-2</v>
      </c>
    </row>
    <row r="297" spans="1:7" ht="12.75">
      <c r="A297" s="122" t="s">
        <v>31</v>
      </c>
      <c r="B297" s="121">
        <v>37.5</v>
      </c>
      <c r="C297" s="30">
        <f t="shared" si="4"/>
        <v>36.4</v>
      </c>
      <c r="D297" s="76">
        <v>0.41220000000000007</v>
      </c>
      <c r="E297" s="81">
        <v>4.7320000000000029E-2</v>
      </c>
      <c r="F297" s="81">
        <v>4.7320000000000029E-2</v>
      </c>
      <c r="G297" s="82">
        <v>5.6063999999999913E-2</v>
      </c>
    </row>
    <row r="298" spans="1:7" ht="12.75">
      <c r="A298" s="122" t="s">
        <v>32</v>
      </c>
      <c r="B298" s="121">
        <v>38.299999999999997</v>
      </c>
      <c r="C298" s="30">
        <f t="shared" si="4"/>
        <v>37.5</v>
      </c>
      <c r="D298" s="76">
        <v>0.42447780678851177</v>
      </c>
      <c r="E298" s="81">
        <v>5.4686684073107054E-2</v>
      </c>
      <c r="F298" s="81">
        <v>5.4686684073107054E-2</v>
      </c>
      <c r="G298" s="82">
        <v>6.3248041775456815E-2</v>
      </c>
    </row>
    <row r="299" spans="1:7" ht="12.75">
      <c r="A299" s="122" t="s">
        <v>33</v>
      </c>
      <c r="B299" s="121">
        <v>39.200000000000003</v>
      </c>
      <c r="C299" s="30">
        <f t="shared" si="4"/>
        <v>38.299999999999997</v>
      </c>
      <c r="D299" s="76">
        <v>0.43769132653061238</v>
      </c>
      <c r="E299" s="81">
        <v>6.2614795918367397E-2</v>
      </c>
      <c r="F299" s="81">
        <v>6.2614795918367397E-2</v>
      </c>
      <c r="G299" s="82">
        <v>7.0979591836734648E-2</v>
      </c>
    </row>
    <row r="300" spans="1:7" ht="12.75">
      <c r="A300" s="122" t="s">
        <v>34</v>
      </c>
      <c r="B300" s="121">
        <v>40.200000000000003</v>
      </c>
      <c r="C300" s="30">
        <f t="shared" si="4"/>
        <v>39.200000000000003</v>
      </c>
      <c r="D300" s="76">
        <v>0.45167910447761206</v>
      </c>
      <c r="E300" s="81">
        <v>7.1007462686567227E-2</v>
      </c>
      <c r="F300" s="81">
        <v>7.1007462686567227E-2</v>
      </c>
      <c r="G300" s="82">
        <v>7.9164179104477553E-2</v>
      </c>
    </row>
    <row r="301" spans="1:7" ht="12.75">
      <c r="A301" s="122" t="s">
        <v>35</v>
      </c>
      <c r="B301" s="121">
        <v>41.4</v>
      </c>
      <c r="C301" s="30">
        <f t="shared" si="4"/>
        <v>40.200000000000003</v>
      </c>
      <c r="D301" s="76">
        <v>0.46757246376811601</v>
      </c>
      <c r="E301" s="81">
        <v>8.0543478260869578E-2</v>
      </c>
      <c r="F301" s="81">
        <v>8.0543478260869578E-2</v>
      </c>
      <c r="G301" s="82">
        <v>8.8463768115941949E-2</v>
      </c>
    </row>
    <row r="302" spans="1:7" ht="12.75">
      <c r="A302" s="122" t="s">
        <v>36</v>
      </c>
      <c r="B302" s="121">
        <v>42.5</v>
      </c>
      <c r="C302" s="30">
        <f t="shared" si="4"/>
        <v>41.4</v>
      </c>
      <c r="D302" s="76">
        <v>0.48135294117647065</v>
      </c>
      <c r="E302" s="81">
        <v>8.8811764705882382E-2</v>
      </c>
      <c r="F302" s="81">
        <v>8.8811764705882382E-2</v>
      </c>
      <c r="G302" s="82">
        <v>9.6527058823529355E-2</v>
      </c>
    </row>
    <row r="303" spans="1:7" ht="12.75">
      <c r="A303" s="122" t="s">
        <v>37</v>
      </c>
      <c r="B303" s="121">
        <v>43.5</v>
      </c>
      <c r="C303" s="30">
        <f t="shared" si="4"/>
        <v>42.5</v>
      </c>
      <c r="D303" s="76">
        <v>0.49327586206896556</v>
      </c>
      <c r="E303" s="81">
        <v>9.5965517241379347E-2</v>
      </c>
      <c r="F303" s="81">
        <v>9.5965517241379347E-2</v>
      </c>
      <c r="G303" s="82">
        <v>0.103503448275862</v>
      </c>
    </row>
    <row r="304" spans="1:7" ht="12.75">
      <c r="A304" s="122" t="s">
        <v>38</v>
      </c>
      <c r="B304" s="121">
        <v>44.5</v>
      </c>
      <c r="C304" s="30">
        <f t="shared" si="4"/>
        <v>43.5</v>
      </c>
      <c r="D304" s="76">
        <v>0.5046629213483147</v>
      </c>
      <c r="E304" s="81">
        <v>0.1027977528089888</v>
      </c>
      <c r="F304" s="81">
        <v>0.1027977528089888</v>
      </c>
      <c r="G304" s="82">
        <v>0.11016629213483138</v>
      </c>
    </row>
    <row r="305" spans="1:7" ht="12.75">
      <c r="A305" s="122" t="s">
        <v>39</v>
      </c>
      <c r="B305" s="121">
        <v>45.6</v>
      </c>
      <c r="C305" s="30">
        <f t="shared" si="4"/>
        <v>44.5</v>
      </c>
      <c r="D305" s="76">
        <v>0.51661184210526323</v>
      </c>
      <c r="E305" s="81">
        <v>0.10996710526315794</v>
      </c>
      <c r="F305" s="81">
        <v>0.10996710526315794</v>
      </c>
      <c r="G305" s="82">
        <v>0.11715789473684206</v>
      </c>
    </row>
    <row r="306" spans="1:7" ht="12.75">
      <c r="A306" s="122" t="s">
        <v>40</v>
      </c>
      <c r="B306" s="121">
        <v>46.8</v>
      </c>
      <c r="C306" s="30">
        <f t="shared" si="4"/>
        <v>45.6</v>
      </c>
      <c r="D306" s="76">
        <v>0.52900641025641026</v>
      </c>
      <c r="E306" s="81">
        <v>0.11740384615384616</v>
      </c>
      <c r="F306" s="81">
        <v>0.11740384615384616</v>
      </c>
      <c r="G306" s="82">
        <v>0.12441025641025633</v>
      </c>
    </row>
    <row r="307" spans="1:7" ht="12.75">
      <c r="A307" s="122" t="s">
        <v>41</v>
      </c>
      <c r="B307" s="121">
        <v>47.9</v>
      </c>
      <c r="C307" s="30">
        <f t="shared" si="4"/>
        <v>46.8</v>
      </c>
      <c r="D307" s="76">
        <v>0.53982254697286014</v>
      </c>
      <c r="E307" s="81">
        <v>0.1238935281837161</v>
      </c>
      <c r="F307" s="81">
        <v>0.1238935281837161</v>
      </c>
      <c r="G307" s="82">
        <v>0.13073903966597072</v>
      </c>
    </row>
    <row r="308" spans="1:7" ht="12.75">
      <c r="A308" s="122" t="s">
        <v>42</v>
      </c>
      <c r="B308" s="121">
        <v>49.6</v>
      </c>
      <c r="C308" s="30">
        <f t="shared" si="4"/>
        <v>47.9</v>
      </c>
      <c r="D308" s="76">
        <v>0.55559475806451619</v>
      </c>
      <c r="E308" s="81">
        <v>0.13335685483870971</v>
      </c>
      <c r="F308" s="81">
        <v>0.13335685483870971</v>
      </c>
      <c r="G308" s="82">
        <v>0.13996774193548381</v>
      </c>
    </row>
    <row r="309" spans="1:7" ht="12.75">
      <c r="A309" s="122" t="s">
        <v>43</v>
      </c>
      <c r="B309" s="121">
        <v>51.5</v>
      </c>
      <c r="C309" s="30">
        <f t="shared" si="4"/>
        <v>49.6</v>
      </c>
      <c r="D309" s="76">
        <v>0.57199029126213596</v>
      </c>
      <c r="E309" s="81">
        <v>0.14319417475728158</v>
      </c>
      <c r="F309" s="81">
        <v>0.14319417475728158</v>
      </c>
      <c r="G309" s="82">
        <v>0.14956116504854364</v>
      </c>
    </row>
    <row r="310" spans="1:7" ht="12.75">
      <c r="A310" s="122" t="s">
        <v>44</v>
      </c>
      <c r="B310" s="121">
        <v>53.6</v>
      </c>
      <c r="C310" s="30">
        <f t="shared" si="4"/>
        <v>51.5</v>
      </c>
      <c r="D310" s="76">
        <v>0.58875932835820899</v>
      </c>
      <c r="E310" s="81">
        <v>0.15325559701492539</v>
      </c>
      <c r="F310" s="81">
        <v>0.15325559701492539</v>
      </c>
      <c r="G310" s="82">
        <v>0.15937313432835815</v>
      </c>
    </row>
    <row r="311" spans="1:7" ht="12.75">
      <c r="A311" s="122" t="s">
        <v>45</v>
      </c>
      <c r="B311" s="121">
        <v>56.1</v>
      </c>
      <c r="C311" s="30">
        <f t="shared" si="4"/>
        <v>53.6</v>
      </c>
      <c r="D311" s="76">
        <v>0.60708556149732629</v>
      </c>
      <c r="E311" s="81">
        <v>0.16425133689839574</v>
      </c>
      <c r="F311" s="81">
        <v>0.16425133689839574</v>
      </c>
      <c r="G311" s="82">
        <v>0.17009625668449194</v>
      </c>
    </row>
    <row r="312" spans="1:7" ht="12.75">
      <c r="A312" s="122" t="s">
        <v>46</v>
      </c>
      <c r="B312" s="121">
        <v>58.8</v>
      </c>
      <c r="C312" s="30">
        <f t="shared" si="4"/>
        <v>56.1</v>
      </c>
      <c r="D312" s="76">
        <v>0.62512755102040818</v>
      </c>
      <c r="E312" s="81">
        <v>0.17507653061224493</v>
      </c>
      <c r="F312" s="81">
        <v>0.17507653061224493</v>
      </c>
      <c r="G312" s="82">
        <v>0.18065306122448974</v>
      </c>
    </row>
    <row r="313" spans="1:7" ht="12.75">
      <c r="A313" s="122" t="s">
        <v>47</v>
      </c>
      <c r="B313" s="121">
        <v>61.8</v>
      </c>
      <c r="C313" s="30">
        <f t="shared" si="4"/>
        <v>58.8</v>
      </c>
      <c r="D313" s="76">
        <v>0.6433252427184466</v>
      </c>
      <c r="E313" s="81">
        <v>0.18599514563106798</v>
      </c>
      <c r="F313" s="81">
        <v>0.18599514563106798</v>
      </c>
      <c r="G313" s="82">
        <v>0.19130097087378636</v>
      </c>
    </row>
    <row r="314" spans="1:7" ht="12.75">
      <c r="A314" s="122" t="s">
        <v>48</v>
      </c>
      <c r="B314" s="121">
        <v>65.7</v>
      </c>
      <c r="C314" s="30">
        <f t="shared" si="4"/>
        <v>61.8</v>
      </c>
      <c r="D314" s="76">
        <v>0.66449771689497728</v>
      </c>
      <c r="E314" s="81">
        <v>0.19869863013698633</v>
      </c>
      <c r="F314" s="81">
        <v>0.19869863013698633</v>
      </c>
      <c r="G314" s="82">
        <v>0.20368949771689496</v>
      </c>
    </row>
    <row r="315" spans="1:7" ht="12.75">
      <c r="A315" s="122" t="s">
        <v>49</v>
      </c>
      <c r="B315" s="121">
        <v>70.2</v>
      </c>
      <c r="C315" s="30">
        <f t="shared" si="4"/>
        <v>65.7</v>
      </c>
      <c r="D315" s="76">
        <v>0.68600427350427351</v>
      </c>
      <c r="E315" s="81">
        <v>0.21160256410256414</v>
      </c>
      <c r="F315" s="81">
        <v>0.21160256410256414</v>
      </c>
      <c r="G315" s="82">
        <v>0.21627350427350425</v>
      </c>
    </row>
    <row r="316" spans="1:7" ht="12.75">
      <c r="A316" s="122" t="s">
        <v>50</v>
      </c>
      <c r="B316" s="121">
        <v>79</v>
      </c>
      <c r="C316" s="30">
        <f t="shared" si="4"/>
        <v>70.2</v>
      </c>
      <c r="D316" s="76">
        <v>0.72098101265822789</v>
      </c>
      <c r="E316" s="81">
        <v>0.23258860759493671</v>
      </c>
      <c r="F316" s="81">
        <v>0.23258860759493671</v>
      </c>
      <c r="G316" s="82">
        <v>0.23673924050632908</v>
      </c>
    </row>
    <row r="317" spans="1:7" ht="12.75">
      <c r="A317" s="122" t="s">
        <v>51</v>
      </c>
      <c r="B317" s="121">
        <v>90.9</v>
      </c>
      <c r="C317" s="30">
        <f t="shared" si="4"/>
        <v>79</v>
      </c>
      <c r="D317" s="76">
        <v>0.75750825082508266</v>
      </c>
      <c r="E317" s="81">
        <v>0.25450495049504956</v>
      </c>
      <c r="F317" s="81">
        <v>0.25450495049504956</v>
      </c>
      <c r="G317" s="82">
        <v>0.2581122112211221</v>
      </c>
    </row>
    <row r="318" spans="1:7" ht="12.75">
      <c r="A318" s="122" t="s">
        <v>52</v>
      </c>
      <c r="B318" s="121">
        <v>122</v>
      </c>
      <c r="C318" s="30">
        <f t="shared" si="4"/>
        <v>90.9</v>
      </c>
      <c r="D318" s="76">
        <v>0.81932377049180338</v>
      </c>
      <c r="E318" s="81">
        <v>0.29159426229508195</v>
      </c>
      <c r="F318" s="81">
        <v>0.29159426229508195</v>
      </c>
      <c r="G318" s="82">
        <v>0.29428196721311478</v>
      </c>
    </row>
    <row r="319" spans="1:7" ht="12.75">
      <c r="A319" s="122" t="s">
        <v>53</v>
      </c>
      <c r="B319" s="121">
        <v>296.60000000000002</v>
      </c>
      <c r="C319" s="30">
        <f>B318</f>
        <v>122</v>
      </c>
      <c r="D319" s="76">
        <v>0.92568273769386378</v>
      </c>
      <c r="E319" s="81">
        <v>0.35540964261631824</v>
      </c>
      <c r="F319" s="81">
        <v>0.35540964261631824</v>
      </c>
      <c r="G319" s="82">
        <v>0.35651517194875254</v>
      </c>
    </row>
    <row r="320" spans="1:7" ht="13.5" thickBot="1">
      <c r="A320" s="123" t="s">
        <v>53</v>
      </c>
      <c r="B320" s="124" t="s">
        <v>95</v>
      </c>
      <c r="C320" s="30">
        <f t="shared" si="4"/>
        <v>296.60000000000002</v>
      </c>
      <c r="D320" s="87"/>
      <c r="E320" s="87"/>
      <c r="F320" s="87"/>
      <c r="G320" s="88"/>
    </row>
    <row r="321" spans="1:7" ht="15.75" thickBot="1">
      <c r="A321" s="89"/>
      <c r="B321" s="125">
        <v>36.799999999999997</v>
      </c>
      <c r="D321" s="126"/>
      <c r="E321" s="127">
        <v>7.7463978779046358E-2</v>
      </c>
      <c r="F321" s="127">
        <v>7.7463978779046358E-2</v>
      </c>
      <c r="G321" s="128">
        <v>8.1079690721617956E-2</v>
      </c>
    </row>
    <row r="322" spans="1:7" ht="51">
      <c r="A322" s="94" t="s">
        <v>55</v>
      </c>
      <c r="B322" s="95"/>
      <c r="D322" s="96"/>
      <c r="E322" s="97">
        <v>36.737499999999997</v>
      </c>
      <c r="F322" s="98">
        <v>36.737499999999997</v>
      </c>
      <c r="G322" s="99">
        <v>35.826666666666675</v>
      </c>
    </row>
    <row r="323" spans="1:7" ht="53.25" customHeight="1">
      <c r="A323" s="100" t="s">
        <v>56</v>
      </c>
      <c r="B323" s="101">
        <v>43.6</v>
      </c>
      <c r="D323" s="102"/>
      <c r="E323" s="103"/>
      <c r="F323" s="103"/>
      <c r="G323" s="104"/>
    </row>
    <row r="324" spans="1:7" ht="78" customHeight="1" thickBot="1">
      <c r="A324" s="105" t="s">
        <v>57</v>
      </c>
      <c r="B324" s="106">
        <v>26.2</v>
      </c>
      <c r="D324" s="87"/>
      <c r="E324" s="86">
        <v>22.042499999999997</v>
      </c>
      <c r="F324" s="86">
        <v>22.042499999999997</v>
      </c>
      <c r="G324" s="107">
        <v>21.496000000000006</v>
      </c>
    </row>
    <row r="325" spans="1:7" ht="15.75" thickBot="1"/>
    <row r="326" spans="1:7" ht="51.75" thickBot="1">
      <c r="A326" s="108" t="s">
        <v>56</v>
      </c>
      <c r="B326" s="109">
        <f>B323</f>
        <v>43.6</v>
      </c>
    </row>
    <row r="327" spans="1:7">
      <c r="A327" s="110" t="s">
        <v>64</v>
      </c>
      <c r="B327" s="111">
        <f>AVERAGE(B275:B314)</f>
        <v>36.737499999999997</v>
      </c>
    </row>
    <row r="328" spans="1:7">
      <c r="A328" s="112" t="s">
        <v>65</v>
      </c>
      <c r="B328" s="113">
        <f>AVERAGE(B280:B309)</f>
        <v>35.826666666666675</v>
      </c>
    </row>
    <row r="329" spans="1:7" ht="15.75" thickBot="1">
      <c r="A329" s="114" t="s">
        <v>66</v>
      </c>
      <c r="B329" s="115">
        <f>AVERAGE(B286:B304)</f>
        <v>35.857894736842105</v>
      </c>
    </row>
    <row r="332" spans="1:7" ht="15.75" thickBot="1"/>
    <row r="333" spans="1:7" ht="15" customHeight="1" thickBot="1">
      <c r="A333" s="535" t="s">
        <v>0</v>
      </c>
      <c r="B333" s="538" t="s">
        <v>70</v>
      </c>
      <c r="C333" s="539"/>
      <c r="D333" s="540"/>
      <c r="E333" s="62">
        <f>(1-E388)^(1/3)-1</f>
        <v>-2.9014361563391211E-2</v>
      </c>
      <c r="F333" s="63">
        <f>(1-F388)^(1/3)-1</f>
        <v>-2.9014361563391211E-2</v>
      </c>
      <c r="G333" s="64"/>
    </row>
    <row r="334" spans="1:7" ht="77.25" thickBot="1">
      <c r="A334" s="536"/>
      <c r="B334" s="65" t="s">
        <v>4</v>
      </c>
      <c r="D334" s="65" t="s">
        <v>80</v>
      </c>
      <c r="E334" s="65" t="s">
        <v>5</v>
      </c>
      <c r="F334" s="65" t="s">
        <v>5</v>
      </c>
      <c r="G334" s="65"/>
    </row>
    <row r="335" spans="1:7" ht="26.25" thickBot="1">
      <c r="A335" s="537"/>
      <c r="B335" s="66" t="s">
        <v>88</v>
      </c>
      <c r="D335" s="66" t="s">
        <v>7</v>
      </c>
      <c r="E335" s="67" t="s">
        <v>82</v>
      </c>
      <c r="F335" s="68" t="s">
        <v>83</v>
      </c>
      <c r="G335" s="68"/>
    </row>
    <row r="336" spans="1:7" ht="13.5" thickBot="1">
      <c r="A336" s="69">
        <v>1</v>
      </c>
      <c r="B336" s="116">
        <v>2</v>
      </c>
      <c r="C336" s="117"/>
      <c r="D336" s="117">
        <v>3</v>
      </c>
      <c r="E336" s="71">
        <v>4</v>
      </c>
      <c r="F336" s="117">
        <v>5</v>
      </c>
      <c r="G336" s="71"/>
    </row>
    <row r="337" spans="1:7">
      <c r="A337" s="118" t="s">
        <v>10</v>
      </c>
      <c r="B337" s="119">
        <v>26.9</v>
      </c>
      <c r="C337">
        <v>0</v>
      </c>
      <c r="D337" s="76">
        <v>0</v>
      </c>
      <c r="E337" s="77">
        <v>0</v>
      </c>
      <c r="F337" s="77">
        <v>0</v>
      </c>
      <c r="G337" s="78">
        <v>0</v>
      </c>
    </row>
    <row r="338" spans="1:7" ht="12.75">
      <c r="A338" s="120" t="s">
        <v>58</v>
      </c>
      <c r="B338" s="121">
        <v>38.700000000000003</v>
      </c>
      <c r="C338" s="30">
        <f>B337</f>
        <v>26.9</v>
      </c>
      <c r="D338" s="76">
        <v>0</v>
      </c>
      <c r="E338" s="81">
        <v>0</v>
      </c>
      <c r="F338" s="81">
        <v>0</v>
      </c>
      <c r="G338" s="82">
        <v>0</v>
      </c>
    </row>
    <row r="339" spans="1:7" ht="12.75">
      <c r="A339" s="120" t="s">
        <v>59</v>
      </c>
      <c r="B339" s="121">
        <v>50.2</v>
      </c>
      <c r="C339" s="30">
        <f t="shared" ref="C339:C387" si="5">B338</f>
        <v>38.700000000000003</v>
      </c>
      <c r="D339" s="76">
        <v>0</v>
      </c>
      <c r="E339" s="81">
        <v>0</v>
      </c>
      <c r="F339" s="81">
        <v>0</v>
      </c>
      <c r="G339" s="82">
        <v>0</v>
      </c>
    </row>
    <row r="340" spans="1:7" ht="12.75">
      <c r="A340" s="120" t="s">
        <v>60</v>
      </c>
      <c r="B340" s="121">
        <v>60.9</v>
      </c>
      <c r="C340" s="30">
        <f t="shared" si="5"/>
        <v>50.2</v>
      </c>
      <c r="D340" s="76">
        <v>0</v>
      </c>
      <c r="E340" s="81">
        <v>0</v>
      </c>
      <c r="F340" s="81">
        <v>0</v>
      </c>
      <c r="G340" s="82">
        <v>0</v>
      </c>
    </row>
    <row r="341" spans="1:7" ht="12.75">
      <c r="A341" s="120" t="s">
        <v>61</v>
      </c>
      <c r="B341" s="121">
        <v>69.2</v>
      </c>
      <c r="C341" s="30">
        <f t="shared" si="5"/>
        <v>60.9</v>
      </c>
      <c r="D341" s="76">
        <v>0</v>
      </c>
      <c r="E341" s="81">
        <v>0</v>
      </c>
      <c r="F341" s="81">
        <v>0</v>
      </c>
      <c r="G341" s="82">
        <v>0</v>
      </c>
    </row>
    <row r="342" spans="1:7" ht="12.75">
      <c r="A342" s="120" t="s">
        <v>62</v>
      </c>
      <c r="B342" s="121">
        <v>76.2</v>
      </c>
      <c r="C342" s="30">
        <f t="shared" si="5"/>
        <v>69.2</v>
      </c>
      <c r="D342" s="76">
        <v>0</v>
      </c>
      <c r="E342" s="81">
        <v>0</v>
      </c>
      <c r="F342" s="81">
        <v>0</v>
      </c>
      <c r="G342" s="82">
        <v>0</v>
      </c>
    </row>
    <row r="343" spans="1:7" ht="12.75">
      <c r="A343" s="120" t="s">
        <v>63</v>
      </c>
      <c r="B343" s="121">
        <v>84.5</v>
      </c>
      <c r="C343" s="30">
        <f t="shared" si="5"/>
        <v>76.2</v>
      </c>
      <c r="D343" s="76">
        <v>0</v>
      </c>
      <c r="E343" s="81">
        <v>0</v>
      </c>
      <c r="F343" s="81">
        <v>0</v>
      </c>
      <c r="G343" s="82">
        <v>0</v>
      </c>
    </row>
    <row r="344" spans="1:7" ht="12.75">
      <c r="A344" s="122" t="s">
        <v>11</v>
      </c>
      <c r="B344" s="121">
        <v>90.9</v>
      </c>
      <c r="C344" s="30">
        <f t="shared" si="5"/>
        <v>84.5</v>
      </c>
      <c r="D344" s="76">
        <v>0</v>
      </c>
      <c r="E344" s="81">
        <v>0</v>
      </c>
      <c r="F344" s="81">
        <v>0</v>
      </c>
      <c r="G344" s="82">
        <v>0</v>
      </c>
    </row>
    <row r="345" spans="1:7" ht="12.75">
      <c r="A345" s="122" t="s">
        <v>12</v>
      </c>
      <c r="B345" s="121">
        <v>97.4</v>
      </c>
      <c r="C345" s="30">
        <f t="shared" si="5"/>
        <v>90.9</v>
      </c>
      <c r="D345" s="76">
        <v>0</v>
      </c>
      <c r="E345" s="81">
        <v>0</v>
      </c>
      <c r="F345" s="81">
        <v>0</v>
      </c>
      <c r="G345" s="82">
        <v>0</v>
      </c>
    </row>
    <row r="346" spans="1:7" ht="12.75">
      <c r="A346" s="122" t="s">
        <v>13</v>
      </c>
      <c r="B346" s="121">
        <v>103.3</v>
      </c>
      <c r="C346" s="30">
        <f t="shared" si="5"/>
        <v>97.4</v>
      </c>
      <c r="D346" s="76">
        <v>0</v>
      </c>
      <c r="E346" s="81">
        <v>0</v>
      </c>
      <c r="F346" s="81">
        <v>0</v>
      </c>
      <c r="G346" s="82">
        <v>0</v>
      </c>
    </row>
    <row r="347" spans="1:7" ht="12.75">
      <c r="A347" s="122" t="s">
        <v>14</v>
      </c>
      <c r="B347" s="121">
        <v>109.4</v>
      </c>
      <c r="C347" s="30">
        <f t="shared" si="5"/>
        <v>103.3</v>
      </c>
      <c r="D347" s="76">
        <v>0</v>
      </c>
      <c r="E347" s="81">
        <v>0</v>
      </c>
      <c r="F347" s="81">
        <v>0</v>
      </c>
      <c r="G347" s="82">
        <v>0</v>
      </c>
    </row>
    <row r="348" spans="1:7" ht="12.75">
      <c r="A348" s="122" t="s">
        <v>15</v>
      </c>
      <c r="B348" s="121">
        <v>115.7</v>
      </c>
      <c r="C348" s="30">
        <f t="shared" si="5"/>
        <v>109.4</v>
      </c>
      <c r="D348" s="76">
        <v>0</v>
      </c>
      <c r="E348" s="81">
        <v>0</v>
      </c>
      <c r="F348" s="81">
        <v>0</v>
      </c>
      <c r="G348" s="82">
        <v>0</v>
      </c>
    </row>
    <row r="349" spans="1:7" ht="12.75">
      <c r="A349" s="122" t="s">
        <v>16</v>
      </c>
      <c r="B349" s="121">
        <v>122.7</v>
      </c>
      <c r="C349" s="30">
        <f t="shared" si="5"/>
        <v>115.7</v>
      </c>
      <c r="D349" s="76">
        <v>0</v>
      </c>
      <c r="E349" s="81">
        <v>0</v>
      </c>
      <c r="F349" s="81">
        <v>0</v>
      </c>
      <c r="G349" s="82">
        <v>0</v>
      </c>
    </row>
    <row r="350" spans="1:7" ht="12.75">
      <c r="A350" s="122" t="s">
        <v>17</v>
      </c>
      <c r="B350" s="121">
        <v>129.6</v>
      </c>
      <c r="C350" s="30">
        <f t="shared" si="5"/>
        <v>122.7</v>
      </c>
      <c r="D350" s="76">
        <v>0</v>
      </c>
      <c r="E350" s="81">
        <v>0</v>
      </c>
      <c r="F350" s="81">
        <v>0</v>
      </c>
      <c r="G350" s="82">
        <v>0</v>
      </c>
    </row>
    <row r="351" spans="1:7" ht="12.75">
      <c r="A351" s="122" t="s">
        <v>18</v>
      </c>
      <c r="B351" s="121">
        <v>136.19999999999999</v>
      </c>
      <c r="C351" s="30">
        <f t="shared" si="5"/>
        <v>129.6</v>
      </c>
      <c r="D351" s="76">
        <v>0</v>
      </c>
      <c r="E351" s="81">
        <v>0</v>
      </c>
      <c r="F351" s="81">
        <v>0</v>
      </c>
      <c r="G351" s="82">
        <v>0</v>
      </c>
    </row>
    <row r="352" spans="1:7" ht="12.75">
      <c r="A352" s="122" t="s">
        <v>19</v>
      </c>
      <c r="B352" s="121">
        <v>142.5</v>
      </c>
      <c r="C352" s="30">
        <f t="shared" si="5"/>
        <v>136.19999999999999</v>
      </c>
      <c r="D352" s="76">
        <v>0</v>
      </c>
      <c r="E352" s="81">
        <v>0</v>
      </c>
      <c r="F352" s="81">
        <v>0</v>
      </c>
      <c r="G352" s="82">
        <v>0</v>
      </c>
    </row>
    <row r="353" spans="1:7" ht="12.75">
      <c r="A353" s="122" t="s">
        <v>20</v>
      </c>
      <c r="B353" s="121">
        <v>150</v>
      </c>
      <c r="C353" s="30">
        <f t="shared" si="5"/>
        <v>142.5</v>
      </c>
      <c r="D353" s="76">
        <v>0</v>
      </c>
      <c r="E353" s="81">
        <v>0</v>
      </c>
      <c r="F353" s="81">
        <v>0</v>
      </c>
      <c r="G353" s="82">
        <v>3.8826666666666558E-3</v>
      </c>
    </row>
    <row r="354" spans="1:7" ht="12.75">
      <c r="A354" s="122" t="s">
        <v>21</v>
      </c>
      <c r="B354" s="121">
        <v>158.6</v>
      </c>
      <c r="C354" s="30">
        <f t="shared" si="5"/>
        <v>150</v>
      </c>
      <c r="D354" s="76">
        <v>1.3017023959646792E-2</v>
      </c>
      <c r="E354" s="81"/>
      <c r="F354" s="81">
        <v>1.3017023959646793E-3</v>
      </c>
      <c r="G354" s="82">
        <v>9.0945775535939341E-3</v>
      </c>
    </row>
    <row r="355" spans="1:7" ht="12.75">
      <c r="A355" s="122" t="s">
        <v>22</v>
      </c>
      <c r="B355" s="121">
        <v>166.4</v>
      </c>
      <c r="C355" s="30">
        <f t="shared" si="5"/>
        <v>158.6</v>
      </c>
      <c r="D355" s="76">
        <v>5.9281850961538415E-2</v>
      </c>
      <c r="E355" s="81"/>
      <c r="F355" s="81">
        <v>5.9281850961538417E-3</v>
      </c>
      <c r="G355" s="82">
        <v>1.3355769230769225E-2</v>
      </c>
    </row>
    <row r="356" spans="1:7" ht="12.75">
      <c r="A356" s="122" t="s">
        <v>23</v>
      </c>
      <c r="B356" s="121">
        <v>177</v>
      </c>
      <c r="C356" s="30">
        <f t="shared" si="5"/>
        <v>166.4</v>
      </c>
      <c r="D356" s="76">
        <v>0.11561864406779654</v>
      </c>
      <c r="E356" s="81">
        <v>1.1561864406779655E-2</v>
      </c>
      <c r="F356" s="81">
        <v>1.1561864406779655E-2</v>
      </c>
      <c r="G356" s="82">
        <v>1.8544632768361574E-2</v>
      </c>
    </row>
    <row r="357" spans="1:7" ht="12.75">
      <c r="A357" s="122" t="s">
        <v>24</v>
      </c>
      <c r="B357" s="121">
        <v>184.5</v>
      </c>
      <c r="C357" s="30">
        <f t="shared" si="5"/>
        <v>177</v>
      </c>
      <c r="D357" s="76">
        <v>0.15156910569105683</v>
      </c>
      <c r="E357" s="81">
        <v>1.5156910569105684E-2</v>
      </c>
      <c r="F357" s="81">
        <v>1.5156910569105684E-2</v>
      </c>
      <c r="G357" s="82">
        <v>2.1855826558265574E-2</v>
      </c>
    </row>
    <row r="358" spans="1:7" ht="12.75">
      <c r="A358" s="122" t="s">
        <v>25</v>
      </c>
      <c r="B358" s="121">
        <v>194.1</v>
      </c>
      <c r="C358" s="30">
        <f t="shared" si="5"/>
        <v>184.5</v>
      </c>
      <c r="D358" s="76">
        <v>0.19353168469860887</v>
      </c>
      <c r="E358" s="81">
        <v>1.9353168469860887E-2</v>
      </c>
      <c r="F358" s="81">
        <v>1.9353168469860887E-2</v>
      </c>
      <c r="G358" s="82">
        <v>2.5720762493560013E-2</v>
      </c>
    </row>
    <row r="359" spans="1:7" ht="12.75">
      <c r="A359" s="122" t="s">
        <v>26</v>
      </c>
      <c r="B359" s="121">
        <v>204.3</v>
      </c>
      <c r="C359" s="30">
        <f t="shared" si="5"/>
        <v>194.1</v>
      </c>
      <c r="D359" s="76">
        <v>0.23379588839941259</v>
      </c>
      <c r="E359" s="81">
        <v>2.3379588839941259E-2</v>
      </c>
      <c r="F359" s="81">
        <v>2.3379588839941259E-2</v>
      </c>
      <c r="G359" s="82">
        <v>2.9429270680371999E-2</v>
      </c>
    </row>
    <row r="360" spans="1:7" ht="12.75">
      <c r="A360" s="122" t="s">
        <v>27</v>
      </c>
      <c r="B360" s="121">
        <v>211.7</v>
      </c>
      <c r="C360" s="30">
        <f t="shared" si="5"/>
        <v>204.3</v>
      </c>
      <c r="D360" s="76">
        <v>0.26057864903164846</v>
      </c>
      <c r="E360" s="81">
        <v>2.6057864903164848E-2</v>
      </c>
      <c r="F360" s="81">
        <v>2.6057864903164848E-2</v>
      </c>
      <c r="G360" s="82">
        <v>3.1896079357581472E-2</v>
      </c>
    </row>
    <row r="361" spans="1:7" ht="12.75">
      <c r="A361" s="122" t="s">
        <v>28</v>
      </c>
      <c r="B361" s="121">
        <v>219.8</v>
      </c>
      <c r="C361" s="30">
        <f t="shared" si="5"/>
        <v>211.7</v>
      </c>
      <c r="D361" s="76">
        <v>0.28782757051865332</v>
      </c>
      <c r="E361" s="81">
        <v>2.8782757051865331E-2</v>
      </c>
      <c r="F361" s="81">
        <v>2.8782757051865331E-2</v>
      </c>
      <c r="G361" s="82">
        <v>3.4405823475887172E-2</v>
      </c>
    </row>
    <row r="362" spans="1:7" ht="12.75">
      <c r="A362" s="122" t="s">
        <v>29</v>
      </c>
      <c r="B362" s="121">
        <v>230</v>
      </c>
      <c r="C362" s="30">
        <f t="shared" si="5"/>
        <v>219.8</v>
      </c>
      <c r="D362" s="76">
        <v>0.31941086956521736</v>
      </c>
      <c r="E362" s="81">
        <v>3.1941086956521737E-2</v>
      </c>
      <c r="F362" s="81">
        <v>3.1941086956521737E-2</v>
      </c>
      <c r="G362" s="82">
        <v>3.731478260869564E-2</v>
      </c>
    </row>
    <row r="363" spans="1:7" ht="12.75">
      <c r="A363" s="122" t="s">
        <v>30</v>
      </c>
      <c r="B363" s="121">
        <v>240.1</v>
      </c>
      <c r="C363" s="30">
        <f t="shared" si="5"/>
        <v>230</v>
      </c>
      <c r="D363" s="76">
        <v>0.34804039983340268</v>
      </c>
      <c r="E363" s="81">
        <v>3.4804039983340272E-2</v>
      </c>
      <c r="F363" s="81">
        <v>3.4804039983340272E-2</v>
      </c>
      <c r="G363" s="82">
        <v>3.9951686797167839E-2</v>
      </c>
    </row>
    <row r="364" spans="1:7" ht="12.75">
      <c r="A364" s="122" t="s">
        <v>31</v>
      </c>
      <c r="B364" s="121">
        <v>251.2</v>
      </c>
      <c r="C364" s="30">
        <f t="shared" si="5"/>
        <v>240.1</v>
      </c>
      <c r="D364" s="76">
        <v>0.37684912420382155</v>
      </c>
      <c r="E364" s="81">
        <v>3.7684912420382161E-2</v>
      </c>
      <c r="F364" s="81">
        <v>3.7684912420382161E-2</v>
      </c>
      <c r="G364" s="82">
        <v>5.5630573248407603E-2</v>
      </c>
    </row>
    <row r="365" spans="1:7" ht="12.75">
      <c r="A365" s="122" t="s">
        <v>32</v>
      </c>
      <c r="B365" s="121">
        <v>260.89999999999998</v>
      </c>
      <c r="C365" s="30">
        <f t="shared" si="5"/>
        <v>251.2</v>
      </c>
      <c r="D365" s="76">
        <v>0.40001724798773464</v>
      </c>
      <c r="E365" s="81">
        <v>4.0010348792640781E-2</v>
      </c>
      <c r="F365" s="81">
        <v>4.0010348792640781E-2</v>
      </c>
      <c r="G365" s="82">
        <v>6.843388271368335E-2</v>
      </c>
    </row>
    <row r="366" spans="1:7" ht="12.75">
      <c r="A366" s="122" t="s">
        <v>33</v>
      </c>
      <c r="B366" s="121">
        <v>270.3</v>
      </c>
      <c r="C366" s="30">
        <f t="shared" si="5"/>
        <v>260.89999999999998</v>
      </c>
      <c r="D366" s="76">
        <v>0.42088235294117643</v>
      </c>
      <c r="E366" s="81">
        <v>5.2529411764705852E-2</v>
      </c>
      <c r="F366" s="81">
        <v>5.2529411764705852E-2</v>
      </c>
      <c r="G366" s="82">
        <v>7.9964483906770245E-2</v>
      </c>
    </row>
    <row r="367" spans="1:7" ht="12.75">
      <c r="A367" s="122" t="s">
        <v>34</v>
      </c>
      <c r="B367" s="121">
        <v>281.5</v>
      </c>
      <c r="C367" s="30">
        <f t="shared" si="5"/>
        <v>270.3</v>
      </c>
      <c r="D367" s="76">
        <v>0.44392362344582587</v>
      </c>
      <c r="E367" s="81">
        <v>6.6354174067495525E-2</v>
      </c>
      <c r="F367" s="81">
        <v>6.6354174067495525E-2</v>
      </c>
      <c r="G367" s="82">
        <v>9.2697690941385413E-2</v>
      </c>
    </row>
    <row r="368" spans="1:7" ht="12.75">
      <c r="A368" s="122" t="s">
        <v>35</v>
      </c>
      <c r="B368" s="121">
        <v>292.10000000000002</v>
      </c>
      <c r="C368" s="30">
        <f t="shared" si="5"/>
        <v>281.5</v>
      </c>
      <c r="D368" s="76">
        <v>0.46410304690174597</v>
      </c>
      <c r="E368" s="81">
        <v>7.8461828141047574E-2</v>
      </c>
      <c r="F368" s="81">
        <v>7.8461828141047574E-2</v>
      </c>
      <c r="G368" s="82">
        <v>0.10384936665525504</v>
      </c>
    </row>
    <row r="369" spans="1:7" ht="12.75">
      <c r="A369" s="122" t="s">
        <v>36</v>
      </c>
      <c r="B369" s="121">
        <v>306.7</v>
      </c>
      <c r="C369" s="30">
        <f t="shared" si="5"/>
        <v>292.10000000000002</v>
      </c>
      <c r="D369" s="76">
        <v>0.48961362895337457</v>
      </c>
      <c r="E369" s="81">
        <v>9.3768177372024725E-2</v>
      </c>
      <c r="F369" s="81">
        <v>9.3768177372024725E-2</v>
      </c>
      <c r="G369" s="82">
        <v>0.11794717965438536</v>
      </c>
    </row>
    <row r="370" spans="1:7" ht="12.75">
      <c r="A370" s="122" t="s">
        <v>37</v>
      </c>
      <c r="B370" s="121">
        <v>320.7</v>
      </c>
      <c r="C370" s="30">
        <f t="shared" si="5"/>
        <v>306.7</v>
      </c>
      <c r="D370" s="76">
        <v>0.5118942937324602</v>
      </c>
      <c r="E370" s="81">
        <v>0.1071365762394761</v>
      </c>
      <c r="F370" s="81">
        <v>0.1071365762394761</v>
      </c>
      <c r="G370" s="82">
        <v>0.13026005612722169</v>
      </c>
    </row>
    <row r="371" spans="1:7" ht="12.75">
      <c r="A371" s="122" t="s">
        <v>38</v>
      </c>
      <c r="B371" s="121">
        <v>337.5</v>
      </c>
      <c r="C371" s="30">
        <f t="shared" si="5"/>
        <v>320.7</v>
      </c>
      <c r="D371" s="76">
        <v>0.53619111111111106</v>
      </c>
      <c r="E371" s="81">
        <v>0.12171466666666664</v>
      </c>
      <c r="F371" s="81">
        <v>0.12171466666666664</v>
      </c>
      <c r="G371" s="82">
        <v>0.1436871111111111</v>
      </c>
    </row>
    <row r="372" spans="1:7" ht="12.75">
      <c r="A372" s="122" t="s">
        <v>39</v>
      </c>
      <c r="B372" s="121">
        <v>357.7</v>
      </c>
      <c r="C372" s="30">
        <f t="shared" si="5"/>
        <v>337.5</v>
      </c>
      <c r="D372" s="76">
        <v>0.56238328207995525</v>
      </c>
      <c r="E372" s="81">
        <v>0.13742996924797313</v>
      </c>
      <c r="F372" s="81">
        <v>0.13742996924797313</v>
      </c>
      <c r="G372" s="82">
        <v>0.15816158792284035</v>
      </c>
    </row>
    <row r="373" spans="1:7" ht="12.75">
      <c r="A373" s="122" t="s">
        <v>40</v>
      </c>
      <c r="B373" s="121">
        <v>374.9</v>
      </c>
      <c r="C373" s="30">
        <f t="shared" si="5"/>
        <v>357.7</v>
      </c>
      <c r="D373" s="76">
        <v>0.58246065617497988</v>
      </c>
      <c r="E373" s="81">
        <v>0.14947639370498797</v>
      </c>
      <c r="F373" s="81">
        <v>0.14947639370498797</v>
      </c>
      <c r="G373" s="82">
        <v>0.16925686849826618</v>
      </c>
    </row>
    <row r="374" spans="1:7" ht="12.75">
      <c r="A374" s="122" t="s">
        <v>41</v>
      </c>
      <c r="B374" s="121">
        <v>393.1</v>
      </c>
      <c r="C374" s="30">
        <f t="shared" si="5"/>
        <v>374.9</v>
      </c>
      <c r="D374" s="76">
        <v>0.60179216484355125</v>
      </c>
      <c r="E374" s="81">
        <v>0.16107529890613076</v>
      </c>
      <c r="F374" s="81">
        <v>0.16107529890613076</v>
      </c>
      <c r="G374" s="82">
        <v>0.17993996438565252</v>
      </c>
    </row>
    <row r="375" spans="1:7" ht="12.75">
      <c r="A375" s="122" t="s">
        <v>42</v>
      </c>
      <c r="B375" s="121">
        <v>419.3</v>
      </c>
      <c r="C375" s="30">
        <f t="shared" si="5"/>
        <v>393.1</v>
      </c>
      <c r="D375" s="76">
        <v>0.62667421893632247</v>
      </c>
      <c r="E375" s="81">
        <v>0.17600453136179345</v>
      </c>
      <c r="F375" s="81">
        <v>0.17600453136179345</v>
      </c>
      <c r="G375" s="82">
        <v>0.19369043644168851</v>
      </c>
    </row>
    <row r="376" spans="1:7" ht="12.75">
      <c r="A376" s="122" t="s">
        <v>43</v>
      </c>
      <c r="B376" s="121">
        <v>450.3</v>
      </c>
      <c r="C376" s="30">
        <f t="shared" si="5"/>
        <v>419.3</v>
      </c>
      <c r="D376" s="76">
        <v>0.65237508327781479</v>
      </c>
      <c r="E376" s="81">
        <v>0.19142504996668888</v>
      </c>
      <c r="F376" s="81">
        <v>0.19142504996668888</v>
      </c>
      <c r="G376" s="82">
        <v>0.20789340439706863</v>
      </c>
    </row>
    <row r="377" spans="1:7" ht="12.75">
      <c r="A377" s="122" t="s">
        <v>44</v>
      </c>
      <c r="B377" s="121">
        <v>482.8</v>
      </c>
      <c r="C377" s="30">
        <f t="shared" si="5"/>
        <v>450.3</v>
      </c>
      <c r="D377" s="76">
        <v>0.67577568351284178</v>
      </c>
      <c r="E377" s="81">
        <v>0.20546541010770505</v>
      </c>
      <c r="F377" s="81">
        <v>0.20546541010770505</v>
      </c>
      <c r="G377" s="82">
        <v>0.22082518641259322</v>
      </c>
    </row>
    <row r="378" spans="1:7" ht="12.75">
      <c r="A378" s="122" t="s">
        <v>45</v>
      </c>
      <c r="B378" s="121">
        <v>512.5</v>
      </c>
      <c r="C378" s="30">
        <f t="shared" si="5"/>
        <v>482.8</v>
      </c>
      <c r="D378" s="76">
        <v>0.69456487804878042</v>
      </c>
      <c r="E378" s="81">
        <v>0.21673892682926829</v>
      </c>
      <c r="F378" s="81">
        <v>0.21673892682926829</v>
      </c>
      <c r="G378" s="82">
        <v>0.23120858536585365</v>
      </c>
    </row>
    <row r="379" spans="1:7" ht="12.75">
      <c r="A379" s="122" t="s">
        <v>46</v>
      </c>
      <c r="B379" s="121">
        <v>548.29999999999995</v>
      </c>
      <c r="C379" s="30">
        <f t="shared" si="5"/>
        <v>512.5</v>
      </c>
      <c r="D379" s="76">
        <v>0.7145075688491701</v>
      </c>
      <c r="E379" s="81">
        <v>0.22870454130950205</v>
      </c>
      <c r="F379" s="81">
        <v>0.22870454130950205</v>
      </c>
      <c r="G379" s="82">
        <v>0.24222943643990513</v>
      </c>
    </row>
    <row r="380" spans="1:7" ht="12.75">
      <c r="A380" s="122" t="s">
        <v>47</v>
      </c>
      <c r="B380" s="121">
        <v>587.5</v>
      </c>
      <c r="C380" s="30">
        <f t="shared" si="5"/>
        <v>548.29999999999995</v>
      </c>
      <c r="D380" s="76">
        <v>0.73355659574468079</v>
      </c>
      <c r="E380" s="81">
        <v>0.24013395744680852</v>
      </c>
      <c r="F380" s="81">
        <v>0.24013395744680852</v>
      </c>
      <c r="G380" s="82">
        <v>0.25275642553191485</v>
      </c>
    </row>
    <row r="381" spans="1:7" ht="12.75">
      <c r="A381" s="122" t="s">
        <v>48</v>
      </c>
      <c r="B381" s="121">
        <v>643.5</v>
      </c>
      <c r="C381" s="30">
        <f t="shared" si="5"/>
        <v>587.5</v>
      </c>
      <c r="D381" s="76">
        <v>0.75674358974358968</v>
      </c>
      <c r="E381" s="81">
        <v>0.25404615384615381</v>
      </c>
      <c r="F381" s="81">
        <v>0.25404615384615381</v>
      </c>
      <c r="G381" s="82">
        <v>0.26557016317016319</v>
      </c>
    </row>
    <row r="382" spans="1:7" ht="12.75">
      <c r="A382" s="122" t="s">
        <v>49</v>
      </c>
      <c r="B382" s="121">
        <v>709.7</v>
      </c>
      <c r="C382" s="30">
        <f t="shared" si="5"/>
        <v>643.5</v>
      </c>
      <c r="D382" s="76">
        <v>0.7794342680005637</v>
      </c>
      <c r="E382" s="81">
        <v>0.26766056080033818</v>
      </c>
      <c r="F382" s="81">
        <v>0.26766056080033818</v>
      </c>
      <c r="G382" s="82">
        <v>0.27810962378469778</v>
      </c>
    </row>
    <row r="383" spans="1:7" ht="12.75">
      <c r="A383" s="122" t="s">
        <v>50</v>
      </c>
      <c r="B383" s="121">
        <v>793.7</v>
      </c>
      <c r="C383" s="30">
        <f t="shared" si="5"/>
        <v>709.7</v>
      </c>
      <c r="D383" s="76">
        <v>0.80277749779513674</v>
      </c>
      <c r="E383" s="81">
        <v>0.28166649867708204</v>
      </c>
      <c r="F383" s="81">
        <v>0.28166649867708204</v>
      </c>
      <c r="G383" s="82">
        <v>0.29100970139851334</v>
      </c>
    </row>
    <row r="384" spans="1:7" ht="12.75">
      <c r="A384" s="122" t="s">
        <v>51</v>
      </c>
      <c r="B384" s="121">
        <v>876.6</v>
      </c>
      <c r="C384" s="30">
        <f t="shared" si="5"/>
        <v>793.7</v>
      </c>
      <c r="D384" s="76">
        <v>0.82142881587953454</v>
      </c>
      <c r="E384" s="81">
        <v>0.29285728952772072</v>
      </c>
      <c r="F384" s="81">
        <v>0.29285728952772072</v>
      </c>
      <c r="G384" s="82">
        <v>0.30131690622861051</v>
      </c>
    </row>
    <row r="385" spans="1:7" ht="12.75">
      <c r="A385" s="122" t="s">
        <v>52</v>
      </c>
      <c r="B385" s="121">
        <v>1001.7</v>
      </c>
      <c r="C385" s="30">
        <f t="shared" si="5"/>
        <v>876.6</v>
      </c>
      <c r="D385" s="76">
        <v>0.84373015873015877</v>
      </c>
      <c r="E385" s="81">
        <v>0.30623809523809525</v>
      </c>
      <c r="F385" s="81">
        <v>0.30623809523809525</v>
      </c>
      <c r="G385" s="82">
        <v>0.31364120994309674</v>
      </c>
    </row>
    <row r="386" spans="1:7" ht="12.75">
      <c r="A386" s="122" t="s">
        <v>53</v>
      </c>
      <c r="B386" s="121">
        <v>1208</v>
      </c>
      <c r="C386" s="30">
        <f>B385</f>
        <v>1001.7</v>
      </c>
      <c r="D386" s="76">
        <v>0.87041763245033121</v>
      </c>
      <c r="E386" s="81">
        <v>0.32225057947019869</v>
      </c>
      <c r="F386" s="81">
        <v>0.32225057947019869</v>
      </c>
      <c r="G386" s="82">
        <v>0.32838940397350996</v>
      </c>
    </row>
    <row r="387" spans="1:7" ht="13.5" thickBot="1">
      <c r="A387" s="123" t="s">
        <v>53</v>
      </c>
      <c r="B387" s="145" t="s">
        <v>96</v>
      </c>
      <c r="C387" s="30">
        <f t="shared" si="5"/>
        <v>1208</v>
      </c>
      <c r="D387" s="87"/>
      <c r="E387" s="87"/>
      <c r="F387" s="87"/>
      <c r="G387" s="88"/>
    </row>
    <row r="388" spans="1:7" ht="15.75" thickBot="1">
      <c r="A388" s="89"/>
      <c r="B388" s="125">
        <v>189.2</v>
      </c>
      <c r="D388" s="126"/>
      <c r="E388" s="127">
        <v>8.4542010411551696E-2</v>
      </c>
      <c r="F388" s="127">
        <v>8.4542010411551696E-2</v>
      </c>
      <c r="G388" s="128">
        <v>9.3838422528870313E-2</v>
      </c>
    </row>
    <row r="389" spans="1:7" ht="52.5" customHeight="1">
      <c r="A389" s="94" t="s">
        <v>55</v>
      </c>
      <c r="B389" s="95"/>
      <c r="D389" s="96"/>
      <c r="E389" s="312">
        <v>260.89250000000004</v>
      </c>
      <c r="F389" s="98">
        <v>260.89250000000004</v>
      </c>
      <c r="G389" s="99">
        <v>240.29333333333335</v>
      </c>
    </row>
    <row r="390" spans="1:7" ht="54.75" customHeight="1">
      <c r="A390" s="100" t="s">
        <v>56</v>
      </c>
      <c r="B390" s="101">
        <v>305.2</v>
      </c>
      <c r="D390" s="102"/>
      <c r="E390" s="103"/>
      <c r="F390" s="103"/>
      <c r="G390" s="104"/>
    </row>
    <row r="391" spans="1:7" ht="78" customHeight="1" thickBot="1">
      <c r="A391" s="105" t="s">
        <v>57</v>
      </c>
      <c r="B391" s="106">
        <v>183.1</v>
      </c>
      <c r="D391" s="87"/>
      <c r="E391" s="86">
        <v>156.53550000000001</v>
      </c>
      <c r="F391" s="86">
        <v>156.53550000000001</v>
      </c>
      <c r="G391" s="107">
        <v>144.17600000000002</v>
      </c>
    </row>
    <row r="392" spans="1:7" ht="15" customHeight="1" thickBot="1"/>
    <row r="393" spans="1:7" ht="51.75" thickBot="1">
      <c r="A393" s="108" t="s">
        <v>56</v>
      </c>
      <c r="B393" s="109">
        <f>B390</f>
        <v>305.2</v>
      </c>
    </row>
    <row r="394" spans="1:7">
      <c r="A394" s="110" t="s">
        <v>64</v>
      </c>
      <c r="B394" s="111">
        <f>AVERAGE(B342:B381)</f>
        <v>260.89250000000004</v>
      </c>
    </row>
    <row r="395" spans="1:7">
      <c r="A395" s="112" t="s">
        <v>65</v>
      </c>
      <c r="B395" s="113">
        <f>AVERAGE(B347:B376)</f>
        <v>240.29333333333335</v>
      </c>
    </row>
    <row r="396" spans="1:7" ht="15.75" thickBot="1">
      <c r="A396" s="114" t="s">
        <v>66</v>
      </c>
      <c r="B396" s="115">
        <f>AVERAGE(B353:B371)</f>
        <v>234.6</v>
      </c>
    </row>
    <row r="397" spans="1:7" ht="15.75" thickBot="1"/>
    <row r="398" spans="1:7" ht="15.75" customHeight="1" thickBot="1">
      <c r="A398" s="535" t="s">
        <v>0</v>
      </c>
      <c r="B398" s="538" t="s">
        <v>89</v>
      </c>
      <c r="C398" s="539"/>
      <c r="D398" s="540"/>
      <c r="E398" s="62">
        <f>(1-E453)^(1/3)-1</f>
        <v>-2.3831222847260247E-2</v>
      </c>
      <c r="F398" s="63">
        <f>(1-F453)^(1/3)-1</f>
        <v>-3.1344023656365128E-2</v>
      </c>
      <c r="G398" s="64"/>
    </row>
    <row r="399" spans="1:7" ht="77.25" thickBot="1">
      <c r="A399" s="536"/>
      <c r="B399" s="65" t="s">
        <v>4</v>
      </c>
      <c r="D399" s="65" t="s">
        <v>80</v>
      </c>
      <c r="E399" s="65" t="s">
        <v>5</v>
      </c>
      <c r="F399" s="65" t="s">
        <v>5</v>
      </c>
      <c r="G399" s="65"/>
    </row>
    <row r="400" spans="1:7" ht="15.75" thickBot="1">
      <c r="A400" s="537"/>
      <c r="B400" s="66" t="s">
        <v>90</v>
      </c>
      <c r="D400" s="66" t="s">
        <v>7</v>
      </c>
      <c r="E400" s="67" t="s">
        <v>82</v>
      </c>
      <c r="F400" s="68" t="s">
        <v>83</v>
      </c>
      <c r="G400" s="68"/>
    </row>
    <row r="401" spans="1:7" ht="15.75" thickBot="1">
      <c r="A401" s="69">
        <v>1</v>
      </c>
      <c r="B401" s="116">
        <v>2</v>
      </c>
      <c r="D401" s="117">
        <v>3</v>
      </c>
      <c r="E401" s="71">
        <v>4</v>
      </c>
      <c r="F401" s="117">
        <v>5</v>
      </c>
      <c r="G401" s="71"/>
    </row>
    <row r="402" spans="1:7">
      <c r="A402" s="118" t="s">
        <v>10</v>
      </c>
      <c r="B402" s="119">
        <v>6.4</v>
      </c>
      <c r="C402">
        <v>0</v>
      </c>
      <c r="D402" s="76">
        <f>IF(B402=0,0,IF(B402&lt;=E$456,0,B402-E$456)/B402)</f>
        <v>0</v>
      </c>
      <c r="E402" s="77">
        <f t="shared" ref="E402:F421" si="6">IF($B402&lt;=E$456,0,IF(AND(E$456&lt;$B402,$B402&lt;=E$454),$E$1*($B402-E$456),$E$1*(E$454-E$456)+$F$1*($B402-E$454)))/$B402</f>
        <v>0</v>
      </c>
      <c r="F402" s="77">
        <f t="shared" si="6"/>
        <v>0</v>
      </c>
      <c r="G402" s="78"/>
    </row>
    <row r="403" spans="1:7" ht="12.75">
      <c r="A403" s="120" t="s">
        <v>58</v>
      </c>
      <c r="B403" s="121">
        <v>18.8</v>
      </c>
      <c r="C403" s="30">
        <f>B402</f>
        <v>6.4</v>
      </c>
      <c r="D403" s="76">
        <f t="shared" ref="D403:D451" si="7">IF(B403=0,0,IF(B403&lt;=E$456,0,B403-E$456)/B403)</f>
        <v>0</v>
      </c>
      <c r="E403" s="81">
        <f t="shared" si="6"/>
        <v>0</v>
      </c>
      <c r="F403" s="81">
        <f t="shared" si="6"/>
        <v>0</v>
      </c>
      <c r="G403" s="82"/>
    </row>
    <row r="404" spans="1:7" ht="12.75">
      <c r="A404" s="120" t="s">
        <v>59</v>
      </c>
      <c r="B404" s="121">
        <v>27.9</v>
      </c>
      <c r="C404" s="30">
        <f t="shared" ref="C404:C452" si="8">B403</f>
        <v>18.8</v>
      </c>
      <c r="D404" s="76">
        <f t="shared" si="7"/>
        <v>0</v>
      </c>
      <c r="E404" s="81">
        <f t="shared" si="6"/>
        <v>0</v>
      </c>
      <c r="F404" s="81">
        <f t="shared" si="6"/>
        <v>0</v>
      </c>
      <c r="G404" s="82"/>
    </row>
    <row r="405" spans="1:7" ht="12.75">
      <c r="A405" s="120" t="s">
        <v>60</v>
      </c>
      <c r="B405" s="121">
        <v>34.799999999999997</v>
      </c>
      <c r="C405" s="30">
        <f t="shared" si="8"/>
        <v>27.9</v>
      </c>
      <c r="D405" s="76">
        <f t="shared" si="7"/>
        <v>0</v>
      </c>
      <c r="E405" s="81">
        <f t="shared" si="6"/>
        <v>0</v>
      </c>
      <c r="F405" s="81">
        <f t="shared" si="6"/>
        <v>0</v>
      </c>
      <c r="G405" s="82"/>
    </row>
    <row r="406" spans="1:7" ht="12.75">
      <c r="A406" s="120" t="s">
        <v>61</v>
      </c>
      <c r="B406" s="121">
        <v>40</v>
      </c>
      <c r="C406" s="30">
        <f t="shared" si="8"/>
        <v>34.799999999999997</v>
      </c>
      <c r="D406" s="76">
        <f t="shared" si="7"/>
        <v>0</v>
      </c>
      <c r="E406" s="81">
        <f t="shared" si="6"/>
        <v>0</v>
      </c>
      <c r="F406" s="81">
        <f t="shared" si="6"/>
        <v>0</v>
      </c>
      <c r="G406" s="82"/>
    </row>
    <row r="407" spans="1:7" ht="12.75">
      <c r="A407" s="120" t="s">
        <v>62</v>
      </c>
      <c r="B407" s="121">
        <v>45</v>
      </c>
      <c r="C407" s="30">
        <f t="shared" si="8"/>
        <v>40</v>
      </c>
      <c r="D407" s="76">
        <f t="shared" si="7"/>
        <v>0</v>
      </c>
      <c r="E407" s="81">
        <f t="shared" si="6"/>
        <v>0</v>
      </c>
      <c r="F407" s="81">
        <f t="shared" si="6"/>
        <v>0</v>
      </c>
      <c r="G407" s="82"/>
    </row>
    <row r="408" spans="1:7" ht="12.75">
      <c r="A408" s="120" t="s">
        <v>63</v>
      </c>
      <c r="B408" s="121">
        <v>50.2</v>
      </c>
      <c r="C408" s="30">
        <f t="shared" si="8"/>
        <v>45</v>
      </c>
      <c r="D408" s="76">
        <f t="shared" si="7"/>
        <v>0</v>
      </c>
      <c r="E408" s="81">
        <f t="shared" si="6"/>
        <v>0</v>
      </c>
      <c r="F408" s="81">
        <f t="shared" si="6"/>
        <v>0</v>
      </c>
      <c r="G408" s="82"/>
    </row>
    <row r="409" spans="1:7" ht="12.75">
      <c r="A409" s="122" t="s">
        <v>11</v>
      </c>
      <c r="B409" s="121">
        <v>55.7</v>
      </c>
      <c r="C409" s="30">
        <f t="shared" si="8"/>
        <v>50.2</v>
      </c>
      <c r="D409" s="76">
        <f t="shared" si="7"/>
        <v>0</v>
      </c>
      <c r="E409" s="81">
        <f t="shared" si="6"/>
        <v>0</v>
      </c>
      <c r="F409" s="81">
        <f t="shared" si="6"/>
        <v>0</v>
      </c>
      <c r="G409" s="82"/>
    </row>
    <row r="410" spans="1:7" ht="12.75">
      <c r="A410" s="122" t="s">
        <v>12</v>
      </c>
      <c r="B410" s="121">
        <v>62.1</v>
      </c>
      <c r="C410" s="30">
        <f t="shared" si="8"/>
        <v>55.7</v>
      </c>
      <c r="D410" s="76">
        <f t="shared" si="7"/>
        <v>0</v>
      </c>
      <c r="E410" s="81">
        <f t="shared" si="6"/>
        <v>0</v>
      </c>
      <c r="F410" s="81">
        <f t="shared" si="6"/>
        <v>0</v>
      </c>
      <c r="G410" s="82"/>
    </row>
    <row r="411" spans="1:7" ht="12.75">
      <c r="A411" s="122" t="s">
        <v>13</v>
      </c>
      <c r="B411" s="121">
        <v>67.900000000000006</v>
      </c>
      <c r="C411" s="30">
        <f t="shared" si="8"/>
        <v>62.1</v>
      </c>
      <c r="D411" s="76">
        <f t="shared" si="7"/>
        <v>0</v>
      </c>
      <c r="E411" s="81">
        <f t="shared" si="6"/>
        <v>0</v>
      </c>
      <c r="F411" s="81">
        <f t="shared" si="6"/>
        <v>0</v>
      </c>
      <c r="G411" s="82"/>
    </row>
    <row r="412" spans="1:7" ht="12.75">
      <c r="A412" s="122" t="s">
        <v>14</v>
      </c>
      <c r="B412" s="121">
        <v>73.7</v>
      </c>
      <c r="C412" s="30">
        <f t="shared" si="8"/>
        <v>67.900000000000006</v>
      </c>
      <c r="D412" s="76">
        <f t="shared" si="7"/>
        <v>0</v>
      </c>
      <c r="E412" s="81">
        <f t="shared" si="6"/>
        <v>0</v>
      </c>
      <c r="F412" s="81">
        <f t="shared" si="6"/>
        <v>0</v>
      </c>
      <c r="G412" s="82"/>
    </row>
    <row r="413" spans="1:7" ht="12.75">
      <c r="A413" s="122" t="s">
        <v>15</v>
      </c>
      <c r="B413" s="121">
        <v>79.8</v>
      </c>
      <c r="C413" s="30">
        <f t="shared" si="8"/>
        <v>73.7</v>
      </c>
      <c r="D413" s="76">
        <f t="shared" si="7"/>
        <v>0</v>
      </c>
      <c r="E413" s="81">
        <f t="shared" si="6"/>
        <v>0</v>
      </c>
      <c r="F413" s="81">
        <f t="shared" si="6"/>
        <v>0</v>
      </c>
      <c r="G413" s="82"/>
    </row>
    <row r="414" spans="1:7" ht="12.75">
      <c r="A414" s="122" t="s">
        <v>16</v>
      </c>
      <c r="B414" s="121">
        <v>86.5</v>
      </c>
      <c r="C414" s="30">
        <f t="shared" si="8"/>
        <v>79.8</v>
      </c>
      <c r="D414" s="76">
        <f t="shared" si="7"/>
        <v>0</v>
      </c>
      <c r="E414" s="81">
        <f t="shared" si="6"/>
        <v>0</v>
      </c>
      <c r="F414" s="81">
        <f t="shared" si="6"/>
        <v>0</v>
      </c>
      <c r="G414" s="82"/>
    </row>
    <row r="415" spans="1:7" ht="12.75">
      <c r="A415" s="122" t="s">
        <v>17</v>
      </c>
      <c r="B415" s="121">
        <v>93.4</v>
      </c>
      <c r="C415" s="30">
        <f t="shared" si="8"/>
        <v>86.5</v>
      </c>
      <c r="D415" s="76">
        <f t="shared" si="7"/>
        <v>0</v>
      </c>
      <c r="E415" s="81">
        <f t="shared" si="6"/>
        <v>0</v>
      </c>
      <c r="F415" s="81">
        <f t="shared" si="6"/>
        <v>0</v>
      </c>
      <c r="G415" s="82"/>
    </row>
    <row r="416" spans="1:7" ht="12.75">
      <c r="A416" s="122" t="s">
        <v>18</v>
      </c>
      <c r="B416" s="121">
        <v>100.3</v>
      </c>
      <c r="C416" s="30">
        <f t="shared" si="8"/>
        <v>93.4</v>
      </c>
      <c r="D416" s="76">
        <f t="shared" si="7"/>
        <v>0</v>
      </c>
      <c r="E416" s="81">
        <f t="shared" si="6"/>
        <v>0</v>
      </c>
      <c r="F416" s="81">
        <f t="shared" si="6"/>
        <v>0</v>
      </c>
      <c r="G416" s="82"/>
    </row>
    <row r="417" spans="1:7" ht="12.75">
      <c r="A417" s="122" t="s">
        <v>19</v>
      </c>
      <c r="B417" s="121">
        <v>107.9</v>
      </c>
      <c r="C417" s="30">
        <f t="shared" si="8"/>
        <v>100.3</v>
      </c>
      <c r="D417" s="76">
        <f t="shared" si="7"/>
        <v>0</v>
      </c>
      <c r="E417" s="81">
        <f t="shared" si="6"/>
        <v>0</v>
      </c>
      <c r="F417" s="81">
        <f t="shared" si="6"/>
        <v>0</v>
      </c>
      <c r="G417" s="82"/>
    </row>
    <row r="418" spans="1:7" ht="12.75">
      <c r="A418" s="122" t="s">
        <v>20</v>
      </c>
      <c r="B418" s="121">
        <v>114.7</v>
      </c>
      <c r="C418" s="30">
        <f t="shared" si="8"/>
        <v>107.9</v>
      </c>
      <c r="D418" s="76">
        <f t="shared" si="7"/>
        <v>0</v>
      </c>
      <c r="E418" s="81">
        <f t="shared" si="6"/>
        <v>0</v>
      </c>
      <c r="F418" s="81">
        <f t="shared" si="6"/>
        <v>0</v>
      </c>
      <c r="G418" s="82"/>
    </row>
    <row r="419" spans="1:7" ht="12.75">
      <c r="A419" s="122" t="s">
        <v>21</v>
      </c>
      <c r="B419" s="121">
        <v>123</v>
      </c>
      <c r="C419" s="30">
        <f t="shared" si="8"/>
        <v>114.7</v>
      </c>
      <c r="D419" s="76">
        <f t="shared" si="7"/>
        <v>0</v>
      </c>
      <c r="E419" s="81">
        <f t="shared" si="6"/>
        <v>0</v>
      </c>
      <c r="F419" s="81">
        <f t="shared" si="6"/>
        <v>0</v>
      </c>
      <c r="G419" s="82"/>
    </row>
    <row r="420" spans="1:7" ht="12.75">
      <c r="A420" s="122" t="s">
        <v>22</v>
      </c>
      <c r="B420" s="121">
        <v>132.6</v>
      </c>
      <c r="C420" s="30">
        <f t="shared" si="8"/>
        <v>123</v>
      </c>
      <c r="D420" s="76">
        <f t="shared" si="7"/>
        <v>0</v>
      </c>
      <c r="E420" s="81">
        <f t="shared" si="6"/>
        <v>0</v>
      </c>
      <c r="F420" s="81">
        <f t="shared" si="6"/>
        <v>0</v>
      </c>
      <c r="G420" s="82"/>
    </row>
    <row r="421" spans="1:7" ht="12.75">
      <c r="A421" s="122" t="s">
        <v>23</v>
      </c>
      <c r="B421" s="121">
        <v>141.69999999999999</v>
      </c>
      <c r="C421" s="30">
        <f t="shared" si="8"/>
        <v>132.6</v>
      </c>
      <c r="D421" s="76">
        <f t="shared" si="7"/>
        <v>0</v>
      </c>
      <c r="E421" s="81">
        <f t="shared" si="6"/>
        <v>0</v>
      </c>
      <c r="F421" s="81">
        <f t="shared" si="6"/>
        <v>0</v>
      </c>
      <c r="G421" s="82"/>
    </row>
    <row r="422" spans="1:7" ht="12.75">
      <c r="A422" s="122" t="s">
        <v>24</v>
      </c>
      <c r="B422" s="121">
        <v>150</v>
      </c>
      <c r="C422" s="30">
        <f t="shared" si="8"/>
        <v>141.69999999999999</v>
      </c>
      <c r="D422" s="76">
        <f t="shared" si="7"/>
        <v>0</v>
      </c>
      <c r="E422" s="81">
        <f t="shared" ref="E422:F441" si="9">IF($B422&lt;=E$456,0,IF(AND(E$456&lt;$B422,$B422&lt;=E$454),$E$1*($B422-E$456),$E$1*(E$454-E$456)+$F$1*($B422-E$454)))/$B422</f>
        <v>0</v>
      </c>
      <c r="F422" s="81">
        <f t="shared" si="9"/>
        <v>2.947000000000003E-3</v>
      </c>
      <c r="G422" s="82"/>
    </row>
    <row r="423" spans="1:7" ht="12.75">
      <c r="A423" s="122" t="s">
        <v>25</v>
      </c>
      <c r="B423" s="121">
        <v>161.1</v>
      </c>
      <c r="C423" s="30">
        <f t="shared" si="8"/>
        <v>150</v>
      </c>
      <c r="D423" s="76">
        <f t="shared" si="7"/>
        <v>0</v>
      </c>
      <c r="E423" s="81">
        <f t="shared" si="9"/>
        <v>0</v>
      </c>
      <c r="F423" s="81">
        <f t="shared" si="9"/>
        <v>9.6340782122905019E-3</v>
      </c>
      <c r="G423" s="82"/>
    </row>
    <row r="424" spans="1:7" ht="12.75">
      <c r="A424" s="122" t="s">
        <v>26</v>
      </c>
      <c r="B424" s="121">
        <v>173.3</v>
      </c>
      <c r="C424" s="30">
        <f t="shared" si="8"/>
        <v>161.1</v>
      </c>
      <c r="D424" s="76">
        <f t="shared" si="7"/>
        <v>0</v>
      </c>
      <c r="E424" s="81"/>
      <c r="F424" s="81">
        <f t="shared" si="9"/>
        <v>1.5995672244662446E-2</v>
      </c>
      <c r="G424" s="82"/>
    </row>
    <row r="425" spans="1:7" ht="12.75">
      <c r="A425" s="122" t="s">
        <v>27</v>
      </c>
      <c r="B425" s="121">
        <v>185.3</v>
      </c>
      <c r="C425" s="30">
        <f t="shared" si="8"/>
        <v>173.3</v>
      </c>
      <c r="D425" s="76">
        <f t="shared" si="7"/>
        <v>0</v>
      </c>
      <c r="E425" s="81"/>
      <c r="F425" s="81">
        <f t="shared" si="9"/>
        <v>2.1435779816513768E-2</v>
      </c>
      <c r="G425" s="82"/>
    </row>
    <row r="426" spans="1:7" ht="12.75">
      <c r="A426" s="122" t="s">
        <v>28</v>
      </c>
      <c r="B426" s="121">
        <v>199.1</v>
      </c>
      <c r="C426" s="30">
        <f t="shared" si="8"/>
        <v>185.3</v>
      </c>
      <c r="D426" s="76">
        <f t="shared" si="7"/>
        <v>4.5605223505776053E-2</v>
      </c>
      <c r="E426" s="81"/>
      <c r="F426" s="81">
        <f t="shared" si="9"/>
        <v>2.6881215469613261E-2</v>
      </c>
      <c r="G426" s="82"/>
    </row>
    <row r="427" spans="1:7" ht="12.75">
      <c r="A427" s="122" t="s">
        <v>29</v>
      </c>
      <c r="B427" s="121">
        <v>213.1</v>
      </c>
      <c r="C427" s="30">
        <f t="shared" si="8"/>
        <v>199.1</v>
      </c>
      <c r="D427" s="76">
        <f t="shared" si="7"/>
        <v>0.10830595964335998</v>
      </c>
      <c r="E427" s="81">
        <f t="shared" si="9"/>
        <v>1.0830595964335998E-2</v>
      </c>
      <c r="F427" s="81">
        <f t="shared" si="9"/>
        <v>3.1684889723134685E-2</v>
      </c>
      <c r="G427" s="82"/>
    </row>
    <row r="428" spans="1:7" ht="12.75">
      <c r="A428" s="122" t="s">
        <v>30</v>
      </c>
      <c r="B428" s="121">
        <v>226.2</v>
      </c>
      <c r="C428" s="30">
        <f t="shared" si="8"/>
        <v>213.1</v>
      </c>
      <c r="D428" s="76">
        <f t="shared" si="7"/>
        <v>0.15994694960212205</v>
      </c>
      <c r="E428" s="81">
        <f t="shared" si="9"/>
        <v>1.5994694960212205E-2</v>
      </c>
      <c r="F428" s="81">
        <f t="shared" si="9"/>
        <v>3.5641246684350134E-2</v>
      </c>
      <c r="G428" s="82"/>
    </row>
    <row r="429" spans="1:7" ht="12.75">
      <c r="A429" s="122" t="s">
        <v>31</v>
      </c>
      <c r="B429" s="121">
        <v>239.6</v>
      </c>
      <c r="C429" s="30">
        <f t="shared" si="8"/>
        <v>226.2</v>
      </c>
      <c r="D429" s="76">
        <f t="shared" si="7"/>
        <v>0.20692821368948253</v>
      </c>
      <c r="E429" s="81">
        <f t="shared" si="9"/>
        <v>2.0692821368948254E-2</v>
      </c>
      <c r="F429" s="81">
        <f t="shared" si="9"/>
        <v>3.9240609348914865E-2</v>
      </c>
      <c r="G429" s="82"/>
    </row>
    <row r="430" spans="1:7" ht="12.75">
      <c r="A430" s="122" t="s">
        <v>32</v>
      </c>
      <c r="B430" s="121">
        <v>251.5</v>
      </c>
      <c r="C430" s="30">
        <f t="shared" si="8"/>
        <v>239.6</v>
      </c>
      <c r="D430" s="76">
        <f t="shared" si="7"/>
        <v>0.24445328031809152</v>
      </c>
      <c r="E430" s="81">
        <f t="shared" si="9"/>
        <v>2.4445328031809155E-2</v>
      </c>
      <c r="F430" s="81">
        <f t="shared" si="9"/>
        <v>5.2693041749502997E-2</v>
      </c>
      <c r="G430" s="82"/>
    </row>
    <row r="431" spans="1:7" ht="12.75">
      <c r="A431" s="122" t="s">
        <v>33</v>
      </c>
      <c r="B431" s="121">
        <v>265.10000000000002</v>
      </c>
      <c r="C431" s="30">
        <f t="shared" si="8"/>
        <v>251.5</v>
      </c>
      <c r="D431" s="76">
        <f t="shared" si="7"/>
        <v>0.28321388155413063</v>
      </c>
      <c r="E431" s="81">
        <f t="shared" si="9"/>
        <v>2.8321388155413067E-2</v>
      </c>
      <c r="F431" s="81">
        <f t="shared" si="9"/>
        <v>7.0510373443983448E-2</v>
      </c>
      <c r="G431" s="82"/>
    </row>
    <row r="432" spans="1:7" ht="12.75">
      <c r="A432" s="122" t="s">
        <v>34</v>
      </c>
      <c r="B432" s="121">
        <v>278.39999999999998</v>
      </c>
      <c r="C432" s="30">
        <f t="shared" si="8"/>
        <v>265.10000000000002</v>
      </c>
      <c r="D432" s="76">
        <f t="shared" si="7"/>
        <v>0.31745689655172415</v>
      </c>
      <c r="E432" s="81">
        <f t="shared" si="9"/>
        <v>3.1745689655172417E-2</v>
      </c>
      <c r="F432" s="81">
        <f t="shared" si="9"/>
        <v>8.6251077586206884E-2</v>
      </c>
      <c r="G432" s="82"/>
    </row>
    <row r="433" spans="1:7" ht="12.75">
      <c r="A433" s="122" t="s">
        <v>35</v>
      </c>
      <c r="B433" s="121">
        <v>291.5</v>
      </c>
      <c r="C433" s="30">
        <f t="shared" si="8"/>
        <v>278.39999999999998</v>
      </c>
      <c r="D433" s="76">
        <f t="shared" si="7"/>
        <v>0.34813036020583199</v>
      </c>
      <c r="E433" s="81">
        <f t="shared" si="9"/>
        <v>3.48130360205832E-2</v>
      </c>
      <c r="F433" s="81">
        <f t="shared" si="9"/>
        <v>0.10035094339622644</v>
      </c>
      <c r="G433" s="82"/>
    </row>
    <row r="434" spans="1:7" ht="12.75">
      <c r="A434" s="122" t="s">
        <v>36</v>
      </c>
      <c r="B434" s="121">
        <v>307.3</v>
      </c>
      <c r="C434" s="30">
        <f t="shared" si="8"/>
        <v>291.5</v>
      </c>
      <c r="D434" s="76">
        <f t="shared" si="7"/>
        <v>0.38164659941425327</v>
      </c>
      <c r="E434" s="81">
        <f t="shared" si="9"/>
        <v>3.8164659941425323E-2</v>
      </c>
      <c r="F434" s="81">
        <f t="shared" si="9"/>
        <v>0.1157575658965181</v>
      </c>
      <c r="G434" s="82"/>
    </row>
    <row r="435" spans="1:7" ht="12.75">
      <c r="A435" s="122" t="s">
        <v>37</v>
      </c>
      <c r="B435" s="121">
        <v>325</v>
      </c>
      <c r="C435" s="30">
        <f t="shared" si="8"/>
        <v>307.3</v>
      </c>
      <c r="D435" s="76">
        <f t="shared" si="7"/>
        <v>0.41532307692307696</v>
      </c>
      <c r="E435" s="81">
        <f t="shared" si="9"/>
        <v>4.9193846153846171E-2</v>
      </c>
      <c r="F435" s="81">
        <f t="shared" si="9"/>
        <v>0.13123784615384618</v>
      </c>
      <c r="G435" s="82"/>
    </row>
    <row r="436" spans="1:7" ht="12.75">
      <c r="A436" s="122" t="s">
        <v>38</v>
      </c>
      <c r="B436" s="121">
        <v>343.5</v>
      </c>
      <c r="C436" s="30">
        <f t="shared" si="8"/>
        <v>325</v>
      </c>
      <c r="D436" s="76">
        <f t="shared" si="7"/>
        <v>0.44681222707423585</v>
      </c>
      <c r="E436" s="81">
        <f t="shared" si="9"/>
        <v>6.8087336244541496E-2</v>
      </c>
      <c r="F436" s="81">
        <f t="shared" si="9"/>
        <v>0.14571266375545855</v>
      </c>
      <c r="G436" s="82"/>
    </row>
    <row r="437" spans="1:7" ht="12.75">
      <c r="A437" s="122" t="s">
        <v>39</v>
      </c>
      <c r="B437" s="121">
        <v>360.3</v>
      </c>
      <c r="C437" s="30">
        <f t="shared" si="8"/>
        <v>343.5</v>
      </c>
      <c r="D437" s="76">
        <f t="shared" si="7"/>
        <v>0.4726061615320567</v>
      </c>
      <c r="E437" s="81">
        <f t="shared" si="9"/>
        <v>8.3563696919234001E-2</v>
      </c>
      <c r="F437" s="81">
        <f t="shared" si="9"/>
        <v>0.15756952539550376</v>
      </c>
      <c r="G437" s="82"/>
    </row>
    <row r="438" spans="1:7" ht="12.75">
      <c r="A438" s="122" t="s">
        <v>40</v>
      </c>
      <c r="B438" s="121">
        <v>379.5</v>
      </c>
      <c r="C438" s="30">
        <f t="shared" si="8"/>
        <v>360.3</v>
      </c>
      <c r="D438" s="76">
        <f t="shared" si="7"/>
        <v>0.49928853754940716</v>
      </c>
      <c r="E438" s="81">
        <f t="shared" si="9"/>
        <v>9.9573122529644273E-2</v>
      </c>
      <c r="F438" s="81">
        <f t="shared" si="9"/>
        <v>0.16983478260869567</v>
      </c>
      <c r="G438" s="82"/>
    </row>
    <row r="439" spans="1:7" ht="12.75">
      <c r="A439" s="122" t="s">
        <v>41</v>
      </c>
      <c r="B439" s="121">
        <v>402.8</v>
      </c>
      <c r="C439" s="30">
        <f t="shared" si="8"/>
        <v>379.5</v>
      </c>
      <c r="D439" s="76">
        <f t="shared" si="7"/>
        <v>0.52825223435948365</v>
      </c>
      <c r="E439" s="81">
        <f t="shared" si="9"/>
        <v>0.11695134061569019</v>
      </c>
      <c r="F439" s="81">
        <f t="shared" si="9"/>
        <v>0.1831487090367428</v>
      </c>
      <c r="G439" s="82"/>
    </row>
    <row r="440" spans="1:7" ht="12.75">
      <c r="A440" s="122" t="s">
        <v>42</v>
      </c>
      <c r="B440" s="121">
        <v>426</v>
      </c>
      <c r="C440" s="30">
        <f t="shared" si="8"/>
        <v>402.8</v>
      </c>
      <c r="D440" s="76">
        <f t="shared" si="7"/>
        <v>0.55394366197183098</v>
      </c>
      <c r="E440" s="81">
        <f t="shared" si="9"/>
        <v>0.13236619718309861</v>
      </c>
      <c r="F440" s="81">
        <f t="shared" si="9"/>
        <v>0.19495845070422535</v>
      </c>
      <c r="G440" s="82"/>
    </row>
    <row r="441" spans="1:7" ht="12.75">
      <c r="A441" s="122" t="s">
        <v>43</v>
      </c>
      <c r="B441" s="121">
        <v>448</v>
      </c>
      <c r="C441" s="30">
        <f t="shared" si="8"/>
        <v>426</v>
      </c>
      <c r="D441" s="76">
        <f t="shared" si="7"/>
        <v>0.57584821428571431</v>
      </c>
      <c r="E441" s="81">
        <f t="shared" si="9"/>
        <v>0.14550892857142861</v>
      </c>
      <c r="F441" s="81">
        <f t="shared" si="9"/>
        <v>0.2050274553571429</v>
      </c>
      <c r="G441" s="82"/>
    </row>
    <row r="442" spans="1:7" ht="12.75">
      <c r="A442" s="122" t="s">
        <v>44</v>
      </c>
      <c r="B442" s="121">
        <v>476.6</v>
      </c>
      <c r="C442" s="30">
        <f t="shared" si="8"/>
        <v>448</v>
      </c>
      <c r="D442" s="76">
        <f t="shared" si="7"/>
        <v>0.60130088124213188</v>
      </c>
      <c r="E442" s="81">
        <f t="shared" ref="E442:F451" si="10">IF($B442&lt;=E$456,0,IF(AND(E$456&lt;$B442,$B442&lt;=E$454),$E$1*($B442-E$456),$E$1*(E$454-E$456)+$F$1*($B442-E$454)))/$B442</f>
        <v>0.16078052874527909</v>
      </c>
      <c r="F442" s="81">
        <f t="shared" si="10"/>
        <v>0.21672744439781788</v>
      </c>
      <c r="G442" s="82"/>
    </row>
    <row r="443" spans="1:7" ht="12.75">
      <c r="A443" s="122" t="s">
        <v>45</v>
      </c>
      <c r="B443" s="121">
        <v>512.29999999999995</v>
      </c>
      <c r="C443" s="30">
        <f t="shared" si="8"/>
        <v>476.6</v>
      </c>
      <c r="D443" s="76">
        <f t="shared" si="7"/>
        <v>0.62908452078860044</v>
      </c>
      <c r="E443" s="81">
        <f t="shared" si="10"/>
        <v>0.17745071247316027</v>
      </c>
      <c r="F443" s="81">
        <f t="shared" si="10"/>
        <v>0.22949892641030645</v>
      </c>
      <c r="G443" s="82"/>
    </row>
    <row r="444" spans="1:7" ht="12.75">
      <c r="A444" s="122" t="s">
        <v>46</v>
      </c>
      <c r="B444" s="121">
        <v>545</v>
      </c>
      <c r="C444" s="30">
        <f t="shared" si="8"/>
        <v>512.29999999999995</v>
      </c>
      <c r="D444" s="76">
        <f t="shared" si="7"/>
        <v>0.65133944954128442</v>
      </c>
      <c r="E444" s="81">
        <f t="shared" si="10"/>
        <v>0.19080366972477067</v>
      </c>
      <c r="F444" s="81">
        <f t="shared" si="10"/>
        <v>0.23972899082568808</v>
      </c>
      <c r="G444" s="82"/>
    </row>
    <row r="445" spans="1:7" ht="12.75">
      <c r="A445" s="122" t="s">
        <v>47</v>
      </c>
      <c r="B445" s="121">
        <v>579</v>
      </c>
      <c r="C445" s="30">
        <f t="shared" si="8"/>
        <v>545</v>
      </c>
      <c r="D445" s="76">
        <f t="shared" si="7"/>
        <v>0.67181347150259074</v>
      </c>
      <c r="E445" s="81">
        <f t="shared" si="10"/>
        <v>0.20308808290155445</v>
      </c>
      <c r="F445" s="81">
        <f t="shared" si="10"/>
        <v>0.249140414507772</v>
      </c>
      <c r="G445" s="82"/>
    </row>
    <row r="446" spans="1:7" ht="12.75">
      <c r="A446" s="122" t="s">
        <v>48</v>
      </c>
      <c r="B446" s="121">
        <v>631.29999999999995</v>
      </c>
      <c r="C446" s="30">
        <f t="shared" si="8"/>
        <v>579</v>
      </c>
      <c r="D446" s="76">
        <f t="shared" si="7"/>
        <v>0.69900205924283221</v>
      </c>
      <c r="E446" s="81">
        <f t="shared" si="10"/>
        <v>0.21940123554569935</v>
      </c>
      <c r="F446" s="81">
        <f t="shared" si="10"/>
        <v>0.26163836527799778</v>
      </c>
      <c r="G446" s="82"/>
    </row>
    <row r="447" spans="1:7" ht="12.75">
      <c r="A447" s="122" t="s">
        <v>49</v>
      </c>
      <c r="B447" s="121">
        <v>707.3</v>
      </c>
      <c r="C447" s="30">
        <f t="shared" si="8"/>
        <v>631.29999999999995</v>
      </c>
      <c r="D447" s="76">
        <f t="shared" si="7"/>
        <v>0.73134454969602714</v>
      </c>
      <c r="E447" s="81">
        <f t="shared" si="10"/>
        <v>0.23880672981761633</v>
      </c>
      <c r="F447" s="81">
        <f t="shared" si="10"/>
        <v>0.27650544323483672</v>
      </c>
      <c r="G447" s="82"/>
    </row>
    <row r="448" spans="1:7" ht="12.75">
      <c r="A448" s="122" t="s">
        <v>50</v>
      </c>
      <c r="B448" s="121">
        <v>794.8</v>
      </c>
      <c r="C448" s="30">
        <f t="shared" si="8"/>
        <v>707.3</v>
      </c>
      <c r="D448" s="76">
        <f t="shared" si="7"/>
        <v>0.76092098641167594</v>
      </c>
      <c r="E448" s="81">
        <f t="shared" si="10"/>
        <v>0.25655259184700557</v>
      </c>
      <c r="F448" s="81">
        <f t="shared" si="10"/>
        <v>0.29010103170608964</v>
      </c>
      <c r="G448" s="82"/>
    </row>
    <row r="449" spans="1:14" ht="12.75">
      <c r="A449" s="122" t="s">
        <v>51</v>
      </c>
      <c r="B449" s="121">
        <v>926.7</v>
      </c>
      <c r="C449" s="30">
        <f t="shared" si="8"/>
        <v>794.8</v>
      </c>
      <c r="D449" s="76">
        <f t="shared" si="7"/>
        <v>0.79494982194885078</v>
      </c>
      <c r="E449" s="81">
        <f t="shared" si="10"/>
        <v>0.27696989316931048</v>
      </c>
      <c r="F449" s="81">
        <f t="shared" si="10"/>
        <v>0.3057432826157333</v>
      </c>
      <c r="G449" s="82"/>
    </row>
    <row r="450" spans="1:14" ht="12.75">
      <c r="A450" s="122" t="s">
        <v>52</v>
      </c>
      <c r="B450" s="121">
        <v>1193.8</v>
      </c>
      <c r="C450" s="30">
        <f t="shared" si="8"/>
        <v>926.7</v>
      </c>
      <c r="D450" s="76">
        <f t="shared" si="7"/>
        <v>0.84082760931479306</v>
      </c>
      <c r="E450" s="81">
        <f t="shared" si="10"/>
        <v>0.30449656558887583</v>
      </c>
      <c r="F450" s="81">
        <f t="shared" si="10"/>
        <v>0.32683221645166699</v>
      </c>
      <c r="G450" s="82"/>
    </row>
    <row r="451" spans="1:14" ht="12.75">
      <c r="A451" s="122" t="s">
        <v>53</v>
      </c>
      <c r="B451" s="121">
        <v>2383.1</v>
      </c>
      <c r="C451" s="30">
        <f>B450</f>
        <v>1193.8</v>
      </c>
      <c r="D451" s="76">
        <f t="shared" si="7"/>
        <v>0.92026352230288277</v>
      </c>
      <c r="E451" s="81">
        <f t="shared" si="10"/>
        <v>0.3521581133817297</v>
      </c>
      <c r="F451" s="81">
        <f t="shared" si="10"/>
        <v>0.36334702698166249</v>
      </c>
      <c r="G451" s="82"/>
    </row>
    <row r="452" spans="1:14" ht="13.5" thickBot="1">
      <c r="A452" s="123" t="s">
        <v>53</v>
      </c>
      <c r="B452" s="124" t="s">
        <v>97</v>
      </c>
      <c r="C452" s="30">
        <f t="shared" si="8"/>
        <v>2383.1</v>
      </c>
      <c r="D452" s="87"/>
      <c r="E452" s="87"/>
      <c r="F452" s="87"/>
      <c r="G452" s="88"/>
    </row>
    <row r="453" spans="1:14" ht="15.75" thickBot="1">
      <c r="A453" s="89"/>
      <c r="B453" s="125">
        <v>189.2</v>
      </c>
      <c r="D453" s="126"/>
      <c r="E453" s="127">
        <f>AVERAGE(E402:E451)</f>
        <v>6.9803421393837953E-2</v>
      </c>
      <c r="F453" s="127">
        <f>AVERAGE(F402:F452)</f>
        <v>9.1115521379862063E-2</v>
      </c>
      <c r="G453" s="128"/>
    </row>
    <row r="454" spans="1:14" ht="53.25" customHeight="1">
      <c r="A454" s="94" t="s">
        <v>55</v>
      </c>
      <c r="B454" s="95"/>
      <c r="D454" s="96"/>
      <c r="E454" s="97">
        <f>B455</f>
        <v>316.7</v>
      </c>
      <c r="F454" s="98">
        <f>B459</f>
        <v>242.63249999999999</v>
      </c>
      <c r="G454" s="99"/>
      <c r="K454" s="160">
        <f>(1-33.86/52)*100</f>
        <v>34.88461538461538</v>
      </c>
    </row>
    <row r="455" spans="1:14" ht="51.75" customHeight="1">
      <c r="A455" s="100" t="s">
        <v>56</v>
      </c>
      <c r="B455" s="101">
        <v>316.7</v>
      </c>
      <c r="D455" s="102"/>
      <c r="E455" s="103"/>
      <c r="F455" s="103"/>
      <c r="G455" s="104"/>
      <c r="K455" s="59">
        <v>52</v>
      </c>
      <c r="L455" s="161">
        <v>3.5999999999999997E-2</v>
      </c>
      <c r="M455" s="161">
        <f>1-L455</f>
        <v>0.96399999999999997</v>
      </c>
      <c r="N455" s="59">
        <f>K455*M455</f>
        <v>50.128</v>
      </c>
    </row>
    <row r="456" spans="1:14" ht="77.25" customHeight="1" thickBot="1">
      <c r="A456" s="105" t="s">
        <v>57</v>
      </c>
      <c r="B456" s="106">
        <v>190</v>
      </c>
      <c r="D456" s="87"/>
      <c r="E456" s="86">
        <f>0.6*E454</f>
        <v>190.01999999999998</v>
      </c>
      <c r="F456" s="86">
        <f>0.6*F454</f>
        <v>145.5795</v>
      </c>
      <c r="G456" s="107"/>
    </row>
    <row r="457" spans="1:14" ht="15.75" thickBot="1"/>
    <row r="458" spans="1:14" ht="51.75" thickBot="1">
      <c r="A458" s="108" t="s">
        <v>56</v>
      </c>
      <c r="B458" s="109">
        <f>B455</f>
        <v>316.7</v>
      </c>
    </row>
    <row r="459" spans="1:14">
      <c r="A459" s="110" t="s">
        <v>64</v>
      </c>
      <c r="B459" s="111">
        <f>AVERAGE(B407:B446)</f>
        <v>242.63249999999999</v>
      </c>
    </row>
    <row r="460" spans="1:14">
      <c r="A460" s="112" t="s">
        <v>65</v>
      </c>
      <c r="B460" s="113">
        <f>AVERAGE(B412:B441)</f>
        <v>222.67333333333335</v>
      </c>
    </row>
    <row r="461" spans="1:14" ht="15.75" thickBot="1">
      <c r="A461" s="114" t="s">
        <v>66</v>
      </c>
      <c r="B461" s="115">
        <f>AVERAGE(B418:B436)</f>
        <v>216.94736842105263</v>
      </c>
    </row>
  </sheetData>
  <mergeCells count="14">
    <mergeCell ref="A2:A4"/>
    <mergeCell ref="B2:D2"/>
    <mergeCell ref="A69:A71"/>
    <mergeCell ref="B69:D69"/>
    <mergeCell ref="A134:A136"/>
    <mergeCell ref="B134:D134"/>
    <mergeCell ref="A398:A400"/>
    <mergeCell ref="B398:D398"/>
    <mergeCell ref="A200:A202"/>
    <mergeCell ref="B200:D200"/>
    <mergeCell ref="A266:A268"/>
    <mergeCell ref="B266:D266"/>
    <mergeCell ref="A333:A335"/>
    <mergeCell ref="B333:D333"/>
  </mergeCells>
  <pageMargins left="0.7" right="0.7" top="0.75" bottom="0.75" header="0.3" footer="0.3"/>
  <pageSetup paperSize="9" orientation="portrait" horizontalDpi="4294967295" verticalDpi="4294967295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Лист18">
    <tabColor rgb="FF92D050"/>
  </sheetPr>
  <dimension ref="A1:G459"/>
  <sheetViews>
    <sheetView topLeftCell="A461" workbookViewId="0">
      <selection activeCell="E225" sqref="E225:E226"/>
    </sheetView>
  </sheetViews>
  <sheetFormatPr defaultColWidth="9.140625" defaultRowHeight="15"/>
  <cols>
    <col min="1" max="1" width="13" style="59" customWidth="1"/>
    <col min="2" max="2" width="9.140625" style="59"/>
    <col min="4" max="4" width="9.140625" style="59"/>
    <col min="5" max="6" width="9.42578125" style="59" bestFit="1" customWidth="1"/>
    <col min="7" max="16384" width="9.140625" style="59"/>
  </cols>
  <sheetData>
    <row r="1" spans="1:7" ht="15.75" thickBot="1">
      <c r="E1" s="60">
        <v>0.1</v>
      </c>
      <c r="F1" s="61">
        <v>0.4</v>
      </c>
    </row>
    <row r="2" spans="1:7" ht="23.25" customHeight="1" thickBot="1">
      <c r="A2" s="535" t="s">
        <v>0</v>
      </c>
      <c r="B2" s="538" t="s">
        <v>1</v>
      </c>
      <c r="C2" s="539"/>
      <c r="D2" s="540"/>
      <c r="E2" s="62">
        <f>(1-E57)^(1/3)-1</f>
        <v>-2.970711217337596E-2</v>
      </c>
      <c r="F2" s="63">
        <f>(1-F57)^(1/3)-1</f>
        <v>-2.970711217337596E-2</v>
      </c>
      <c r="G2" s="64"/>
    </row>
    <row r="3" spans="1:7" ht="77.25" thickBot="1">
      <c r="A3" s="536"/>
      <c r="B3" s="65" t="s">
        <v>4</v>
      </c>
      <c r="C3" s="1"/>
      <c r="D3" s="65" t="s">
        <v>80</v>
      </c>
      <c r="E3" s="65" t="s">
        <v>5</v>
      </c>
      <c r="F3" s="65" t="s">
        <v>5</v>
      </c>
      <c r="G3" s="65"/>
    </row>
    <row r="4" spans="1:7" ht="26.25" thickBot="1">
      <c r="A4" s="537"/>
      <c r="B4" s="66" t="s">
        <v>6</v>
      </c>
      <c r="C4" s="1"/>
      <c r="D4" s="66" t="s">
        <v>7</v>
      </c>
      <c r="E4" s="67" t="s">
        <v>82</v>
      </c>
      <c r="F4" s="68" t="s">
        <v>83</v>
      </c>
      <c r="G4" s="68"/>
    </row>
    <row r="5" spans="1:7" ht="13.5" thickBot="1">
      <c r="A5" s="69">
        <v>1</v>
      </c>
      <c r="B5" s="70">
        <v>2</v>
      </c>
      <c r="C5" s="51"/>
      <c r="D5" s="71">
        <v>3</v>
      </c>
      <c r="E5" s="72">
        <v>4</v>
      </c>
      <c r="F5" s="73">
        <v>5</v>
      </c>
      <c r="G5" s="72"/>
    </row>
    <row r="6" spans="1:7" ht="12.75">
      <c r="A6" s="74" t="s">
        <v>10</v>
      </c>
      <c r="B6" s="151">
        <v>5.8</v>
      </c>
      <c r="C6" s="30">
        <v>0</v>
      </c>
      <c r="D6" s="76">
        <v>0</v>
      </c>
      <c r="E6" s="77">
        <v>0</v>
      </c>
      <c r="F6" s="77">
        <v>0</v>
      </c>
      <c r="G6" s="78">
        <v>0</v>
      </c>
    </row>
    <row r="7" spans="1:7" ht="12.75">
      <c r="A7" s="79" t="s">
        <v>58</v>
      </c>
      <c r="B7" s="152">
        <v>7.2</v>
      </c>
      <c r="C7" s="30">
        <f>B6</f>
        <v>5.8</v>
      </c>
      <c r="D7" s="76">
        <v>0</v>
      </c>
      <c r="E7" s="81">
        <v>0</v>
      </c>
      <c r="F7" s="81">
        <v>0</v>
      </c>
      <c r="G7" s="82">
        <v>0</v>
      </c>
    </row>
    <row r="8" spans="1:7" ht="12.75">
      <c r="A8" s="79" t="s">
        <v>59</v>
      </c>
      <c r="B8" s="152">
        <v>8.9</v>
      </c>
      <c r="C8" s="30">
        <f t="shared" ref="C8:C56" si="0">B7</f>
        <v>7.2</v>
      </c>
      <c r="D8" s="76">
        <v>0</v>
      </c>
      <c r="E8" s="81">
        <v>0</v>
      </c>
      <c r="F8" s="81">
        <v>0</v>
      </c>
      <c r="G8" s="82">
        <v>0</v>
      </c>
    </row>
    <row r="9" spans="1:7" ht="12.75">
      <c r="A9" s="79" t="s">
        <v>60</v>
      </c>
      <c r="B9" s="152">
        <v>11.4</v>
      </c>
      <c r="C9" s="30">
        <f t="shared" si="0"/>
        <v>8.9</v>
      </c>
      <c r="D9" s="76">
        <v>0</v>
      </c>
      <c r="E9" s="81">
        <v>0</v>
      </c>
      <c r="F9" s="81">
        <v>0</v>
      </c>
      <c r="G9" s="82">
        <v>0</v>
      </c>
    </row>
    <row r="10" spans="1:7" ht="12.75">
      <c r="A10" s="79" t="s">
        <v>61</v>
      </c>
      <c r="B10" s="152">
        <v>12.6</v>
      </c>
      <c r="C10" s="30">
        <f t="shared" si="0"/>
        <v>11.4</v>
      </c>
      <c r="D10" s="76">
        <v>0</v>
      </c>
      <c r="E10" s="81">
        <v>0</v>
      </c>
      <c r="F10" s="81">
        <v>0</v>
      </c>
      <c r="G10" s="82">
        <v>0</v>
      </c>
    </row>
    <row r="11" spans="1:7" ht="12.75">
      <c r="A11" s="79" t="s">
        <v>62</v>
      </c>
      <c r="B11" s="152">
        <v>13.5</v>
      </c>
      <c r="C11" s="30">
        <f t="shared" si="0"/>
        <v>12.6</v>
      </c>
      <c r="D11" s="76">
        <v>0</v>
      </c>
      <c r="E11" s="81">
        <v>0</v>
      </c>
      <c r="F11" s="81">
        <v>0</v>
      </c>
      <c r="G11" s="82">
        <v>0</v>
      </c>
    </row>
    <row r="12" spans="1:7" ht="12.75">
      <c r="A12" s="79" t="s">
        <v>63</v>
      </c>
      <c r="B12" s="152">
        <v>15</v>
      </c>
      <c r="C12" s="30">
        <f t="shared" si="0"/>
        <v>13.5</v>
      </c>
      <c r="D12" s="76">
        <v>0</v>
      </c>
      <c r="E12" s="81">
        <v>0</v>
      </c>
      <c r="F12" s="81">
        <v>0</v>
      </c>
      <c r="G12" s="82">
        <v>0</v>
      </c>
    </row>
    <row r="13" spans="1:7" ht="12.75">
      <c r="A13" s="83" t="s">
        <v>11</v>
      </c>
      <c r="B13" s="152">
        <v>16.100000000000001</v>
      </c>
      <c r="C13" s="30">
        <f t="shared" si="0"/>
        <v>15</v>
      </c>
      <c r="D13" s="76">
        <v>0</v>
      </c>
      <c r="E13" s="81">
        <v>0</v>
      </c>
      <c r="F13" s="81">
        <v>0</v>
      </c>
      <c r="G13" s="82">
        <v>0</v>
      </c>
    </row>
    <row r="14" spans="1:7" ht="12.75">
      <c r="A14" s="83" t="s">
        <v>12</v>
      </c>
      <c r="B14" s="152">
        <v>17.5</v>
      </c>
      <c r="C14" s="30">
        <f t="shared" si="0"/>
        <v>16.100000000000001</v>
      </c>
      <c r="D14" s="76">
        <v>0</v>
      </c>
      <c r="E14" s="81">
        <v>0</v>
      </c>
      <c r="F14" s="81">
        <v>0</v>
      </c>
      <c r="G14" s="82">
        <v>0</v>
      </c>
    </row>
    <row r="15" spans="1:7" ht="12.75">
      <c r="A15" s="83" t="s">
        <v>13</v>
      </c>
      <c r="B15" s="152">
        <v>19.100000000000001</v>
      </c>
      <c r="C15" s="30">
        <f t="shared" si="0"/>
        <v>17.5</v>
      </c>
      <c r="D15" s="76">
        <v>0</v>
      </c>
      <c r="E15" s="81">
        <v>0</v>
      </c>
      <c r="F15" s="81">
        <v>0</v>
      </c>
      <c r="G15" s="82">
        <v>0</v>
      </c>
    </row>
    <row r="16" spans="1:7" ht="12.75">
      <c r="A16" s="83" t="s">
        <v>14</v>
      </c>
      <c r="B16" s="152">
        <v>21.2</v>
      </c>
      <c r="C16" s="30">
        <f t="shared" si="0"/>
        <v>19.100000000000001</v>
      </c>
      <c r="D16" s="76">
        <v>0</v>
      </c>
      <c r="E16" s="81">
        <v>0</v>
      </c>
      <c r="F16" s="81">
        <v>0</v>
      </c>
      <c r="G16" s="82">
        <v>0</v>
      </c>
    </row>
    <row r="17" spans="1:7" ht="12.75">
      <c r="A17" s="83" t="s">
        <v>15</v>
      </c>
      <c r="B17" s="152">
        <v>23.4</v>
      </c>
      <c r="C17" s="30">
        <f t="shared" si="0"/>
        <v>21.2</v>
      </c>
      <c r="D17" s="76">
        <v>0</v>
      </c>
      <c r="E17" s="81">
        <v>0</v>
      </c>
      <c r="F17" s="81">
        <v>0</v>
      </c>
      <c r="G17" s="82">
        <v>0</v>
      </c>
    </row>
    <row r="18" spans="1:7" ht="12.75">
      <c r="A18" s="83" t="s">
        <v>16</v>
      </c>
      <c r="B18" s="152">
        <v>27</v>
      </c>
      <c r="C18" s="30">
        <f t="shared" si="0"/>
        <v>23.4</v>
      </c>
      <c r="D18" s="76">
        <v>0</v>
      </c>
      <c r="E18" s="81">
        <v>0</v>
      </c>
      <c r="F18" s="81">
        <v>0</v>
      </c>
      <c r="G18" s="82">
        <v>0</v>
      </c>
    </row>
    <row r="19" spans="1:7" ht="12.75">
      <c r="A19" s="83" t="s">
        <v>17</v>
      </c>
      <c r="B19" s="152">
        <v>31</v>
      </c>
      <c r="C19" s="30">
        <f t="shared" si="0"/>
        <v>27</v>
      </c>
      <c r="D19" s="76">
        <v>0</v>
      </c>
      <c r="E19" s="81">
        <v>0</v>
      </c>
      <c r="F19" s="81">
        <v>0</v>
      </c>
      <c r="G19" s="82">
        <v>0</v>
      </c>
    </row>
    <row r="20" spans="1:7" ht="12.75">
      <c r="A20" s="83" t="s">
        <v>18</v>
      </c>
      <c r="B20" s="152">
        <v>32.9</v>
      </c>
      <c r="C20" s="30">
        <f t="shared" si="0"/>
        <v>31</v>
      </c>
      <c r="D20" s="76">
        <v>0</v>
      </c>
      <c r="E20" s="81">
        <v>0</v>
      </c>
      <c r="F20" s="81">
        <v>0</v>
      </c>
      <c r="G20" s="82">
        <v>0</v>
      </c>
    </row>
    <row r="21" spans="1:7" ht="12.75">
      <c r="A21" s="83" t="s">
        <v>19</v>
      </c>
      <c r="B21" s="152">
        <v>34.700000000000003</v>
      </c>
      <c r="C21" s="30">
        <f t="shared" si="0"/>
        <v>32.9</v>
      </c>
      <c r="D21" s="76">
        <v>0</v>
      </c>
      <c r="E21" s="81"/>
      <c r="F21" s="81">
        <v>0</v>
      </c>
      <c r="G21" s="82">
        <v>4.1210374639769646E-3</v>
      </c>
    </row>
    <row r="22" spans="1:7" ht="12.75">
      <c r="A22" s="83" t="s">
        <v>20</v>
      </c>
      <c r="B22" s="152">
        <v>37.299999999999997</v>
      </c>
      <c r="C22" s="30">
        <f t="shared" si="0"/>
        <v>34.700000000000003</v>
      </c>
      <c r="D22" s="76">
        <v>2.8378016085790946E-2</v>
      </c>
      <c r="E22" s="81"/>
      <c r="F22" s="81">
        <v>2.8378016085790947E-3</v>
      </c>
      <c r="G22" s="82">
        <v>1.0804289544235929E-2</v>
      </c>
    </row>
    <row r="23" spans="1:7" ht="12.75">
      <c r="A23" s="83" t="s">
        <v>21</v>
      </c>
      <c r="B23" s="152">
        <v>38.200000000000003</v>
      </c>
      <c r="C23" s="30">
        <f t="shared" si="0"/>
        <v>37.299999999999997</v>
      </c>
      <c r="D23" s="76">
        <v>5.1269633507853608E-2</v>
      </c>
      <c r="E23" s="81"/>
      <c r="F23" s="81">
        <v>5.1269633507853608E-3</v>
      </c>
      <c r="G23" s="82">
        <v>1.2905759162303682E-2</v>
      </c>
    </row>
    <row r="24" spans="1:7" ht="12.75">
      <c r="A24" s="83" t="s">
        <v>22</v>
      </c>
      <c r="B24" s="152">
        <v>39.1</v>
      </c>
      <c r="C24" s="30">
        <f t="shared" si="0"/>
        <v>38.200000000000003</v>
      </c>
      <c r="D24" s="76">
        <v>7.3107416879795564E-2</v>
      </c>
      <c r="E24" s="81"/>
      <c r="F24" s="81">
        <v>7.3107416879795561E-3</v>
      </c>
      <c r="G24" s="82">
        <v>1.4910485933503848E-2</v>
      </c>
    </row>
    <row r="25" spans="1:7" ht="12.75">
      <c r="A25" s="83" t="s">
        <v>23</v>
      </c>
      <c r="B25" s="152">
        <v>41.2</v>
      </c>
      <c r="C25" s="30">
        <f t="shared" si="0"/>
        <v>39.1</v>
      </c>
      <c r="D25" s="76">
        <v>0.12035194174757299</v>
      </c>
      <c r="E25" s="81">
        <v>1.20351941747573E-2</v>
      </c>
      <c r="F25" s="81">
        <v>1.20351941747573E-2</v>
      </c>
      <c r="G25" s="82">
        <v>1.9247572815533995E-2</v>
      </c>
    </row>
    <row r="26" spans="1:7" ht="12.75">
      <c r="A26" s="83" t="s">
        <v>24</v>
      </c>
      <c r="B26" s="152">
        <v>42.4</v>
      </c>
      <c r="C26" s="30">
        <f t="shared" si="0"/>
        <v>41.2</v>
      </c>
      <c r="D26" s="76">
        <v>0.14524764150943406</v>
      </c>
      <c r="E26" s="81">
        <v>1.4524764150943408E-2</v>
      </c>
      <c r="F26" s="81">
        <v>1.4524764150943408E-2</v>
      </c>
      <c r="G26" s="82">
        <v>2.1533018867924535E-2</v>
      </c>
    </row>
    <row r="27" spans="1:7" ht="12.75">
      <c r="A27" s="83" t="s">
        <v>25</v>
      </c>
      <c r="B27" s="152">
        <v>44</v>
      </c>
      <c r="C27" s="30">
        <f t="shared" si="0"/>
        <v>42.4</v>
      </c>
      <c r="D27" s="76">
        <v>0.17632954545454557</v>
      </c>
      <c r="E27" s="81">
        <v>1.7632954545454559E-2</v>
      </c>
      <c r="F27" s="81">
        <v>1.7632954545454559E-2</v>
      </c>
      <c r="G27" s="82">
        <v>2.4386363636363647E-2</v>
      </c>
    </row>
    <row r="28" spans="1:7" ht="12.75">
      <c r="A28" s="83" t="s">
        <v>26</v>
      </c>
      <c r="B28" s="152">
        <v>47.2</v>
      </c>
      <c r="C28" s="30">
        <f t="shared" si="0"/>
        <v>44</v>
      </c>
      <c r="D28" s="76">
        <v>0.23217161016949167</v>
      </c>
      <c r="E28" s="81">
        <v>2.3217161016949171E-2</v>
      </c>
      <c r="F28" s="81">
        <v>2.3217161016949171E-2</v>
      </c>
      <c r="G28" s="82">
        <v>2.9512711864406793E-2</v>
      </c>
    </row>
    <row r="29" spans="1:7" ht="12.75">
      <c r="A29" s="83" t="s">
        <v>27</v>
      </c>
      <c r="B29" s="152">
        <v>51.3</v>
      </c>
      <c r="C29" s="30">
        <f t="shared" si="0"/>
        <v>47.2</v>
      </c>
      <c r="D29" s="76">
        <v>0.29353801169590649</v>
      </c>
      <c r="E29" s="81">
        <v>2.9353801169590653E-2</v>
      </c>
      <c r="F29" s="81">
        <v>2.9353801169590653E-2</v>
      </c>
      <c r="G29" s="82">
        <v>3.5146198830409363E-2</v>
      </c>
    </row>
    <row r="30" spans="1:7" ht="12.75">
      <c r="A30" s="83" t="s">
        <v>28</v>
      </c>
      <c r="B30" s="152">
        <v>53.7</v>
      </c>
      <c r="C30" s="30">
        <f t="shared" si="0"/>
        <v>51.3</v>
      </c>
      <c r="D30" s="76">
        <v>0.32511173184357556</v>
      </c>
      <c r="E30" s="81">
        <v>3.2511173184357554E-2</v>
      </c>
      <c r="F30" s="81">
        <v>3.2511173184357554E-2</v>
      </c>
      <c r="G30" s="82">
        <v>3.8044692737430177E-2</v>
      </c>
    </row>
    <row r="31" spans="1:7" ht="12.75">
      <c r="A31" s="83" t="s">
        <v>29</v>
      </c>
      <c r="B31" s="152">
        <v>55.4</v>
      </c>
      <c r="C31" s="30">
        <f t="shared" si="0"/>
        <v>53.7</v>
      </c>
      <c r="D31" s="76">
        <v>0.34582129963898922</v>
      </c>
      <c r="E31" s="81">
        <v>3.4582129963898929E-2</v>
      </c>
      <c r="F31" s="81">
        <v>3.4582129963898929E-2</v>
      </c>
      <c r="G31" s="82">
        <v>3.9945848375451273E-2</v>
      </c>
    </row>
    <row r="32" spans="1:7" ht="12.75">
      <c r="A32" s="83" t="s">
        <v>30</v>
      </c>
      <c r="B32" s="152">
        <v>56.9</v>
      </c>
      <c r="C32" s="30">
        <f t="shared" si="0"/>
        <v>55.4</v>
      </c>
      <c r="D32" s="76">
        <v>0.36306678383128305</v>
      </c>
      <c r="E32" s="81">
        <v>3.6306678383128309E-2</v>
      </c>
      <c r="F32" s="81">
        <v>3.6306678383128309E-2</v>
      </c>
      <c r="G32" s="82">
        <v>4.9173989455184551E-2</v>
      </c>
    </row>
    <row r="33" spans="1:7" ht="12.75">
      <c r="A33" s="83" t="s">
        <v>31</v>
      </c>
      <c r="B33" s="152">
        <v>59.4</v>
      </c>
      <c r="C33" s="30">
        <f t="shared" si="0"/>
        <v>56.9</v>
      </c>
      <c r="D33" s="76">
        <v>0.38987373737373743</v>
      </c>
      <c r="E33" s="81">
        <v>3.8987373737373751E-2</v>
      </c>
      <c r="F33" s="81">
        <v>3.8987373737373751E-2</v>
      </c>
      <c r="G33" s="82">
        <v>6.3939393939393963E-2</v>
      </c>
    </row>
    <row r="34" spans="1:7" ht="12.75">
      <c r="A34" s="83" t="s">
        <v>32</v>
      </c>
      <c r="B34" s="152">
        <v>61.3</v>
      </c>
      <c r="C34" s="30">
        <f t="shared" si="0"/>
        <v>59.4</v>
      </c>
      <c r="D34" s="76">
        <v>0.40878466557911913</v>
      </c>
      <c r="E34" s="81">
        <v>4.5270799347471496E-2</v>
      </c>
      <c r="F34" s="81">
        <v>4.5270799347471496E-2</v>
      </c>
      <c r="G34" s="82">
        <v>7.4355628058727585E-2</v>
      </c>
    </row>
    <row r="35" spans="1:7" ht="12.75">
      <c r="A35" s="83" t="s">
        <v>33</v>
      </c>
      <c r="B35" s="152">
        <v>63</v>
      </c>
      <c r="C35" s="30">
        <f t="shared" si="0"/>
        <v>61.3</v>
      </c>
      <c r="D35" s="76">
        <v>0.4247380952380953</v>
      </c>
      <c r="E35" s="81">
        <v>5.4842857142857214E-2</v>
      </c>
      <c r="F35" s="81">
        <v>5.4842857142857214E-2</v>
      </c>
      <c r="G35" s="82">
        <v>8.3142857142857157E-2</v>
      </c>
    </row>
    <row r="36" spans="1:7" ht="12.75">
      <c r="A36" s="83" t="s">
        <v>34</v>
      </c>
      <c r="B36" s="152">
        <v>64.7</v>
      </c>
      <c r="C36" s="30">
        <f t="shared" si="0"/>
        <v>63</v>
      </c>
      <c r="D36" s="76">
        <v>0.439853168469861</v>
      </c>
      <c r="E36" s="81">
        <v>6.3911901081916606E-2</v>
      </c>
      <c r="F36" s="81">
        <v>6.3911901081916606E-2</v>
      </c>
      <c r="G36" s="82">
        <v>9.1468315301391073E-2</v>
      </c>
    </row>
    <row r="37" spans="1:7" ht="12.75">
      <c r="A37" s="83" t="s">
        <v>35</v>
      </c>
      <c r="B37" s="152">
        <v>65.8</v>
      </c>
      <c r="C37" s="30">
        <f t="shared" si="0"/>
        <v>64.7</v>
      </c>
      <c r="D37" s="76">
        <v>0.44921732522796359</v>
      </c>
      <c r="E37" s="81">
        <v>6.9530395136778153E-2</v>
      </c>
      <c r="F37" s="81">
        <v>6.9530395136778153E-2</v>
      </c>
      <c r="G37" s="82">
        <v>9.6626139817629186E-2</v>
      </c>
    </row>
    <row r="38" spans="1:7" ht="12.75">
      <c r="A38" s="83" t="s">
        <v>36</v>
      </c>
      <c r="B38" s="152">
        <v>69.099999999999994</v>
      </c>
      <c r="C38" s="30">
        <f t="shared" si="0"/>
        <v>65.8</v>
      </c>
      <c r="D38" s="76">
        <v>0.47552098408104199</v>
      </c>
      <c r="E38" s="81">
        <v>8.5312590448625214E-2</v>
      </c>
      <c r="F38" s="81">
        <v>8.5312590448625214E-2</v>
      </c>
      <c r="G38" s="82">
        <v>0.11111432706222867</v>
      </c>
    </row>
    <row r="39" spans="1:7" ht="12.75">
      <c r="A39" s="83" t="s">
        <v>37</v>
      </c>
      <c r="B39" s="152">
        <v>72.8</v>
      </c>
      <c r="C39" s="30">
        <f t="shared" si="0"/>
        <v>69.099999999999994</v>
      </c>
      <c r="D39" s="76">
        <v>0.50217719780219783</v>
      </c>
      <c r="E39" s="81">
        <v>0.10130631868131873</v>
      </c>
      <c r="F39" s="81">
        <v>0.10130631868131873</v>
      </c>
      <c r="G39" s="82">
        <v>0.12579670329670331</v>
      </c>
    </row>
    <row r="40" spans="1:7" ht="12.75">
      <c r="A40" s="83" t="s">
        <v>38</v>
      </c>
      <c r="B40" s="152">
        <v>79.400000000000006</v>
      </c>
      <c r="C40" s="30">
        <f t="shared" si="0"/>
        <v>72.8</v>
      </c>
      <c r="D40" s="76">
        <v>0.54355793450881618</v>
      </c>
      <c r="E40" s="81">
        <v>0.12613476070528976</v>
      </c>
      <c r="F40" s="81">
        <v>0.12613476070528976</v>
      </c>
      <c r="G40" s="82">
        <v>0.14858942065491187</v>
      </c>
    </row>
    <row r="41" spans="1:7" ht="12.75">
      <c r="A41" s="83" t="s">
        <v>39</v>
      </c>
      <c r="B41" s="152">
        <v>81.8</v>
      </c>
      <c r="C41" s="30">
        <f t="shared" si="0"/>
        <v>79.400000000000006</v>
      </c>
      <c r="D41" s="76">
        <v>0.55694987775061133</v>
      </c>
      <c r="E41" s="81">
        <v>0.13416992665036678</v>
      </c>
      <c r="F41" s="81">
        <v>0.13416992665036678</v>
      </c>
      <c r="G41" s="82">
        <v>0.15596577017114915</v>
      </c>
    </row>
    <row r="42" spans="1:7" ht="12.75">
      <c r="A42" s="83" t="s">
        <v>40</v>
      </c>
      <c r="B42" s="152">
        <v>83.9</v>
      </c>
      <c r="C42" s="30">
        <f t="shared" si="0"/>
        <v>81.8</v>
      </c>
      <c r="D42" s="76">
        <v>0.56803933253873673</v>
      </c>
      <c r="E42" s="81">
        <v>0.14082359952324203</v>
      </c>
      <c r="F42" s="81">
        <v>0.14082359952324203</v>
      </c>
      <c r="G42" s="82">
        <v>0.16207389749702031</v>
      </c>
    </row>
    <row r="43" spans="1:7" ht="12.75">
      <c r="A43" s="83" t="s">
        <v>41</v>
      </c>
      <c r="B43" s="152">
        <v>89.6</v>
      </c>
      <c r="C43" s="30">
        <f t="shared" si="0"/>
        <v>83.9</v>
      </c>
      <c r="D43" s="76">
        <v>0.59551897321428571</v>
      </c>
      <c r="E43" s="81">
        <v>0.15731138392857147</v>
      </c>
      <c r="F43" s="81">
        <v>0.15731138392857147</v>
      </c>
      <c r="G43" s="82">
        <v>0.17720982142857145</v>
      </c>
    </row>
    <row r="44" spans="1:7" ht="12.75">
      <c r="A44" s="83" t="s">
        <v>42</v>
      </c>
      <c r="B44" s="152">
        <v>96.6</v>
      </c>
      <c r="C44" s="30">
        <f t="shared" si="0"/>
        <v>89.6</v>
      </c>
      <c r="D44" s="76">
        <v>0.62482919254658387</v>
      </c>
      <c r="E44" s="81">
        <v>0.17489751552795035</v>
      </c>
      <c r="F44" s="81">
        <v>0.17489751552795035</v>
      </c>
      <c r="G44" s="82">
        <v>0.19335403726708075</v>
      </c>
    </row>
    <row r="45" spans="1:7" ht="12.75">
      <c r="A45" s="83" t="s">
        <v>43</v>
      </c>
      <c r="B45" s="152">
        <v>99.2</v>
      </c>
      <c r="C45" s="30">
        <f t="shared" si="0"/>
        <v>96.6</v>
      </c>
      <c r="D45" s="76">
        <v>0.63466229838709687</v>
      </c>
      <c r="E45" s="81">
        <v>0.18079737903225812</v>
      </c>
      <c r="F45" s="81">
        <v>0.18079737903225812</v>
      </c>
      <c r="G45" s="82">
        <v>0.1987701612903226</v>
      </c>
    </row>
    <row r="46" spans="1:7" ht="12.75">
      <c r="A46" s="83" t="s">
        <v>44</v>
      </c>
      <c r="B46" s="152">
        <v>106.7</v>
      </c>
      <c r="C46" s="30">
        <f t="shared" si="0"/>
        <v>99.2</v>
      </c>
      <c r="D46" s="76">
        <v>0.6603420805998127</v>
      </c>
      <c r="E46" s="81">
        <v>0.19620524835988759</v>
      </c>
      <c r="F46" s="81">
        <v>0.19620524835988759</v>
      </c>
      <c r="G46" s="82">
        <v>0.21291471415182758</v>
      </c>
    </row>
    <row r="47" spans="1:7" ht="12.75">
      <c r="A47" s="83" t="s">
        <v>45</v>
      </c>
      <c r="B47" s="152">
        <v>121</v>
      </c>
      <c r="C47" s="30">
        <f t="shared" si="0"/>
        <v>106.7</v>
      </c>
      <c r="D47" s="76">
        <v>0.70048347107438014</v>
      </c>
      <c r="E47" s="81">
        <v>0.22029008264462813</v>
      </c>
      <c r="F47" s="81">
        <v>0.22029008264462813</v>
      </c>
      <c r="G47" s="82">
        <v>0.2350247933884298</v>
      </c>
    </row>
    <row r="48" spans="1:7" ht="12.75">
      <c r="A48" s="83" t="s">
        <v>46</v>
      </c>
      <c r="B48" s="152">
        <v>135.5</v>
      </c>
      <c r="C48" s="30">
        <f t="shared" si="0"/>
        <v>121</v>
      </c>
      <c r="D48" s="76">
        <v>0.73253505535055352</v>
      </c>
      <c r="E48" s="81">
        <v>0.23952103321033211</v>
      </c>
      <c r="F48" s="81">
        <v>0.23952103321033211</v>
      </c>
      <c r="G48" s="82">
        <v>0.25267896678966789</v>
      </c>
    </row>
    <row r="49" spans="1:7" ht="12.75">
      <c r="A49" s="83" t="s">
        <v>47</v>
      </c>
      <c r="B49" s="152">
        <v>146.6</v>
      </c>
      <c r="C49" s="30">
        <f t="shared" si="0"/>
        <v>135.5</v>
      </c>
      <c r="D49" s="76">
        <v>0.75278649386084584</v>
      </c>
      <c r="E49" s="81">
        <v>0.25167189631650755</v>
      </c>
      <c r="F49" s="81">
        <v>0.25167189631650755</v>
      </c>
      <c r="G49" s="82">
        <v>0.26383356070941338</v>
      </c>
    </row>
    <row r="50" spans="1:7" ht="12.75">
      <c r="A50" s="83" t="s">
        <v>48</v>
      </c>
      <c r="B50" s="152">
        <v>161.6</v>
      </c>
      <c r="C50" s="30">
        <f t="shared" si="0"/>
        <v>146.6</v>
      </c>
      <c r="D50" s="76">
        <v>0.77573329207920794</v>
      </c>
      <c r="E50" s="81">
        <v>0.26543997524752483</v>
      </c>
      <c r="F50" s="81">
        <v>0.26543997524752483</v>
      </c>
      <c r="G50" s="82">
        <v>0.27647277227722783</v>
      </c>
    </row>
    <row r="51" spans="1:7" ht="12.75">
      <c r="A51" s="83" t="s">
        <v>49</v>
      </c>
      <c r="B51" s="152">
        <v>194</v>
      </c>
      <c r="C51" s="30">
        <f t="shared" si="0"/>
        <v>161.6</v>
      </c>
      <c r="D51" s="76">
        <v>0.81318814432989694</v>
      </c>
      <c r="E51" s="81">
        <v>0.28791288659793823</v>
      </c>
      <c r="F51" s="81">
        <v>0.28791288659793823</v>
      </c>
      <c r="G51" s="82">
        <v>0.29710309278350516</v>
      </c>
    </row>
    <row r="52" spans="1:7" ht="12.75">
      <c r="A52" s="83" t="s">
        <v>50</v>
      </c>
      <c r="B52" s="152">
        <v>237.3</v>
      </c>
      <c r="C52" s="30">
        <f t="shared" si="0"/>
        <v>194</v>
      </c>
      <c r="D52" s="76">
        <v>0.84727560050568895</v>
      </c>
      <c r="E52" s="81">
        <v>0.30836536030341344</v>
      </c>
      <c r="F52" s="81">
        <v>0.30836536030341344</v>
      </c>
      <c r="G52" s="82">
        <v>0.31587863463969662</v>
      </c>
    </row>
    <row r="53" spans="1:7" ht="12.75">
      <c r="A53" s="83" t="s">
        <v>51</v>
      </c>
      <c r="B53" s="152">
        <v>256.10000000000002</v>
      </c>
      <c r="C53" s="30">
        <f t="shared" si="0"/>
        <v>237.3</v>
      </c>
      <c r="D53" s="76">
        <v>0.85848691917219833</v>
      </c>
      <c r="E53" s="81">
        <v>0.3150921515033191</v>
      </c>
      <c r="F53" s="81">
        <v>0.3150921515033191</v>
      </c>
      <c r="G53" s="82">
        <v>0.3220538852010934</v>
      </c>
    </row>
    <row r="54" spans="1:7" ht="12.75">
      <c r="A54" s="83" t="s">
        <v>52</v>
      </c>
      <c r="B54" s="152">
        <v>274.7</v>
      </c>
      <c r="C54" s="30">
        <f t="shared" si="0"/>
        <v>256.10000000000002</v>
      </c>
      <c r="D54" s="76">
        <v>0.86806880232981432</v>
      </c>
      <c r="E54" s="81">
        <v>0.32084128139788864</v>
      </c>
      <c r="F54" s="81">
        <v>0.32084128139788864</v>
      </c>
      <c r="G54" s="82">
        <v>0.327331634510375</v>
      </c>
    </row>
    <row r="55" spans="1:7" ht="12.75">
      <c r="A55" s="83" t="s">
        <v>53</v>
      </c>
      <c r="B55" s="152">
        <v>314.8</v>
      </c>
      <c r="C55" s="30">
        <f>B54</f>
        <v>274.7</v>
      </c>
      <c r="D55" s="76">
        <v>0.8848745235069887</v>
      </c>
      <c r="E55" s="81">
        <v>0.33092471410419316</v>
      </c>
      <c r="F55" s="81">
        <v>0.33092471410419316</v>
      </c>
      <c r="G55" s="82">
        <v>0.33658831003811945</v>
      </c>
    </row>
    <row r="56" spans="1:7" ht="13.5" thickBot="1">
      <c r="A56" s="84" t="s">
        <v>53</v>
      </c>
      <c r="B56" s="85" t="s">
        <v>98</v>
      </c>
      <c r="C56" s="30">
        <f t="shared" si="0"/>
        <v>314.8</v>
      </c>
      <c r="D56" s="86"/>
      <c r="E56" s="87"/>
      <c r="F56" s="87"/>
      <c r="G56" s="88"/>
    </row>
    <row r="57" spans="1:7" ht="13.5" thickBot="1">
      <c r="A57" s="89"/>
      <c r="B57" s="90"/>
      <c r="C57" s="31"/>
      <c r="D57" s="91"/>
      <c r="E57" s="92">
        <v>8.6500015877321521E-2</v>
      </c>
      <c r="F57" s="92">
        <v>8.6500015877321521E-2</v>
      </c>
      <c r="G57" s="93">
        <v>9.6440376122081381E-2</v>
      </c>
    </row>
    <row r="58" spans="1:7" ht="51" customHeight="1">
      <c r="A58" s="94" t="s">
        <v>55</v>
      </c>
      <c r="B58" s="95">
        <v>41</v>
      </c>
      <c r="C58" s="31"/>
      <c r="D58" s="96"/>
      <c r="E58" s="97">
        <v>60.402499999999989</v>
      </c>
      <c r="F58" s="98">
        <v>60.402499999999989</v>
      </c>
      <c r="G58" s="99">
        <v>55.449999999999996</v>
      </c>
    </row>
    <row r="59" spans="1:7" ht="51.75" customHeight="1">
      <c r="A59" s="100" t="s">
        <v>56</v>
      </c>
      <c r="B59" s="101">
        <v>71</v>
      </c>
      <c r="C59" s="31"/>
      <c r="D59" s="102"/>
      <c r="E59" s="103"/>
      <c r="F59" s="103"/>
      <c r="G59" s="104"/>
    </row>
    <row r="60" spans="1:7" ht="75.75" customHeight="1" thickBot="1">
      <c r="A60" s="105" t="s">
        <v>57</v>
      </c>
      <c r="B60" s="106">
        <v>20.099999999999998</v>
      </c>
      <c r="C60" s="29"/>
      <c r="D60" s="87"/>
      <c r="E60" s="86">
        <v>36.241499999999995</v>
      </c>
      <c r="F60" s="86">
        <v>36.241499999999995</v>
      </c>
      <c r="G60" s="107">
        <v>33.269999999999996</v>
      </c>
    </row>
    <row r="61" spans="1:7" ht="15.75" thickBot="1"/>
    <row r="62" spans="1:7" ht="53.25" customHeight="1" thickBot="1">
      <c r="A62" s="108" t="s">
        <v>56</v>
      </c>
      <c r="B62" s="109">
        <f>B59</f>
        <v>71</v>
      </c>
    </row>
    <row r="63" spans="1:7">
      <c r="A63" s="110" t="s">
        <v>64</v>
      </c>
      <c r="B63" s="111">
        <f>AVERAGE(B11:B50)</f>
        <v>60.402499999999989</v>
      </c>
      <c r="C63" s="17"/>
    </row>
    <row r="64" spans="1:7">
      <c r="A64" s="112" t="s">
        <v>65</v>
      </c>
      <c r="B64" s="113">
        <f>AVERAGE(B16:B45)</f>
        <v>55.449999999999996</v>
      </c>
      <c r="C64" s="18"/>
    </row>
    <row r="65" spans="1:7" ht="15.75" thickBot="1">
      <c r="A65" s="114" t="s">
        <v>66</v>
      </c>
      <c r="B65" s="115">
        <f>AVERAGE(B22:B40)</f>
        <v>54.852631578947374</v>
      </c>
      <c r="C65" s="18"/>
    </row>
    <row r="68" spans="1:7" ht="15.75" thickBot="1"/>
    <row r="69" spans="1:7" ht="37.5" customHeight="1" thickBot="1">
      <c r="A69" s="535" t="s">
        <v>0</v>
      </c>
      <c r="B69" s="538" t="s">
        <v>2</v>
      </c>
      <c r="C69" s="539"/>
      <c r="D69" s="540"/>
      <c r="E69" s="62">
        <f>(1-E124)^(1/3)-1</f>
        <v>-2.3571503853312636E-2</v>
      </c>
      <c r="F69" s="63">
        <f>(1-F124)^(1/3)-1</f>
        <v>-2.3571503853312636E-2</v>
      </c>
      <c r="G69" s="64"/>
    </row>
    <row r="70" spans="1:7" ht="77.25" thickBot="1">
      <c r="A70" s="536"/>
      <c r="B70" s="65" t="s">
        <v>4</v>
      </c>
      <c r="C70" s="11"/>
      <c r="D70" s="65" t="s">
        <v>80</v>
      </c>
      <c r="E70" s="65" t="s">
        <v>5</v>
      </c>
      <c r="F70" s="65" t="s">
        <v>5</v>
      </c>
      <c r="G70" s="65"/>
    </row>
    <row r="71" spans="1:7" ht="26.25" thickBot="1">
      <c r="A71" s="537"/>
      <c r="B71" s="66" t="s">
        <v>8</v>
      </c>
      <c r="C71" s="11"/>
      <c r="D71" s="66" t="s">
        <v>7</v>
      </c>
      <c r="E71" s="67" t="s">
        <v>82</v>
      </c>
      <c r="F71" s="68" t="s">
        <v>83</v>
      </c>
      <c r="G71" s="68"/>
    </row>
    <row r="72" spans="1:7" ht="13.5" thickBot="1">
      <c r="A72" s="69">
        <v>1</v>
      </c>
      <c r="B72" s="116">
        <v>2</v>
      </c>
      <c r="C72" s="51"/>
      <c r="D72" s="117">
        <v>3</v>
      </c>
      <c r="E72" s="71">
        <v>4</v>
      </c>
      <c r="F72" s="117">
        <v>5</v>
      </c>
      <c r="G72" s="71"/>
    </row>
    <row r="73" spans="1:7" ht="12.75">
      <c r="A73" s="118" t="s">
        <v>10</v>
      </c>
      <c r="B73" s="119">
        <v>22.8</v>
      </c>
      <c r="C73" s="253">
        <v>0</v>
      </c>
      <c r="D73" s="76">
        <v>0</v>
      </c>
      <c r="E73" s="77">
        <v>0</v>
      </c>
      <c r="F73" s="77">
        <v>0</v>
      </c>
      <c r="G73" s="78">
        <v>0</v>
      </c>
    </row>
    <row r="74" spans="1:7" ht="12.75">
      <c r="A74" s="120" t="s">
        <v>58</v>
      </c>
      <c r="B74" s="121">
        <v>24.9</v>
      </c>
      <c r="C74" s="30">
        <f>B73</f>
        <v>22.8</v>
      </c>
      <c r="D74" s="76">
        <v>0</v>
      </c>
      <c r="E74" s="81">
        <v>0</v>
      </c>
      <c r="F74" s="81">
        <v>0</v>
      </c>
      <c r="G74" s="82">
        <v>0</v>
      </c>
    </row>
    <row r="75" spans="1:7" ht="12.75">
      <c r="A75" s="120" t="s">
        <v>59</v>
      </c>
      <c r="B75" s="121">
        <v>25.4</v>
      </c>
      <c r="C75" s="30">
        <f t="shared" ref="C75:C123" si="1">B74</f>
        <v>24.9</v>
      </c>
      <c r="D75" s="76">
        <v>0</v>
      </c>
      <c r="E75" s="81">
        <v>0</v>
      </c>
      <c r="F75" s="81">
        <v>0</v>
      </c>
      <c r="G75" s="82">
        <v>0</v>
      </c>
    </row>
    <row r="76" spans="1:7" ht="12.75">
      <c r="A76" s="120" t="s">
        <v>60</v>
      </c>
      <c r="B76" s="121">
        <v>26.8</v>
      </c>
      <c r="C76" s="30">
        <f t="shared" si="1"/>
        <v>25.4</v>
      </c>
      <c r="D76" s="76">
        <v>0</v>
      </c>
      <c r="E76" s="81">
        <v>0</v>
      </c>
      <c r="F76" s="81">
        <v>0</v>
      </c>
      <c r="G76" s="82">
        <v>0</v>
      </c>
    </row>
    <row r="77" spans="1:7" ht="12.75">
      <c r="A77" s="120" t="s">
        <v>61</v>
      </c>
      <c r="B77" s="121">
        <v>29.2</v>
      </c>
      <c r="C77" s="30">
        <f t="shared" si="1"/>
        <v>26.8</v>
      </c>
      <c r="D77" s="76">
        <v>0</v>
      </c>
      <c r="E77" s="81">
        <v>0</v>
      </c>
      <c r="F77" s="81">
        <v>0</v>
      </c>
      <c r="G77" s="82">
        <v>0</v>
      </c>
    </row>
    <row r="78" spans="1:7" ht="12.75">
      <c r="A78" s="120" t="s">
        <v>62</v>
      </c>
      <c r="B78" s="121">
        <v>31.4</v>
      </c>
      <c r="C78" s="30">
        <f t="shared" si="1"/>
        <v>29.2</v>
      </c>
      <c r="D78" s="76">
        <v>7.6592356687901746E-3</v>
      </c>
      <c r="E78" s="81"/>
      <c r="F78" s="81">
        <v>7.6592356687901753E-4</v>
      </c>
      <c r="G78" s="82">
        <v>2.4331210191083125E-3</v>
      </c>
    </row>
    <row r="79" spans="1:7" ht="12.75">
      <c r="A79" s="120" t="s">
        <v>63</v>
      </c>
      <c r="B79" s="121">
        <v>33.299999999999997</v>
      </c>
      <c r="C79" s="30">
        <f t="shared" si="1"/>
        <v>31.4</v>
      </c>
      <c r="D79" s="76">
        <v>6.427927927927958E-2</v>
      </c>
      <c r="E79" s="81"/>
      <c r="F79" s="81">
        <v>6.4279279279279592E-3</v>
      </c>
      <c r="G79" s="82">
        <v>8.0000000000000262E-3</v>
      </c>
    </row>
    <row r="80" spans="1:7" ht="12.75">
      <c r="A80" s="122" t="s">
        <v>11</v>
      </c>
      <c r="B80" s="121">
        <v>33.9</v>
      </c>
      <c r="C80" s="30">
        <f t="shared" si="1"/>
        <v>33.299999999999997</v>
      </c>
      <c r="D80" s="76">
        <v>8.0840707964602118E-2</v>
      </c>
      <c r="E80" s="81"/>
      <c r="F80" s="81">
        <v>8.0840707964602125E-3</v>
      </c>
      <c r="G80" s="82">
        <v>9.6283185840708267E-3</v>
      </c>
    </row>
    <row r="81" spans="1:7" ht="12.75">
      <c r="A81" s="122" t="s">
        <v>12</v>
      </c>
      <c r="B81" s="121">
        <v>34.700000000000003</v>
      </c>
      <c r="C81" s="30">
        <f t="shared" si="1"/>
        <v>33.9</v>
      </c>
      <c r="D81" s="76">
        <v>0.10203170028818488</v>
      </c>
      <c r="E81" s="81">
        <v>1.0203170028818489E-2</v>
      </c>
      <c r="F81" s="81">
        <v>1.0203170028818489E-2</v>
      </c>
      <c r="G81" s="82">
        <v>1.1711815561959694E-2</v>
      </c>
    </row>
    <row r="82" spans="1:7" ht="12.75">
      <c r="A82" s="122" t="s">
        <v>13</v>
      </c>
      <c r="B82" s="121">
        <v>36.1</v>
      </c>
      <c r="C82" s="30">
        <f t="shared" si="1"/>
        <v>34.700000000000003</v>
      </c>
      <c r="D82" s="76">
        <v>0.13685595567867076</v>
      </c>
      <c r="E82" s="81">
        <v>1.3685595567867075E-2</v>
      </c>
      <c r="F82" s="81">
        <v>1.3685595567867075E-2</v>
      </c>
      <c r="G82" s="82">
        <v>1.5135734072022197E-2</v>
      </c>
    </row>
    <row r="83" spans="1:7" ht="12.75">
      <c r="A83" s="122" t="s">
        <v>14</v>
      </c>
      <c r="B83" s="121">
        <v>36.5</v>
      </c>
      <c r="C83" s="30">
        <f t="shared" si="1"/>
        <v>36.1</v>
      </c>
      <c r="D83" s="76">
        <v>0.14631506849315104</v>
      </c>
      <c r="E83" s="81">
        <v>1.4631506849315105E-2</v>
      </c>
      <c r="F83" s="81">
        <v>1.4631506849315105E-2</v>
      </c>
      <c r="G83" s="82">
        <v>1.6065753424657565E-2</v>
      </c>
    </row>
    <row r="84" spans="1:7" ht="12.75">
      <c r="A84" s="122" t="s">
        <v>15</v>
      </c>
      <c r="B84" s="121">
        <v>37.799999999999997</v>
      </c>
      <c r="C84" s="30">
        <f t="shared" si="1"/>
        <v>36.5</v>
      </c>
      <c r="D84" s="76">
        <v>0.17567460317460346</v>
      </c>
      <c r="E84" s="81">
        <v>1.7567460317460346E-2</v>
      </c>
      <c r="F84" s="81">
        <v>1.7567460317460346E-2</v>
      </c>
      <c r="G84" s="82">
        <v>1.8952380952380977E-2</v>
      </c>
    </row>
    <row r="85" spans="1:7" ht="12.75">
      <c r="A85" s="122" t="s">
        <v>16</v>
      </c>
      <c r="B85" s="121">
        <v>38.200000000000003</v>
      </c>
      <c r="C85" s="30">
        <f t="shared" si="1"/>
        <v>37.799999999999997</v>
      </c>
      <c r="D85" s="76">
        <v>0.18430628272251348</v>
      </c>
      <c r="E85" s="81">
        <v>1.8430628272251351E-2</v>
      </c>
      <c r="F85" s="81">
        <v>1.8430628272251351E-2</v>
      </c>
      <c r="G85" s="82">
        <v>1.9801047120418885E-2</v>
      </c>
    </row>
    <row r="86" spans="1:7" ht="12.75">
      <c r="A86" s="122" t="s">
        <v>17</v>
      </c>
      <c r="B86" s="121">
        <v>39.299999999999997</v>
      </c>
      <c r="C86" s="30">
        <f t="shared" si="1"/>
        <v>38.200000000000003</v>
      </c>
      <c r="D86" s="76">
        <v>0.20713740458015295</v>
      </c>
      <c r="E86" s="81">
        <v>2.0713740458015294E-2</v>
      </c>
      <c r="F86" s="81">
        <v>2.0713740458015294E-2</v>
      </c>
      <c r="G86" s="82">
        <v>2.2045801526717583E-2</v>
      </c>
    </row>
    <row r="87" spans="1:7" ht="12.75">
      <c r="A87" s="122" t="s">
        <v>18</v>
      </c>
      <c r="B87" s="121">
        <v>39.9</v>
      </c>
      <c r="C87" s="30">
        <f t="shared" si="1"/>
        <v>39.299999999999997</v>
      </c>
      <c r="D87" s="76">
        <v>0.21906015037594015</v>
      </c>
      <c r="E87" s="81">
        <v>2.1906015037594016E-2</v>
      </c>
      <c r="F87" s="81">
        <v>2.1906015037594016E-2</v>
      </c>
      <c r="G87" s="82">
        <v>2.3218045112781981E-2</v>
      </c>
    </row>
    <row r="88" spans="1:7" ht="12.75">
      <c r="A88" s="122" t="s">
        <v>19</v>
      </c>
      <c r="B88" s="121">
        <v>40.299999999999997</v>
      </c>
      <c r="C88" s="30">
        <f t="shared" si="1"/>
        <v>39.9</v>
      </c>
      <c r="D88" s="76">
        <v>0.22681141439205982</v>
      </c>
      <c r="E88" s="81">
        <v>2.2681141439205982E-2</v>
      </c>
      <c r="F88" s="81">
        <v>2.2681141439205982E-2</v>
      </c>
      <c r="G88" s="82">
        <v>2.3980148883374713E-2</v>
      </c>
    </row>
    <row r="89" spans="1:7" ht="12.75">
      <c r="A89" s="122" t="s">
        <v>20</v>
      </c>
      <c r="B89" s="121">
        <v>40.9</v>
      </c>
      <c r="C89" s="30">
        <f t="shared" si="1"/>
        <v>40.299999999999997</v>
      </c>
      <c r="D89" s="76">
        <v>0.23815403422982914</v>
      </c>
      <c r="E89" s="81">
        <v>2.3815403422982915E-2</v>
      </c>
      <c r="F89" s="81">
        <v>2.3815403422982915E-2</v>
      </c>
      <c r="G89" s="82">
        <v>2.5095354523227413E-2</v>
      </c>
    </row>
    <row r="90" spans="1:7" ht="12.75">
      <c r="A90" s="122" t="s">
        <v>21</v>
      </c>
      <c r="B90" s="121">
        <v>41.4</v>
      </c>
      <c r="C90" s="30">
        <f t="shared" si="1"/>
        <v>40.9</v>
      </c>
      <c r="D90" s="76">
        <v>0.24735507246376839</v>
      </c>
      <c r="E90" s="81">
        <v>2.4735507246376843E-2</v>
      </c>
      <c r="F90" s="81">
        <v>2.4735507246376843E-2</v>
      </c>
      <c r="G90" s="82">
        <v>2.6000000000000027E-2</v>
      </c>
    </row>
    <row r="91" spans="1:7" ht="12.75">
      <c r="A91" s="122" t="s">
        <v>22</v>
      </c>
      <c r="B91" s="121">
        <v>42</v>
      </c>
      <c r="C91" s="30">
        <f t="shared" si="1"/>
        <v>41.4</v>
      </c>
      <c r="D91" s="76">
        <v>0.25810714285714315</v>
      </c>
      <c r="E91" s="81">
        <v>2.5810714285714315E-2</v>
      </c>
      <c r="F91" s="81">
        <v>2.5810714285714315E-2</v>
      </c>
      <c r="G91" s="82">
        <v>2.7057142857142884E-2</v>
      </c>
    </row>
    <row r="92" spans="1:7" ht="12.75">
      <c r="A92" s="122" t="s">
        <v>23</v>
      </c>
      <c r="B92" s="121">
        <v>43.2</v>
      </c>
      <c r="C92" s="30">
        <f t="shared" si="1"/>
        <v>42</v>
      </c>
      <c r="D92" s="76">
        <v>0.2787152777777781</v>
      </c>
      <c r="E92" s="81">
        <v>2.7871527777777814E-2</v>
      </c>
      <c r="F92" s="81">
        <v>2.7871527777777814E-2</v>
      </c>
      <c r="G92" s="82">
        <v>2.9083333333333367E-2</v>
      </c>
    </row>
    <row r="93" spans="1:7" ht="12.75">
      <c r="A93" s="122" t="s">
        <v>24</v>
      </c>
      <c r="B93" s="121">
        <v>44.4</v>
      </c>
      <c r="C93" s="30">
        <f t="shared" si="1"/>
        <v>43.2</v>
      </c>
      <c r="D93" s="76">
        <v>0.2982094594594597</v>
      </c>
      <c r="E93" s="81">
        <v>2.9820945945945976E-2</v>
      </c>
      <c r="F93" s="81">
        <v>2.9820945945945976E-2</v>
      </c>
      <c r="G93" s="82">
        <v>3.1000000000000028E-2</v>
      </c>
    </row>
    <row r="94" spans="1:7" ht="12.75">
      <c r="A94" s="122" t="s">
        <v>25</v>
      </c>
      <c r="B94" s="121">
        <v>46.5</v>
      </c>
      <c r="C94" s="30">
        <f t="shared" si="1"/>
        <v>44.4</v>
      </c>
      <c r="D94" s="76">
        <v>0.32990322580645187</v>
      </c>
      <c r="E94" s="81">
        <v>3.2990322580645194E-2</v>
      </c>
      <c r="F94" s="81">
        <v>3.2990322580645194E-2</v>
      </c>
      <c r="G94" s="82">
        <v>3.4116129032258087E-2</v>
      </c>
    </row>
    <row r="95" spans="1:7" ht="12.75">
      <c r="A95" s="122" t="s">
        <v>26</v>
      </c>
      <c r="B95" s="121">
        <v>48</v>
      </c>
      <c r="C95" s="30">
        <f t="shared" si="1"/>
        <v>46.5</v>
      </c>
      <c r="D95" s="76">
        <v>0.35084375000000029</v>
      </c>
      <c r="E95" s="81">
        <v>3.5084375000000029E-2</v>
      </c>
      <c r="F95" s="81">
        <v>3.5084375000000029E-2</v>
      </c>
      <c r="G95" s="82">
        <v>3.6175000000000027E-2</v>
      </c>
    </row>
    <row r="96" spans="1:7" ht="12.75">
      <c r="A96" s="122" t="s">
        <v>27</v>
      </c>
      <c r="B96" s="121">
        <v>48.8</v>
      </c>
      <c r="C96" s="30">
        <f t="shared" si="1"/>
        <v>48</v>
      </c>
      <c r="D96" s="76">
        <v>0.36148565573770514</v>
      </c>
      <c r="E96" s="81">
        <v>3.6148565573770518E-2</v>
      </c>
      <c r="F96" s="81">
        <v>3.6148565573770518E-2</v>
      </c>
      <c r="G96" s="82">
        <v>3.7221311475409857E-2</v>
      </c>
    </row>
    <row r="97" spans="1:7" ht="12.75">
      <c r="A97" s="122" t="s">
        <v>28</v>
      </c>
      <c r="B97" s="121">
        <v>49.8</v>
      </c>
      <c r="C97" s="30">
        <f t="shared" si="1"/>
        <v>48.8</v>
      </c>
      <c r="D97" s="76">
        <v>0.37430722891566287</v>
      </c>
      <c r="E97" s="81">
        <v>3.7430722891566293E-2</v>
      </c>
      <c r="F97" s="81">
        <v>3.7430722891566293E-2</v>
      </c>
      <c r="G97" s="82">
        <v>3.8481927710843397E-2</v>
      </c>
    </row>
    <row r="98" spans="1:7" ht="12.75">
      <c r="A98" s="122" t="s">
        <v>29</v>
      </c>
      <c r="B98" s="121">
        <v>50.6</v>
      </c>
      <c r="C98" s="30">
        <f t="shared" si="1"/>
        <v>49.8</v>
      </c>
      <c r="D98" s="76">
        <v>0.38419960474308329</v>
      </c>
      <c r="E98" s="81">
        <v>3.8419960474308332E-2</v>
      </c>
      <c r="F98" s="81">
        <v>3.8419960474308332E-2</v>
      </c>
      <c r="G98" s="82">
        <v>3.9454545454545478E-2</v>
      </c>
    </row>
    <row r="99" spans="1:7" ht="12.75">
      <c r="A99" s="122" t="s">
        <v>30</v>
      </c>
      <c r="B99" s="121">
        <v>51.7</v>
      </c>
      <c r="C99" s="30">
        <f t="shared" si="1"/>
        <v>50.6</v>
      </c>
      <c r="D99" s="76">
        <v>0.3973017408123794</v>
      </c>
      <c r="E99" s="81">
        <v>3.973017408123794E-2</v>
      </c>
      <c r="F99" s="81">
        <v>3.973017408123794E-2</v>
      </c>
      <c r="G99" s="82">
        <v>4.4456479690522396E-2</v>
      </c>
    </row>
    <row r="100" spans="1:7" ht="12.75">
      <c r="A100" s="122" t="s">
        <v>31</v>
      </c>
      <c r="B100" s="121">
        <v>52.6</v>
      </c>
      <c r="C100" s="30">
        <f t="shared" si="1"/>
        <v>51.7</v>
      </c>
      <c r="D100" s="76">
        <v>0.4076140684410649</v>
      </c>
      <c r="E100" s="81">
        <v>4.456844106463892E-2</v>
      </c>
      <c r="F100" s="81">
        <v>4.456844106463892E-2</v>
      </c>
      <c r="G100" s="82">
        <v>5.0539923954372762E-2</v>
      </c>
    </row>
    <row r="101" spans="1:7" ht="12.75">
      <c r="A101" s="122" t="s">
        <v>32</v>
      </c>
      <c r="B101" s="121">
        <v>54.4</v>
      </c>
      <c r="C101" s="30">
        <f t="shared" si="1"/>
        <v>52.6</v>
      </c>
      <c r="D101" s="76">
        <v>0.42721507352941196</v>
      </c>
      <c r="E101" s="81">
        <v>5.6329044117647172E-2</v>
      </c>
      <c r="F101" s="81">
        <v>5.6329044117647172E-2</v>
      </c>
      <c r="G101" s="82">
        <v>6.2102941176470708E-2</v>
      </c>
    </row>
    <row r="102" spans="1:7" ht="12.75">
      <c r="A102" s="122" t="s">
        <v>33</v>
      </c>
      <c r="B102" s="121">
        <v>56</v>
      </c>
      <c r="C102" s="30">
        <f t="shared" si="1"/>
        <v>54.4</v>
      </c>
      <c r="D102" s="76">
        <v>0.44358035714285737</v>
      </c>
      <c r="E102" s="81">
        <v>6.6148214285714407E-2</v>
      </c>
      <c r="F102" s="81">
        <v>6.6148214285714407E-2</v>
      </c>
      <c r="G102" s="82">
        <v>7.1757142857142978E-2</v>
      </c>
    </row>
    <row r="103" spans="1:7" ht="12.75">
      <c r="A103" s="122" t="s">
        <v>34</v>
      </c>
      <c r="B103" s="121">
        <v>57.7</v>
      </c>
      <c r="C103" s="30">
        <f t="shared" si="1"/>
        <v>56</v>
      </c>
      <c r="D103" s="76">
        <v>0.45997400346620476</v>
      </c>
      <c r="E103" s="81">
        <v>7.5984402079722832E-2</v>
      </c>
      <c r="F103" s="81">
        <v>7.5984402079722832E-2</v>
      </c>
      <c r="G103" s="82">
        <v>8.1428076256499268E-2</v>
      </c>
    </row>
    <row r="104" spans="1:7" ht="12.75">
      <c r="A104" s="122" t="s">
        <v>35</v>
      </c>
      <c r="B104" s="121">
        <v>58.7</v>
      </c>
      <c r="C104" s="30">
        <f t="shared" si="1"/>
        <v>57.7</v>
      </c>
      <c r="D104" s="76">
        <v>0.46917376490630347</v>
      </c>
      <c r="E104" s="81">
        <v>8.1504258943782062E-2</v>
      </c>
      <c r="F104" s="81">
        <v>8.1504258943782062E-2</v>
      </c>
      <c r="G104" s="82">
        <v>8.6855195911414107E-2</v>
      </c>
    </row>
    <row r="105" spans="1:7" ht="12.75">
      <c r="A105" s="122" t="s">
        <v>36</v>
      </c>
      <c r="B105" s="121">
        <v>59</v>
      </c>
      <c r="C105" s="30">
        <f t="shared" si="1"/>
        <v>58.7</v>
      </c>
      <c r="D105" s="76">
        <v>0.47187288135593242</v>
      </c>
      <c r="E105" s="81">
        <v>8.3123728813559436E-2</v>
      </c>
      <c r="F105" s="81">
        <v>8.3123728813559436E-2</v>
      </c>
      <c r="G105" s="82">
        <v>8.8447457627118767E-2</v>
      </c>
    </row>
    <row r="106" spans="1:7" ht="12.75">
      <c r="A106" s="122" t="s">
        <v>37</v>
      </c>
      <c r="B106" s="121">
        <v>60.3</v>
      </c>
      <c r="C106" s="30">
        <f t="shared" si="1"/>
        <v>59</v>
      </c>
      <c r="D106" s="76">
        <v>0.48325870646766189</v>
      </c>
      <c r="E106" s="81">
        <v>8.9955223880597124E-2</v>
      </c>
      <c r="F106" s="81">
        <v>8.9955223880597124E-2</v>
      </c>
      <c r="G106" s="82">
        <v>9.5164179104477706E-2</v>
      </c>
    </row>
    <row r="107" spans="1:7" ht="12.75">
      <c r="A107" s="122" t="s">
        <v>38</v>
      </c>
      <c r="B107" s="121">
        <v>61.5</v>
      </c>
      <c r="C107" s="30">
        <f t="shared" si="1"/>
        <v>60.3</v>
      </c>
      <c r="D107" s="76">
        <v>0.49334146341463436</v>
      </c>
      <c r="E107" s="81">
        <v>9.6004878048780593E-2</v>
      </c>
      <c r="F107" s="81">
        <v>9.6004878048780593E-2</v>
      </c>
      <c r="G107" s="82">
        <v>0.10111219512195135</v>
      </c>
    </row>
    <row r="108" spans="1:7" ht="12.75">
      <c r="A108" s="122" t="s">
        <v>39</v>
      </c>
      <c r="B108" s="121">
        <v>63.1</v>
      </c>
      <c r="C108" s="30">
        <f t="shared" si="1"/>
        <v>61.5</v>
      </c>
      <c r="D108" s="76">
        <v>0.50618858954041224</v>
      </c>
      <c r="E108" s="81">
        <v>0.10371315372424733</v>
      </c>
      <c r="F108" s="81">
        <v>0.10371315372424733</v>
      </c>
      <c r="G108" s="82">
        <v>0.10869096671949301</v>
      </c>
    </row>
    <row r="109" spans="1:7" ht="12.75">
      <c r="A109" s="122" t="s">
        <v>40</v>
      </c>
      <c r="B109" s="121">
        <v>65.2</v>
      </c>
      <c r="C109" s="30">
        <f t="shared" si="1"/>
        <v>63.1</v>
      </c>
      <c r="D109" s="76">
        <v>0.52209355828220883</v>
      </c>
      <c r="E109" s="81">
        <v>0.11325613496932528</v>
      </c>
      <c r="F109" s="81">
        <v>0.11325613496932528</v>
      </c>
      <c r="G109" s="82">
        <v>0.11807361963190197</v>
      </c>
    </row>
    <row r="110" spans="1:7" ht="12.75">
      <c r="A110" s="122" t="s">
        <v>41</v>
      </c>
      <c r="B110" s="121">
        <v>66.8</v>
      </c>
      <c r="C110" s="30">
        <f t="shared" si="1"/>
        <v>65.2</v>
      </c>
      <c r="D110" s="76">
        <v>0.53354041916167683</v>
      </c>
      <c r="E110" s="81">
        <v>0.12012425149700608</v>
      </c>
      <c r="F110" s="81">
        <v>0.12012425149700608</v>
      </c>
      <c r="G110" s="82">
        <v>0.1248263473053893</v>
      </c>
    </row>
    <row r="111" spans="1:7" ht="12.75">
      <c r="A111" s="122" t="s">
        <v>42</v>
      </c>
      <c r="B111" s="121">
        <v>67.599999999999994</v>
      </c>
      <c r="C111" s="30">
        <f t="shared" si="1"/>
        <v>66.8</v>
      </c>
      <c r="D111" s="76">
        <v>0.53906065088757416</v>
      </c>
      <c r="E111" s="81">
        <v>0.12343639053254445</v>
      </c>
      <c r="F111" s="81">
        <v>0.12343639053254445</v>
      </c>
      <c r="G111" s="82">
        <v>0.12808284023668648</v>
      </c>
    </row>
    <row r="112" spans="1:7" ht="12.75">
      <c r="A112" s="122" t="s">
        <v>43</v>
      </c>
      <c r="B112" s="121">
        <v>69.599999999999994</v>
      </c>
      <c r="C112" s="30">
        <f t="shared" si="1"/>
        <v>67.599999999999994</v>
      </c>
      <c r="D112" s="76">
        <v>0.55230603448275872</v>
      </c>
      <c r="E112" s="81">
        <v>0.13138362068965526</v>
      </c>
      <c r="F112" s="81">
        <v>0.13138362068965526</v>
      </c>
      <c r="G112" s="82">
        <v>0.135896551724138</v>
      </c>
    </row>
    <row r="113" spans="1:7" ht="12.75">
      <c r="A113" s="122" t="s">
        <v>44</v>
      </c>
      <c r="B113" s="121">
        <v>71.3</v>
      </c>
      <c r="C113" s="30">
        <f t="shared" si="1"/>
        <v>69.599999999999994</v>
      </c>
      <c r="D113" s="76">
        <v>0.56298036465638168</v>
      </c>
      <c r="E113" s="81">
        <v>0.13778821879382899</v>
      </c>
      <c r="F113" s="81">
        <v>0.13778821879382899</v>
      </c>
      <c r="G113" s="82">
        <v>0.14219354838709686</v>
      </c>
    </row>
    <row r="114" spans="1:7" ht="12.75">
      <c r="A114" s="122" t="s">
        <v>45</v>
      </c>
      <c r="B114" s="121">
        <v>72.3</v>
      </c>
      <c r="C114" s="30">
        <f t="shared" si="1"/>
        <v>71.3</v>
      </c>
      <c r="D114" s="76">
        <v>0.5690248962655603</v>
      </c>
      <c r="E114" s="81">
        <v>0.14141493775933617</v>
      </c>
      <c r="F114" s="81">
        <v>0.14141493775933617</v>
      </c>
      <c r="G114" s="82">
        <v>0.14575933609958516</v>
      </c>
    </row>
    <row r="115" spans="1:7" ht="12.75">
      <c r="A115" s="122" t="s">
        <v>46</v>
      </c>
      <c r="B115" s="121">
        <v>73.2</v>
      </c>
      <c r="C115" s="30">
        <f t="shared" si="1"/>
        <v>72.3</v>
      </c>
      <c r="D115" s="76">
        <v>0.5743237704918035</v>
      </c>
      <c r="E115" s="81">
        <v>0.14459426229508207</v>
      </c>
      <c r="F115" s="81">
        <v>0.14459426229508207</v>
      </c>
      <c r="G115" s="82">
        <v>0.14888524590163943</v>
      </c>
    </row>
    <row r="116" spans="1:7" ht="12.75">
      <c r="A116" s="122" t="s">
        <v>47</v>
      </c>
      <c r="B116" s="121">
        <v>76.3</v>
      </c>
      <c r="C116" s="30">
        <f t="shared" si="1"/>
        <v>73.2</v>
      </c>
      <c r="D116" s="76">
        <v>0.59161861074705124</v>
      </c>
      <c r="E116" s="81">
        <v>0.15497116644823075</v>
      </c>
      <c r="F116" s="81">
        <v>0.15497116644823075</v>
      </c>
      <c r="G116" s="82">
        <v>0.15908781127129759</v>
      </c>
    </row>
    <row r="117" spans="1:7" ht="12.75">
      <c r="A117" s="122" t="s">
        <v>48</v>
      </c>
      <c r="B117" s="121">
        <v>83</v>
      </c>
      <c r="C117" s="30">
        <f t="shared" si="1"/>
        <v>76.3</v>
      </c>
      <c r="D117" s="76">
        <v>0.62458433734939778</v>
      </c>
      <c r="E117" s="81">
        <v>0.17475060240963863</v>
      </c>
      <c r="F117" s="81">
        <v>0.17475060240963863</v>
      </c>
      <c r="G117" s="82">
        <v>0.17853493975903623</v>
      </c>
    </row>
    <row r="118" spans="1:7" ht="12.75">
      <c r="A118" s="122" t="s">
        <v>49</v>
      </c>
      <c r="B118" s="121">
        <v>85.8</v>
      </c>
      <c r="C118" s="30">
        <f t="shared" si="1"/>
        <v>83</v>
      </c>
      <c r="D118" s="76">
        <v>0.63683566433566452</v>
      </c>
      <c r="E118" s="81">
        <v>0.18210139860139868</v>
      </c>
      <c r="F118" s="81">
        <v>0.18210139860139868</v>
      </c>
      <c r="G118" s="82">
        <v>0.18576223776223785</v>
      </c>
    </row>
    <row r="119" spans="1:7" ht="12.75">
      <c r="A119" s="122" t="s">
        <v>50</v>
      </c>
      <c r="B119" s="121">
        <v>89.2</v>
      </c>
      <c r="C119" s="30">
        <f t="shared" si="1"/>
        <v>85.8</v>
      </c>
      <c r="D119" s="76">
        <v>0.65067825112107636</v>
      </c>
      <c r="E119" s="81">
        <v>0.19040695067264582</v>
      </c>
      <c r="F119" s="81">
        <v>0.19040695067264582</v>
      </c>
      <c r="G119" s="82">
        <v>0.19392825112107631</v>
      </c>
    </row>
    <row r="120" spans="1:7" ht="12.75">
      <c r="A120" s="122" t="s">
        <v>51</v>
      </c>
      <c r="B120" s="121">
        <v>93.5</v>
      </c>
      <c r="C120" s="30">
        <f t="shared" si="1"/>
        <v>89.2</v>
      </c>
      <c r="D120" s="76">
        <v>0.66674331550802157</v>
      </c>
      <c r="E120" s="81">
        <v>0.2000459893048129</v>
      </c>
      <c r="F120" s="81">
        <v>0.2000459893048129</v>
      </c>
      <c r="G120" s="82">
        <v>0.203405347593583</v>
      </c>
    </row>
    <row r="121" spans="1:7" ht="12.75">
      <c r="A121" s="122" t="s">
        <v>52</v>
      </c>
      <c r="B121" s="121">
        <v>95.6</v>
      </c>
      <c r="C121" s="30">
        <f t="shared" si="1"/>
        <v>93.5</v>
      </c>
      <c r="D121" s="76">
        <v>0.67406380753138095</v>
      </c>
      <c r="E121" s="81">
        <v>0.20443828451882853</v>
      </c>
      <c r="F121" s="81">
        <v>0.20443828451882853</v>
      </c>
      <c r="G121" s="82">
        <v>0.20772384937238503</v>
      </c>
    </row>
    <row r="122" spans="1:7" ht="12.75">
      <c r="A122" s="122" t="s">
        <v>53</v>
      </c>
      <c r="B122" s="121">
        <v>110</v>
      </c>
      <c r="C122" s="30">
        <f>B121</f>
        <v>95.6</v>
      </c>
      <c r="D122" s="76">
        <v>0.71673181818181841</v>
      </c>
      <c r="E122" s="81">
        <v>0.230039090909091</v>
      </c>
      <c r="F122" s="81">
        <v>0.230039090909091</v>
      </c>
      <c r="G122" s="82">
        <v>0.23289454545454552</v>
      </c>
    </row>
    <row r="123" spans="1:7" ht="13.5" thickBot="1">
      <c r="A123" s="123" t="s">
        <v>53</v>
      </c>
      <c r="B123" s="124" t="s">
        <v>99</v>
      </c>
      <c r="C123" s="30">
        <f t="shared" si="1"/>
        <v>110</v>
      </c>
      <c r="D123" s="86"/>
      <c r="E123" s="87"/>
      <c r="F123" s="87"/>
      <c r="G123" s="88"/>
    </row>
    <row r="124" spans="1:7" ht="13.5" thickBot="1">
      <c r="A124" s="89"/>
      <c r="B124" s="125"/>
      <c r="C124" s="29"/>
      <c r="D124" s="126"/>
      <c r="E124" s="127">
        <v>6.9060760878044719E-2</v>
      </c>
      <c r="F124" s="127">
        <v>6.9060760878044719E-2</v>
      </c>
      <c r="G124" s="128">
        <v>7.1805318813686292E-2</v>
      </c>
    </row>
    <row r="125" spans="1:7" ht="51">
      <c r="A125" s="94" t="s">
        <v>55</v>
      </c>
      <c r="B125" s="129">
        <v>34.200000000000003</v>
      </c>
      <c r="C125" s="29"/>
      <c r="D125" s="96"/>
      <c r="E125" s="97">
        <v>51.932499999999983</v>
      </c>
      <c r="F125" s="98">
        <v>51.932499999999983</v>
      </c>
      <c r="G125" s="99">
        <v>51.059999999999981</v>
      </c>
    </row>
    <row r="126" spans="1:7" ht="52.5" customHeight="1">
      <c r="A126" s="100" t="s">
        <v>56</v>
      </c>
      <c r="B126" s="130">
        <v>53.5</v>
      </c>
      <c r="C126" s="29"/>
      <c r="D126" s="102"/>
      <c r="E126" s="103"/>
      <c r="F126" s="103"/>
      <c r="G126" s="104"/>
    </row>
    <row r="127" spans="1:7" ht="78" customHeight="1" thickBot="1">
      <c r="A127" s="105" t="s">
        <v>57</v>
      </c>
      <c r="B127" s="131">
        <v>20.5</v>
      </c>
      <c r="C127" s="29"/>
      <c r="D127" s="87"/>
      <c r="E127" s="86">
        <v>31.159499999999987</v>
      </c>
      <c r="F127" s="86">
        <v>31.159499999999987</v>
      </c>
      <c r="G127" s="107">
        <v>30.635999999999989</v>
      </c>
    </row>
    <row r="128" spans="1:7" ht="15.75" thickBot="1"/>
    <row r="129" spans="1:7" ht="51.75" thickBot="1">
      <c r="A129" s="108" t="s">
        <v>56</v>
      </c>
      <c r="B129" s="109">
        <f>B126</f>
        <v>53.5</v>
      </c>
    </row>
    <row r="130" spans="1:7">
      <c r="A130" s="110" t="s">
        <v>64</v>
      </c>
      <c r="B130" s="111">
        <f>AVERAGE(B78:B117)</f>
        <v>51.932499999999983</v>
      </c>
      <c r="C130" s="17"/>
    </row>
    <row r="131" spans="1:7">
      <c r="A131" s="112" t="s">
        <v>65</v>
      </c>
      <c r="B131" s="113">
        <f>AVERAGE(B83:B112)</f>
        <v>51.059999999999981</v>
      </c>
      <c r="C131" s="18"/>
    </row>
    <row r="132" spans="1:7" ht="15.75" thickBot="1">
      <c r="A132" s="114" t="s">
        <v>66</v>
      </c>
      <c r="B132" s="115">
        <f>AVERAGE(B89:B107)</f>
        <v>50.921052631578945</v>
      </c>
      <c r="C132" s="18"/>
    </row>
    <row r="133" spans="1:7" ht="15.75" thickBot="1"/>
    <row r="134" spans="1:7" ht="13.5" thickBot="1">
      <c r="A134" s="535" t="s">
        <v>0</v>
      </c>
      <c r="B134" s="538" t="s">
        <v>78</v>
      </c>
      <c r="C134" s="539"/>
      <c r="D134" s="540"/>
      <c r="E134" s="62"/>
      <c r="F134" s="63"/>
      <c r="G134" s="64"/>
    </row>
    <row r="135" spans="1:7" ht="77.25" thickBot="1">
      <c r="A135" s="536"/>
      <c r="B135" s="65" t="s">
        <v>4</v>
      </c>
      <c r="C135" s="254"/>
      <c r="D135" s="65" t="s">
        <v>80</v>
      </c>
      <c r="E135" s="65"/>
      <c r="F135" s="65"/>
      <c r="G135" s="65"/>
    </row>
    <row r="136" spans="1:7" ht="26.25" thickBot="1">
      <c r="A136" s="537"/>
      <c r="B136" s="66" t="s">
        <v>9</v>
      </c>
      <c r="C136" s="254"/>
      <c r="D136" s="66" t="s">
        <v>7</v>
      </c>
      <c r="E136" s="67"/>
      <c r="F136" s="68"/>
      <c r="G136" s="68"/>
    </row>
    <row r="137" spans="1:7" ht="13.5" thickBot="1">
      <c r="A137" s="69">
        <v>1</v>
      </c>
      <c r="B137" s="70">
        <v>2</v>
      </c>
      <c r="C137" s="51"/>
      <c r="D137" s="71">
        <v>3</v>
      </c>
      <c r="E137" s="72"/>
      <c r="F137" s="73"/>
      <c r="G137" s="72"/>
    </row>
    <row r="138" spans="1:7" ht="12.75">
      <c r="A138" s="74" t="s">
        <v>10</v>
      </c>
      <c r="B138" s="132"/>
      <c r="C138" s="255">
        <v>0</v>
      </c>
      <c r="D138" s="76">
        <f>IF(B138=0,0,IF(B138&lt;=E$192,0,B138-E$192)/B138)</f>
        <v>0</v>
      </c>
      <c r="E138" s="77"/>
      <c r="F138" s="77"/>
      <c r="G138" s="78"/>
    </row>
    <row r="139" spans="1:7" ht="12.75">
      <c r="A139" s="79" t="s">
        <v>58</v>
      </c>
      <c r="B139" s="133"/>
      <c r="C139" s="30">
        <f>B138</f>
        <v>0</v>
      </c>
      <c r="D139" s="76">
        <f t="shared" ref="D139:D187" si="2">IF(B139=0,0,IF(B139&lt;=E$192,0,B139-E$192)/B139)</f>
        <v>0</v>
      </c>
      <c r="E139" s="81"/>
      <c r="F139" s="81"/>
      <c r="G139" s="82"/>
    </row>
    <row r="140" spans="1:7" ht="12.75">
      <c r="A140" s="79" t="s">
        <v>59</v>
      </c>
      <c r="B140" s="133"/>
      <c r="C140" s="30">
        <f t="shared" ref="C140:C188" si="3">B139</f>
        <v>0</v>
      </c>
      <c r="D140" s="76">
        <f t="shared" si="2"/>
        <v>0</v>
      </c>
      <c r="E140" s="81"/>
      <c r="F140" s="81"/>
      <c r="G140" s="82"/>
    </row>
    <row r="141" spans="1:7" ht="12.75">
      <c r="A141" s="79" t="s">
        <v>60</v>
      </c>
      <c r="B141" s="133"/>
      <c r="C141" s="30">
        <f t="shared" si="3"/>
        <v>0</v>
      </c>
      <c r="D141" s="76">
        <f t="shared" si="2"/>
        <v>0</v>
      </c>
      <c r="E141" s="81"/>
      <c r="F141" s="81"/>
      <c r="G141" s="82"/>
    </row>
    <row r="142" spans="1:7" ht="12.75">
      <c r="A142" s="79" t="s">
        <v>61</v>
      </c>
      <c r="B142" s="133"/>
      <c r="C142" s="30">
        <f t="shared" si="3"/>
        <v>0</v>
      </c>
      <c r="D142" s="76">
        <f t="shared" si="2"/>
        <v>0</v>
      </c>
      <c r="E142" s="81"/>
      <c r="F142" s="81"/>
      <c r="G142" s="82"/>
    </row>
    <row r="143" spans="1:7" ht="12.75">
      <c r="A143" s="79" t="s">
        <v>62</v>
      </c>
      <c r="B143" s="133"/>
      <c r="C143" s="30">
        <f t="shared" si="3"/>
        <v>0</v>
      </c>
      <c r="D143" s="76">
        <f t="shared" si="2"/>
        <v>0</v>
      </c>
      <c r="E143" s="81"/>
      <c r="F143" s="81"/>
      <c r="G143" s="82"/>
    </row>
    <row r="144" spans="1:7" ht="12.75">
      <c r="A144" s="79" t="s">
        <v>63</v>
      </c>
      <c r="B144" s="133"/>
      <c r="C144" s="30">
        <f t="shared" si="3"/>
        <v>0</v>
      </c>
      <c r="D144" s="76">
        <f t="shared" si="2"/>
        <v>0</v>
      </c>
      <c r="E144" s="81"/>
      <c r="F144" s="81"/>
      <c r="G144" s="82"/>
    </row>
    <row r="145" spans="1:7" ht="12.75">
      <c r="A145" s="83" t="s">
        <v>11</v>
      </c>
      <c r="B145" s="133"/>
      <c r="C145" s="30">
        <f t="shared" si="3"/>
        <v>0</v>
      </c>
      <c r="D145" s="76">
        <f t="shared" si="2"/>
        <v>0</v>
      </c>
      <c r="E145" s="81"/>
      <c r="F145" s="81"/>
      <c r="G145" s="82"/>
    </row>
    <row r="146" spans="1:7" ht="12.75">
      <c r="A146" s="83" t="s">
        <v>12</v>
      </c>
      <c r="B146" s="133"/>
      <c r="C146" s="30">
        <f t="shared" si="3"/>
        <v>0</v>
      </c>
      <c r="D146" s="76">
        <f t="shared" si="2"/>
        <v>0</v>
      </c>
      <c r="E146" s="81"/>
      <c r="F146" s="81"/>
      <c r="G146" s="82"/>
    </row>
    <row r="147" spans="1:7" ht="12.75">
      <c r="A147" s="83" t="s">
        <v>13</v>
      </c>
      <c r="B147" s="133"/>
      <c r="C147" s="30">
        <f t="shared" si="3"/>
        <v>0</v>
      </c>
      <c r="D147" s="76">
        <f t="shared" si="2"/>
        <v>0</v>
      </c>
      <c r="E147" s="81"/>
      <c r="F147" s="81"/>
      <c r="G147" s="82"/>
    </row>
    <row r="148" spans="1:7" ht="12.75">
      <c r="A148" s="83" t="s">
        <v>14</v>
      </c>
      <c r="B148" s="133"/>
      <c r="C148" s="30">
        <f t="shared" si="3"/>
        <v>0</v>
      </c>
      <c r="D148" s="76">
        <f t="shared" si="2"/>
        <v>0</v>
      </c>
      <c r="E148" s="81"/>
      <c r="F148" s="81"/>
      <c r="G148" s="82"/>
    </row>
    <row r="149" spans="1:7" ht="12.75">
      <c r="A149" s="83" t="s">
        <v>15</v>
      </c>
      <c r="B149" s="133"/>
      <c r="C149" s="30">
        <f t="shared" si="3"/>
        <v>0</v>
      </c>
      <c r="D149" s="76">
        <f t="shared" si="2"/>
        <v>0</v>
      </c>
      <c r="E149" s="81"/>
      <c r="F149" s="81"/>
      <c r="G149" s="82"/>
    </row>
    <row r="150" spans="1:7" ht="12.75">
      <c r="A150" s="83" t="s">
        <v>16</v>
      </c>
      <c r="B150" s="133"/>
      <c r="C150" s="30">
        <f t="shared" si="3"/>
        <v>0</v>
      </c>
      <c r="D150" s="76">
        <f t="shared" si="2"/>
        <v>0</v>
      </c>
      <c r="E150" s="81"/>
      <c r="F150" s="81"/>
      <c r="G150" s="82"/>
    </row>
    <row r="151" spans="1:7" ht="12.75">
      <c r="A151" s="83" t="s">
        <v>17</v>
      </c>
      <c r="B151" s="133"/>
      <c r="C151" s="30">
        <f t="shared" si="3"/>
        <v>0</v>
      </c>
      <c r="D151" s="76">
        <f t="shared" si="2"/>
        <v>0</v>
      </c>
      <c r="E151" s="81"/>
      <c r="F151" s="81"/>
      <c r="G151" s="82"/>
    </row>
    <row r="152" spans="1:7" ht="12.75">
      <c r="A152" s="83" t="s">
        <v>18</v>
      </c>
      <c r="B152" s="133"/>
      <c r="C152" s="30">
        <f t="shared" si="3"/>
        <v>0</v>
      </c>
      <c r="D152" s="76">
        <f t="shared" si="2"/>
        <v>0</v>
      </c>
      <c r="E152" s="81"/>
      <c r="F152" s="81"/>
      <c r="G152" s="82"/>
    </row>
    <row r="153" spans="1:7" ht="12.75">
      <c r="A153" s="83" t="s">
        <v>19</v>
      </c>
      <c r="B153" s="133"/>
      <c r="C153" s="30">
        <f t="shared" si="3"/>
        <v>0</v>
      </c>
      <c r="D153" s="76">
        <f t="shared" si="2"/>
        <v>0</v>
      </c>
      <c r="E153" s="81"/>
      <c r="F153" s="81"/>
      <c r="G153" s="82"/>
    </row>
    <row r="154" spans="1:7" ht="12.75">
      <c r="A154" s="83" t="s">
        <v>20</v>
      </c>
      <c r="B154" s="133"/>
      <c r="C154" s="30">
        <f t="shared" si="3"/>
        <v>0</v>
      </c>
      <c r="D154" s="76">
        <f t="shared" si="2"/>
        <v>0</v>
      </c>
      <c r="E154" s="81"/>
      <c r="F154" s="81"/>
      <c r="G154" s="82"/>
    </row>
    <row r="155" spans="1:7" ht="12.75">
      <c r="A155" s="83" t="s">
        <v>21</v>
      </c>
      <c r="B155" s="133"/>
      <c r="C155" s="30">
        <f t="shared" si="3"/>
        <v>0</v>
      </c>
      <c r="D155" s="76">
        <f t="shared" si="2"/>
        <v>0</v>
      </c>
      <c r="E155" s="81"/>
      <c r="F155" s="81"/>
      <c r="G155" s="82"/>
    </row>
    <row r="156" spans="1:7" ht="12.75">
      <c r="A156" s="83" t="s">
        <v>22</v>
      </c>
      <c r="B156" s="133"/>
      <c r="C156" s="30">
        <f t="shared" si="3"/>
        <v>0</v>
      </c>
      <c r="D156" s="76">
        <f t="shared" si="2"/>
        <v>0</v>
      </c>
      <c r="E156" s="81"/>
      <c r="F156" s="81"/>
      <c r="G156" s="82"/>
    </row>
    <row r="157" spans="1:7" ht="12.75">
      <c r="A157" s="83" t="s">
        <v>23</v>
      </c>
      <c r="B157" s="133"/>
      <c r="C157" s="30">
        <f t="shared" si="3"/>
        <v>0</v>
      </c>
      <c r="D157" s="76">
        <f t="shared" si="2"/>
        <v>0</v>
      </c>
      <c r="E157" s="81"/>
      <c r="F157" s="81"/>
      <c r="G157" s="82"/>
    </row>
    <row r="158" spans="1:7" ht="12.75">
      <c r="A158" s="83" t="s">
        <v>24</v>
      </c>
      <c r="B158" s="133"/>
      <c r="C158" s="30">
        <f t="shared" si="3"/>
        <v>0</v>
      </c>
      <c r="D158" s="76">
        <f t="shared" si="2"/>
        <v>0</v>
      </c>
      <c r="E158" s="81"/>
      <c r="F158" s="81"/>
      <c r="G158" s="82"/>
    </row>
    <row r="159" spans="1:7" ht="12.75">
      <c r="A159" s="83" t="s">
        <v>25</v>
      </c>
      <c r="B159" s="133"/>
      <c r="C159" s="30">
        <f t="shared" si="3"/>
        <v>0</v>
      </c>
      <c r="D159" s="76">
        <f t="shared" si="2"/>
        <v>0</v>
      </c>
      <c r="E159" s="81"/>
      <c r="F159" s="81"/>
      <c r="G159" s="82"/>
    </row>
    <row r="160" spans="1:7" ht="12.75">
      <c r="A160" s="83" t="s">
        <v>26</v>
      </c>
      <c r="B160" s="133"/>
      <c r="C160" s="30">
        <f t="shared" si="3"/>
        <v>0</v>
      </c>
      <c r="D160" s="76">
        <f t="shared" si="2"/>
        <v>0</v>
      </c>
      <c r="E160" s="81"/>
      <c r="F160" s="81"/>
      <c r="G160" s="82"/>
    </row>
    <row r="161" spans="1:7" ht="12.75">
      <c r="A161" s="83" t="s">
        <v>27</v>
      </c>
      <c r="B161" s="133"/>
      <c r="C161" s="30">
        <f t="shared" si="3"/>
        <v>0</v>
      </c>
      <c r="D161" s="76">
        <f t="shared" si="2"/>
        <v>0</v>
      </c>
      <c r="E161" s="81"/>
      <c r="F161" s="81"/>
      <c r="G161" s="82"/>
    </row>
    <row r="162" spans="1:7" ht="12.75">
      <c r="A162" s="83" t="s">
        <v>28</v>
      </c>
      <c r="B162" s="133"/>
      <c r="C162" s="30">
        <f t="shared" si="3"/>
        <v>0</v>
      </c>
      <c r="D162" s="76">
        <f t="shared" si="2"/>
        <v>0</v>
      </c>
      <c r="E162" s="81"/>
      <c r="F162" s="81"/>
      <c r="G162" s="82"/>
    </row>
    <row r="163" spans="1:7" ht="12.75">
      <c r="A163" s="83" t="s">
        <v>29</v>
      </c>
      <c r="B163" s="133"/>
      <c r="C163" s="30">
        <f t="shared" si="3"/>
        <v>0</v>
      </c>
      <c r="D163" s="76">
        <f t="shared" si="2"/>
        <v>0</v>
      </c>
      <c r="E163" s="81"/>
      <c r="F163" s="81"/>
      <c r="G163" s="82"/>
    </row>
    <row r="164" spans="1:7" ht="12.75">
      <c r="A164" s="83" t="s">
        <v>30</v>
      </c>
      <c r="B164" s="133"/>
      <c r="C164" s="30">
        <f t="shared" si="3"/>
        <v>0</v>
      </c>
      <c r="D164" s="76">
        <f t="shared" si="2"/>
        <v>0</v>
      </c>
      <c r="E164" s="81"/>
      <c r="F164" s="81"/>
      <c r="G164" s="82"/>
    </row>
    <row r="165" spans="1:7" ht="12.75">
      <c r="A165" s="83" t="s">
        <v>31</v>
      </c>
      <c r="B165" s="133"/>
      <c r="C165" s="30">
        <f t="shared" si="3"/>
        <v>0</v>
      </c>
      <c r="D165" s="76">
        <f t="shared" si="2"/>
        <v>0</v>
      </c>
      <c r="E165" s="81"/>
      <c r="F165" s="81"/>
      <c r="G165" s="82"/>
    </row>
    <row r="166" spans="1:7" ht="12.75">
      <c r="A166" s="83" t="s">
        <v>32</v>
      </c>
      <c r="B166" s="133"/>
      <c r="C166" s="30">
        <f t="shared" si="3"/>
        <v>0</v>
      </c>
      <c r="D166" s="76">
        <f t="shared" si="2"/>
        <v>0</v>
      </c>
      <c r="E166" s="81"/>
      <c r="F166" s="81"/>
      <c r="G166" s="82"/>
    </row>
    <row r="167" spans="1:7" ht="12.75">
      <c r="A167" s="83" t="s">
        <v>33</v>
      </c>
      <c r="B167" s="133"/>
      <c r="C167" s="30">
        <f t="shared" si="3"/>
        <v>0</v>
      </c>
      <c r="D167" s="76">
        <f t="shared" si="2"/>
        <v>0</v>
      </c>
      <c r="E167" s="81"/>
      <c r="F167" s="81"/>
      <c r="G167" s="82"/>
    </row>
    <row r="168" spans="1:7" ht="12.75">
      <c r="A168" s="83" t="s">
        <v>34</v>
      </c>
      <c r="B168" s="133"/>
      <c r="C168" s="30">
        <f t="shared" si="3"/>
        <v>0</v>
      </c>
      <c r="D168" s="76">
        <f t="shared" si="2"/>
        <v>0</v>
      </c>
      <c r="E168" s="81"/>
      <c r="F168" s="81"/>
      <c r="G168" s="82"/>
    </row>
    <row r="169" spans="1:7" ht="12.75">
      <c r="A169" s="83" t="s">
        <v>35</v>
      </c>
      <c r="B169" s="133"/>
      <c r="C169" s="30">
        <f t="shared" si="3"/>
        <v>0</v>
      </c>
      <c r="D169" s="76">
        <f t="shared" si="2"/>
        <v>0</v>
      </c>
      <c r="E169" s="81"/>
      <c r="F169" s="81"/>
      <c r="G169" s="82"/>
    </row>
    <row r="170" spans="1:7" ht="12.75">
      <c r="A170" s="83" t="s">
        <v>36</v>
      </c>
      <c r="B170" s="133"/>
      <c r="C170" s="30">
        <f t="shared" si="3"/>
        <v>0</v>
      </c>
      <c r="D170" s="76">
        <f t="shared" si="2"/>
        <v>0</v>
      </c>
      <c r="E170" s="81"/>
      <c r="F170" s="81"/>
      <c r="G170" s="82"/>
    </row>
    <row r="171" spans="1:7" ht="12.75">
      <c r="A171" s="83" t="s">
        <v>37</v>
      </c>
      <c r="B171" s="133"/>
      <c r="C171" s="30">
        <f t="shared" si="3"/>
        <v>0</v>
      </c>
      <c r="D171" s="76">
        <f t="shared" si="2"/>
        <v>0</v>
      </c>
      <c r="E171" s="81"/>
      <c r="F171" s="81"/>
      <c r="G171" s="82"/>
    </row>
    <row r="172" spans="1:7" ht="12.75">
      <c r="A172" s="83" t="s">
        <v>38</v>
      </c>
      <c r="B172" s="133"/>
      <c r="C172" s="30">
        <f t="shared" si="3"/>
        <v>0</v>
      </c>
      <c r="D172" s="76">
        <f t="shared" si="2"/>
        <v>0</v>
      </c>
      <c r="E172" s="81"/>
      <c r="F172" s="81"/>
      <c r="G172" s="82"/>
    </row>
    <row r="173" spans="1:7" ht="12.75">
      <c r="A173" s="83" t="s">
        <v>39</v>
      </c>
      <c r="B173" s="133"/>
      <c r="C173" s="30">
        <f t="shared" si="3"/>
        <v>0</v>
      </c>
      <c r="D173" s="76">
        <f t="shared" si="2"/>
        <v>0</v>
      </c>
      <c r="E173" s="81"/>
      <c r="F173" s="81"/>
      <c r="G173" s="82"/>
    </row>
    <row r="174" spans="1:7" ht="12.75">
      <c r="A174" s="83" t="s">
        <v>40</v>
      </c>
      <c r="B174" s="133"/>
      <c r="C174" s="30">
        <f t="shared" si="3"/>
        <v>0</v>
      </c>
      <c r="D174" s="76">
        <f t="shared" si="2"/>
        <v>0</v>
      </c>
      <c r="E174" s="81"/>
      <c r="F174" s="81"/>
      <c r="G174" s="82"/>
    </row>
    <row r="175" spans="1:7" ht="12.75">
      <c r="A175" s="83" t="s">
        <v>41</v>
      </c>
      <c r="B175" s="133"/>
      <c r="C175" s="30">
        <f t="shared" si="3"/>
        <v>0</v>
      </c>
      <c r="D175" s="76">
        <f t="shared" si="2"/>
        <v>0</v>
      </c>
      <c r="E175" s="81"/>
      <c r="F175" s="81"/>
      <c r="G175" s="82"/>
    </row>
    <row r="176" spans="1:7" ht="12.75">
      <c r="A176" s="83" t="s">
        <v>42</v>
      </c>
      <c r="B176" s="133"/>
      <c r="C176" s="30">
        <f t="shared" si="3"/>
        <v>0</v>
      </c>
      <c r="D176" s="76">
        <f t="shared" si="2"/>
        <v>0</v>
      </c>
      <c r="E176" s="81"/>
      <c r="F176" s="81"/>
      <c r="G176" s="82"/>
    </row>
    <row r="177" spans="1:7" ht="12.75">
      <c r="A177" s="83" t="s">
        <v>43</v>
      </c>
      <c r="B177" s="133"/>
      <c r="C177" s="30">
        <f t="shared" si="3"/>
        <v>0</v>
      </c>
      <c r="D177" s="76">
        <f t="shared" si="2"/>
        <v>0</v>
      </c>
      <c r="E177" s="81"/>
      <c r="F177" s="81"/>
      <c r="G177" s="82"/>
    </row>
    <row r="178" spans="1:7" ht="12.75">
      <c r="A178" s="83" t="s">
        <v>44</v>
      </c>
      <c r="B178" s="133"/>
      <c r="C178" s="30">
        <f t="shared" si="3"/>
        <v>0</v>
      </c>
      <c r="D178" s="76">
        <f t="shared" si="2"/>
        <v>0</v>
      </c>
      <c r="E178" s="81"/>
      <c r="F178" s="81"/>
      <c r="G178" s="82"/>
    </row>
    <row r="179" spans="1:7" ht="12.75">
      <c r="A179" s="83" t="s">
        <v>45</v>
      </c>
      <c r="B179" s="133"/>
      <c r="C179" s="30">
        <f t="shared" si="3"/>
        <v>0</v>
      </c>
      <c r="D179" s="76">
        <f t="shared" si="2"/>
        <v>0</v>
      </c>
      <c r="E179" s="81"/>
      <c r="F179" s="81"/>
      <c r="G179" s="82"/>
    </row>
    <row r="180" spans="1:7" ht="12.75">
      <c r="A180" s="83" t="s">
        <v>46</v>
      </c>
      <c r="B180" s="133"/>
      <c r="C180" s="30">
        <f t="shared" si="3"/>
        <v>0</v>
      </c>
      <c r="D180" s="76">
        <f t="shared" si="2"/>
        <v>0</v>
      </c>
      <c r="E180" s="81"/>
      <c r="F180" s="81"/>
      <c r="G180" s="82"/>
    </row>
    <row r="181" spans="1:7" ht="12.75">
      <c r="A181" s="83" t="s">
        <v>47</v>
      </c>
      <c r="B181" s="133"/>
      <c r="C181" s="30">
        <f t="shared" si="3"/>
        <v>0</v>
      </c>
      <c r="D181" s="76">
        <f t="shared" si="2"/>
        <v>0</v>
      </c>
      <c r="E181" s="81"/>
      <c r="F181" s="81"/>
      <c r="G181" s="82"/>
    </row>
    <row r="182" spans="1:7" ht="12.75">
      <c r="A182" s="83" t="s">
        <v>48</v>
      </c>
      <c r="B182" s="133"/>
      <c r="C182" s="30">
        <f t="shared" si="3"/>
        <v>0</v>
      </c>
      <c r="D182" s="76">
        <f t="shared" si="2"/>
        <v>0</v>
      </c>
      <c r="E182" s="81"/>
      <c r="F182" s="81"/>
      <c r="G182" s="82"/>
    </row>
    <row r="183" spans="1:7" ht="12.75">
      <c r="A183" s="83" t="s">
        <v>49</v>
      </c>
      <c r="B183" s="133"/>
      <c r="C183" s="30">
        <f t="shared" si="3"/>
        <v>0</v>
      </c>
      <c r="D183" s="76">
        <f t="shared" si="2"/>
        <v>0</v>
      </c>
      <c r="E183" s="81"/>
      <c r="F183" s="81"/>
      <c r="G183" s="82"/>
    </row>
    <row r="184" spans="1:7" ht="12.75">
      <c r="A184" s="83" t="s">
        <v>50</v>
      </c>
      <c r="B184" s="133"/>
      <c r="C184" s="30">
        <f t="shared" si="3"/>
        <v>0</v>
      </c>
      <c r="D184" s="76">
        <f t="shared" si="2"/>
        <v>0</v>
      </c>
      <c r="E184" s="81"/>
      <c r="F184" s="81"/>
      <c r="G184" s="82"/>
    </row>
    <row r="185" spans="1:7" ht="12.75">
      <c r="A185" s="83" t="s">
        <v>51</v>
      </c>
      <c r="B185" s="133"/>
      <c r="C185" s="30">
        <f t="shared" si="3"/>
        <v>0</v>
      </c>
      <c r="D185" s="76">
        <f t="shared" si="2"/>
        <v>0</v>
      </c>
      <c r="E185" s="81"/>
      <c r="F185" s="81"/>
      <c r="G185" s="82"/>
    </row>
    <row r="186" spans="1:7" ht="12.75">
      <c r="A186" s="83" t="s">
        <v>52</v>
      </c>
      <c r="B186" s="133"/>
      <c r="C186" s="30">
        <f t="shared" si="3"/>
        <v>0</v>
      </c>
      <c r="D186" s="76">
        <f t="shared" si="2"/>
        <v>0</v>
      </c>
      <c r="E186" s="81"/>
      <c r="F186" s="81"/>
      <c r="G186" s="82"/>
    </row>
    <row r="187" spans="1:7" ht="12.75">
      <c r="A187" s="83" t="s">
        <v>53</v>
      </c>
      <c r="B187" s="133"/>
      <c r="C187" s="30">
        <f>B186</f>
        <v>0</v>
      </c>
      <c r="D187" s="76">
        <f t="shared" si="2"/>
        <v>0</v>
      </c>
      <c r="E187" s="81"/>
      <c r="F187" s="81"/>
      <c r="G187" s="82"/>
    </row>
    <row r="188" spans="1:7" ht="13.5" thickBot="1">
      <c r="A188" s="84" t="s">
        <v>53</v>
      </c>
      <c r="B188" s="134"/>
      <c r="C188" s="30">
        <f t="shared" si="3"/>
        <v>0</v>
      </c>
      <c r="D188" s="87"/>
      <c r="E188" s="87"/>
      <c r="F188" s="87"/>
      <c r="G188" s="88"/>
    </row>
    <row r="189" spans="1:7" ht="13.5" thickBot="1">
      <c r="A189" s="89"/>
      <c r="B189" s="90"/>
      <c r="C189" s="4"/>
      <c r="D189" s="91"/>
      <c r="E189" s="92"/>
      <c r="F189" s="92"/>
      <c r="G189" s="93"/>
    </row>
    <row r="190" spans="1:7" ht="51.75" thickBot="1">
      <c r="A190" s="94" t="s">
        <v>55</v>
      </c>
      <c r="B190" s="129"/>
      <c r="C190" s="4"/>
      <c r="D190" s="96"/>
      <c r="E190" s="135"/>
      <c r="F190" s="136"/>
      <c r="G190" s="137"/>
    </row>
    <row r="191" spans="1:7" ht="51.75" thickBot="1">
      <c r="A191" s="100" t="s">
        <v>56</v>
      </c>
      <c r="B191" s="130"/>
      <c r="C191" s="4"/>
      <c r="D191" s="102"/>
      <c r="E191" s="138"/>
      <c r="F191" s="138"/>
      <c r="G191" s="139"/>
    </row>
    <row r="192" spans="1:7" ht="77.25" thickBot="1">
      <c r="A192" s="105" t="s">
        <v>57</v>
      </c>
      <c r="B192" s="131"/>
      <c r="C192" s="4"/>
      <c r="D192" s="87"/>
      <c r="E192" s="140">
        <f>0.6*E190</f>
        <v>0</v>
      </c>
      <c r="F192" s="140">
        <f>0.6*F190</f>
        <v>0</v>
      </c>
      <c r="G192" s="141"/>
    </row>
    <row r="193" spans="1:7" ht="15.75" thickBot="1"/>
    <row r="194" spans="1:7" ht="51.75" thickBot="1">
      <c r="A194" s="108" t="s">
        <v>56</v>
      </c>
      <c r="B194" s="109">
        <f>B191</f>
        <v>0</v>
      </c>
    </row>
    <row r="195" spans="1:7">
      <c r="A195" s="110" t="s">
        <v>64</v>
      </c>
      <c r="B195" s="142" t="e">
        <f>AVERAGE(B143:B182)</f>
        <v>#DIV/0!</v>
      </c>
      <c r="C195" s="17"/>
    </row>
    <row r="196" spans="1:7">
      <c r="A196" s="112" t="s">
        <v>65</v>
      </c>
      <c r="B196" s="143" t="e">
        <f>AVERAGE(B148:B177)</f>
        <v>#DIV/0!</v>
      </c>
      <c r="C196" s="18"/>
    </row>
    <row r="197" spans="1:7" ht="15.75" thickBot="1">
      <c r="A197" s="114" t="s">
        <v>66</v>
      </c>
      <c r="B197" s="144" t="e">
        <f>AVERAGE(B154:B172)</f>
        <v>#DIV/0!</v>
      </c>
      <c r="C197" s="18"/>
    </row>
    <row r="199" spans="1:7" ht="15.75" thickBot="1"/>
    <row r="200" spans="1:7" ht="15" customHeight="1" thickBot="1">
      <c r="A200" s="535" t="s">
        <v>0</v>
      </c>
      <c r="B200" s="538" t="s">
        <v>3</v>
      </c>
      <c r="C200" s="539"/>
      <c r="D200" s="540"/>
      <c r="E200" s="62">
        <f>(1-E255)^(1/3)-1</f>
        <v>-2.8727468994169336E-2</v>
      </c>
      <c r="F200" s="63">
        <f>(1-F255)^(1/3)-1</f>
        <v>-2.8727468994169336E-2</v>
      </c>
      <c r="G200" s="64"/>
    </row>
    <row r="201" spans="1:7" ht="77.25" thickBot="1">
      <c r="A201" s="536"/>
      <c r="B201" s="65" t="s">
        <v>4</v>
      </c>
      <c r="C201" s="11"/>
      <c r="D201" s="65" t="s">
        <v>80</v>
      </c>
      <c r="E201" s="65" t="s">
        <v>5</v>
      </c>
      <c r="F201" s="65" t="s">
        <v>5</v>
      </c>
      <c r="G201" s="65"/>
    </row>
    <row r="202" spans="1:7" ht="26.25" thickBot="1">
      <c r="A202" s="537"/>
      <c r="B202" s="66" t="s">
        <v>9</v>
      </c>
      <c r="C202" s="11"/>
      <c r="D202" s="66" t="s">
        <v>7</v>
      </c>
      <c r="E202" s="67" t="s">
        <v>82</v>
      </c>
      <c r="F202" s="68" t="s">
        <v>83</v>
      </c>
      <c r="G202" s="68"/>
    </row>
    <row r="203" spans="1:7" ht="13.5" thickBot="1">
      <c r="A203" s="69">
        <v>1</v>
      </c>
      <c r="B203" s="116">
        <v>2</v>
      </c>
      <c r="C203" s="51"/>
      <c r="D203" s="117">
        <v>3</v>
      </c>
      <c r="E203" s="71">
        <v>4</v>
      </c>
      <c r="F203" s="117">
        <v>5</v>
      </c>
      <c r="G203" s="71"/>
    </row>
    <row r="204" spans="1:7" ht="12.75">
      <c r="A204" s="118" t="s">
        <v>10</v>
      </c>
      <c r="B204" s="119">
        <v>2.6</v>
      </c>
      <c r="C204" s="163">
        <v>0</v>
      </c>
      <c r="D204" s="76">
        <v>0</v>
      </c>
      <c r="E204" s="77">
        <v>0</v>
      </c>
      <c r="F204" s="77">
        <v>0</v>
      </c>
      <c r="G204" s="78">
        <v>0</v>
      </c>
    </row>
    <row r="205" spans="1:7" ht="12.75">
      <c r="A205" s="120" t="s">
        <v>58</v>
      </c>
      <c r="B205" s="121">
        <v>2.8</v>
      </c>
      <c r="C205" s="30">
        <f>B204</f>
        <v>2.6</v>
      </c>
      <c r="D205" s="76">
        <v>0</v>
      </c>
      <c r="E205" s="81">
        <v>0</v>
      </c>
      <c r="F205" s="81">
        <v>0</v>
      </c>
      <c r="G205" s="82">
        <v>0</v>
      </c>
    </row>
    <row r="206" spans="1:7" ht="12.75">
      <c r="A206" s="120" t="s">
        <v>59</v>
      </c>
      <c r="B206" s="121">
        <v>3</v>
      </c>
      <c r="C206" s="30">
        <f t="shared" ref="C206:C254" si="4">B205</f>
        <v>2.8</v>
      </c>
      <c r="D206" s="76">
        <v>0</v>
      </c>
      <c r="E206" s="81">
        <v>0</v>
      </c>
      <c r="F206" s="81">
        <v>0</v>
      </c>
      <c r="G206" s="82">
        <v>0</v>
      </c>
    </row>
    <row r="207" spans="1:7" ht="12.75">
      <c r="A207" s="120" t="s">
        <v>60</v>
      </c>
      <c r="B207" s="121">
        <v>3.2</v>
      </c>
      <c r="C207" s="30">
        <f t="shared" si="4"/>
        <v>3</v>
      </c>
      <c r="D207" s="76">
        <v>0</v>
      </c>
      <c r="E207" s="81">
        <v>0</v>
      </c>
      <c r="F207" s="81">
        <v>0</v>
      </c>
      <c r="G207" s="82">
        <v>0</v>
      </c>
    </row>
    <row r="208" spans="1:7" ht="12.75">
      <c r="A208" s="120" t="s">
        <v>61</v>
      </c>
      <c r="B208" s="121">
        <v>3.7</v>
      </c>
      <c r="C208" s="30">
        <f t="shared" si="4"/>
        <v>3.2</v>
      </c>
      <c r="D208" s="76">
        <v>0</v>
      </c>
      <c r="E208" s="81">
        <v>0</v>
      </c>
      <c r="F208" s="81">
        <v>0</v>
      </c>
      <c r="G208" s="82">
        <v>0</v>
      </c>
    </row>
    <row r="209" spans="1:7" ht="12.75">
      <c r="A209" s="120" t="s">
        <v>62</v>
      </c>
      <c r="B209" s="121">
        <v>4.2</v>
      </c>
      <c r="C209" s="30">
        <f t="shared" si="4"/>
        <v>3.7</v>
      </c>
      <c r="D209" s="76">
        <v>0</v>
      </c>
      <c r="E209" s="81">
        <v>0</v>
      </c>
      <c r="F209" s="81">
        <v>0</v>
      </c>
      <c r="G209" s="82">
        <v>0</v>
      </c>
    </row>
    <row r="210" spans="1:7" ht="12.75">
      <c r="A210" s="120" t="s">
        <v>63</v>
      </c>
      <c r="B210" s="121">
        <v>4.5999999999999996</v>
      </c>
      <c r="C210" s="30">
        <f t="shared" si="4"/>
        <v>4.2</v>
      </c>
      <c r="D210" s="76">
        <v>0</v>
      </c>
      <c r="E210" s="81">
        <v>0</v>
      </c>
      <c r="F210" s="81">
        <v>0</v>
      </c>
      <c r="G210" s="82">
        <v>0</v>
      </c>
    </row>
    <row r="211" spans="1:7" ht="12.75">
      <c r="A211" s="122" t="s">
        <v>11</v>
      </c>
      <c r="B211" s="121">
        <v>4.7</v>
      </c>
      <c r="C211" s="30">
        <f t="shared" si="4"/>
        <v>4.5999999999999996</v>
      </c>
      <c r="D211" s="76">
        <v>0</v>
      </c>
      <c r="E211" s="81">
        <v>0</v>
      </c>
      <c r="F211" s="81">
        <v>0</v>
      </c>
      <c r="G211" s="82">
        <v>0</v>
      </c>
    </row>
    <row r="212" spans="1:7" ht="12.75">
      <c r="A212" s="122" t="s">
        <v>12</v>
      </c>
      <c r="B212" s="121">
        <v>4.8</v>
      </c>
      <c r="C212" s="30">
        <f t="shared" si="4"/>
        <v>4.7</v>
      </c>
      <c r="D212" s="76">
        <v>0</v>
      </c>
      <c r="E212" s="81">
        <v>0</v>
      </c>
      <c r="F212" s="81">
        <v>0</v>
      </c>
      <c r="G212" s="82">
        <v>0</v>
      </c>
    </row>
    <row r="213" spans="1:7" ht="12.75">
      <c r="A213" s="122" t="s">
        <v>13</v>
      </c>
      <c r="B213" s="121">
        <v>5.3</v>
      </c>
      <c r="C213" s="30">
        <f t="shared" si="4"/>
        <v>4.8</v>
      </c>
      <c r="D213" s="76">
        <v>0</v>
      </c>
      <c r="E213" s="81">
        <v>0</v>
      </c>
      <c r="F213" s="81">
        <v>0</v>
      </c>
      <c r="G213" s="82">
        <v>0</v>
      </c>
    </row>
    <row r="214" spans="1:7" ht="12.75">
      <c r="A214" s="122" t="s">
        <v>14</v>
      </c>
      <c r="B214" s="121">
        <v>5.6</v>
      </c>
      <c r="C214" s="30">
        <f t="shared" si="4"/>
        <v>5.3</v>
      </c>
      <c r="D214" s="76">
        <v>0</v>
      </c>
      <c r="E214" s="81">
        <v>0</v>
      </c>
      <c r="F214" s="81">
        <v>0</v>
      </c>
      <c r="G214" s="82">
        <v>0</v>
      </c>
    </row>
    <row r="215" spans="1:7" ht="12.75">
      <c r="A215" s="122" t="s">
        <v>15</v>
      </c>
      <c r="B215" s="121">
        <v>5.7</v>
      </c>
      <c r="C215" s="30">
        <f t="shared" si="4"/>
        <v>5.6</v>
      </c>
      <c r="D215" s="76">
        <v>0</v>
      </c>
      <c r="E215" s="81">
        <v>0</v>
      </c>
      <c r="F215" s="81">
        <v>0</v>
      </c>
      <c r="G215" s="82">
        <v>0</v>
      </c>
    </row>
    <row r="216" spans="1:7" ht="12.75">
      <c r="A216" s="122" t="s">
        <v>16</v>
      </c>
      <c r="B216" s="121">
        <v>6</v>
      </c>
      <c r="C216" s="30">
        <f t="shared" si="4"/>
        <v>5.7</v>
      </c>
      <c r="D216" s="76">
        <v>0</v>
      </c>
      <c r="E216" s="81">
        <v>0</v>
      </c>
      <c r="F216" s="81">
        <v>0</v>
      </c>
      <c r="G216" s="82">
        <v>0</v>
      </c>
    </row>
    <row r="217" spans="1:7" ht="12.75">
      <c r="A217" s="122" t="s">
        <v>17</v>
      </c>
      <c r="B217" s="121">
        <v>6.3</v>
      </c>
      <c r="C217" s="30">
        <f t="shared" si="4"/>
        <v>6</v>
      </c>
      <c r="D217" s="76">
        <v>0</v>
      </c>
      <c r="E217" s="81">
        <v>0</v>
      </c>
      <c r="F217" s="81">
        <v>0</v>
      </c>
      <c r="G217" s="82">
        <v>0</v>
      </c>
    </row>
    <row r="218" spans="1:7" ht="12.75">
      <c r="A218" s="122" t="s">
        <v>18</v>
      </c>
      <c r="B218" s="121">
        <v>6.5</v>
      </c>
      <c r="C218" s="30">
        <f t="shared" si="4"/>
        <v>6.3</v>
      </c>
      <c r="D218" s="76">
        <v>0</v>
      </c>
      <c r="E218" s="81">
        <v>0</v>
      </c>
      <c r="F218" s="81">
        <v>0</v>
      </c>
      <c r="G218" s="82">
        <v>0</v>
      </c>
    </row>
    <row r="219" spans="1:7" ht="12.75">
      <c r="A219" s="122" t="s">
        <v>19</v>
      </c>
      <c r="B219" s="121">
        <v>7.1</v>
      </c>
      <c r="C219" s="30">
        <f t="shared" si="4"/>
        <v>6.5</v>
      </c>
      <c r="D219" s="76">
        <v>0</v>
      </c>
      <c r="E219" s="81">
        <v>0</v>
      </c>
      <c r="F219" s="81">
        <v>0</v>
      </c>
      <c r="G219" s="82">
        <v>0</v>
      </c>
    </row>
    <row r="220" spans="1:7" ht="12.75">
      <c r="A220" s="122" t="s">
        <v>20</v>
      </c>
      <c r="B220" s="121">
        <v>7.7</v>
      </c>
      <c r="C220" s="30">
        <f t="shared" si="4"/>
        <v>7.1</v>
      </c>
      <c r="D220" s="76">
        <v>0</v>
      </c>
      <c r="E220" s="81">
        <v>0</v>
      </c>
      <c r="F220" s="81">
        <v>0</v>
      </c>
      <c r="G220" s="82">
        <v>0</v>
      </c>
    </row>
    <row r="221" spans="1:7" ht="12.75">
      <c r="A221" s="122" t="s">
        <v>21</v>
      </c>
      <c r="B221" s="121">
        <v>8.1999999999999993</v>
      </c>
      <c r="C221" s="30">
        <f t="shared" si="4"/>
        <v>7.7</v>
      </c>
      <c r="D221" s="76">
        <v>0</v>
      </c>
      <c r="E221" s="81">
        <v>0</v>
      </c>
      <c r="F221" s="81">
        <v>0</v>
      </c>
      <c r="G221" s="82">
        <v>0</v>
      </c>
    </row>
    <row r="222" spans="1:7" ht="12.75">
      <c r="A222" s="122" t="s">
        <v>22</v>
      </c>
      <c r="B222" s="121">
        <v>8.5</v>
      </c>
      <c r="C222" s="30">
        <f t="shared" si="4"/>
        <v>8.1999999999999993</v>
      </c>
      <c r="D222" s="76">
        <v>0</v>
      </c>
      <c r="E222" s="81">
        <v>0</v>
      </c>
      <c r="F222" s="81">
        <v>0</v>
      </c>
      <c r="G222" s="82">
        <v>2.3529411764705802E-3</v>
      </c>
    </row>
    <row r="223" spans="1:7" ht="12.75">
      <c r="A223" s="122" t="s">
        <v>23</v>
      </c>
      <c r="B223" s="121">
        <v>8.9</v>
      </c>
      <c r="C223" s="30">
        <f t="shared" si="4"/>
        <v>8.5</v>
      </c>
      <c r="D223" s="76">
        <v>0</v>
      </c>
      <c r="E223" s="81">
        <v>0</v>
      </c>
      <c r="F223" s="81">
        <v>0</v>
      </c>
      <c r="G223" s="82">
        <v>6.7415730337078619E-3</v>
      </c>
    </row>
    <row r="224" spans="1:7" ht="12.75">
      <c r="A224" s="122" t="s">
        <v>24</v>
      </c>
      <c r="B224" s="121">
        <v>9.4</v>
      </c>
      <c r="C224" s="30">
        <f t="shared" si="4"/>
        <v>8.9</v>
      </c>
      <c r="D224" s="76">
        <v>0</v>
      </c>
      <c r="E224" s="81">
        <v>0</v>
      </c>
      <c r="F224" s="81">
        <v>0</v>
      </c>
      <c r="G224" s="82">
        <v>1.1702127659574464E-2</v>
      </c>
    </row>
    <row r="225" spans="1:7" ht="12.75">
      <c r="A225" s="122" t="s">
        <v>25</v>
      </c>
      <c r="B225" s="121">
        <v>10.199999999999999</v>
      </c>
      <c r="C225" s="30">
        <f t="shared" si="4"/>
        <v>9.4</v>
      </c>
      <c r="D225" s="76">
        <v>1.3088235294117796E-2</v>
      </c>
      <c r="E225" s="81"/>
      <c r="F225" s="81">
        <v>1.3088235294117796E-3</v>
      </c>
      <c r="G225" s="82">
        <v>1.8627450980392146E-2</v>
      </c>
    </row>
    <row r="226" spans="1:7" ht="12.75">
      <c r="A226" s="122" t="s">
        <v>26</v>
      </c>
      <c r="B226" s="121">
        <v>10.6</v>
      </c>
      <c r="C226" s="30">
        <f t="shared" si="4"/>
        <v>10.199999999999999</v>
      </c>
      <c r="D226" s="76">
        <v>5.0330188679245463E-2</v>
      </c>
      <c r="E226" s="81"/>
      <c r="F226" s="81">
        <v>5.0330188679245467E-3</v>
      </c>
      <c r="G226" s="82">
        <v>2.1698113207547162E-2</v>
      </c>
    </row>
    <row r="227" spans="1:7" ht="12.75">
      <c r="A227" s="122" t="s">
        <v>27</v>
      </c>
      <c r="B227" s="121">
        <v>11.6</v>
      </c>
      <c r="C227" s="30">
        <f t="shared" si="4"/>
        <v>10.6</v>
      </c>
      <c r="D227" s="76">
        <v>0.13219827586206914</v>
      </c>
      <c r="E227" s="81">
        <v>1.3219827586206915E-2</v>
      </c>
      <c r="F227" s="81">
        <v>1.3219827586206915E-2</v>
      </c>
      <c r="G227" s="82">
        <v>2.8448275862068956E-2</v>
      </c>
    </row>
    <row r="228" spans="1:7" ht="12.75">
      <c r="A228" s="122" t="s">
        <v>28</v>
      </c>
      <c r="B228" s="121">
        <v>12.1</v>
      </c>
      <c r="C228" s="30">
        <f t="shared" si="4"/>
        <v>11.6</v>
      </c>
      <c r="D228" s="76">
        <v>0.16805785123966957</v>
      </c>
      <c r="E228" s="81">
        <v>1.6805785123966958E-2</v>
      </c>
      <c r="F228" s="81">
        <v>1.6805785123966958E-2</v>
      </c>
      <c r="G228" s="82">
        <v>3.1404958677685946E-2</v>
      </c>
    </row>
    <row r="229" spans="1:7" ht="12.75">
      <c r="A229" s="122" t="s">
        <v>29</v>
      </c>
      <c r="B229" s="121">
        <v>12.5</v>
      </c>
      <c r="C229" s="30">
        <f t="shared" si="4"/>
        <v>12.1</v>
      </c>
      <c r="D229" s="76">
        <v>0.19468000000000019</v>
      </c>
      <c r="E229" s="81">
        <v>1.946800000000002E-2</v>
      </c>
      <c r="F229" s="81">
        <v>1.946800000000002E-2</v>
      </c>
      <c r="G229" s="82">
        <v>3.3599999999999991E-2</v>
      </c>
    </row>
    <row r="230" spans="1:7" ht="12.75">
      <c r="A230" s="122" t="s">
        <v>30</v>
      </c>
      <c r="B230" s="121">
        <v>13</v>
      </c>
      <c r="C230" s="30">
        <f t="shared" si="4"/>
        <v>12.5</v>
      </c>
      <c r="D230" s="76">
        <v>0.22565384615384632</v>
      </c>
      <c r="E230" s="81">
        <v>2.2565384615384633E-2</v>
      </c>
      <c r="F230" s="81">
        <v>2.2565384615384633E-2</v>
      </c>
      <c r="G230" s="82">
        <v>3.6153846153846154E-2</v>
      </c>
    </row>
    <row r="231" spans="1:7" ht="12.75">
      <c r="A231" s="122" t="s">
        <v>31</v>
      </c>
      <c r="B231" s="121">
        <v>13.7</v>
      </c>
      <c r="C231" s="30">
        <f t="shared" si="4"/>
        <v>13</v>
      </c>
      <c r="D231" s="76">
        <v>0.26521897810218992</v>
      </c>
      <c r="E231" s="81">
        <v>2.6521897810218992E-2</v>
      </c>
      <c r="F231" s="81">
        <v>2.6521897810218992E-2</v>
      </c>
      <c r="G231" s="82">
        <v>3.9416058394160583E-2</v>
      </c>
    </row>
    <row r="232" spans="1:7" ht="12.75">
      <c r="A232" s="122" t="s">
        <v>32</v>
      </c>
      <c r="B232" s="121">
        <v>14.6</v>
      </c>
      <c r="C232" s="30">
        <f t="shared" si="4"/>
        <v>13.7</v>
      </c>
      <c r="D232" s="76">
        <v>0.31051369863013711</v>
      </c>
      <c r="E232" s="81">
        <v>3.1051369863013711E-2</v>
      </c>
      <c r="F232" s="81">
        <v>3.1051369863013711E-2</v>
      </c>
      <c r="G232" s="82">
        <v>5.8904109589041076E-2</v>
      </c>
    </row>
    <row r="233" spans="1:7" ht="12.75">
      <c r="A233" s="122" t="s">
        <v>33</v>
      </c>
      <c r="B233" s="121">
        <v>15.1</v>
      </c>
      <c r="C233" s="30">
        <f t="shared" si="4"/>
        <v>14.6</v>
      </c>
      <c r="D233" s="76">
        <v>0.33334437086092727</v>
      </c>
      <c r="E233" s="81">
        <v>3.3334437086092732E-2</v>
      </c>
      <c r="F233" s="81">
        <v>3.3334437086092732E-2</v>
      </c>
      <c r="G233" s="82">
        <v>7.019867549668872E-2</v>
      </c>
    </row>
    <row r="234" spans="1:7" ht="12.75">
      <c r="A234" s="122" t="s">
        <v>34</v>
      </c>
      <c r="B234" s="121">
        <v>15.6</v>
      </c>
      <c r="C234" s="30">
        <f t="shared" si="4"/>
        <v>15.1</v>
      </c>
      <c r="D234" s="76">
        <v>0.35471153846153858</v>
      </c>
      <c r="E234" s="81">
        <v>3.5471153846153861E-2</v>
      </c>
      <c r="F234" s="81">
        <v>3.5471153846153861E-2</v>
      </c>
      <c r="G234" s="82">
        <v>8.076923076923076E-2</v>
      </c>
    </row>
    <row r="235" spans="1:7" ht="12.75">
      <c r="A235" s="122" t="s">
        <v>35</v>
      </c>
      <c r="B235" s="121">
        <v>15.7</v>
      </c>
      <c r="C235" s="30">
        <f t="shared" si="4"/>
        <v>15.6</v>
      </c>
      <c r="D235" s="76">
        <v>0.35882165605095551</v>
      </c>
      <c r="E235" s="81">
        <v>3.5882165605095551E-2</v>
      </c>
      <c r="F235" s="81">
        <v>3.5882165605095551E-2</v>
      </c>
      <c r="G235" s="82">
        <v>8.2802547770700605E-2</v>
      </c>
    </row>
    <row r="236" spans="1:7" ht="12.75">
      <c r="A236" s="122" t="s">
        <v>36</v>
      </c>
      <c r="B236" s="121">
        <v>15.8</v>
      </c>
      <c r="C236" s="30">
        <f t="shared" si="4"/>
        <v>15.7</v>
      </c>
      <c r="D236" s="76">
        <v>0.36287974683544322</v>
      </c>
      <c r="E236" s="81">
        <v>3.6287974683544326E-2</v>
      </c>
      <c r="F236" s="81">
        <v>3.6287974683544326E-2</v>
      </c>
      <c r="G236" s="82">
        <v>8.4810126582278489E-2</v>
      </c>
    </row>
    <row r="237" spans="1:7" ht="12.75">
      <c r="A237" s="122" t="s">
        <v>37</v>
      </c>
      <c r="B237" s="121">
        <v>16.8</v>
      </c>
      <c r="C237" s="30">
        <f t="shared" si="4"/>
        <v>15.8</v>
      </c>
      <c r="D237" s="76">
        <v>0.40080357142857159</v>
      </c>
      <c r="E237" s="81">
        <v>4.048214285714296E-2</v>
      </c>
      <c r="F237" s="81">
        <v>4.048214285714296E-2</v>
      </c>
      <c r="G237" s="82">
        <v>0.10357142857142858</v>
      </c>
    </row>
    <row r="238" spans="1:7" ht="12.75">
      <c r="A238" s="122" t="s">
        <v>38</v>
      </c>
      <c r="B238" s="121">
        <v>17.600000000000001</v>
      </c>
      <c r="C238" s="30">
        <f t="shared" si="4"/>
        <v>16.8</v>
      </c>
      <c r="D238" s="76">
        <v>0.42803977272727289</v>
      </c>
      <c r="E238" s="81">
        <v>5.6823863636363742E-2</v>
      </c>
      <c r="F238" s="81">
        <v>5.6823863636363742E-2</v>
      </c>
      <c r="G238" s="82">
        <v>0.11704545454545456</v>
      </c>
    </row>
    <row r="239" spans="1:7" ht="12.75">
      <c r="A239" s="122" t="s">
        <v>39</v>
      </c>
      <c r="B239" s="121">
        <v>18</v>
      </c>
      <c r="C239" s="30">
        <f t="shared" si="4"/>
        <v>17.600000000000001</v>
      </c>
      <c r="D239" s="76">
        <v>0.44075000000000014</v>
      </c>
      <c r="E239" s="81">
        <v>6.4450000000000077E-2</v>
      </c>
      <c r="F239" s="81">
        <v>6.4450000000000077E-2</v>
      </c>
      <c r="G239" s="82">
        <v>0.12333333333333332</v>
      </c>
    </row>
    <row r="240" spans="1:7" ht="12.75">
      <c r="A240" s="122" t="s">
        <v>40</v>
      </c>
      <c r="B240" s="121">
        <v>26.5</v>
      </c>
      <c r="C240" s="30">
        <f t="shared" si="4"/>
        <v>18</v>
      </c>
      <c r="D240" s="76">
        <v>0.62013207547169824</v>
      </c>
      <c r="E240" s="81">
        <v>0.17207924528301891</v>
      </c>
      <c r="F240" s="81">
        <v>0.17207924528301891</v>
      </c>
      <c r="G240" s="82">
        <v>0.21207547169811322</v>
      </c>
    </row>
    <row r="241" spans="1:7" ht="12.75">
      <c r="A241" s="122" t="s">
        <v>41</v>
      </c>
      <c r="B241" s="121">
        <v>29.7</v>
      </c>
      <c r="C241" s="30">
        <f t="shared" si="4"/>
        <v>26.5</v>
      </c>
      <c r="D241" s="76">
        <v>0.66106060606060613</v>
      </c>
      <c r="E241" s="81">
        <v>0.19663636363636369</v>
      </c>
      <c r="F241" s="81">
        <v>0.19663636363636369</v>
      </c>
      <c r="G241" s="82">
        <v>0.23232323232323235</v>
      </c>
    </row>
    <row r="242" spans="1:7" ht="12.75">
      <c r="A242" s="122" t="s">
        <v>42</v>
      </c>
      <c r="B242" s="121">
        <v>32.4</v>
      </c>
      <c r="C242" s="30">
        <f t="shared" si="4"/>
        <v>29.7</v>
      </c>
      <c r="D242" s="76">
        <v>0.68930555555555562</v>
      </c>
      <c r="E242" s="81">
        <v>0.21358333333333338</v>
      </c>
      <c r="F242" s="81">
        <v>0.21358333333333338</v>
      </c>
      <c r="G242" s="82">
        <v>0.24629629629629629</v>
      </c>
    </row>
    <row r="243" spans="1:7" ht="12.75">
      <c r="A243" s="122" t="s">
        <v>43</v>
      </c>
      <c r="B243" s="121">
        <v>33.6</v>
      </c>
      <c r="C243" s="30">
        <f t="shared" si="4"/>
        <v>32.4</v>
      </c>
      <c r="D243" s="76">
        <v>0.7004017857142858</v>
      </c>
      <c r="E243" s="81">
        <v>0.22024107142857149</v>
      </c>
      <c r="F243" s="81">
        <v>0.22024107142857149</v>
      </c>
      <c r="G243" s="82">
        <v>0.25178571428571422</v>
      </c>
    </row>
    <row r="244" spans="1:7" ht="12.75">
      <c r="A244" s="122" t="s">
        <v>44</v>
      </c>
      <c r="B244" s="121">
        <v>37.6</v>
      </c>
      <c r="C244" s="30">
        <f t="shared" si="4"/>
        <v>33.6</v>
      </c>
      <c r="D244" s="76">
        <v>0.73227393617021286</v>
      </c>
      <c r="E244" s="81">
        <v>0.23936436170212769</v>
      </c>
      <c r="F244" s="81">
        <v>0.23936436170212769</v>
      </c>
      <c r="G244" s="82">
        <v>0.26755319148936163</v>
      </c>
    </row>
    <row r="245" spans="1:7" ht="12.75">
      <c r="A245" s="122" t="s">
        <v>45</v>
      </c>
      <c r="B245" s="121">
        <v>40.6</v>
      </c>
      <c r="C245" s="30">
        <f t="shared" si="4"/>
        <v>37.6</v>
      </c>
      <c r="D245" s="76">
        <v>0.75205665024630552</v>
      </c>
      <c r="E245" s="81">
        <v>0.25123399014778325</v>
      </c>
      <c r="F245" s="81">
        <v>0.25123399014778325</v>
      </c>
      <c r="G245" s="82">
        <v>0.2773399014778325</v>
      </c>
    </row>
    <row r="246" spans="1:7" ht="12.75">
      <c r="A246" s="122" t="s">
        <v>46</v>
      </c>
      <c r="B246" s="121">
        <v>46.9</v>
      </c>
      <c r="C246" s="30">
        <f t="shared" si="4"/>
        <v>40.6</v>
      </c>
      <c r="D246" s="76">
        <v>0.78536247334754805</v>
      </c>
      <c r="E246" s="81">
        <v>0.2712174840085288</v>
      </c>
      <c r="F246" s="81">
        <v>0.2712174840085288</v>
      </c>
      <c r="G246" s="82">
        <v>0.29381663113006395</v>
      </c>
    </row>
    <row r="247" spans="1:7" ht="12.75">
      <c r="A247" s="122" t="s">
        <v>47</v>
      </c>
      <c r="B247" s="121">
        <v>51.1</v>
      </c>
      <c r="C247" s="30">
        <f t="shared" si="4"/>
        <v>46.9</v>
      </c>
      <c r="D247" s="76">
        <v>0.80300391389432491</v>
      </c>
      <c r="E247" s="81">
        <v>0.28180234833659495</v>
      </c>
      <c r="F247" s="81">
        <v>0.28180234833659495</v>
      </c>
      <c r="G247" s="82">
        <v>0.30254403131115459</v>
      </c>
    </row>
    <row r="248" spans="1:7" ht="12.75">
      <c r="A248" s="122" t="s">
        <v>48</v>
      </c>
      <c r="B248" s="121">
        <v>56.3</v>
      </c>
      <c r="C248" s="30">
        <f t="shared" si="4"/>
        <v>51.1</v>
      </c>
      <c r="D248" s="76">
        <v>0.8211989342806395</v>
      </c>
      <c r="E248" s="81">
        <v>0.29271936056838366</v>
      </c>
      <c r="F248" s="81">
        <v>0.29271936056838366</v>
      </c>
      <c r="G248" s="82">
        <v>0.31154529307282414</v>
      </c>
    </row>
    <row r="249" spans="1:7" ht="12.75">
      <c r="A249" s="122" t="s">
        <v>49</v>
      </c>
      <c r="B249" s="121">
        <v>59.3</v>
      </c>
      <c r="C249" s="30">
        <f t="shared" si="4"/>
        <v>56.3</v>
      </c>
      <c r="D249" s="76">
        <v>0.83024451939291743</v>
      </c>
      <c r="E249" s="81">
        <v>0.29814671163575041</v>
      </c>
      <c r="F249" s="81">
        <v>0.29814671163575041</v>
      </c>
      <c r="G249" s="82">
        <v>0.3160202360876897</v>
      </c>
    </row>
    <row r="250" spans="1:7" ht="12.75">
      <c r="A250" s="122" t="s">
        <v>50</v>
      </c>
      <c r="B250" s="121">
        <v>62.8</v>
      </c>
      <c r="C250" s="30">
        <f t="shared" si="4"/>
        <v>59.3</v>
      </c>
      <c r="D250" s="76">
        <v>0.8397054140127389</v>
      </c>
      <c r="E250" s="81">
        <v>0.30382324840764335</v>
      </c>
      <c r="F250" s="81">
        <v>0.30382324840764335</v>
      </c>
      <c r="G250" s="82">
        <v>0.3207006369426752</v>
      </c>
    </row>
    <row r="251" spans="1:7" ht="12.75">
      <c r="A251" s="122" t="s">
        <v>51</v>
      </c>
      <c r="B251" s="121">
        <v>70.099999999999994</v>
      </c>
      <c r="C251" s="30">
        <f t="shared" si="4"/>
        <v>62.8</v>
      </c>
      <c r="D251" s="76">
        <v>0.85639800285306711</v>
      </c>
      <c r="E251" s="81">
        <v>0.31383880171184025</v>
      </c>
      <c r="F251" s="81">
        <v>0.31383880171184025</v>
      </c>
      <c r="G251" s="82">
        <v>0.32895863052781743</v>
      </c>
    </row>
    <row r="252" spans="1:7" ht="12.75">
      <c r="A252" s="122" t="s">
        <v>52</v>
      </c>
      <c r="B252" s="121">
        <v>90.1</v>
      </c>
      <c r="C252" s="30">
        <f t="shared" si="4"/>
        <v>70.099999999999994</v>
      </c>
      <c r="D252" s="76">
        <v>0.88827413984461723</v>
      </c>
      <c r="E252" s="81">
        <v>0.33296448390677025</v>
      </c>
      <c r="F252" s="81">
        <v>0.33296448390677025</v>
      </c>
      <c r="G252" s="82">
        <v>0.34472807991120979</v>
      </c>
    </row>
    <row r="253" spans="1:7" ht="12.75">
      <c r="A253" s="122" t="s">
        <v>53</v>
      </c>
      <c r="B253" s="121">
        <v>151.6</v>
      </c>
      <c r="C253" s="30">
        <f>B252</f>
        <v>90.1</v>
      </c>
      <c r="D253" s="76">
        <v>0.93359828496042219</v>
      </c>
      <c r="E253" s="81">
        <v>0.36015897097625332</v>
      </c>
      <c r="F253" s="81">
        <v>0.36015897097625332</v>
      </c>
      <c r="G253" s="82">
        <v>0.36715039577836411</v>
      </c>
    </row>
    <row r="254" spans="1:7" ht="13.5" thickBot="1">
      <c r="A254" s="123" t="s">
        <v>53</v>
      </c>
      <c r="B254" s="145" t="s">
        <v>100</v>
      </c>
      <c r="C254" s="30">
        <f t="shared" si="4"/>
        <v>151.6</v>
      </c>
      <c r="D254" s="87"/>
      <c r="E254" s="87"/>
      <c r="F254" s="87"/>
      <c r="G254" s="88"/>
    </row>
    <row r="255" spans="1:7" ht="13.5" thickBot="1">
      <c r="A255" s="89"/>
      <c r="B255" s="125"/>
      <c r="C255" s="29"/>
      <c r="D255" s="126"/>
      <c r="E255" s="127">
        <v>8.3730312403869689E-2</v>
      </c>
      <c r="F255" s="127">
        <v>8.3730312403869689E-2</v>
      </c>
      <c r="G255" s="128">
        <v>0.10048835988271917</v>
      </c>
    </row>
    <row r="256" spans="1:7" ht="51">
      <c r="A256" s="94" t="s">
        <v>55</v>
      </c>
      <c r="B256" s="129">
        <v>3.6</v>
      </c>
      <c r="C256" s="29"/>
      <c r="D256" s="96"/>
      <c r="E256" s="97">
        <v>16.777499999999996</v>
      </c>
      <c r="F256" s="98">
        <v>16.777499999999996</v>
      </c>
      <c r="G256" s="99">
        <v>13.833333333333334</v>
      </c>
    </row>
    <row r="257" spans="1:7" ht="54" customHeight="1">
      <c r="A257" s="100" t="s">
        <v>56</v>
      </c>
      <c r="B257" s="130">
        <v>22.2</v>
      </c>
      <c r="C257" s="29"/>
      <c r="D257" s="102"/>
      <c r="E257" s="103"/>
      <c r="F257" s="103"/>
      <c r="G257" s="104"/>
    </row>
    <row r="258" spans="1:7" ht="77.25" customHeight="1" thickBot="1">
      <c r="A258" s="105" t="s">
        <v>57</v>
      </c>
      <c r="B258" s="131">
        <v>2.2000000000000002</v>
      </c>
      <c r="C258" s="29"/>
      <c r="D258" s="87"/>
      <c r="E258" s="86">
        <v>10.066499999999998</v>
      </c>
      <c r="F258" s="86">
        <v>10.066499999999998</v>
      </c>
      <c r="G258" s="107">
        <v>8.3000000000000007</v>
      </c>
    </row>
    <row r="259" spans="1:7" ht="15.75" thickBot="1"/>
    <row r="260" spans="1:7" ht="51.75" thickBot="1">
      <c r="A260" s="108" t="s">
        <v>56</v>
      </c>
      <c r="B260" s="109">
        <f>B257</f>
        <v>22.2</v>
      </c>
    </row>
    <row r="261" spans="1:7">
      <c r="A261" s="110" t="s">
        <v>64</v>
      </c>
      <c r="B261" s="111">
        <f>AVERAGE(B209:B248)</f>
        <v>16.777499999999996</v>
      </c>
      <c r="C261" s="17"/>
    </row>
    <row r="262" spans="1:7">
      <c r="A262" s="112" t="s">
        <v>65</v>
      </c>
      <c r="B262" s="113">
        <f>AVERAGE(B214:B243)</f>
        <v>13.833333333333334</v>
      </c>
      <c r="C262" s="18"/>
    </row>
    <row r="263" spans="1:7" ht="15.75" thickBot="1">
      <c r="A263" s="114" t="s">
        <v>66</v>
      </c>
      <c r="B263" s="115">
        <f>AVERAGE(B220:B238)</f>
        <v>12.505263157894737</v>
      </c>
      <c r="C263" s="18"/>
    </row>
    <row r="264" spans="1:7">
      <c r="A264" s="266"/>
      <c r="B264" s="267"/>
    </row>
    <row r="265" spans="1:7" ht="15.75" thickBot="1"/>
    <row r="266" spans="1:7" ht="15" customHeight="1" thickBot="1">
      <c r="A266" s="535" t="s">
        <v>0</v>
      </c>
      <c r="B266" s="538" t="s">
        <v>67</v>
      </c>
      <c r="C266" s="539"/>
      <c r="D266" s="540"/>
      <c r="E266" s="62">
        <f>(1-E321)^(1/3)-1</f>
        <v>0</v>
      </c>
      <c r="F266" s="63">
        <f>(1-F321)^(1/3)-1</f>
        <v>0</v>
      </c>
      <c r="G266" s="64"/>
    </row>
    <row r="267" spans="1:7" ht="77.25" thickBot="1">
      <c r="A267" s="536"/>
      <c r="B267" s="65" t="s">
        <v>4</v>
      </c>
      <c r="C267" s="65"/>
      <c r="D267" s="65" t="s">
        <v>80</v>
      </c>
      <c r="E267" s="65" t="s">
        <v>5</v>
      </c>
      <c r="F267" s="65" t="s">
        <v>5</v>
      </c>
      <c r="G267" s="65"/>
    </row>
    <row r="268" spans="1:7" ht="26.25" thickBot="1">
      <c r="A268" s="537"/>
      <c r="B268" s="66" t="s">
        <v>68</v>
      </c>
      <c r="D268" s="66" t="s">
        <v>7</v>
      </c>
      <c r="E268" s="67" t="s">
        <v>82</v>
      </c>
      <c r="F268" s="68" t="s">
        <v>83</v>
      </c>
      <c r="G268" s="68"/>
    </row>
    <row r="269" spans="1:7" ht="15.75" thickBot="1">
      <c r="A269" s="69">
        <v>1</v>
      </c>
      <c r="B269" s="116">
        <v>2</v>
      </c>
      <c r="D269" s="117">
        <v>3</v>
      </c>
      <c r="E269" s="71">
        <v>4</v>
      </c>
      <c r="F269" s="117">
        <v>5</v>
      </c>
      <c r="G269" s="71"/>
    </row>
    <row r="270" spans="1:7">
      <c r="A270" s="118" t="s">
        <v>10</v>
      </c>
      <c r="B270" s="119"/>
      <c r="C270">
        <v>0</v>
      </c>
      <c r="D270" s="76">
        <f>IF(B270=0,0,IF(B270&lt;=E$324,0,B270-E$324)/B270)</f>
        <v>0</v>
      </c>
      <c r="E270" s="77"/>
      <c r="F270" s="77"/>
      <c r="G270" s="78"/>
    </row>
    <row r="271" spans="1:7" ht="12.75">
      <c r="A271" s="120" t="s">
        <v>58</v>
      </c>
      <c r="B271" s="121"/>
      <c r="C271" s="30">
        <f>B270</f>
        <v>0</v>
      </c>
      <c r="D271" s="76">
        <f t="shared" ref="D271:D319" si="5">IF(B271=0,0,IF(B271&lt;=E$324,0,B271-E$324)/B271)</f>
        <v>0</v>
      </c>
      <c r="E271" s="81"/>
      <c r="F271" s="81"/>
      <c r="G271" s="82"/>
    </row>
    <row r="272" spans="1:7" ht="12.75">
      <c r="A272" s="120" t="s">
        <v>59</v>
      </c>
      <c r="B272" s="121"/>
      <c r="C272" s="30">
        <f t="shared" ref="C272:C320" si="6">B271</f>
        <v>0</v>
      </c>
      <c r="D272" s="76">
        <f t="shared" si="5"/>
        <v>0</v>
      </c>
      <c r="E272" s="81"/>
      <c r="F272" s="81"/>
      <c r="G272" s="82"/>
    </row>
    <row r="273" spans="1:7" ht="12.75">
      <c r="A273" s="120" t="s">
        <v>60</v>
      </c>
      <c r="B273" s="121"/>
      <c r="C273" s="30">
        <f t="shared" si="6"/>
        <v>0</v>
      </c>
      <c r="D273" s="76">
        <f t="shared" si="5"/>
        <v>0</v>
      </c>
      <c r="E273" s="81"/>
      <c r="F273" s="81"/>
      <c r="G273" s="82"/>
    </row>
    <row r="274" spans="1:7" ht="12.75">
      <c r="A274" s="120" t="s">
        <v>61</v>
      </c>
      <c r="B274" s="121"/>
      <c r="C274" s="30">
        <f t="shared" si="6"/>
        <v>0</v>
      </c>
      <c r="D274" s="76">
        <f t="shared" si="5"/>
        <v>0</v>
      </c>
      <c r="E274" s="81"/>
      <c r="F274" s="81"/>
      <c r="G274" s="82"/>
    </row>
    <row r="275" spans="1:7" ht="12.75">
      <c r="A275" s="120" t="s">
        <v>62</v>
      </c>
      <c r="B275" s="121"/>
      <c r="C275" s="30">
        <f t="shared" si="6"/>
        <v>0</v>
      </c>
      <c r="D275" s="76">
        <f t="shared" si="5"/>
        <v>0</v>
      </c>
      <c r="E275" s="81"/>
      <c r="F275" s="81"/>
      <c r="G275" s="82"/>
    </row>
    <row r="276" spans="1:7" ht="12.75">
      <c r="A276" s="120" t="s">
        <v>63</v>
      </c>
      <c r="B276" s="121"/>
      <c r="C276" s="30">
        <f t="shared" si="6"/>
        <v>0</v>
      </c>
      <c r="D276" s="76">
        <f t="shared" si="5"/>
        <v>0</v>
      </c>
      <c r="E276" s="81"/>
      <c r="F276" s="81"/>
      <c r="G276" s="82"/>
    </row>
    <row r="277" spans="1:7" ht="12.75">
      <c r="A277" s="122" t="s">
        <v>11</v>
      </c>
      <c r="B277" s="121"/>
      <c r="C277" s="30">
        <f t="shared" si="6"/>
        <v>0</v>
      </c>
      <c r="D277" s="76">
        <f t="shared" si="5"/>
        <v>0</v>
      </c>
      <c r="E277" s="81"/>
      <c r="F277" s="81"/>
      <c r="G277" s="82"/>
    </row>
    <row r="278" spans="1:7" ht="12.75">
      <c r="A278" s="122" t="s">
        <v>12</v>
      </c>
      <c r="B278" s="121"/>
      <c r="C278" s="30">
        <f t="shared" si="6"/>
        <v>0</v>
      </c>
      <c r="D278" s="76">
        <f t="shared" si="5"/>
        <v>0</v>
      </c>
      <c r="E278" s="81"/>
      <c r="F278" s="81"/>
      <c r="G278" s="82"/>
    </row>
    <row r="279" spans="1:7" ht="12.75">
      <c r="A279" s="122" t="s">
        <v>13</v>
      </c>
      <c r="B279" s="121"/>
      <c r="C279" s="30">
        <f t="shared" si="6"/>
        <v>0</v>
      </c>
      <c r="D279" s="76">
        <f t="shared" si="5"/>
        <v>0</v>
      </c>
      <c r="E279" s="81"/>
      <c r="F279" s="81"/>
      <c r="G279" s="82"/>
    </row>
    <row r="280" spans="1:7" ht="12.75">
      <c r="A280" s="122" t="s">
        <v>14</v>
      </c>
      <c r="B280" s="121"/>
      <c r="C280" s="30">
        <f t="shared" si="6"/>
        <v>0</v>
      </c>
      <c r="D280" s="76">
        <f t="shared" si="5"/>
        <v>0</v>
      </c>
      <c r="E280" s="81"/>
      <c r="F280" s="81"/>
      <c r="G280" s="82"/>
    </row>
    <row r="281" spans="1:7" ht="12.75">
      <c r="A281" s="122" t="s">
        <v>15</v>
      </c>
      <c r="B281" s="121"/>
      <c r="C281" s="30">
        <f t="shared" si="6"/>
        <v>0</v>
      </c>
      <c r="D281" s="76">
        <f t="shared" si="5"/>
        <v>0</v>
      </c>
      <c r="E281" s="81"/>
      <c r="F281" s="81"/>
      <c r="G281" s="82"/>
    </row>
    <row r="282" spans="1:7" ht="12.75">
      <c r="A282" s="122" t="s">
        <v>16</v>
      </c>
      <c r="B282" s="121"/>
      <c r="C282" s="30">
        <f t="shared" si="6"/>
        <v>0</v>
      </c>
      <c r="D282" s="76">
        <f t="shared" si="5"/>
        <v>0</v>
      </c>
      <c r="E282" s="81"/>
      <c r="F282" s="81"/>
      <c r="G282" s="82"/>
    </row>
    <row r="283" spans="1:7" ht="12.75">
      <c r="A283" s="122" t="s">
        <v>17</v>
      </c>
      <c r="B283" s="121"/>
      <c r="C283" s="30">
        <f t="shared" si="6"/>
        <v>0</v>
      </c>
      <c r="D283" s="76">
        <f t="shared" si="5"/>
        <v>0</v>
      </c>
      <c r="E283" s="81"/>
      <c r="F283" s="81"/>
      <c r="G283" s="82"/>
    </row>
    <row r="284" spans="1:7" ht="12.75">
      <c r="A284" s="122" t="s">
        <v>18</v>
      </c>
      <c r="B284" s="121"/>
      <c r="C284" s="30">
        <f t="shared" si="6"/>
        <v>0</v>
      </c>
      <c r="D284" s="76">
        <f t="shared" si="5"/>
        <v>0</v>
      </c>
      <c r="E284" s="81"/>
      <c r="F284" s="81"/>
      <c r="G284" s="82"/>
    </row>
    <row r="285" spans="1:7" ht="12.75">
      <c r="A285" s="122" t="s">
        <v>19</v>
      </c>
      <c r="B285" s="121"/>
      <c r="C285" s="30">
        <f t="shared" si="6"/>
        <v>0</v>
      </c>
      <c r="D285" s="76">
        <f t="shared" si="5"/>
        <v>0</v>
      </c>
      <c r="E285" s="81"/>
      <c r="F285" s="81"/>
      <c r="G285" s="82"/>
    </row>
    <row r="286" spans="1:7" ht="12.75">
      <c r="A286" s="122" t="s">
        <v>20</v>
      </c>
      <c r="B286" s="121"/>
      <c r="C286" s="30">
        <f t="shared" si="6"/>
        <v>0</v>
      </c>
      <c r="D286" s="76">
        <f t="shared" si="5"/>
        <v>0</v>
      </c>
      <c r="E286" s="81"/>
      <c r="F286" s="81"/>
      <c r="G286" s="82"/>
    </row>
    <row r="287" spans="1:7" ht="12.75">
      <c r="A287" s="122" t="s">
        <v>21</v>
      </c>
      <c r="B287" s="121"/>
      <c r="C287" s="30">
        <f t="shared" si="6"/>
        <v>0</v>
      </c>
      <c r="D287" s="76">
        <f t="shared" si="5"/>
        <v>0</v>
      </c>
      <c r="E287" s="81"/>
      <c r="F287" s="81"/>
      <c r="G287" s="82"/>
    </row>
    <row r="288" spans="1:7" ht="12.75">
      <c r="A288" s="122" t="s">
        <v>22</v>
      </c>
      <c r="B288" s="121"/>
      <c r="C288" s="30">
        <f t="shared" si="6"/>
        <v>0</v>
      </c>
      <c r="D288" s="76">
        <f t="shared" si="5"/>
        <v>0</v>
      </c>
      <c r="E288" s="81"/>
      <c r="F288" s="81"/>
      <c r="G288" s="82"/>
    </row>
    <row r="289" spans="1:7" ht="12.75">
      <c r="A289" s="122" t="s">
        <v>23</v>
      </c>
      <c r="B289" s="121"/>
      <c r="C289" s="30">
        <f t="shared" si="6"/>
        <v>0</v>
      </c>
      <c r="D289" s="76">
        <f t="shared" si="5"/>
        <v>0</v>
      </c>
      <c r="E289" s="81"/>
      <c r="F289" s="81"/>
      <c r="G289" s="82"/>
    </row>
    <row r="290" spans="1:7" ht="12.75">
      <c r="A290" s="122" t="s">
        <v>24</v>
      </c>
      <c r="B290" s="121"/>
      <c r="C290" s="30">
        <f t="shared" si="6"/>
        <v>0</v>
      </c>
      <c r="D290" s="76">
        <f t="shared" si="5"/>
        <v>0</v>
      </c>
      <c r="E290" s="81"/>
      <c r="F290" s="81"/>
      <c r="G290" s="82"/>
    </row>
    <row r="291" spans="1:7" ht="12.75">
      <c r="A291" s="122" t="s">
        <v>25</v>
      </c>
      <c r="B291" s="121"/>
      <c r="C291" s="30">
        <f t="shared" si="6"/>
        <v>0</v>
      </c>
      <c r="D291" s="76">
        <f t="shared" si="5"/>
        <v>0</v>
      </c>
      <c r="E291" s="81"/>
      <c r="F291" s="81"/>
      <c r="G291" s="82"/>
    </row>
    <row r="292" spans="1:7" ht="12.75">
      <c r="A292" s="122" t="s">
        <v>26</v>
      </c>
      <c r="B292" s="121"/>
      <c r="C292" s="30">
        <f t="shared" si="6"/>
        <v>0</v>
      </c>
      <c r="D292" s="76">
        <f t="shared" si="5"/>
        <v>0</v>
      </c>
      <c r="E292" s="81"/>
      <c r="F292" s="81"/>
      <c r="G292" s="82"/>
    </row>
    <row r="293" spans="1:7" ht="12.75">
      <c r="A293" s="122" t="s">
        <v>27</v>
      </c>
      <c r="B293" s="121"/>
      <c r="C293" s="30">
        <f t="shared" si="6"/>
        <v>0</v>
      </c>
      <c r="D293" s="76">
        <f t="shared" si="5"/>
        <v>0</v>
      </c>
      <c r="E293" s="81"/>
      <c r="F293" s="81"/>
      <c r="G293" s="82"/>
    </row>
    <row r="294" spans="1:7" ht="12.75">
      <c r="A294" s="122" t="s">
        <v>28</v>
      </c>
      <c r="B294" s="121"/>
      <c r="C294" s="30">
        <f t="shared" si="6"/>
        <v>0</v>
      </c>
      <c r="D294" s="76">
        <f t="shared" si="5"/>
        <v>0</v>
      </c>
      <c r="E294" s="81"/>
      <c r="F294" s="81"/>
      <c r="G294" s="82"/>
    </row>
    <row r="295" spans="1:7" ht="12.75">
      <c r="A295" s="122" t="s">
        <v>29</v>
      </c>
      <c r="B295" s="121"/>
      <c r="C295" s="30">
        <f t="shared" si="6"/>
        <v>0</v>
      </c>
      <c r="D295" s="76">
        <f t="shared" si="5"/>
        <v>0</v>
      </c>
      <c r="E295" s="81"/>
      <c r="F295" s="81"/>
      <c r="G295" s="82"/>
    </row>
    <row r="296" spans="1:7" ht="12.75">
      <c r="A296" s="122" t="s">
        <v>30</v>
      </c>
      <c r="B296" s="121"/>
      <c r="C296" s="30">
        <f t="shared" si="6"/>
        <v>0</v>
      </c>
      <c r="D296" s="76">
        <f t="shared" si="5"/>
        <v>0</v>
      </c>
      <c r="E296" s="81"/>
      <c r="F296" s="81"/>
      <c r="G296" s="82"/>
    </row>
    <row r="297" spans="1:7" ht="12.75">
      <c r="A297" s="122" t="s">
        <v>31</v>
      </c>
      <c r="B297" s="121"/>
      <c r="C297" s="30">
        <f t="shared" si="6"/>
        <v>0</v>
      </c>
      <c r="D297" s="76">
        <f t="shared" si="5"/>
        <v>0</v>
      </c>
      <c r="E297" s="81"/>
      <c r="F297" s="81"/>
      <c r="G297" s="82"/>
    </row>
    <row r="298" spans="1:7" ht="12.75">
      <c r="A298" s="122" t="s">
        <v>32</v>
      </c>
      <c r="B298" s="121"/>
      <c r="C298" s="30">
        <f t="shared" si="6"/>
        <v>0</v>
      </c>
      <c r="D298" s="76">
        <f t="shared" si="5"/>
        <v>0</v>
      </c>
      <c r="E298" s="81"/>
      <c r="F298" s="81"/>
      <c r="G298" s="82"/>
    </row>
    <row r="299" spans="1:7" ht="12.75">
      <c r="A299" s="122" t="s">
        <v>33</v>
      </c>
      <c r="B299" s="121"/>
      <c r="C299" s="30">
        <f t="shared" si="6"/>
        <v>0</v>
      </c>
      <c r="D299" s="76">
        <f t="shared" si="5"/>
        <v>0</v>
      </c>
      <c r="E299" s="81"/>
      <c r="F299" s="81"/>
      <c r="G299" s="82"/>
    </row>
    <row r="300" spans="1:7" ht="12.75">
      <c r="A300" s="122" t="s">
        <v>34</v>
      </c>
      <c r="B300" s="121"/>
      <c r="C300" s="30">
        <f t="shared" si="6"/>
        <v>0</v>
      </c>
      <c r="D300" s="76">
        <f t="shared" si="5"/>
        <v>0</v>
      </c>
      <c r="E300" s="81"/>
      <c r="F300" s="81"/>
      <c r="G300" s="82"/>
    </row>
    <row r="301" spans="1:7" ht="12.75">
      <c r="A301" s="122" t="s">
        <v>35</v>
      </c>
      <c r="B301" s="121"/>
      <c r="C301" s="30">
        <f t="shared" si="6"/>
        <v>0</v>
      </c>
      <c r="D301" s="76">
        <f t="shared" si="5"/>
        <v>0</v>
      </c>
      <c r="E301" s="81"/>
      <c r="F301" s="81"/>
      <c r="G301" s="82"/>
    </row>
    <row r="302" spans="1:7" ht="12.75">
      <c r="A302" s="122" t="s">
        <v>36</v>
      </c>
      <c r="B302" s="121"/>
      <c r="C302" s="30">
        <f t="shared" si="6"/>
        <v>0</v>
      </c>
      <c r="D302" s="76">
        <f t="shared" si="5"/>
        <v>0</v>
      </c>
      <c r="E302" s="81"/>
      <c r="F302" s="81"/>
      <c r="G302" s="82"/>
    </row>
    <row r="303" spans="1:7" ht="12.75">
      <c r="A303" s="122" t="s">
        <v>37</v>
      </c>
      <c r="B303" s="121"/>
      <c r="C303" s="30">
        <f t="shared" si="6"/>
        <v>0</v>
      </c>
      <c r="D303" s="76">
        <f t="shared" si="5"/>
        <v>0</v>
      </c>
      <c r="E303" s="81"/>
      <c r="F303" s="81"/>
      <c r="G303" s="82"/>
    </row>
    <row r="304" spans="1:7" ht="12.75">
      <c r="A304" s="122" t="s">
        <v>38</v>
      </c>
      <c r="B304" s="121"/>
      <c r="C304" s="30">
        <f t="shared" si="6"/>
        <v>0</v>
      </c>
      <c r="D304" s="76">
        <f t="shared" si="5"/>
        <v>0</v>
      </c>
      <c r="E304" s="81"/>
      <c r="F304" s="81"/>
      <c r="G304" s="82"/>
    </row>
    <row r="305" spans="1:7" ht="12.75">
      <c r="A305" s="122" t="s">
        <v>39</v>
      </c>
      <c r="B305" s="121"/>
      <c r="C305" s="30">
        <f t="shared" si="6"/>
        <v>0</v>
      </c>
      <c r="D305" s="76">
        <f t="shared" si="5"/>
        <v>0</v>
      </c>
      <c r="E305" s="81"/>
      <c r="F305" s="81"/>
      <c r="G305" s="82"/>
    </row>
    <row r="306" spans="1:7" ht="12.75">
      <c r="A306" s="122" t="s">
        <v>40</v>
      </c>
      <c r="B306" s="121"/>
      <c r="C306" s="30">
        <f t="shared" si="6"/>
        <v>0</v>
      </c>
      <c r="D306" s="76">
        <f t="shared" si="5"/>
        <v>0</v>
      </c>
      <c r="E306" s="81"/>
      <c r="F306" s="81"/>
      <c r="G306" s="82"/>
    </row>
    <row r="307" spans="1:7" ht="12.75">
      <c r="A307" s="122" t="s">
        <v>41</v>
      </c>
      <c r="B307" s="121"/>
      <c r="C307" s="30">
        <f t="shared" si="6"/>
        <v>0</v>
      </c>
      <c r="D307" s="76">
        <f t="shared" si="5"/>
        <v>0</v>
      </c>
      <c r="E307" s="81"/>
      <c r="F307" s="81"/>
      <c r="G307" s="82"/>
    </row>
    <row r="308" spans="1:7" ht="12.75">
      <c r="A308" s="122" t="s">
        <v>42</v>
      </c>
      <c r="B308" s="121"/>
      <c r="C308" s="30">
        <f t="shared" si="6"/>
        <v>0</v>
      </c>
      <c r="D308" s="76">
        <f t="shared" si="5"/>
        <v>0</v>
      </c>
      <c r="E308" s="81"/>
      <c r="F308" s="81"/>
      <c r="G308" s="82"/>
    </row>
    <row r="309" spans="1:7" ht="12.75">
      <c r="A309" s="122" t="s">
        <v>43</v>
      </c>
      <c r="B309" s="121"/>
      <c r="C309" s="30">
        <f t="shared" si="6"/>
        <v>0</v>
      </c>
      <c r="D309" s="76">
        <f t="shared" si="5"/>
        <v>0</v>
      </c>
      <c r="E309" s="81"/>
      <c r="F309" s="81"/>
      <c r="G309" s="82"/>
    </row>
    <row r="310" spans="1:7" ht="12.75">
      <c r="A310" s="122" t="s">
        <v>44</v>
      </c>
      <c r="B310" s="121"/>
      <c r="C310" s="30">
        <f t="shared" si="6"/>
        <v>0</v>
      </c>
      <c r="D310" s="76">
        <f t="shared" si="5"/>
        <v>0</v>
      </c>
      <c r="E310" s="81"/>
      <c r="F310" s="81"/>
      <c r="G310" s="82"/>
    </row>
    <row r="311" spans="1:7" ht="12.75">
      <c r="A311" s="122" t="s">
        <v>45</v>
      </c>
      <c r="B311" s="121"/>
      <c r="C311" s="30">
        <f t="shared" si="6"/>
        <v>0</v>
      </c>
      <c r="D311" s="76">
        <f t="shared" si="5"/>
        <v>0</v>
      </c>
      <c r="E311" s="81"/>
      <c r="F311" s="81"/>
      <c r="G311" s="82"/>
    </row>
    <row r="312" spans="1:7" ht="12.75">
      <c r="A312" s="122" t="s">
        <v>46</v>
      </c>
      <c r="B312" s="121"/>
      <c r="C312" s="30">
        <f t="shared" si="6"/>
        <v>0</v>
      </c>
      <c r="D312" s="76">
        <f t="shared" si="5"/>
        <v>0</v>
      </c>
      <c r="E312" s="81"/>
      <c r="F312" s="81"/>
      <c r="G312" s="82"/>
    </row>
    <row r="313" spans="1:7" ht="12.75">
      <c r="A313" s="122" t="s">
        <v>47</v>
      </c>
      <c r="B313" s="121"/>
      <c r="C313" s="30">
        <f t="shared" si="6"/>
        <v>0</v>
      </c>
      <c r="D313" s="76">
        <f t="shared" si="5"/>
        <v>0</v>
      </c>
      <c r="E313" s="81"/>
      <c r="F313" s="81"/>
      <c r="G313" s="82"/>
    </row>
    <row r="314" spans="1:7" ht="12.75">
      <c r="A314" s="122" t="s">
        <v>48</v>
      </c>
      <c r="B314" s="121"/>
      <c r="C314" s="30">
        <f t="shared" si="6"/>
        <v>0</v>
      </c>
      <c r="D314" s="76">
        <f t="shared" si="5"/>
        <v>0</v>
      </c>
      <c r="E314" s="81"/>
      <c r="F314" s="81"/>
      <c r="G314" s="82"/>
    </row>
    <row r="315" spans="1:7" ht="12.75">
      <c r="A315" s="122" t="s">
        <v>49</v>
      </c>
      <c r="B315" s="121"/>
      <c r="C315" s="30">
        <f t="shared" si="6"/>
        <v>0</v>
      </c>
      <c r="D315" s="76">
        <f t="shared" si="5"/>
        <v>0</v>
      </c>
      <c r="E315" s="81"/>
      <c r="F315" s="81"/>
      <c r="G315" s="82"/>
    </row>
    <row r="316" spans="1:7" ht="12.75">
      <c r="A316" s="122" t="s">
        <v>50</v>
      </c>
      <c r="B316" s="121"/>
      <c r="C316" s="30">
        <f t="shared" si="6"/>
        <v>0</v>
      </c>
      <c r="D316" s="76">
        <f t="shared" si="5"/>
        <v>0</v>
      </c>
      <c r="E316" s="81"/>
      <c r="F316" s="81"/>
      <c r="G316" s="82"/>
    </row>
    <row r="317" spans="1:7" ht="12.75">
      <c r="A317" s="122" t="s">
        <v>51</v>
      </c>
      <c r="B317" s="121"/>
      <c r="C317" s="30">
        <f t="shared" si="6"/>
        <v>0</v>
      </c>
      <c r="D317" s="76">
        <f t="shared" si="5"/>
        <v>0</v>
      </c>
      <c r="E317" s="81"/>
      <c r="F317" s="81"/>
      <c r="G317" s="82"/>
    </row>
    <row r="318" spans="1:7" ht="12.75">
      <c r="A318" s="122" t="s">
        <v>52</v>
      </c>
      <c r="B318" s="121"/>
      <c r="C318" s="30">
        <f t="shared" si="6"/>
        <v>0</v>
      </c>
      <c r="D318" s="76">
        <f t="shared" si="5"/>
        <v>0</v>
      </c>
      <c r="E318" s="81"/>
      <c r="F318" s="81"/>
      <c r="G318" s="82"/>
    </row>
    <row r="319" spans="1:7" ht="12.75">
      <c r="A319" s="122" t="s">
        <v>53</v>
      </c>
      <c r="B319" s="121"/>
      <c r="C319" s="30">
        <f>B318</f>
        <v>0</v>
      </c>
      <c r="D319" s="76">
        <f t="shared" si="5"/>
        <v>0</v>
      </c>
      <c r="E319" s="81"/>
      <c r="F319" s="81"/>
      <c r="G319" s="82"/>
    </row>
    <row r="320" spans="1:7" ht="13.5" thickBot="1">
      <c r="A320" s="123" t="s">
        <v>53</v>
      </c>
      <c r="B320" s="124"/>
      <c r="C320" s="30">
        <f t="shared" si="6"/>
        <v>0</v>
      </c>
      <c r="D320" s="87"/>
      <c r="E320" s="87"/>
      <c r="F320" s="87"/>
      <c r="G320" s="88"/>
    </row>
    <row r="321" spans="1:7" ht="15.75" thickBot="1">
      <c r="A321" s="89"/>
      <c r="B321" s="125"/>
      <c r="D321" s="126"/>
      <c r="E321" s="127"/>
      <c r="F321" s="127"/>
      <c r="G321" s="128"/>
    </row>
    <row r="322" spans="1:7" ht="51">
      <c r="A322" s="94" t="s">
        <v>55</v>
      </c>
      <c r="B322" s="95"/>
      <c r="D322" s="96"/>
      <c r="E322" s="97"/>
      <c r="F322" s="98"/>
      <c r="G322" s="99"/>
    </row>
    <row r="323" spans="1:7" ht="53.25" customHeight="1">
      <c r="A323" s="100" t="s">
        <v>56</v>
      </c>
      <c r="B323" s="101"/>
      <c r="D323" s="102"/>
      <c r="E323" s="103"/>
      <c r="F323" s="103"/>
      <c r="G323" s="104"/>
    </row>
    <row r="324" spans="1:7" ht="78" customHeight="1" thickBot="1">
      <c r="A324" s="105" t="s">
        <v>57</v>
      </c>
      <c r="B324" s="106"/>
      <c r="D324" s="87"/>
      <c r="E324" s="86">
        <f>0.6*E322</f>
        <v>0</v>
      </c>
      <c r="F324" s="86">
        <f>0.6*F322</f>
        <v>0</v>
      </c>
      <c r="G324" s="107"/>
    </row>
    <row r="325" spans="1:7" ht="15.75" thickBot="1"/>
    <row r="326" spans="1:7" ht="51.75" thickBot="1">
      <c r="A326" s="108" t="s">
        <v>56</v>
      </c>
      <c r="B326" s="109">
        <f>B323</f>
        <v>0</v>
      </c>
    </row>
    <row r="327" spans="1:7">
      <c r="A327" s="110" t="s">
        <v>64</v>
      </c>
      <c r="B327" s="111" t="e">
        <f>AVERAGE(B275:B314)</f>
        <v>#DIV/0!</v>
      </c>
    </row>
    <row r="328" spans="1:7">
      <c r="A328" s="112" t="s">
        <v>65</v>
      </c>
      <c r="B328" s="113" t="e">
        <f>AVERAGE(B280:B309)</f>
        <v>#DIV/0!</v>
      </c>
    </row>
    <row r="329" spans="1:7" ht="15.75" thickBot="1">
      <c r="A329" s="114" t="s">
        <v>66</v>
      </c>
      <c r="B329" s="115" t="e">
        <f>AVERAGE(B286:B304)</f>
        <v>#DIV/0!</v>
      </c>
    </row>
    <row r="330" spans="1:7" ht="15.75" thickBot="1"/>
    <row r="331" spans="1:7" ht="15" customHeight="1" thickBot="1">
      <c r="A331" s="535" t="s">
        <v>0</v>
      </c>
      <c r="B331" s="538" t="s">
        <v>70</v>
      </c>
      <c r="C331" s="539"/>
      <c r="D331" s="540"/>
      <c r="E331" s="62" t="e">
        <f>(1-E386)^(1/3)-1</f>
        <v>#DIV/0!</v>
      </c>
      <c r="F331" s="63" t="e">
        <f>(1-F386)^(1/3)-1</f>
        <v>#DIV/0!</v>
      </c>
      <c r="G331" s="64"/>
    </row>
    <row r="332" spans="1:7" ht="77.25" thickBot="1">
      <c r="A332" s="536"/>
      <c r="B332" s="65" t="s">
        <v>4</v>
      </c>
      <c r="D332" s="65" t="s">
        <v>80</v>
      </c>
      <c r="E332" s="65" t="s">
        <v>5</v>
      </c>
      <c r="F332" s="65" t="s">
        <v>5</v>
      </c>
      <c r="G332" s="65"/>
    </row>
    <row r="333" spans="1:7" ht="26.25" thickBot="1">
      <c r="A333" s="537"/>
      <c r="B333" s="66" t="s">
        <v>88</v>
      </c>
      <c r="D333" s="66" t="s">
        <v>7</v>
      </c>
      <c r="E333" s="67" t="s">
        <v>82</v>
      </c>
      <c r="F333" s="68" t="s">
        <v>83</v>
      </c>
      <c r="G333" s="68"/>
    </row>
    <row r="334" spans="1:7" ht="15.75" thickBot="1">
      <c r="A334" s="69">
        <v>1</v>
      </c>
      <c r="B334" s="116">
        <v>2</v>
      </c>
      <c r="D334" s="117">
        <v>3</v>
      </c>
      <c r="E334" s="71">
        <v>4</v>
      </c>
      <c r="F334" s="117">
        <v>5</v>
      </c>
      <c r="G334" s="71"/>
    </row>
    <row r="335" spans="1:7">
      <c r="A335" s="118" t="s">
        <v>10</v>
      </c>
      <c r="B335" s="119"/>
      <c r="D335" s="76">
        <f>IF(B335=0,0,IF(B335&lt;=E$389,0,B335-E$389)/B335)</f>
        <v>0</v>
      </c>
      <c r="E335" s="77" t="e">
        <f>IF($B335&lt;=E$389,0,IF(AND(E$389&lt;$B335,$B335&lt;=E$387),$E$1*($B335-E$389),$E$1*(E$387-E$389)+$F$1*($B335-E$387)))/$B335</f>
        <v>#DIV/0!</v>
      </c>
      <c r="F335" s="77" t="e">
        <f>IF($B335&lt;=F$389,0,IF(AND(F$389&lt;$B335,$B335&lt;=F$387),$E$1*($B335-F$389),$E$1*(F$387-F$389)+$F$1*($B335-F$387)))/$B335</f>
        <v>#DIV/0!</v>
      </c>
      <c r="G335" s="78"/>
    </row>
    <row r="336" spans="1:7" ht="13.5" thickBot="1">
      <c r="A336" s="120" t="s">
        <v>58</v>
      </c>
      <c r="B336" s="121"/>
      <c r="C336" s="117"/>
      <c r="D336" s="76">
        <f t="shared" ref="D336:D384" si="7">IF(B336=0,0,IF(B336&lt;=E$389,0,B336-E$389)/B336)</f>
        <v>0</v>
      </c>
      <c r="E336" s="81"/>
      <c r="F336" s="81"/>
      <c r="G336" s="82"/>
    </row>
    <row r="337" spans="1:7">
      <c r="A337" s="120" t="s">
        <v>59</v>
      </c>
      <c r="B337" s="121"/>
      <c r="C337">
        <v>0</v>
      </c>
      <c r="D337" s="76">
        <f t="shared" si="7"/>
        <v>0</v>
      </c>
      <c r="E337" s="81"/>
      <c r="F337" s="81"/>
      <c r="G337" s="82"/>
    </row>
    <row r="338" spans="1:7" ht="12.75">
      <c r="A338" s="120" t="s">
        <v>60</v>
      </c>
      <c r="B338" s="121"/>
      <c r="C338" s="30">
        <f>B337</f>
        <v>0</v>
      </c>
      <c r="D338" s="76">
        <f t="shared" si="7"/>
        <v>0</v>
      </c>
      <c r="E338" s="81"/>
      <c r="F338" s="81"/>
      <c r="G338" s="82"/>
    </row>
    <row r="339" spans="1:7" ht="12.75">
      <c r="A339" s="120" t="s">
        <v>61</v>
      </c>
      <c r="B339" s="121"/>
      <c r="C339" s="30">
        <f t="shared" ref="C339:C387" si="8">B338</f>
        <v>0</v>
      </c>
      <c r="D339" s="76">
        <f t="shared" si="7"/>
        <v>0</v>
      </c>
      <c r="E339" s="81"/>
      <c r="F339" s="81"/>
      <c r="G339" s="82"/>
    </row>
    <row r="340" spans="1:7" ht="12.75">
      <c r="A340" s="120" t="s">
        <v>62</v>
      </c>
      <c r="B340" s="121"/>
      <c r="C340" s="30">
        <f t="shared" si="8"/>
        <v>0</v>
      </c>
      <c r="D340" s="76">
        <f t="shared" si="7"/>
        <v>0</v>
      </c>
      <c r="E340" s="81"/>
      <c r="F340" s="81"/>
      <c r="G340" s="82"/>
    </row>
    <row r="341" spans="1:7" ht="12.75">
      <c r="A341" s="120" t="s">
        <v>63</v>
      </c>
      <c r="B341" s="121"/>
      <c r="C341" s="30">
        <f t="shared" si="8"/>
        <v>0</v>
      </c>
      <c r="D341" s="76">
        <f t="shared" si="7"/>
        <v>0</v>
      </c>
      <c r="E341" s="81"/>
      <c r="F341" s="81"/>
      <c r="G341" s="82"/>
    </row>
    <row r="342" spans="1:7" ht="12.75">
      <c r="A342" s="122" t="s">
        <v>11</v>
      </c>
      <c r="B342" s="121"/>
      <c r="C342" s="30">
        <f t="shared" si="8"/>
        <v>0</v>
      </c>
      <c r="D342" s="76">
        <f t="shared" si="7"/>
        <v>0</v>
      </c>
      <c r="E342" s="81"/>
      <c r="F342" s="81"/>
      <c r="G342" s="82"/>
    </row>
    <row r="343" spans="1:7" ht="12.75">
      <c r="A343" s="122" t="s">
        <v>12</v>
      </c>
      <c r="B343" s="121"/>
      <c r="C343" s="30">
        <f t="shared" si="8"/>
        <v>0</v>
      </c>
      <c r="D343" s="76">
        <f t="shared" si="7"/>
        <v>0</v>
      </c>
      <c r="E343" s="81"/>
      <c r="F343" s="81"/>
      <c r="G343" s="82"/>
    </row>
    <row r="344" spans="1:7" ht="12.75">
      <c r="A344" s="122" t="s">
        <v>13</v>
      </c>
      <c r="B344" s="121"/>
      <c r="C344" s="30">
        <f t="shared" si="8"/>
        <v>0</v>
      </c>
      <c r="D344" s="76">
        <f t="shared" si="7"/>
        <v>0</v>
      </c>
      <c r="E344" s="81"/>
      <c r="F344" s="81"/>
      <c r="G344" s="82"/>
    </row>
    <row r="345" spans="1:7" ht="12.75">
      <c r="A345" s="122" t="s">
        <v>14</v>
      </c>
      <c r="B345" s="121"/>
      <c r="C345" s="30">
        <f t="shared" si="8"/>
        <v>0</v>
      </c>
      <c r="D345" s="76">
        <f t="shared" si="7"/>
        <v>0</v>
      </c>
      <c r="E345" s="81"/>
      <c r="F345" s="81"/>
      <c r="G345" s="82"/>
    </row>
    <row r="346" spans="1:7" ht="12.75">
      <c r="A346" s="122" t="s">
        <v>15</v>
      </c>
      <c r="B346" s="121"/>
      <c r="C346" s="30">
        <f t="shared" si="8"/>
        <v>0</v>
      </c>
      <c r="D346" s="76">
        <f t="shared" si="7"/>
        <v>0</v>
      </c>
      <c r="E346" s="81"/>
      <c r="F346" s="81"/>
      <c r="G346" s="82"/>
    </row>
    <row r="347" spans="1:7" ht="12.75">
      <c r="A347" s="122" t="s">
        <v>16</v>
      </c>
      <c r="B347" s="121"/>
      <c r="C347" s="30">
        <f t="shared" si="8"/>
        <v>0</v>
      </c>
      <c r="D347" s="76">
        <f t="shared" si="7"/>
        <v>0</v>
      </c>
      <c r="E347" s="81"/>
      <c r="F347" s="81"/>
      <c r="G347" s="82"/>
    </row>
    <row r="348" spans="1:7" ht="12.75">
      <c r="A348" s="122" t="s">
        <v>17</v>
      </c>
      <c r="B348" s="121"/>
      <c r="C348" s="30">
        <f t="shared" si="8"/>
        <v>0</v>
      </c>
      <c r="D348" s="76">
        <f t="shared" si="7"/>
        <v>0</v>
      </c>
      <c r="E348" s="81"/>
      <c r="F348" s="81"/>
      <c r="G348" s="82"/>
    </row>
    <row r="349" spans="1:7" ht="12.75">
      <c r="A349" s="122" t="s">
        <v>18</v>
      </c>
      <c r="B349" s="121"/>
      <c r="C349" s="30">
        <f t="shared" si="8"/>
        <v>0</v>
      </c>
      <c r="D349" s="76">
        <f t="shared" si="7"/>
        <v>0</v>
      </c>
      <c r="E349" s="81"/>
      <c r="F349" s="81"/>
      <c r="G349" s="82"/>
    </row>
    <row r="350" spans="1:7" ht="12.75">
      <c r="A350" s="122" t="s">
        <v>19</v>
      </c>
      <c r="B350" s="121"/>
      <c r="C350" s="30">
        <f t="shared" si="8"/>
        <v>0</v>
      </c>
      <c r="D350" s="76">
        <f t="shared" si="7"/>
        <v>0</v>
      </c>
      <c r="E350" s="81"/>
      <c r="F350" s="81"/>
      <c r="G350" s="82"/>
    </row>
    <row r="351" spans="1:7" ht="12.75">
      <c r="A351" s="122" t="s">
        <v>20</v>
      </c>
      <c r="B351" s="121"/>
      <c r="C351" s="30">
        <f t="shared" si="8"/>
        <v>0</v>
      </c>
      <c r="D351" s="76">
        <f t="shared" si="7"/>
        <v>0</v>
      </c>
      <c r="E351" s="81"/>
      <c r="F351" s="81"/>
      <c r="G351" s="82"/>
    </row>
    <row r="352" spans="1:7" ht="12.75">
      <c r="A352" s="122" t="s">
        <v>21</v>
      </c>
      <c r="B352" s="121"/>
      <c r="C352" s="30">
        <f t="shared" si="8"/>
        <v>0</v>
      </c>
      <c r="D352" s="76">
        <f t="shared" si="7"/>
        <v>0</v>
      </c>
      <c r="E352" s="81"/>
      <c r="F352" s="81"/>
      <c r="G352" s="82"/>
    </row>
    <row r="353" spans="1:7" ht="12.75">
      <c r="A353" s="122" t="s">
        <v>22</v>
      </c>
      <c r="B353" s="121"/>
      <c r="C353" s="30">
        <f t="shared" si="8"/>
        <v>0</v>
      </c>
      <c r="D353" s="76">
        <f t="shared" si="7"/>
        <v>0</v>
      </c>
      <c r="E353" s="81"/>
      <c r="F353" s="81"/>
      <c r="G353" s="82"/>
    </row>
    <row r="354" spans="1:7" ht="12.75">
      <c r="A354" s="122" t="s">
        <v>23</v>
      </c>
      <c r="B354" s="121"/>
      <c r="C354" s="30">
        <f t="shared" si="8"/>
        <v>0</v>
      </c>
      <c r="D354" s="76">
        <f t="shared" si="7"/>
        <v>0</v>
      </c>
      <c r="E354" s="81"/>
      <c r="F354" s="81"/>
      <c r="G354" s="82"/>
    </row>
    <row r="355" spans="1:7" ht="12.75">
      <c r="A355" s="122" t="s">
        <v>24</v>
      </c>
      <c r="B355" s="121"/>
      <c r="C355" s="30">
        <f t="shared" si="8"/>
        <v>0</v>
      </c>
      <c r="D355" s="76">
        <f t="shared" si="7"/>
        <v>0</v>
      </c>
      <c r="E355" s="81"/>
      <c r="F355" s="81"/>
      <c r="G355" s="82"/>
    </row>
    <row r="356" spans="1:7" ht="12.75">
      <c r="A356" s="122" t="s">
        <v>25</v>
      </c>
      <c r="B356" s="121"/>
      <c r="C356" s="30">
        <f t="shared" si="8"/>
        <v>0</v>
      </c>
      <c r="D356" s="76">
        <f t="shared" si="7"/>
        <v>0</v>
      </c>
      <c r="E356" s="81"/>
      <c r="F356" s="81"/>
      <c r="G356" s="82"/>
    </row>
    <row r="357" spans="1:7" ht="12.75">
      <c r="A357" s="122" t="s">
        <v>26</v>
      </c>
      <c r="B357" s="121"/>
      <c r="C357" s="30">
        <f t="shared" si="8"/>
        <v>0</v>
      </c>
      <c r="D357" s="76">
        <f t="shared" si="7"/>
        <v>0</v>
      </c>
      <c r="E357" s="81"/>
      <c r="F357" s="81"/>
      <c r="G357" s="82"/>
    </row>
    <row r="358" spans="1:7" ht="12.75">
      <c r="A358" s="122" t="s">
        <v>27</v>
      </c>
      <c r="B358" s="121"/>
      <c r="C358" s="30">
        <f t="shared" si="8"/>
        <v>0</v>
      </c>
      <c r="D358" s="76">
        <f t="shared" si="7"/>
        <v>0</v>
      </c>
      <c r="E358" s="81"/>
      <c r="F358" s="81"/>
      <c r="G358" s="82"/>
    </row>
    <row r="359" spans="1:7" ht="12.75">
      <c r="A359" s="122" t="s">
        <v>28</v>
      </c>
      <c r="B359" s="121"/>
      <c r="C359" s="30">
        <f t="shared" si="8"/>
        <v>0</v>
      </c>
      <c r="D359" s="76">
        <f t="shared" si="7"/>
        <v>0</v>
      </c>
      <c r="E359" s="81"/>
      <c r="F359" s="81"/>
      <c r="G359" s="82"/>
    </row>
    <row r="360" spans="1:7" ht="12.75">
      <c r="A360" s="122" t="s">
        <v>29</v>
      </c>
      <c r="B360" s="121"/>
      <c r="C360" s="30">
        <f t="shared" si="8"/>
        <v>0</v>
      </c>
      <c r="D360" s="76">
        <f t="shared" si="7"/>
        <v>0</v>
      </c>
      <c r="E360" s="81"/>
      <c r="F360" s="81"/>
      <c r="G360" s="82"/>
    </row>
    <row r="361" spans="1:7" ht="12.75">
      <c r="A361" s="122" t="s">
        <v>30</v>
      </c>
      <c r="B361" s="121"/>
      <c r="C361" s="30">
        <f t="shared" si="8"/>
        <v>0</v>
      </c>
      <c r="D361" s="76">
        <f t="shared" si="7"/>
        <v>0</v>
      </c>
      <c r="E361" s="81"/>
      <c r="F361" s="81"/>
      <c r="G361" s="82"/>
    </row>
    <row r="362" spans="1:7" ht="12.75">
      <c r="A362" s="122" t="s">
        <v>31</v>
      </c>
      <c r="B362" s="121"/>
      <c r="C362" s="30">
        <f t="shared" si="8"/>
        <v>0</v>
      </c>
      <c r="D362" s="76">
        <f t="shared" si="7"/>
        <v>0</v>
      </c>
      <c r="E362" s="81"/>
      <c r="F362" s="81"/>
      <c r="G362" s="82"/>
    </row>
    <row r="363" spans="1:7" ht="12.75">
      <c r="A363" s="122" t="s">
        <v>32</v>
      </c>
      <c r="B363" s="121"/>
      <c r="C363" s="30">
        <f t="shared" si="8"/>
        <v>0</v>
      </c>
      <c r="D363" s="76">
        <f t="shared" si="7"/>
        <v>0</v>
      </c>
      <c r="E363" s="81"/>
      <c r="F363" s="81"/>
      <c r="G363" s="82"/>
    </row>
    <row r="364" spans="1:7" ht="12.75">
      <c r="A364" s="122" t="s">
        <v>33</v>
      </c>
      <c r="B364" s="121"/>
      <c r="C364" s="30">
        <f t="shared" si="8"/>
        <v>0</v>
      </c>
      <c r="D364" s="76">
        <f t="shared" si="7"/>
        <v>0</v>
      </c>
      <c r="E364" s="81"/>
      <c r="F364" s="81"/>
      <c r="G364" s="82"/>
    </row>
    <row r="365" spans="1:7" ht="12.75">
      <c r="A365" s="122" t="s">
        <v>34</v>
      </c>
      <c r="B365" s="121"/>
      <c r="C365" s="30">
        <f t="shared" si="8"/>
        <v>0</v>
      </c>
      <c r="D365" s="76">
        <f t="shared" si="7"/>
        <v>0</v>
      </c>
      <c r="E365" s="81"/>
      <c r="F365" s="81"/>
      <c r="G365" s="82"/>
    </row>
    <row r="366" spans="1:7" ht="12.75">
      <c r="A366" s="122" t="s">
        <v>35</v>
      </c>
      <c r="B366" s="121"/>
      <c r="C366" s="30">
        <f t="shared" si="8"/>
        <v>0</v>
      </c>
      <c r="D366" s="76">
        <f t="shared" si="7"/>
        <v>0</v>
      </c>
      <c r="E366" s="81"/>
      <c r="F366" s="81"/>
      <c r="G366" s="82"/>
    </row>
    <row r="367" spans="1:7" ht="12.75">
      <c r="A367" s="122" t="s">
        <v>36</v>
      </c>
      <c r="B367" s="121"/>
      <c r="C367" s="30">
        <f t="shared" si="8"/>
        <v>0</v>
      </c>
      <c r="D367" s="76">
        <f t="shared" si="7"/>
        <v>0</v>
      </c>
      <c r="E367" s="81"/>
      <c r="F367" s="81"/>
      <c r="G367" s="82"/>
    </row>
    <row r="368" spans="1:7" ht="12.75">
      <c r="A368" s="122" t="s">
        <v>37</v>
      </c>
      <c r="B368" s="121"/>
      <c r="C368" s="30">
        <f t="shared" si="8"/>
        <v>0</v>
      </c>
      <c r="D368" s="76">
        <f t="shared" si="7"/>
        <v>0</v>
      </c>
      <c r="E368" s="81"/>
      <c r="F368" s="81"/>
      <c r="G368" s="82"/>
    </row>
    <row r="369" spans="1:7" ht="12.75">
      <c r="A369" s="122" t="s">
        <v>38</v>
      </c>
      <c r="B369" s="121"/>
      <c r="C369" s="30">
        <f t="shared" si="8"/>
        <v>0</v>
      </c>
      <c r="D369" s="76">
        <f t="shared" si="7"/>
        <v>0</v>
      </c>
      <c r="E369" s="81"/>
      <c r="F369" s="81"/>
      <c r="G369" s="82"/>
    </row>
    <row r="370" spans="1:7" ht="12.75">
      <c r="A370" s="122" t="s">
        <v>39</v>
      </c>
      <c r="B370" s="121"/>
      <c r="C370" s="30">
        <f t="shared" si="8"/>
        <v>0</v>
      </c>
      <c r="D370" s="76">
        <f t="shared" si="7"/>
        <v>0</v>
      </c>
      <c r="E370" s="81"/>
      <c r="F370" s="81"/>
      <c r="G370" s="82"/>
    </row>
    <row r="371" spans="1:7" ht="12.75">
      <c r="A371" s="122" t="s">
        <v>40</v>
      </c>
      <c r="B371" s="121"/>
      <c r="C371" s="30">
        <f t="shared" si="8"/>
        <v>0</v>
      </c>
      <c r="D371" s="76">
        <f t="shared" si="7"/>
        <v>0</v>
      </c>
      <c r="E371" s="81"/>
      <c r="F371" s="81"/>
      <c r="G371" s="82"/>
    </row>
    <row r="372" spans="1:7" ht="12.75">
      <c r="A372" s="122" t="s">
        <v>41</v>
      </c>
      <c r="B372" s="121"/>
      <c r="C372" s="30">
        <f t="shared" si="8"/>
        <v>0</v>
      </c>
      <c r="D372" s="76">
        <f t="shared" si="7"/>
        <v>0</v>
      </c>
      <c r="E372" s="81"/>
      <c r="F372" s="81"/>
      <c r="G372" s="82"/>
    </row>
    <row r="373" spans="1:7" ht="12.75">
      <c r="A373" s="122" t="s">
        <v>42</v>
      </c>
      <c r="B373" s="121"/>
      <c r="C373" s="30">
        <f t="shared" si="8"/>
        <v>0</v>
      </c>
      <c r="D373" s="76">
        <f t="shared" si="7"/>
        <v>0</v>
      </c>
      <c r="E373" s="81"/>
      <c r="F373" s="81"/>
      <c r="G373" s="82"/>
    </row>
    <row r="374" spans="1:7" ht="12.75">
      <c r="A374" s="122" t="s">
        <v>43</v>
      </c>
      <c r="B374" s="121"/>
      <c r="C374" s="30">
        <f t="shared" si="8"/>
        <v>0</v>
      </c>
      <c r="D374" s="76">
        <f t="shared" si="7"/>
        <v>0</v>
      </c>
      <c r="E374" s="81"/>
      <c r="F374" s="81"/>
      <c r="G374" s="82"/>
    </row>
    <row r="375" spans="1:7" ht="12.75">
      <c r="A375" s="122" t="s">
        <v>44</v>
      </c>
      <c r="B375" s="121"/>
      <c r="C375" s="30">
        <f t="shared" si="8"/>
        <v>0</v>
      </c>
      <c r="D375" s="76">
        <f t="shared" si="7"/>
        <v>0</v>
      </c>
      <c r="E375" s="81"/>
      <c r="F375" s="81"/>
      <c r="G375" s="82"/>
    </row>
    <row r="376" spans="1:7" ht="12.75">
      <c r="A376" s="122" t="s">
        <v>45</v>
      </c>
      <c r="B376" s="121"/>
      <c r="C376" s="30">
        <f t="shared" si="8"/>
        <v>0</v>
      </c>
      <c r="D376" s="76">
        <f t="shared" si="7"/>
        <v>0</v>
      </c>
      <c r="E376" s="81"/>
      <c r="F376" s="81"/>
      <c r="G376" s="82"/>
    </row>
    <row r="377" spans="1:7" ht="12.75">
      <c r="A377" s="122" t="s">
        <v>46</v>
      </c>
      <c r="B377" s="121"/>
      <c r="C377" s="30">
        <f t="shared" si="8"/>
        <v>0</v>
      </c>
      <c r="D377" s="76">
        <f t="shared" si="7"/>
        <v>0</v>
      </c>
      <c r="E377" s="81"/>
      <c r="F377" s="81"/>
      <c r="G377" s="82"/>
    </row>
    <row r="378" spans="1:7" ht="12.75">
      <c r="A378" s="122" t="s">
        <v>47</v>
      </c>
      <c r="B378" s="121"/>
      <c r="C378" s="30">
        <f t="shared" si="8"/>
        <v>0</v>
      </c>
      <c r="D378" s="76">
        <f t="shared" si="7"/>
        <v>0</v>
      </c>
      <c r="E378" s="81"/>
      <c r="F378" s="81"/>
      <c r="G378" s="82"/>
    </row>
    <row r="379" spans="1:7" ht="12.75">
      <c r="A379" s="122" t="s">
        <v>48</v>
      </c>
      <c r="B379" s="121"/>
      <c r="C379" s="30">
        <f t="shared" si="8"/>
        <v>0</v>
      </c>
      <c r="D379" s="76">
        <f t="shared" si="7"/>
        <v>0</v>
      </c>
      <c r="E379" s="81"/>
      <c r="F379" s="81"/>
      <c r="G379" s="82"/>
    </row>
    <row r="380" spans="1:7" ht="12.75">
      <c r="A380" s="122" t="s">
        <v>49</v>
      </c>
      <c r="B380" s="121"/>
      <c r="C380" s="30">
        <f t="shared" si="8"/>
        <v>0</v>
      </c>
      <c r="D380" s="76">
        <f t="shared" si="7"/>
        <v>0</v>
      </c>
      <c r="E380" s="81"/>
      <c r="F380" s="81"/>
      <c r="G380" s="82"/>
    </row>
    <row r="381" spans="1:7" ht="12.75">
      <c r="A381" s="122" t="s">
        <v>50</v>
      </c>
      <c r="B381" s="121"/>
      <c r="C381" s="30">
        <f t="shared" si="8"/>
        <v>0</v>
      </c>
      <c r="D381" s="76">
        <f t="shared" si="7"/>
        <v>0</v>
      </c>
      <c r="E381" s="81"/>
      <c r="F381" s="81"/>
      <c r="G381" s="82"/>
    </row>
    <row r="382" spans="1:7" ht="12.75">
      <c r="A382" s="122" t="s">
        <v>51</v>
      </c>
      <c r="B382" s="121"/>
      <c r="C382" s="30">
        <f t="shared" si="8"/>
        <v>0</v>
      </c>
      <c r="D382" s="76">
        <f t="shared" si="7"/>
        <v>0</v>
      </c>
      <c r="E382" s="81"/>
      <c r="F382" s="81"/>
      <c r="G382" s="82"/>
    </row>
    <row r="383" spans="1:7" ht="12.75">
      <c r="A383" s="122" t="s">
        <v>52</v>
      </c>
      <c r="B383" s="121"/>
      <c r="C383" s="30">
        <f t="shared" si="8"/>
        <v>0</v>
      </c>
      <c r="D383" s="76">
        <f t="shared" si="7"/>
        <v>0</v>
      </c>
      <c r="E383" s="81"/>
      <c r="F383" s="81"/>
      <c r="G383" s="82"/>
    </row>
    <row r="384" spans="1:7" ht="12.75">
      <c r="A384" s="122" t="s">
        <v>53</v>
      </c>
      <c r="B384" s="121"/>
      <c r="C384" s="30">
        <f t="shared" si="8"/>
        <v>0</v>
      </c>
      <c r="D384" s="76">
        <f t="shared" si="7"/>
        <v>0</v>
      </c>
      <c r="E384" s="81"/>
      <c r="F384" s="81"/>
      <c r="G384" s="82"/>
    </row>
    <row r="385" spans="1:7" ht="13.5" thickBot="1">
      <c r="A385" s="123" t="s">
        <v>53</v>
      </c>
      <c r="B385" s="145"/>
      <c r="C385" s="30">
        <f t="shared" si="8"/>
        <v>0</v>
      </c>
      <c r="D385" s="87"/>
      <c r="E385" s="87"/>
      <c r="F385" s="87"/>
      <c r="G385" s="88"/>
    </row>
    <row r="386" spans="1:7" ht="13.5" thickBot="1">
      <c r="A386" s="89"/>
      <c r="B386" s="125"/>
      <c r="C386" s="30">
        <f>B385</f>
        <v>0</v>
      </c>
      <c r="D386" s="126"/>
      <c r="E386" s="127" t="e">
        <f>AVERAGE(E335:E384)</f>
        <v>#DIV/0!</v>
      </c>
      <c r="F386" s="127" t="e">
        <f>AVERAGE(F335:F385)</f>
        <v>#DIV/0!</v>
      </c>
      <c r="G386" s="128"/>
    </row>
    <row r="387" spans="1:7" ht="52.5" customHeight="1">
      <c r="A387" s="94" t="s">
        <v>55</v>
      </c>
      <c r="B387" s="95"/>
      <c r="C387" s="30">
        <f t="shared" si="8"/>
        <v>0</v>
      </c>
      <c r="D387" s="96"/>
      <c r="E387" s="97">
        <f>B388</f>
        <v>0</v>
      </c>
      <c r="F387" s="98" t="e">
        <f>B392</f>
        <v>#DIV/0!</v>
      </c>
      <c r="G387" s="99"/>
    </row>
    <row r="388" spans="1:7" ht="54.75" customHeight="1">
      <c r="A388" s="100" t="s">
        <v>56</v>
      </c>
      <c r="B388" s="101"/>
      <c r="D388" s="102"/>
      <c r="E388" s="103"/>
      <c r="F388" s="103"/>
      <c r="G388" s="104"/>
    </row>
    <row r="389" spans="1:7" ht="78" customHeight="1" thickBot="1">
      <c r="A389" s="105" t="s">
        <v>57</v>
      </c>
      <c r="B389" s="106"/>
      <c r="D389" s="87"/>
      <c r="E389" s="86">
        <f>0.6*E387</f>
        <v>0</v>
      </c>
      <c r="F389" s="86" t="e">
        <f>0.6*F387</f>
        <v>#DIV/0!</v>
      </c>
      <c r="G389" s="107"/>
    </row>
    <row r="390" spans="1:7" ht="15" customHeight="1" thickBot="1"/>
    <row r="391" spans="1:7" ht="51.75" thickBot="1">
      <c r="A391" s="108" t="s">
        <v>56</v>
      </c>
      <c r="B391" s="109">
        <f>B388</f>
        <v>0</v>
      </c>
    </row>
    <row r="392" spans="1:7">
      <c r="A392" s="110" t="s">
        <v>64</v>
      </c>
      <c r="B392" s="111" t="e">
        <f>AVERAGE(B340:B379)</f>
        <v>#DIV/0!</v>
      </c>
    </row>
    <row r="393" spans="1:7">
      <c r="A393" s="112" t="s">
        <v>65</v>
      </c>
      <c r="B393" s="113" t="e">
        <f>AVERAGE(B345:B374)</f>
        <v>#DIV/0!</v>
      </c>
    </row>
    <row r="394" spans="1:7" ht="15.75" thickBot="1">
      <c r="A394" s="114" t="s">
        <v>66</v>
      </c>
      <c r="B394" s="115" t="e">
        <f>AVERAGE(B351:B369)</f>
        <v>#DIV/0!</v>
      </c>
    </row>
    <row r="395" spans="1:7" ht="15.75" thickBot="1"/>
    <row r="396" spans="1:7" ht="15.75" customHeight="1" thickBot="1">
      <c r="A396" s="535" t="s">
        <v>0</v>
      </c>
      <c r="B396" s="538" t="s">
        <v>89</v>
      </c>
      <c r="C396" s="539"/>
      <c r="D396" s="540"/>
      <c r="E396" s="62">
        <f>(1-E451)^(1/3)-1</f>
        <v>0</v>
      </c>
      <c r="F396" s="63">
        <f>(1-F451)^(1/3)-1</f>
        <v>0</v>
      </c>
      <c r="G396" s="64"/>
    </row>
    <row r="397" spans="1:7" ht="77.25" thickBot="1">
      <c r="A397" s="536"/>
      <c r="B397" s="65" t="s">
        <v>4</v>
      </c>
      <c r="D397" s="65" t="s">
        <v>80</v>
      </c>
      <c r="E397" s="65" t="s">
        <v>5</v>
      </c>
      <c r="F397" s="65" t="s">
        <v>5</v>
      </c>
      <c r="G397" s="65"/>
    </row>
    <row r="398" spans="1:7" ht="15.75" thickBot="1">
      <c r="A398" s="537"/>
      <c r="B398" s="66" t="s">
        <v>90</v>
      </c>
      <c r="D398" s="66" t="s">
        <v>7</v>
      </c>
      <c r="E398" s="67" t="s">
        <v>82</v>
      </c>
      <c r="F398" s="68" t="s">
        <v>83</v>
      </c>
      <c r="G398" s="68"/>
    </row>
    <row r="399" spans="1:7" ht="15.75" thickBot="1">
      <c r="A399" s="69">
        <v>1</v>
      </c>
      <c r="B399" s="116">
        <v>2</v>
      </c>
      <c r="D399" s="117">
        <v>3</v>
      </c>
      <c r="E399" s="71">
        <v>4</v>
      </c>
      <c r="F399" s="117">
        <v>5</v>
      </c>
      <c r="G399" s="71"/>
    </row>
    <row r="400" spans="1:7">
      <c r="A400" s="118" t="s">
        <v>10</v>
      </c>
      <c r="B400" s="119"/>
      <c r="D400" s="76">
        <f>IF(B400=0,0,IF(B400&lt;=E$454,0,B400-E$454)/B400)</f>
        <v>0</v>
      </c>
      <c r="E400" s="77"/>
      <c r="F400" s="77"/>
      <c r="G400" s="78"/>
    </row>
    <row r="401" spans="1:7">
      <c r="A401" s="120" t="s">
        <v>58</v>
      </c>
      <c r="B401" s="121"/>
      <c r="D401" s="76">
        <f t="shared" ref="D401:D449" si="9">IF(B401=0,0,IF(B401&lt;=E$454,0,B401-E$454)/B401)</f>
        <v>0</v>
      </c>
      <c r="E401" s="81"/>
      <c r="F401" s="81"/>
      <c r="G401" s="82"/>
    </row>
    <row r="402" spans="1:7">
      <c r="A402" s="120" t="s">
        <v>59</v>
      </c>
      <c r="B402" s="121"/>
      <c r="C402">
        <v>0</v>
      </c>
      <c r="D402" s="76">
        <f t="shared" si="9"/>
        <v>0</v>
      </c>
      <c r="E402" s="81"/>
      <c r="F402" s="81"/>
      <c r="G402" s="82"/>
    </row>
    <row r="403" spans="1:7" ht="12.75">
      <c r="A403" s="120" t="s">
        <v>60</v>
      </c>
      <c r="B403" s="121"/>
      <c r="C403" s="30">
        <f>B402</f>
        <v>0</v>
      </c>
      <c r="D403" s="76">
        <f t="shared" si="9"/>
        <v>0</v>
      </c>
      <c r="E403" s="81"/>
      <c r="F403" s="81"/>
      <c r="G403" s="82"/>
    </row>
    <row r="404" spans="1:7" ht="12.75">
      <c r="A404" s="120" t="s">
        <v>61</v>
      </c>
      <c r="B404" s="121"/>
      <c r="C404" s="30">
        <f t="shared" ref="C404:C452" si="10">B403</f>
        <v>0</v>
      </c>
      <c r="D404" s="76">
        <f t="shared" si="9"/>
        <v>0</v>
      </c>
      <c r="E404" s="81"/>
      <c r="F404" s="81"/>
      <c r="G404" s="82"/>
    </row>
    <row r="405" spans="1:7" ht="12.75">
      <c r="A405" s="120" t="s">
        <v>62</v>
      </c>
      <c r="B405" s="121"/>
      <c r="C405" s="30">
        <f t="shared" si="10"/>
        <v>0</v>
      </c>
      <c r="D405" s="76">
        <f t="shared" si="9"/>
        <v>0</v>
      </c>
      <c r="E405" s="81"/>
      <c r="F405" s="81"/>
      <c r="G405" s="82"/>
    </row>
    <row r="406" spans="1:7" ht="12.75">
      <c r="A406" s="120" t="s">
        <v>63</v>
      </c>
      <c r="B406" s="121"/>
      <c r="C406" s="30">
        <f t="shared" si="10"/>
        <v>0</v>
      </c>
      <c r="D406" s="76">
        <f t="shared" si="9"/>
        <v>0</v>
      </c>
      <c r="E406" s="81"/>
      <c r="F406" s="81"/>
      <c r="G406" s="82"/>
    </row>
    <row r="407" spans="1:7" ht="12.75">
      <c r="A407" s="122" t="s">
        <v>11</v>
      </c>
      <c r="B407" s="121"/>
      <c r="C407" s="30">
        <f t="shared" si="10"/>
        <v>0</v>
      </c>
      <c r="D407" s="76">
        <f t="shared" si="9"/>
        <v>0</v>
      </c>
      <c r="E407" s="81"/>
      <c r="F407" s="81"/>
      <c r="G407" s="82"/>
    </row>
    <row r="408" spans="1:7" ht="12.75">
      <c r="A408" s="122" t="s">
        <v>12</v>
      </c>
      <c r="B408" s="121"/>
      <c r="C408" s="30">
        <f t="shared" si="10"/>
        <v>0</v>
      </c>
      <c r="D408" s="76">
        <f t="shared" si="9"/>
        <v>0</v>
      </c>
      <c r="E408" s="81"/>
      <c r="F408" s="81"/>
      <c r="G408" s="82"/>
    </row>
    <row r="409" spans="1:7" ht="12.75">
      <c r="A409" s="122" t="s">
        <v>13</v>
      </c>
      <c r="B409" s="121"/>
      <c r="C409" s="30">
        <f t="shared" si="10"/>
        <v>0</v>
      </c>
      <c r="D409" s="76">
        <f t="shared" si="9"/>
        <v>0</v>
      </c>
      <c r="E409" s="81"/>
      <c r="F409" s="81"/>
      <c r="G409" s="82"/>
    </row>
    <row r="410" spans="1:7" ht="12.75">
      <c r="A410" s="122" t="s">
        <v>14</v>
      </c>
      <c r="B410" s="121"/>
      <c r="C410" s="30">
        <f t="shared" si="10"/>
        <v>0</v>
      </c>
      <c r="D410" s="76">
        <f t="shared" si="9"/>
        <v>0</v>
      </c>
      <c r="E410" s="81"/>
      <c r="F410" s="81"/>
      <c r="G410" s="82"/>
    </row>
    <row r="411" spans="1:7" ht="12.75">
      <c r="A411" s="122" t="s">
        <v>15</v>
      </c>
      <c r="B411" s="121"/>
      <c r="C411" s="30">
        <f t="shared" si="10"/>
        <v>0</v>
      </c>
      <c r="D411" s="76">
        <f t="shared" si="9"/>
        <v>0</v>
      </c>
      <c r="E411" s="81"/>
      <c r="F411" s="81"/>
      <c r="G411" s="82"/>
    </row>
    <row r="412" spans="1:7" ht="12.75">
      <c r="A412" s="122" t="s">
        <v>16</v>
      </c>
      <c r="B412" s="121"/>
      <c r="C412" s="30">
        <f t="shared" si="10"/>
        <v>0</v>
      </c>
      <c r="D412" s="76">
        <f t="shared" si="9"/>
        <v>0</v>
      </c>
      <c r="E412" s="81"/>
      <c r="F412" s="81"/>
      <c r="G412" s="82"/>
    </row>
    <row r="413" spans="1:7" ht="12.75">
      <c r="A413" s="122" t="s">
        <v>17</v>
      </c>
      <c r="B413" s="121"/>
      <c r="C413" s="30">
        <f t="shared" si="10"/>
        <v>0</v>
      </c>
      <c r="D413" s="76">
        <f t="shared" si="9"/>
        <v>0</v>
      </c>
      <c r="E413" s="81"/>
      <c r="F413" s="81"/>
      <c r="G413" s="82"/>
    </row>
    <row r="414" spans="1:7" ht="12.75">
      <c r="A414" s="122" t="s">
        <v>18</v>
      </c>
      <c r="B414" s="121"/>
      <c r="C414" s="30">
        <f t="shared" si="10"/>
        <v>0</v>
      </c>
      <c r="D414" s="76">
        <f t="shared" si="9"/>
        <v>0</v>
      </c>
      <c r="E414" s="81"/>
      <c r="F414" s="81"/>
      <c r="G414" s="82"/>
    </row>
    <row r="415" spans="1:7" ht="12.75">
      <c r="A415" s="122" t="s">
        <v>19</v>
      </c>
      <c r="B415" s="121"/>
      <c r="C415" s="30">
        <f t="shared" si="10"/>
        <v>0</v>
      </c>
      <c r="D415" s="76">
        <f t="shared" si="9"/>
        <v>0</v>
      </c>
      <c r="E415" s="81"/>
      <c r="F415" s="81"/>
      <c r="G415" s="82"/>
    </row>
    <row r="416" spans="1:7" ht="12.75">
      <c r="A416" s="122" t="s">
        <v>20</v>
      </c>
      <c r="B416" s="121"/>
      <c r="C416" s="30">
        <f t="shared" si="10"/>
        <v>0</v>
      </c>
      <c r="D416" s="76">
        <f t="shared" si="9"/>
        <v>0</v>
      </c>
      <c r="E416" s="81"/>
      <c r="F416" s="81"/>
      <c r="G416" s="82"/>
    </row>
    <row r="417" spans="1:7" ht="12.75">
      <c r="A417" s="122" t="s">
        <v>21</v>
      </c>
      <c r="B417" s="121"/>
      <c r="C417" s="30">
        <f t="shared" si="10"/>
        <v>0</v>
      </c>
      <c r="D417" s="76">
        <f t="shared" si="9"/>
        <v>0</v>
      </c>
      <c r="E417" s="81"/>
      <c r="F417" s="81"/>
      <c r="G417" s="82"/>
    </row>
    <row r="418" spans="1:7" ht="12.75">
      <c r="A418" s="122" t="s">
        <v>22</v>
      </c>
      <c r="B418" s="121"/>
      <c r="C418" s="30">
        <f t="shared" si="10"/>
        <v>0</v>
      </c>
      <c r="D418" s="76">
        <f t="shared" si="9"/>
        <v>0</v>
      </c>
      <c r="E418" s="81"/>
      <c r="F418" s="81"/>
      <c r="G418" s="82"/>
    </row>
    <row r="419" spans="1:7" ht="12.75">
      <c r="A419" s="122" t="s">
        <v>23</v>
      </c>
      <c r="B419" s="121"/>
      <c r="C419" s="30">
        <f t="shared" si="10"/>
        <v>0</v>
      </c>
      <c r="D419" s="76">
        <f t="shared" si="9"/>
        <v>0</v>
      </c>
      <c r="E419" s="81"/>
      <c r="F419" s="81"/>
      <c r="G419" s="82"/>
    </row>
    <row r="420" spans="1:7" ht="12.75">
      <c r="A420" s="122" t="s">
        <v>24</v>
      </c>
      <c r="B420" s="121"/>
      <c r="C420" s="30">
        <f t="shared" si="10"/>
        <v>0</v>
      </c>
      <c r="D420" s="76">
        <f t="shared" si="9"/>
        <v>0</v>
      </c>
      <c r="E420" s="81"/>
      <c r="F420" s="81"/>
      <c r="G420" s="82"/>
    </row>
    <row r="421" spans="1:7" ht="12.75">
      <c r="A421" s="122" t="s">
        <v>25</v>
      </c>
      <c r="B421" s="121"/>
      <c r="C421" s="30">
        <f t="shared" si="10"/>
        <v>0</v>
      </c>
      <c r="D421" s="76">
        <f t="shared" si="9"/>
        <v>0</v>
      </c>
      <c r="E421" s="81"/>
      <c r="F421" s="81"/>
      <c r="G421" s="82"/>
    </row>
    <row r="422" spans="1:7" ht="12.75">
      <c r="A422" s="122" t="s">
        <v>26</v>
      </c>
      <c r="B422" s="121"/>
      <c r="C422" s="30">
        <f t="shared" si="10"/>
        <v>0</v>
      </c>
      <c r="D422" s="76">
        <f t="shared" si="9"/>
        <v>0</v>
      </c>
      <c r="E422" s="81"/>
      <c r="F422" s="81"/>
      <c r="G422" s="82"/>
    </row>
    <row r="423" spans="1:7" ht="12.75">
      <c r="A423" s="122" t="s">
        <v>27</v>
      </c>
      <c r="B423" s="121"/>
      <c r="C423" s="30">
        <f t="shared" si="10"/>
        <v>0</v>
      </c>
      <c r="D423" s="76">
        <f t="shared" si="9"/>
        <v>0</v>
      </c>
      <c r="E423" s="81"/>
      <c r="F423" s="81"/>
      <c r="G423" s="82"/>
    </row>
    <row r="424" spans="1:7" ht="12.75">
      <c r="A424" s="122" t="s">
        <v>28</v>
      </c>
      <c r="B424" s="121"/>
      <c r="C424" s="30">
        <f t="shared" si="10"/>
        <v>0</v>
      </c>
      <c r="D424" s="76">
        <f t="shared" si="9"/>
        <v>0</v>
      </c>
      <c r="E424" s="81"/>
      <c r="F424" s="81"/>
      <c r="G424" s="82"/>
    </row>
    <row r="425" spans="1:7" ht="12.75">
      <c r="A425" s="122" t="s">
        <v>29</v>
      </c>
      <c r="B425" s="121"/>
      <c r="C425" s="30">
        <f t="shared" si="10"/>
        <v>0</v>
      </c>
      <c r="D425" s="76">
        <f t="shared" si="9"/>
        <v>0</v>
      </c>
      <c r="E425" s="81"/>
      <c r="F425" s="81"/>
      <c r="G425" s="82"/>
    </row>
    <row r="426" spans="1:7" ht="12.75">
      <c r="A426" s="122" t="s">
        <v>30</v>
      </c>
      <c r="B426" s="121"/>
      <c r="C426" s="30">
        <f t="shared" si="10"/>
        <v>0</v>
      </c>
      <c r="D426" s="76">
        <f t="shared" si="9"/>
        <v>0</v>
      </c>
      <c r="E426" s="81"/>
      <c r="F426" s="81"/>
      <c r="G426" s="82"/>
    </row>
    <row r="427" spans="1:7" ht="12.75">
      <c r="A427" s="122" t="s">
        <v>31</v>
      </c>
      <c r="B427" s="121"/>
      <c r="C427" s="30">
        <f t="shared" si="10"/>
        <v>0</v>
      </c>
      <c r="D427" s="76">
        <f t="shared" si="9"/>
        <v>0</v>
      </c>
      <c r="E427" s="81"/>
      <c r="F427" s="81"/>
      <c r="G427" s="82"/>
    </row>
    <row r="428" spans="1:7" ht="12.75">
      <c r="A428" s="122" t="s">
        <v>32</v>
      </c>
      <c r="B428" s="121"/>
      <c r="C428" s="30">
        <f t="shared" si="10"/>
        <v>0</v>
      </c>
      <c r="D428" s="76">
        <f t="shared" si="9"/>
        <v>0</v>
      </c>
      <c r="E428" s="81"/>
      <c r="F428" s="81"/>
      <c r="G428" s="82"/>
    </row>
    <row r="429" spans="1:7" ht="12.75">
      <c r="A429" s="122" t="s">
        <v>33</v>
      </c>
      <c r="B429" s="121"/>
      <c r="C429" s="30">
        <f t="shared" si="10"/>
        <v>0</v>
      </c>
      <c r="D429" s="76">
        <f t="shared" si="9"/>
        <v>0</v>
      </c>
      <c r="E429" s="81"/>
      <c r="F429" s="81"/>
      <c r="G429" s="82"/>
    </row>
    <row r="430" spans="1:7" ht="12.75">
      <c r="A430" s="122" t="s">
        <v>34</v>
      </c>
      <c r="B430" s="121"/>
      <c r="C430" s="30">
        <f t="shared" si="10"/>
        <v>0</v>
      </c>
      <c r="D430" s="76">
        <f t="shared" si="9"/>
        <v>0</v>
      </c>
      <c r="E430" s="81"/>
      <c r="F430" s="81"/>
      <c r="G430" s="82"/>
    </row>
    <row r="431" spans="1:7" ht="12.75">
      <c r="A431" s="122" t="s">
        <v>35</v>
      </c>
      <c r="B431" s="121"/>
      <c r="C431" s="30">
        <f t="shared" si="10"/>
        <v>0</v>
      </c>
      <c r="D431" s="76">
        <f t="shared" si="9"/>
        <v>0</v>
      </c>
      <c r="E431" s="81"/>
      <c r="F431" s="81"/>
      <c r="G431" s="82"/>
    </row>
    <row r="432" spans="1:7" ht="12.75">
      <c r="A432" s="122" t="s">
        <v>36</v>
      </c>
      <c r="B432" s="121"/>
      <c r="C432" s="30">
        <f t="shared" si="10"/>
        <v>0</v>
      </c>
      <c r="D432" s="76">
        <f t="shared" si="9"/>
        <v>0</v>
      </c>
      <c r="E432" s="81"/>
      <c r="F432" s="81"/>
      <c r="G432" s="82"/>
    </row>
    <row r="433" spans="1:7" ht="12.75">
      <c r="A433" s="122" t="s">
        <v>37</v>
      </c>
      <c r="B433" s="121"/>
      <c r="C433" s="30">
        <f t="shared" si="10"/>
        <v>0</v>
      </c>
      <c r="D433" s="76">
        <f t="shared" si="9"/>
        <v>0</v>
      </c>
      <c r="E433" s="81"/>
      <c r="F433" s="81"/>
      <c r="G433" s="82"/>
    </row>
    <row r="434" spans="1:7" ht="12.75">
      <c r="A434" s="122" t="s">
        <v>38</v>
      </c>
      <c r="B434" s="121"/>
      <c r="C434" s="30">
        <f t="shared" si="10"/>
        <v>0</v>
      </c>
      <c r="D434" s="76">
        <f t="shared" si="9"/>
        <v>0</v>
      </c>
      <c r="E434" s="81"/>
      <c r="F434" s="81"/>
      <c r="G434" s="82"/>
    </row>
    <row r="435" spans="1:7" ht="12.75">
      <c r="A435" s="122" t="s">
        <v>39</v>
      </c>
      <c r="B435" s="121"/>
      <c r="C435" s="30">
        <f t="shared" si="10"/>
        <v>0</v>
      </c>
      <c r="D435" s="76">
        <f t="shared" si="9"/>
        <v>0</v>
      </c>
      <c r="E435" s="81"/>
      <c r="F435" s="81"/>
      <c r="G435" s="82"/>
    </row>
    <row r="436" spans="1:7" ht="12.75">
      <c r="A436" s="122" t="s">
        <v>40</v>
      </c>
      <c r="B436" s="121"/>
      <c r="C436" s="30">
        <f t="shared" si="10"/>
        <v>0</v>
      </c>
      <c r="D436" s="76">
        <f t="shared" si="9"/>
        <v>0</v>
      </c>
      <c r="E436" s="81"/>
      <c r="F436" s="81"/>
      <c r="G436" s="82"/>
    </row>
    <row r="437" spans="1:7" ht="12.75">
      <c r="A437" s="122" t="s">
        <v>41</v>
      </c>
      <c r="B437" s="121"/>
      <c r="C437" s="30">
        <f t="shared" si="10"/>
        <v>0</v>
      </c>
      <c r="D437" s="76">
        <f t="shared" si="9"/>
        <v>0</v>
      </c>
      <c r="E437" s="81"/>
      <c r="F437" s="81"/>
      <c r="G437" s="82"/>
    </row>
    <row r="438" spans="1:7" ht="12.75">
      <c r="A438" s="122" t="s">
        <v>42</v>
      </c>
      <c r="B438" s="121"/>
      <c r="C438" s="30">
        <f t="shared" si="10"/>
        <v>0</v>
      </c>
      <c r="D438" s="76">
        <f t="shared" si="9"/>
        <v>0</v>
      </c>
      <c r="E438" s="81"/>
      <c r="F438" s="81"/>
      <c r="G438" s="82"/>
    </row>
    <row r="439" spans="1:7" ht="12.75">
      <c r="A439" s="122" t="s">
        <v>43</v>
      </c>
      <c r="B439" s="121"/>
      <c r="C439" s="30">
        <f t="shared" si="10"/>
        <v>0</v>
      </c>
      <c r="D439" s="76">
        <f t="shared" si="9"/>
        <v>0</v>
      </c>
      <c r="E439" s="81"/>
      <c r="F439" s="81"/>
      <c r="G439" s="82"/>
    </row>
    <row r="440" spans="1:7" ht="12.75">
      <c r="A440" s="122" t="s">
        <v>44</v>
      </c>
      <c r="B440" s="121"/>
      <c r="C440" s="30">
        <f t="shared" si="10"/>
        <v>0</v>
      </c>
      <c r="D440" s="76">
        <f t="shared" si="9"/>
        <v>0</v>
      </c>
      <c r="E440" s="81"/>
      <c r="F440" s="81"/>
      <c r="G440" s="82"/>
    </row>
    <row r="441" spans="1:7" ht="12.75">
      <c r="A441" s="122" t="s">
        <v>45</v>
      </c>
      <c r="B441" s="121"/>
      <c r="C441" s="30">
        <f t="shared" si="10"/>
        <v>0</v>
      </c>
      <c r="D441" s="76">
        <f t="shared" si="9"/>
        <v>0</v>
      </c>
      <c r="E441" s="81"/>
      <c r="F441" s="81"/>
      <c r="G441" s="82"/>
    </row>
    <row r="442" spans="1:7" ht="12.75">
      <c r="A442" s="122" t="s">
        <v>46</v>
      </c>
      <c r="B442" s="121"/>
      <c r="C442" s="30">
        <f t="shared" si="10"/>
        <v>0</v>
      </c>
      <c r="D442" s="76">
        <f t="shared" si="9"/>
        <v>0</v>
      </c>
      <c r="E442" s="81"/>
      <c r="F442" s="81"/>
      <c r="G442" s="82"/>
    </row>
    <row r="443" spans="1:7" ht="12.75">
      <c r="A443" s="122" t="s">
        <v>47</v>
      </c>
      <c r="B443" s="121"/>
      <c r="C443" s="30">
        <f t="shared" si="10"/>
        <v>0</v>
      </c>
      <c r="D443" s="76">
        <f t="shared" si="9"/>
        <v>0</v>
      </c>
      <c r="E443" s="81"/>
      <c r="F443" s="81"/>
      <c r="G443" s="82"/>
    </row>
    <row r="444" spans="1:7" ht="12.75">
      <c r="A444" s="122" t="s">
        <v>48</v>
      </c>
      <c r="B444" s="121"/>
      <c r="C444" s="30">
        <f t="shared" si="10"/>
        <v>0</v>
      </c>
      <c r="D444" s="76">
        <f t="shared" si="9"/>
        <v>0</v>
      </c>
      <c r="E444" s="81"/>
      <c r="F444" s="81"/>
      <c r="G444" s="82"/>
    </row>
    <row r="445" spans="1:7" ht="12.75">
      <c r="A445" s="122" t="s">
        <v>49</v>
      </c>
      <c r="B445" s="121"/>
      <c r="C445" s="30">
        <f t="shared" si="10"/>
        <v>0</v>
      </c>
      <c r="D445" s="76">
        <f t="shared" si="9"/>
        <v>0</v>
      </c>
      <c r="E445" s="81"/>
      <c r="F445" s="81"/>
      <c r="G445" s="82"/>
    </row>
    <row r="446" spans="1:7" ht="12.75">
      <c r="A446" s="122" t="s">
        <v>50</v>
      </c>
      <c r="B446" s="121"/>
      <c r="C446" s="30">
        <f t="shared" si="10"/>
        <v>0</v>
      </c>
      <c r="D446" s="76">
        <f t="shared" si="9"/>
        <v>0</v>
      </c>
      <c r="E446" s="81"/>
      <c r="F446" s="81"/>
      <c r="G446" s="82"/>
    </row>
    <row r="447" spans="1:7" ht="12.75">
      <c r="A447" s="122" t="s">
        <v>51</v>
      </c>
      <c r="B447" s="121"/>
      <c r="C447" s="30">
        <f t="shared" si="10"/>
        <v>0</v>
      </c>
      <c r="D447" s="76">
        <f t="shared" si="9"/>
        <v>0</v>
      </c>
      <c r="E447" s="81"/>
      <c r="F447" s="81"/>
      <c r="G447" s="82"/>
    </row>
    <row r="448" spans="1:7" ht="12.75">
      <c r="A448" s="122" t="s">
        <v>52</v>
      </c>
      <c r="B448" s="121"/>
      <c r="C448" s="30">
        <f t="shared" si="10"/>
        <v>0</v>
      </c>
      <c r="D448" s="76">
        <f t="shared" si="9"/>
        <v>0</v>
      </c>
      <c r="E448" s="81"/>
      <c r="F448" s="81"/>
      <c r="G448" s="82"/>
    </row>
    <row r="449" spans="1:7" ht="12.75">
      <c r="A449" s="122" t="s">
        <v>53</v>
      </c>
      <c r="B449" s="121"/>
      <c r="C449" s="30">
        <f t="shared" si="10"/>
        <v>0</v>
      </c>
      <c r="D449" s="76">
        <f t="shared" si="9"/>
        <v>0</v>
      </c>
      <c r="E449" s="81"/>
      <c r="F449" s="81"/>
      <c r="G449" s="82"/>
    </row>
    <row r="450" spans="1:7" ht="13.5" thickBot="1">
      <c r="A450" s="123" t="s">
        <v>53</v>
      </c>
      <c r="B450" s="124"/>
      <c r="C450" s="30">
        <f t="shared" si="10"/>
        <v>0</v>
      </c>
      <c r="D450" s="87"/>
      <c r="E450" s="87"/>
      <c r="F450" s="87"/>
      <c r="G450" s="88"/>
    </row>
    <row r="451" spans="1:7" ht="13.5" thickBot="1">
      <c r="A451" s="89"/>
      <c r="B451" s="125"/>
      <c r="C451" s="30">
        <f>B450</f>
        <v>0</v>
      </c>
      <c r="D451" s="126"/>
      <c r="E451" s="127"/>
      <c r="F451" s="127"/>
      <c r="G451" s="128"/>
    </row>
    <row r="452" spans="1:7" ht="53.25" customHeight="1">
      <c r="A452" s="94" t="s">
        <v>55</v>
      </c>
      <c r="B452" s="95"/>
      <c r="C452" s="30">
        <f t="shared" si="10"/>
        <v>0</v>
      </c>
      <c r="D452" s="96"/>
      <c r="E452" s="97"/>
      <c r="F452" s="98"/>
      <c r="G452" s="99"/>
    </row>
    <row r="453" spans="1:7" ht="51.75" customHeight="1">
      <c r="A453" s="100" t="s">
        <v>56</v>
      </c>
      <c r="B453" s="101"/>
      <c r="D453" s="102"/>
      <c r="E453" s="103"/>
      <c r="F453" s="103"/>
      <c r="G453" s="104"/>
    </row>
    <row r="454" spans="1:7" ht="77.25" customHeight="1" thickBot="1">
      <c r="A454" s="105" t="s">
        <v>57</v>
      </c>
      <c r="B454" s="106"/>
      <c r="D454" s="87"/>
      <c r="E454" s="86">
        <f>0.6*E452</f>
        <v>0</v>
      </c>
      <c r="F454" s="86">
        <f>0.6*F452</f>
        <v>0</v>
      </c>
      <c r="G454" s="107"/>
    </row>
    <row r="455" spans="1:7" ht="15.75" thickBot="1"/>
    <row r="456" spans="1:7" ht="51.75" thickBot="1">
      <c r="A456" s="108" t="s">
        <v>56</v>
      </c>
      <c r="B456" s="109">
        <f>B453</f>
        <v>0</v>
      </c>
    </row>
    <row r="457" spans="1:7">
      <c r="A457" s="110" t="s">
        <v>64</v>
      </c>
      <c r="B457" s="111" t="e">
        <f>AVERAGE(B405:B444)</f>
        <v>#DIV/0!</v>
      </c>
    </row>
    <row r="458" spans="1:7">
      <c r="A458" s="112" t="s">
        <v>65</v>
      </c>
      <c r="B458" s="113" t="e">
        <f>AVERAGE(B410:B439)</f>
        <v>#DIV/0!</v>
      </c>
    </row>
    <row r="459" spans="1:7" ht="15.75" thickBot="1">
      <c r="A459" s="114" t="s">
        <v>66</v>
      </c>
      <c r="B459" s="115" t="e">
        <f>AVERAGE(B416:B434)</f>
        <v>#DIV/0!</v>
      </c>
    </row>
  </sheetData>
  <mergeCells count="14">
    <mergeCell ref="A2:A4"/>
    <mergeCell ref="B2:D2"/>
    <mergeCell ref="A69:A71"/>
    <mergeCell ref="B69:D69"/>
    <mergeCell ref="A134:A136"/>
    <mergeCell ref="B134:D134"/>
    <mergeCell ref="A396:A398"/>
    <mergeCell ref="B396:D396"/>
    <mergeCell ref="A200:A202"/>
    <mergeCell ref="B200:D200"/>
    <mergeCell ref="A266:A268"/>
    <mergeCell ref="B266:D266"/>
    <mergeCell ref="A331:A333"/>
    <mergeCell ref="B331:D331"/>
  </mergeCells>
  <pageMargins left="0.7" right="0.7" top="0.75" bottom="0.75" header="0.3" footer="0.3"/>
  <pageSetup paperSize="9" orientation="portrait" horizontalDpi="4294967295" verticalDpi="4294967295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Лист19">
    <tabColor rgb="FF92D050"/>
  </sheetPr>
  <dimension ref="A1:G458"/>
  <sheetViews>
    <sheetView topLeftCell="A478" workbookViewId="0">
      <selection activeCell="E418" sqref="E418:E419"/>
    </sheetView>
  </sheetViews>
  <sheetFormatPr defaultColWidth="9.140625" defaultRowHeight="15"/>
  <cols>
    <col min="1" max="1" width="13" style="59" customWidth="1"/>
    <col min="2" max="2" width="9.140625" style="59"/>
    <col min="4" max="4" width="9.140625" style="59"/>
    <col min="5" max="6" width="9.42578125" style="59" bestFit="1" customWidth="1"/>
    <col min="7" max="16384" width="9.140625" style="59"/>
  </cols>
  <sheetData>
    <row r="1" spans="1:7" ht="15.75" thickBot="1">
      <c r="E1" s="60">
        <v>0.1</v>
      </c>
      <c r="F1" s="61">
        <v>0.4</v>
      </c>
    </row>
    <row r="2" spans="1:7" ht="23.25" customHeight="1" thickBot="1">
      <c r="A2" s="535" t="s">
        <v>0</v>
      </c>
      <c r="B2" s="538" t="s">
        <v>1</v>
      </c>
      <c r="C2" s="539"/>
      <c r="D2" s="540"/>
      <c r="E2" s="62">
        <f>(1-E57)^(1/3)-1</f>
        <v>-2.7995789083735123E-2</v>
      </c>
      <c r="F2" s="63">
        <f>(1-F57)^(1/3)-1</f>
        <v>-2.7995789083735123E-2</v>
      </c>
      <c r="G2" s="64"/>
    </row>
    <row r="3" spans="1:7" ht="77.25" thickBot="1">
      <c r="A3" s="536"/>
      <c r="B3" s="65" t="s">
        <v>4</v>
      </c>
      <c r="C3" s="1"/>
      <c r="D3" s="65" t="s">
        <v>80</v>
      </c>
      <c r="E3" s="65" t="s">
        <v>5</v>
      </c>
      <c r="F3" s="65" t="s">
        <v>5</v>
      </c>
      <c r="G3" s="65"/>
    </row>
    <row r="4" spans="1:7" ht="26.25" thickBot="1">
      <c r="A4" s="537"/>
      <c r="B4" s="66" t="s">
        <v>6</v>
      </c>
      <c r="C4" s="1"/>
      <c r="D4" s="66" t="s">
        <v>7</v>
      </c>
      <c r="E4" s="67" t="s">
        <v>82</v>
      </c>
      <c r="F4" s="68" t="s">
        <v>83</v>
      </c>
      <c r="G4" s="68"/>
    </row>
    <row r="5" spans="1:7" ht="13.5" thickBot="1">
      <c r="A5" s="69">
        <v>1</v>
      </c>
      <c r="B5" s="70">
        <v>2</v>
      </c>
      <c r="C5" s="51"/>
      <c r="D5" s="71">
        <v>3</v>
      </c>
      <c r="E5" s="72">
        <v>4</v>
      </c>
      <c r="F5" s="73">
        <v>5</v>
      </c>
      <c r="G5" s="72"/>
    </row>
    <row r="6" spans="1:7" ht="12.75">
      <c r="A6" s="74" t="s">
        <v>10</v>
      </c>
      <c r="B6" s="151">
        <v>6.5</v>
      </c>
      <c r="C6" s="30">
        <v>0</v>
      </c>
      <c r="D6" s="76">
        <v>0</v>
      </c>
      <c r="E6" s="77">
        <v>0</v>
      </c>
      <c r="F6" s="77">
        <v>0</v>
      </c>
      <c r="G6" s="78">
        <v>0</v>
      </c>
    </row>
    <row r="7" spans="1:7" ht="12.75">
      <c r="A7" s="79" t="s">
        <v>58</v>
      </c>
      <c r="B7" s="152">
        <v>10.6</v>
      </c>
      <c r="C7" s="30">
        <f>B6</f>
        <v>6.5</v>
      </c>
      <c r="D7" s="76">
        <v>0</v>
      </c>
      <c r="E7" s="81">
        <v>0</v>
      </c>
      <c r="F7" s="81">
        <v>0</v>
      </c>
      <c r="G7" s="82">
        <v>0</v>
      </c>
    </row>
    <row r="8" spans="1:7" ht="12.75">
      <c r="A8" s="79" t="s">
        <v>59</v>
      </c>
      <c r="B8" s="152">
        <v>12.9</v>
      </c>
      <c r="C8" s="30">
        <f t="shared" ref="C8:C56" si="0">B7</f>
        <v>10.6</v>
      </c>
      <c r="D8" s="76">
        <v>0</v>
      </c>
      <c r="E8" s="81">
        <v>0</v>
      </c>
      <c r="F8" s="81">
        <v>0</v>
      </c>
      <c r="G8" s="82">
        <v>0</v>
      </c>
    </row>
    <row r="9" spans="1:7" ht="12.75">
      <c r="A9" s="79" t="s">
        <v>60</v>
      </c>
      <c r="B9" s="152">
        <v>14.6</v>
      </c>
      <c r="C9" s="30">
        <f t="shared" si="0"/>
        <v>12.9</v>
      </c>
      <c r="D9" s="76">
        <v>0</v>
      </c>
      <c r="E9" s="81">
        <v>0</v>
      </c>
      <c r="F9" s="81">
        <v>0</v>
      </c>
      <c r="G9" s="82">
        <v>0</v>
      </c>
    </row>
    <row r="10" spans="1:7" ht="12.75">
      <c r="A10" s="79" t="s">
        <v>61</v>
      </c>
      <c r="B10" s="152">
        <v>16.399999999999999</v>
      </c>
      <c r="C10" s="30">
        <f t="shared" si="0"/>
        <v>14.6</v>
      </c>
      <c r="D10" s="76">
        <v>0</v>
      </c>
      <c r="E10" s="81">
        <v>0</v>
      </c>
      <c r="F10" s="81">
        <v>0</v>
      </c>
      <c r="G10" s="82">
        <v>0</v>
      </c>
    </row>
    <row r="11" spans="1:7" ht="12.75">
      <c r="A11" s="79" t="s">
        <v>62</v>
      </c>
      <c r="B11" s="152">
        <v>18.3</v>
      </c>
      <c r="C11" s="30">
        <f t="shared" si="0"/>
        <v>16.399999999999999</v>
      </c>
      <c r="D11" s="76">
        <v>0</v>
      </c>
      <c r="E11" s="81">
        <v>0</v>
      </c>
      <c r="F11" s="81">
        <v>0</v>
      </c>
      <c r="G11" s="82">
        <v>0</v>
      </c>
    </row>
    <row r="12" spans="1:7" ht="12.75">
      <c r="A12" s="79" t="s">
        <v>63</v>
      </c>
      <c r="B12" s="152">
        <v>19.8</v>
      </c>
      <c r="C12" s="30">
        <f t="shared" si="0"/>
        <v>18.3</v>
      </c>
      <c r="D12" s="76">
        <v>0</v>
      </c>
      <c r="E12" s="81">
        <v>0</v>
      </c>
      <c r="F12" s="81">
        <v>0</v>
      </c>
      <c r="G12" s="82">
        <v>0</v>
      </c>
    </row>
    <row r="13" spans="1:7" ht="12.75">
      <c r="A13" s="83" t="s">
        <v>11</v>
      </c>
      <c r="B13" s="152">
        <v>21.2</v>
      </c>
      <c r="C13" s="30">
        <f t="shared" si="0"/>
        <v>19.8</v>
      </c>
      <c r="D13" s="76">
        <v>0</v>
      </c>
      <c r="E13" s="81">
        <v>0</v>
      </c>
      <c r="F13" s="81">
        <v>0</v>
      </c>
      <c r="G13" s="82">
        <v>0</v>
      </c>
    </row>
    <row r="14" spans="1:7" ht="12.75">
      <c r="A14" s="83" t="s">
        <v>12</v>
      </c>
      <c r="B14" s="152">
        <v>22.8</v>
      </c>
      <c r="C14" s="30">
        <f t="shared" si="0"/>
        <v>21.2</v>
      </c>
      <c r="D14" s="76">
        <v>0</v>
      </c>
      <c r="E14" s="81">
        <v>0</v>
      </c>
      <c r="F14" s="81">
        <v>0</v>
      </c>
      <c r="G14" s="82">
        <v>0</v>
      </c>
    </row>
    <row r="15" spans="1:7" ht="12.75">
      <c r="A15" s="83" t="s">
        <v>13</v>
      </c>
      <c r="B15" s="152">
        <v>23.9</v>
      </c>
      <c r="C15" s="30">
        <f t="shared" si="0"/>
        <v>22.8</v>
      </c>
      <c r="D15" s="76">
        <v>0</v>
      </c>
      <c r="E15" s="81">
        <v>0</v>
      </c>
      <c r="F15" s="81">
        <v>0</v>
      </c>
      <c r="G15" s="82">
        <v>0</v>
      </c>
    </row>
    <row r="16" spans="1:7" ht="12.75">
      <c r="A16" s="83" t="s">
        <v>14</v>
      </c>
      <c r="B16" s="152">
        <v>25.5</v>
      </c>
      <c r="C16" s="30">
        <f t="shared" si="0"/>
        <v>23.9</v>
      </c>
      <c r="D16" s="76">
        <v>0</v>
      </c>
      <c r="E16" s="81">
        <v>0</v>
      </c>
      <c r="F16" s="81">
        <v>0</v>
      </c>
      <c r="G16" s="82">
        <v>0</v>
      </c>
    </row>
    <row r="17" spans="1:7" ht="12.75">
      <c r="A17" s="83" t="s">
        <v>15</v>
      </c>
      <c r="B17" s="152">
        <v>27</v>
      </c>
      <c r="C17" s="30">
        <f t="shared" si="0"/>
        <v>25.5</v>
      </c>
      <c r="D17" s="76">
        <v>0</v>
      </c>
      <c r="E17" s="81">
        <v>0</v>
      </c>
      <c r="F17" s="81">
        <v>0</v>
      </c>
      <c r="G17" s="82">
        <v>1.1851851851851993E-3</v>
      </c>
    </row>
    <row r="18" spans="1:7" ht="12.75">
      <c r="A18" s="83" t="s">
        <v>16</v>
      </c>
      <c r="B18" s="152">
        <v>28.1</v>
      </c>
      <c r="C18" s="30">
        <f t="shared" si="0"/>
        <v>27</v>
      </c>
      <c r="D18" s="76">
        <v>8.9323843416373068E-3</v>
      </c>
      <c r="E18" s="81"/>
      <c r="F18" s="81">
        <v>8.9323843416373066E-4</v>
      </c>
      <c r="G18" s="82">
        <v>5.0533807829181683E-3</v>
      </c>
    </row>
    <row r="19" spans="1:7" ht="12.75">
      <c r="A19" s="83" t="s">
        <v>17</v>
      </c>
      <c r="B19" s="152">
        <v>29.2</v>
      </c>
      <c r="C19" s="30">
        <f t="shared" si="0"/>
        <v>28.1</v>
      </c>
      <c r="D19" s="76">
        <v>4.6267123287671449E-2</v>
      </c>
      <c r="E19" s="81"/>
      <c r="F19" s="81">
        <v>4.6267123287671453E-3</v>
      </c>
      <c r="G19" s="82">
        <v>8.6301369863013809E-3</v>
      </c>
    </row>
    <row r="20" spans="1:7" ht="12.75">
      <c r="A20" s="83" t="s">
        <v>18</v>
      </c>
      <c r="B20" s="152">
        <v>30.6</v>
      </c>
      <c r="C20" s="30">
        <f t="shared" si="0"/>
        <v>29.2</v>
      </c>
      <c r="D20" s="76">
        <v>8.9901960784313992E-2</v>
      </c>
      <c r="E20" s="81"/>
      <c r="F20" s="81">
        <v>8.9901960784313992E-3</v>
      </c>
      <c r="G20" s="82">
        <v>1.2810457516339887E-2</v>
      </c>
    </row>
    <row r="21" spans="1:7" ht="12.75">
      <c r="A21" s="83" t="s">
        <v>19</v>
      </c>
      <c r="B21" s="152">
        <v>31.5</v>
      </c>
      <c r="C21" s="30">
        <f t="shared" si="0"/>
        <v>30.6</v>
      </c>
      <c r="D21" s="76">
        <v>0.11590476190476212</v>
      </c>
      <c r="E21" s="81">
        <v>1.1590476190476214E-2</v>
      </c>
      <c r="F21" s="81">
        <v>1.1590476190476214E-2</v>
      </c>
      <c r="G21" s="82">
        <v>1.5301587301587314E-2</v>
      </c>
    </row>
    <row r="22" spans="1:7" ht="12.75">
      <c r="A22" s="83" t="s">
        <v>20</v>
      </c>
      <c r="B22" s="152">
        <v>32.4</v>
      </c>
      <c r="C22" s="30">
        <f t="shared" si="0"/>
        <v>31.5</v>
      </c>
      <c r="D22" s="76">
        <v>0.14046296296296315</v>
      </c>
      <c r="E22" s="81">
        <v>1.4046296296296314E-2</v>
      </c>
      <c r="F22" s="81">
        <v>1.4046296296296314E-2</v>
      </c>
      <c r="G22" s="82">
        <v>1.7654320987654331E-2</v>
      </c>
    </row>
    <row r="23" spans="1:7" ht="12.75">
      <c r="A23" s="83" t="s">
        <v>21</v>
      </c>
      <c r="B23" s="152">
        <v>33.4</v>
      </c>
      <c r="C23" s="30">
        <f t="shared" si="0"/>
        <v>32.4</v>
      </c>
      <c r="D23" s="76">
        <v>0.16619760479041934</v>
      </c>
      <c r="E23" s="81">
        <v>1.6619760479041935E-2</v>
      </c>
      <c r="F23" s="81">
        <v>1.6619760479041935E-2</v>
      </c>
      <c r="G23" s="82">
        <v>2.0119760479041925E-2</v>
      </c>
    </row>
    <row r="24" spans="1:7" ht="12.75">
      <c r="A24" s="83" t="s">
        <v>22</v>
      </c>
      <c r="B24" s="152">
        <v>34.5</v>
      </c>
      <c r="C24" s="30">
        <f t="shared" si="0"/>
        <v>33.4</v>
      </c>
      <c r="D24" s="76">
        <v>0.19278260869565236</v>
      </c>
      <c r="E24" s="81">
        <v>1.9278260869565238E-2</v>
      </c>
      <c r="F24" s="81">
        <v>1.9278260869565238E-2</v>
      </c>
      <c r="G24" s="82">
        <v>2.2666666666666679E-2</v>
      </c>
    </row>
    <row r="25" spans="1:7" ht="12.75">
      <c r="A25" s="83" t="s">
        <v>23</v>
      </c>
      <c r="B25" s="152">
        <v>35.700000000000003</v>
      </c>
      <c r="C25" s="30">
        <f t="shared" si="0"/>
        <v>34.5</v>
      </c>
      <c r="D25" s="76">
        <v>0.21991596638655489</v>
      </c>
      <c r="E25" s="81">
        <v>2.1991596638655488E-2</v>
      </c>
      <c r="F25" s="81">
        <v>2.1991596638655488E-2</v>
      </c>
      <c r="G25" s="82">
        <v>2.5266106442577048E-2</v>
      </c>
    </row>
    <row r="26" spans="1:7" ht="12.75">
      <c r="A26" s="83" t="s">
        <v>24</v>
      </c>
      <c r="B26" s="152">
        <v>37</v>
      </c>
      <c r="C26" s="30">
        <f t="shared" si="0"/>
        <v>35.700000000000003</v>
      </c>
      <c r="D26" s="76">
        <v>0.24732432432432452</v>
      </c>
      <c r="E26" s="81">
        <v>2.473243243243245E-2</v>
      </c>
      <c r="F26" s="81">
        <v>2.473243243243245E-2</v>
      </c>
      <c r="G26" s="82">
        <v>2.7891891891891906E-2</v>
      </c>
    </row>
    <row r="27" spans="1:7" ht="12.75">
      <c r="A27" s="83" t="s">
        <v>25</v>
      </c>
      <c r="B27" s="152">
        <v>38.200000000000003</v>
      </c>
      <c r="C27" s="30">
        <f t="shared" si="0"/>
        <v>37</v>
      </c>
      <c r="D27" s="76">
        <v>0.27096858638743482</v>
      </c>
      <c r="E27" s="81">
        <v>2.709685863874348E-2</v>
      </c>
      <c r="F27" s="81">
        <v>2.709685863874348E-2</v>
      </c>
      <c r="G27" s="82">
        <v>3.0157068062827246E-2</v>
      </c>
    </row>
    <row r="28" spans="1:7" ht="12.75">
      <c r="A28" s="83" t="s">
        <v>26</v>
      </c>
      <c r="B28" s="152">
        <v>39.4</v>
      </c>
      <c r="C28" s="30">
        <f t="shared" si="0"/>
        <v>38.200000000000003</v>
      </c>
      <c r="D28" s="76">
        <v>0.29317258883248748</v>
      </c>
      <c r="E28" s="81">
        <v>2.9317258883248751E-2</v>
      </c>
      <c r="F28" s="81">
        <v>2.9317258883248751E-2</v>
      </c>
      <c r="G28" s="82">
        <v>3.2284263959390873E-2</v>
      </c>
    </row>
    <row r="29" spans="1:7" ht="12.75">
      <c r="A29" s="83" t="s">
        <v>27</v>
      </c>
      <c r="B29" s="152">
        <v>40.9</v>
      </c>
      <c r="C29" s="30">
        <f t="shared" si="0"/>
        <v>39.4</v>
      </c>
      <c r="D29" s="76">
        <v>0.31909535452322751</v>
      </c>
      <c r="E29" s="81">
        <v>3.1909535452322751E-2</v>
      </c>
      <c r="F29" s="81">
        <v>3.1909535452322751E-2</v>
      </c>
      <c r="G29" s="82">
        <v>3.4767726161369202E-2</v>
      </c>
    </row>
    <row r="30" spans="1:7" ht="12.75">
      <c r="A30" s="83" t="s">
        <v>28</v>
      </c>
      <c r="B30" s="152">
        <v>42.3</v>
      </c>
      <c r="C30" s="30">
        <f t="shared" si="0"/>
        <v>40.9</v>
      </c>
      <c r="D30" s="76">
        <v>0.34163120567375899</v>
      </c>
      <c r="E30" s="81">
        <v>3.4163120567375901E-2</v>
      </c>
      <c r="F30" s="81">
        <v>3.4163120567375901E-2</v>
      </c>
      <c r="G30" s="82">
        <v>3.6926713947990554E-2</v>
      </c>
    </row>
    <row r="31" spans="1:7" ht="12.75">
      <c r="A31" s="83" t="s">
        <v>29</v>
      </c>
      <c r="B31" s="152">
        <v>43.5</v>
      </c>
      <c r="C31" s="30">
        <f t="shared" si="0"/>
        <v>42.3</v>
      </c>
      <c r="D31" s="76">
        <v>0.35979310344827603</v>
      </c>
      <c r="E31" s="81">
        <v>3.5979310344827604E-2</v>
      </c>
      <c r="F31" s="81">
        <v>3.5979310344827604E-2</v>
      </c>
      <c r="G31" s="82">
        <v>3.8666666666666676E-2</v>
      </c>
    </row>
    <row r="32" spans="1:7" ht="12.75">
      <c r="A32" s="83" t="s">
        <v>30</v>
      </c>
      <c r="B32" s="152">
        <v>44.7</v>
      </c>
      <c r="C32" s="30">
        <f t="shared" si="0"/>
        <v>43.5</v>
      </c>
      <c r="D32" s="76">
        <v>0.37697986577181225</v>
      </c>
      <c r="E32" s="81">
        <v>3.7697986577181229E-2</v>
      </c>
      <c r="F32" s="81">
        <v>3.7697986577181229E-2</v>
      </c>
      <c r="G32" s="82">
        <v>4.187919463087255E-2</v>
      </c>
    </row>
    <row r="33" spans="1:7" ht="12.75">
      <c r="A33" s="83" t="s">
        <v>31</v>
      </c>
      <c r="B33" s="152">
        <v>46.2</v>
      </c>
      <c r="C33" s="30">
        <f t="shared" si="0"/>
        <v>44.7</v>
      </c>
      <c r="D33" s="76">
        <v>0.3972077922077924</v>
      </c>
      <c r="E33" s="81">
        <v>3.972077922077924E-2</v>
      </c>
      <c r="F33" s="81">
        <v>3.972077922077924E-2</v>
      </c>
      <c r="G33" s="82">
        <v>5.3506493506493571E-2</v>
      </c>
    </row>
    <row r="34" spans="1:7" ht="12.75">
      <c r="A34" s="83" t="s">
        <v>32</v>
      </c>
      <c r="B34" s="152">
        <v>47.8</v>
      </c>
      <c r="C34" s="30">
        <f t="shared" si="0"/>
        <v>46.2</v>
      </c>
      <c r="D34" s="76">
        <v>0.41738493723849385</v>
      </c>
      <c r="E34" s="81">
        <v>5.0430962343096283E-2</v>
      </c>
      <c r="F34" s="81">
        <v>5.0430962343096283E-2</v>
      </c>
      <c r="G34" s="82">
        <v>6.5104602510460269E-2</v>
      </c>
    </row>
    <row r="35" spans="1:7" ht="12.75">
      <c r="A35" s="83" t="s">
        <v>33</v>
      </c>
      <c r="B35" s="152">
        <v>49.3</v>
      </c>
      <c r="C35" s="30">
        <f t="shared" si="0"/>
        <v>47.8</v>
      </c>
      <c r="D35" s="76">
        <v>0.43511156186612587</v>
      </c>
      <c r="E35" s="81">
        <v>6.10669371196755E-2</v>
      </c>
      <c r="F35" s="81">
        <v>6.10669371196755E-2</v>
      </c>
      <c r="G35" s="82">
        <v>7.5294117647058845E-2</v>
      </c>
    </row>
    <row r="36" spans="1:7" ht="12.75">
      <c r="A36" s="83" t="s">
        <v>34</v>
      </c>
      <c r="B36" s="152">
        <v>50.7</v>
      </c>
      <c r="C36" s="30">
        <f t="shared" si="0"/>
        <v>49.3</v>
      </c>
      <c r="D36" s="76">
        <v>0.45071005917159779</v>
      </c>
      <c r="E36" s="81">
        <v>7.0426035502958659E-2</v>
      </c>
      <c r="F36" s="81">
        <v>7.0426035502958659E-2</v>
      </c>
      <c r="G36" s="82">
        <v>8.4260355029585871E-2</v>
      </c>
    </row>
    <row r="37" spans="1:7" ht="12.75">
      <c r="A37" s="83" t="s">
        <v>35</v>
      </c>
      <c r="B37" s="152">
        <v>52.3</v>
      </c>
      <c r="C37" s="30">
        <f t="shared" si="0"/>
        <v>50.7</v>
      </c>
      <c r="D37" s="76">
        <v>0.46751434034416839</v>
      </c>
      <c r="E37" s="81">
        <v>8.0508604206500994E-2</v>
      </c>
      <c r="F37" s="81">
        <v>8.0508604206500994E-2</v>
      </c>
      <c r="G37" s="82">
        <v>9.3919694072657767E-2</v>
      </c>
    </row>
    <row r="38" spans="1:7" ht="12.75">
      <c r="A38" s="83" t="s">
        <v>36</v>
      </c>
      <c r="B38" s="152">
        <v>54.3</v>
      </c>
      <c r="C38" s="30">
        <f t="shared" si="0"/>
        <v>52.3</v>
      </c>
      <c r="D38" s="76">
        <v>0.48712707182320453</v>
      </c>
      <c r="E38" s="81">
        <v>9.2276243093922697E-2</v>
      </c>
      <c r="F38" s="81">
        <v>9.2276243093922697E-2</v>
      </c>
      <c r="G38" s="82">
        <v>0.10519337016574588</v>
      </c>
    </row>
    <row r="39" spans="1:7" ht="12.75">
      <c r="A39" s="83" t="s">
        <v>37</v>
      </c>
      <c r="B39" s="152">
        <v>56.4</v>
      </c>
      <c r="C39" s="30">
        <f t="shared" si="0"/>
        <v>54.3</v>
      </c>
      <c r="D39" s="76">
        <v>0.50622340425531931</v>
      </c>
      <c r="E39" s="81">
        <v>0.10373404255319153</v>
      </c>
      <c r="F39" s="81">
        <v>0.10373404255319153</v>
      </c>
      <c r="G39" s="82">
        <v>0.11617021276595747</v>
      </c>
    </row>
    <row r="40" spans="1:7" ht="12.75">
      <c r="A40" s="83" t="s">
        <v>38</v>
      </c>
      <c r="B40" s="152">
        <v>58.1</v>
      </c>
      <c r="C40" s="30">
        <f t="shared" si="0"/>
        <v>56.4</v>
      </c>
      <c r="D40" s="76">
        <v>0.52067125645438916</v>
      </c>
      <c r="E40" s="81">
        <v>0.11240275387263346</v>
      </c>
      <c r="F40" s="81">
        <v>0.11240275387263346</v>
      </c>
      <c r="G40" s="82">
        <v>0.12447504302925995</v>
      </c>
    </row>
    <row r="41" spans="1:7" ht="12.75">
      <c r="A41" s="83" t="s">
        <v>39</v>
      </c>
      <c r="B41" s="152">
        <v>60</v>
      </c>
      <c r="C41" s="30">
        <f t="shared" si="0"/>
        <v>58.1</v>
      </c>
      <c r="D41" s="76">
        <v>0.53585000000000016</v>
      </c>
      <c r="E41" s="81">
        <v>0.12151000000000006</v>
      </c>
      <c r="F41" s="81">
        <v>0.12151000000000006</v>
      </c>
      <c r="G41" s="82">
        <v>0.13320000000000004</v>
      </c>
    </row>
    <row r="42" spans="1:7" ht="12.75">
      <c r="A42" s="83" t="s">
        <v>40</v>
      </c>
      <c r="B42" s="152">
        <v>62.3</v>
      </c>
      <c r="C42" s="30">
        <f t="shared" si="0"/>
        <v>60</v>
      </c>
      <c r="D42" s="76">
        <v>0.55298555377207081</v>
      </c>
      <c r="E42" s="81">
        <v>0.13179133226324244</v>
      </c>
      <c r="F42" s="81">
        <v>0.13179133226324244</v>
      </c>
      <c r="G42" s="82">
        <v>0.14304975922953453</v>
      </c>
    </row>
    <row r="43" spans="1:7" ht="12.75">
      <c r="A43" s="83" t="s">
        <v>41</v>
      </c>
      <c r="B43" s="152">
        <v>64.599999999999994</v>
      </c>
      <c r="C43" s="30">
        <f t="shared" si="0"/>
        <v>62.3</v>
      </c>
      <c r="D43" s="76">
        <v>0.56890092879256982</v>
      </c>
      <c r="E43" s="81">
        <v>0.14134055727554182</v>
      </c>
      <c r="F43" s="81">
        <v>0.14134055727554182</v>
      </c>
      <c r="G43" s="82">
        <v>0.15219814241486068</v>
      </c>
    </row>
    <row r="44" spans="1:7" ht="12.75">
      <c r="A44" s="83" t="s">
        <v>42</v>
      </c>
      <c r="B44" s="152">
        <v>67.599999999999994</v>
      </c>
      <c r="C44" s="30">
        <f t="shared" si="0"/>
        <v>64.599999999999994</v>
      </c>
      <c r="D44" s="76">
        <v>0.58803254437869834</v>
      </c>
      <c r="E44" s="81">
        <v>0.15281952662721898</v>
      </c>
      <c r="F44" s="81">
        <v>0.15281952662721898</v>
      </c>
      <c r="G44" s="82">
        <v>0.16319526627218936</v>
      </c>
    </row>
    <row r="45" spans="1:7" ht="12.75">
      <c r="A45" s="83" t="s">
        <v>43</v>
      </c>
      <c r="B45" s="152">
        <v>70.5</v>
      </c>
      <c r="C45" s="30">
        <f t="shared" si="0"/>
        <v>67.599999999999994</v>
      </c>
      <c r="D45" s="76">
        <v>0.60497872340425551</v>
      </c>
      <c r="E45" s="81">
        <v>0.16298723404255325</v>
      </c>
      <c r="F45" s="81">
        <v>0.16298723404255325</v>
      </c>
      <c r="G45" s="82">
        <v>0.17293617021276597</v>
      </c>
    </row>
    <row r="46" spans="1:7" ht="12.75">
      <c r="A46" s="83" t="s">
        <v>44</v>
      </c>
      <c r="B46" s="152">
        <v>73.599999999999994</v>
      </c>
      <c r="C46" s="30">
        <f t="shared" si="0"/>
        <v>70.5</v>
      </c>
      <c r="D46" s="76">
        <v>0.62161684782608706</v>
      </c>
      <c r="E46" s="81">
        <v>0.17297010869565221</v>
      </c>
      <c r="F46" s="81">
        <v>0.17297010869565221</v>
      </c>
      <c r="G46" s="82">
        <v>0.18250000000000002</v>
      </c>
    </row>
    <row r="47" spans="1:7" ht="12.75">
      <c r="A47" s="83" t="s">
        <v>45</v>
      </c>
      <c r="B47" s="152">
        <v>77.2</v>
      </c>
      <c r="C47" s="30">
        <f t="shared" si="0"/>
        <v>73.599999999999994</v>
      </c>
      <c r="D47" s="76">
        <v>0.63926165803108825</v>
      </c>
      <c r="E47" s="81">
        <v>0.18355699481865292</v>
      </c>
      <c r="F47" s="81">
        <v>0.18355699481865292</v>
      </c>
      <c r="G47" s="82">
        <v>0.19264248704663217</v>
      </c>
    </row>
    <row r="48" spans="1:7" ht="12.75">
      <c r="A48" s="83" t="s">
        <v>46</v>
      </c>
      <c r="B48" s="152">
        <v>81.5</v>
      </c>
      <c r="C48" s="30">
        <f t="shared" si="0"/>
        <v>77.2</v>
      </c>
      <c r="D48" s="76">
        <v>0.65829447852760747</v>
      </c>
      <c r="E48" s="81">
        <v>0.19497668711656446</v>
      </c>
      <c r="F48" s="81">
        <v>0.19497668711656446</v>
      </c>
      <c r="G48" s="82">
        <v>0.2035828220858896</v>
      </c>
    </row>
    <row r="49" spans="1:7" ht="12.75">
      <c r="A49" s="83" t="s">
        <v>47</v>
      </c>
      <c r="B49" s="152">
        <v>87.9</v>
      </c>
      <c r="C49" s="30">
        <f t="shared" si="0"/>
        <v>81.5</v>
      </c>
      <c r="D49" s="76">
        <v>0.68317406143344728</v>
      </c>
      <c r="E49" s="81">
        <v>0.20990443686006829</v>
      </c>
      <c r="F49" s="81">
        <v>0.20990443686006829</v>
      </c>
      <c r="G49" s="82">
        <v>0.21788395904436864</v>
      </c>
    </row>
    <row r="50" spans="1:7" ht="12.75">
      <c r="A50" s="83" t="s">
        <v>48</v>
      </c>
      <c r="B50" s="152">
        <v>96.4</v>
      </c>
      <c r="C50" s="30">
        <f t="shared" si="0"/>
        <v>87.9</v>
      </c>
      <c r="D50" s="76">
        <v>0.71110995850622416</v>
      </c>
      <c r="E50" s="81">
        <v>0.22666597510373451</v>
      </c>
      <c r="F50" s="81">
        <v>0.22666597510373451</v>
      </c>
      <c r="G50" s="82">
        <v>0.233941908713693</v>
      </c>
    </row>
    <row r="51" spans="1:7" ht="12.75">
      <c r="A51" s="83" t="s">
        <v>49</v>
      </c>
      <c r="B51" s="152">
        <v>107.9</v>
      </c>
      <c r="C51" s="30">
        <f t="shared" si="0"/>
        <v>96.4</v>
      </c>
      <c r="D51" s="76">
        <v>0.74189990732159417</v>
      </c>
      <c r="E51" s="81">
        <v>0.2451399443929565</v>
      </c>
      <c r="F51" s="81">
        <v>0.2451399443929565</v>
      </c>
      <c r="G51" s="82">
        <v>0.25164040778498614</v>
      </c>
    </row>
    <row r="52" spans="1:7" ht="12.75">
      <c r="A52" s="83" t="s">
        <v>50</v>
      </c>
      <c r="B52" s="152">
        <v>124.1</v>
      </c>
      <c r="C52" s="30">
        <f t="shared" si="0"/>
        <v>107.9</v>
      </c>
      <c r="D52" s="76">
        <v>0.77559226430298156</v>
      </c>
      <c r="E52" s="81">
        <v>0.26535535858178888</v>
      </c>
      <c r="F52" s="81">
        <v>0.26535535858178888</v>
      </c>
      <c r="G52" s="82">
        <v>0.2710072522159549</v>
      </c>
    </row>
    <row r="53" spans="1:7" ht="12.75">
      <c r="A53" s="83" t="s">
        <v>51</v>
      </c>
      <c r="B53" s="152">
        <v>150.5</v>
      </c>
      <c r="C53" s="30">
        <f t="shared" si="0"/>
        <v>124.1</v>
      </c>
      <c r="D53" s="76">
        <v>0.81495681063122927</v>
      </c>
      <c r="E53" s="81">
        <v>0.28897408637873762</v>
      </c>
      <c r="F53" s="81">
        <v>0.28897408637873762</v>
      </c>
      <c r="G53" s="82">
        <v>0.2936345514950166</v>
      </c>
    </row>
    <row r="54" spans="1:7" ht="12.75">
      <c r="A54" s="83" t="s">
        <v>52</v>
      </c>
      <c r="B54" s="152">
        <v>195.9</v>
      </c>
      <c r="C54" s="30">
        <f t="shared" si="0"/>
        <v>150.5</v>
      </c>
      <c r="D54" s="76">
        <v>0.85784073506891279</v>
      </c>
      <c r="E54" s="81">
        <v>0.31470444104134765</v>
      </c>
      <c r="F54" s="81">
        <v>0.31470444104134765</v>
      </c>
      <c r="G54" s="82">
        <v>0.31828483920367534</v>
      </c>
    </row>
    <row r="55" spans="1:7" ht="12.75">
      <c r="A55" s="83" t="s">
        <v>53</v>
      </c>
      <c r="B55" s="152">
        <v>281.8</v>
      </c>
      <c r="C55" s="30">
        <f>B54</f>
        <v>195.9</v>
      </c>
      <c r="D55" s="76">
        <v>0.9011745919091555</v>
      </c>
      <c r="E55" s="81">
        <v>0.34070475514549331</v>
      </c>
      <c r="F55" s="81">
        <v>0.34070475514549331</v>
      </c>
      <c r="G55" s="82">
        <v>0.34319375443577005</v>
      </c>
    </row>
    <row r="56" spans="1:7" ht="13.5" thickBot="1">
      <c r="A56" s="84" t="s">
        <v>53</v>
      </c>
      <c r="B56" s="85" t="s">
        <v>101</v>
      </c>
      <c r="C56" s="30">
        <f t="shared" si="0"/>
        <v>281.8</v>
      </c>
      <c r="D56" s="86"/>
      <c r="E56" s="87"/>
      <c r="F56" s="87"/>
      <c r="G56" s="88"/>
    </row>
    <row r="57" spans="1:7" ht="13.5" thickBot="1">
      <c r="A57" s="89"/>
      <c r="B57" s="90"/>
      <c r="C57" s="31"/>
      <c r="D57" s="91"/>
      <c r="E57" s="92">
        <v>8.1658016729356811E-2</v>
      </c>
      <c r="F57" s="92">
        <v>8.1658016729356811E-2</v>
      </c>
      <c r="G57" s="93">
        <v>8.7241526731036759E-2</v>
      </c>
    </row>
    <row r="58" spans="1:7" ht="51" customHeight="1">
      <c r="A58" s="94" t="s">
        <v>55</v>
      </c>
      <c r="B58" s="95">
        <v>55.6</v>
      </c>
      <c r="C58" s="31"/>
      <c r="D58" s="96"/>
      <c r="E58" s="97">
        <v>46.414999999999992</v>
      </c>
      <c r="F58" s="98">
        <v>46.414999999999992</v>
      </c>
      <c r="G58" s="99">
        <v>44.466666666666661</v>
      </c>
    </row>
    <row r="59" spans="1:7" ht="51.75" customHeight="1">
      <c r="A59" s="100" t="s">
        <v>56</v>
      </c>
      <c r="B59" s="101">
        <v>33.5</v>
      </c>
      <c r="C59" s="31"/>
      <c r="D59" s="102"/>
      <c r="E59" s="103"/>
      <c r="F59" s="103"/>
      <c r="G59" s="104"/>
    </row>
    <row r="60" spans="1:7" ht="75.75" customHeight="1" thickBot="1">
      <c r="A60" s="105" t="s">
        <v>57</v>
      </c>
      <c r="B60" s="106">
        <v>20.100000000000001</v>
      </c>
      <c r="C60" s="29"/>
      <c r="D60" s="87"/>
      <c r="E60" s="86">
        <v>27.848999999999993</v>
      </c>
      <c r="F60" s="86">
        <v>27.848999999999993</v>
      </c>
      <c r="G60" s="107">
        <v>26.679999999999996</v>
      </c>
    </row>
    <row r="61" spans="1:7" ht="15.75" thickBot="1"/>
    <row r="62" spans="1:7" ht="53.25" customHeight="1" thickBot="1">
      <c r="A62" s="108" t="s">
        <v>56</v>
      </c>
      <c r="B62" s="109">
        <f>B59</f>
        <v>33.5</v>
      </c>
    </row>
    <row r="63" spans="1:7">
      <c r="A63" s="110" t="s">
        <v>64</v>
      </c>
      <c r="B63" s="111">
        <f>AVERAGE(B11:B50)</f>
        <v>46.414999999999992</v>
      </c>
      <c r="C63" s="17"/>
    </row>
    <row r="64" spans="1:7">
      <c r="A64" s="112" t="s">
        <v>65</v>
      </c>
      <c r="B64" s="113">
        <f>AVERAGE(B16:B45)</f>
        <v>44.466666666666661</v>
      </c>
      <c r="C64" s="18"/>
    </row>
    <row r="65" spans="1:7" ht="15.75" thickBot="1">
      <c r="A65" s="114" t="s">
        <v>66</v>
      </c>
      <c r="B65" s="115">
        <f>AVERAGE(B22:B40)</f>
        <v>44.057894736842101</v>
      </c>
      <c r="C65" s="18"/>
    </row>
    <row r="68" spans="1:7" ht="15.75" thickBot="1"/>
    <row r="69" spans="1:7" ht="37.5" customHeight="1" thickBot="1">
      <c r="A69" s="535" t="s">
        <v>0</v>
      </c>
      <c r="B69" s="538" t="s">
        <v>2</v>
      </c>
      <c r="C69" s="539"/>
      <c r="D69" s="540"/>
      <c r="E69" s="62">
        <f>(1-E124)^(1/3)-1</f>
        <v>-2.4294017933436107E-2</v>
      </c>
      <c r="F69" s="63">
        <f>(1-F124)^(1/3)-1</f>
        <v>-2.4294017933436107E-2</v>
      </c>
      <c r="G69" s="64"/>
    </row>
    <row r="70" spans="1:7" ht="77.25" thickBot="1">
      <c r="A70" s="536"/>
      <c r="B70" s="65" t="s">
        <v>4</v>
      </c>
      <c r="C70" s="11"/>
      <c r="D70" s="65" t="s">
        <v>80</v>
      </c>
      <c r="E70" s="65" t="s">
        <v>5</v>
      </c>
      <c r="F70" s="65" t="s">
        <v>5</v>
      </c>
      <c r="G70" s="65"/>
    </row>
    <row r="71" spans="1:7" ht="26.25" thickBot="1">
      <c r="A71" s="537"/>
      <c r="B71" s="66" t="s">
        <v>8</v>
      </c>
      <c r="C71" s="11"/>
      <c r="D71" s="66" t="s">
        <v>7</v>
      </c>
      <c r="E71" s="67" t="s">
        <v>82</v>
      </c>
      <c r="F71" s="68" t="s">
        <v>83</v>
      </c>
      <c r="G71" s="68"/>
    </row>
    <row r="72" spans="1:7" ht="13.5" thickBot="1">
      <c r="A72" s="69">
        <v>1</v>
      </c>
      <c r="B72" s="116">
        <v>2</v>
      </c>
      <c r="C72" s="51"/>
      <c r="D72" s="117">
        <v>3</v>
      </c>
      <c r="E72" s="71">
        <v>4</v>
      </c>
      <c r="F72" s="117">
        <v>5</v>
      </c>
      <c r="G72" s="71"/>
    </row>
    <row r="73" spans="1:7" ht="12.75">
      <c r="A73" s="118" t="s">
        <v>10</v>
      </c>
      <c r="B73" s="119">
        <v>26.8</v>
      </c>
      <c r="C73" s="253">
        <v>0</v>
      </c>
      <c r="D73" s="14">
        <v>0</v>
      </c>
      <c r="E73" s="77">
        <v>0</v>
      </c>
      <c r="F73" s="77">
        <v>0</v>
      </c>
      <c r="G73" s="78">
        <v>0</v>
      </c>
    </row>
    <row r="74" spans="1:7" ht="12.75">
      <c r="A74" s="120" t="s">
        <v>58</v>
      </c>
      <c r="B74" s="121">
        <v>33.799999999999997</v>
      </c>
      <c r="C74" s="30">
        <f>B73</f>
        <v>26.8</v>
      </c>
      <c r="D74" s="14">
        <v>0</v>
      </c>
      <c r="E74" s="81">
        <v>0</v>
      </c>
      <c r="F74" s="81">
        <v>0</v>
      </c>
      <c r="G74" s="82">
        <v>0</v>
      </c>
    </row>
    <row r="75" spans="1:7" ht="12.75">
      <c r="A75" s="120" t="s">
        <v>59</v>
      </c>
      <c r="B75" s="121">
        <v>38.799999999999997</v>
      </c>
      <c r="C75" s="30">
        <f t="shared" ref="C75:C123" si="1">B74</f>
        <v>33.799999999999997</v>
      </c>
      <c r="D75" s="14">
        <v>0</v>
      </c>
      <c r="E75" s="81">
        <v>0</v>
      </c>
      <c r="F75" s="81">
        <v>0</v>
      </c>
      <c r="G75" s="82">
        <v>0</v>
      </c>
    </row>
    <row r="76" spans="1:7" ht="12.75">
      <c r="A76" s="120" t="s">
        <v>60</v>
      </c>
      <c r="B76" s="121">
        <v>42.4</v>
      </c>
      <c r="C76" s="30">
        <f t="shared" si="1"/>
        <v>38.799999999999997</v>
      </c>
      <c r="D76" s="14">
        <v>0</v>
      </c>
      <c r="E76" s="81">
        <v>0</v>
      </c>
      <c r="F76" s="81">
        <v>0</v>
      </c>
      <c r="G76" s="82">
        <v>0</v>
      </c>
    </row>
    <row r="77" spans="1:7" ht="12.75">
      <c r="A77" s="120" t="s">
        <v>61</v>
      </c>
      <c r="B77" s="121">
        <v>44.8</v>
      </c>
      <c r="C77" s="30">
        <f t="shared" si="1"/>
        <v>42.4</v>
      </c>
      <c r="D77" s="14">
        <v>0</v>
      </c>
      <c r="E77" s="81">
        <v>0</v>
      </c>
      <c r="F77" s="81">
        <v>0</v>
      </c>
      <c r="G77" s="82">
        <v>0</v>
      </c>
    </row>
    <row r="78" spans="1:7" ht="12.75">
      <c r="A78" s="120" t="s">
        <v>62</v>
      </c>
      <c r="B78" s="121">
        <v>47.4</v>
      </c>
      <c r="C78" s="30">
        <f t="shared" si="1"/>
        <v>44.8</v>
      </c>
      <c r="D78" s="14">
        <v>0</v>
      </c>
      <c r="E78" s="81">
        <v>0</v>
      </c>
      <c r="F78" s="81">
        <v>0</v>
      </c>
      <c r="G78" s="82">
        <v>0</v>
      </c>
    </row>
    <row r="79" spans="1:7" ht="12.75">
      <c r="A79" s="120" t="s">
        <v>63</v>
      </c>
      <c r="B79" s="121">
        <v>49.6</v>
      </c>
      <c r="C79" s="30">
        <f t="shared" si="1"/>
        <v>47.4</v>
      </c>
      <c r="D79" s="14">
        <v>0</v>
      </c>
      <c r="E79" s="81">
        <v>0</v>
      </c>
      <c r="F79" s="81">
        <v>0</v>
      </c>
      <c r="G79" s="82">
        <v>0</v>
      </c>
    </row>
    <row r="80" spans="1:7" ht="12.75">
      <c r="A80" s="122" t="s">
        <v>11</v>
      </c>
      <c r="B80" s="121">
        <v>52.2</v>
      </c>
      <c r="C80" s="30">
        <f t="shared" si="1"/>
        <v>49.6</v>
      </c>
      <c r="D80" s="14">
        <v>1.0431034482758743E-2</v>
      </c>
      <c r="E80" s="81"/>
      <c r="F80" s="81">
        <v>1.0431034482758744E-3</v>
      </c>
      <c r="G80" s="82">
        <v>3.0459770114942457E-3</v>
      </c>
    </row>
    <row r="81" spans="1:7" ht="12.75">
      <c r="A81" s="122" t="s">
        <v>12</v>
      </c>
      <c r="B81" s="121">
        <v>54.1</v>
      </c>
      <c r="C81" s="30">
        <f t="shared" si="1"/>
        <v>52.2</v>
      </c>
      <c r="D81" s="14">
        <v>4.5184842883549077E-2</v>
      </c>
      <c r="E81" s="81"/>
      <c r="F81" s="81">
        <v>4.5184842883549074E-3</v>
      </c>
      <c r="G81" s="82">
        <v>6.4510166358595104E-3</v>
      </c>
    </row>
    <row r="82" spans="1:7" ht="12.75">
      <c r="A82" s="122" t="s">
        <v>13</v>
      </c>
      <c r="B82" s="121">
        <v>56.1</v>
      </c>
      <c r="C82" s="30">
        <f t="shared" si="1"/>
        <v>54.1</v>
      </c>
      <c r="D82" s="14">
        <v>7.9224598930481366E-2</v>
      </c>
      <c r="E82" s="81"/>
      <c r="F82" s="81">
        <v>7.9224598930481369E-3</v>
      </c>
      <c r="G82" s="82">
        <v>9.786096256684482E-3</v>
      </c>
    </row>
    <row r="83" spans="1:7" ht="12.75">
      <c r="A83" s="122" t="s">
        <v>14</v>
      </c>
      <c r="B83" s="121">
        <v>58.2</v>
      </c>
      <c r="C83" s="30">
        <f t="shared" si="1"/>
        <v>56.1</v>
      </c>
      <c r="D83" s="14">
        <v>0.11244845360824753</v>
      </c>
      <c r="E83" s="81">
        <v>1.1244845360824754E-2</v>
      </c>
      <c r="F83" s="81">
        <v>1.1244845360824754E-2</v>
      </c>
      <c r="G83" s="82">
        <v>1.3041237113402056E-2</v>
      </c>
    </row>
    <row r="84" spans="1:7" ht="12.75">
      <c r="A84" s="122" t="s">
        <v>15</v>
      </c>
      <c r="B84" s="121">
        <v>60</v>
      </c>
      <c r="C84" s="30">
        <f t="shared" si="1"/>
        <v>58.2</v>
      </c>
      <c r="D84" s="14">
        <v>0.13907500000000006</v>
      </c>
      <c r="E84" s="81">
        <v>1.3907500000000007E-2</v>
      </c>
      <c r="F84" s="81">
        <v>1.3907500000000007E-2</v>
      </c>
      <c r="G84" s="82">
        <v>1.564999999999999E-2</v>
      </c>
    </row>
    <row r="85" spans="1:7" ht="12.75">
      <c r="A85" s="122" t="s">
        <v>16</v>
      </c>
      <c r="B85" s="121">
        <v>61.6</v>
      </c>
      <c r="C85" s="30">
        <f t="shared" si="1"/>
        <v>60</v>
      </c>
      <c r="D85" s="14">
        <v>0.16143668831168839</v>
      </c>
      <c r="E85" s="81">
        <v>1.6143668831168839E-2</v>
      </c>
      <c r="F85" s="81">
        <v>1.6143668831168839E-2</v>
      </c>
      <c r="G85" s="82">
        <v>1.7840909090909084E-2</v>
      </c>
    </row>
    <row r="86" spans="1:7" ht="12.75">
      <c r="A86" s="122" t="s">
        <v>17</v>
      </c>
      <c r="B86" s="121">
        <v>63.2</v>
      </c>
      <c r="C86" s="30">
        <f t="shared" si="1"/>
        <v>61.6</v>
      </c>
      <c r="D86" s="14">
        <v>0.18266613924050643</v>
      </c>
      <c r="E86" s="81">
        <v>1.8266613924050643E-2</v>
      </c>
      <c r="F86" s="81">
        <v>1.8266613924050643E-2</v>
      </c>
      <c r="G86" s="82">
        <v>1.992088607594936E-2</v>
      </c>
    </row>
    <row r="87" spans="1:7" ht="12.75">
      <c r="A87" s="122" t="s">
        <v>18</v>
      </c>
      <c r="B87" s="121">
        <v>65.400000000000006</v>
      </c>
      <c r="C87" s="30">
        <f t="shared" si="1"/>
        <v>63.2</v>
      </c>
      <c r="D87" s="14">
        <v>0.21016055045871573</v>
      </c>
      <c r="E87" s="81">
        <v>2.1016055045871573E-2</v>
      </c>
      <c r="F87" s="81">
        <v>2.1016055045871573E-2</v>
      </c>
      <c r="G87" s="82">
        <v>2.2614678899082568E-2</v>
      </c>
    </row>
    <row r="88" spans="1:7" ht="12.75">
      <c r="A88" s="122" t="s">
        <v>19</v>
      </c>
      <c r="B88" s="121">
        <v>67.2</v>
      </c>
      <c r="C88" s="30">
        <f t="shared" si="1"/>
        <v>65.400000000000006</v>
      </c>
      <c r="D88" s="14">
        <v>0.23131696428571438</v>
      </c>
      <c r="E88" s="81">
        <v>2.3131696428571439E-2</v>
      </c>
      <c r="F88" s="81">
        <v>2.3131696428571439E-2</v>
      </c>
      <c r="G88" s="82">
        <v>2.4687499999999998E-2</v>
      </c>
    </row>
    <row r="89" spans="1:7" ht="12.75">
      <c r="A89" s="122" t="s">
        <v>20</v>
      </c>
      <c r="B89" s="121">
        <v>68.900000000000006</v>
      </c>
      <c r="C89" s="30">
        <f t="shared" si="1"/>
        <v>67.2</v>
      </c>
      <c r="D89" s="14">
        <v>0.25028301886792464</v>
      </c>
      <c r="E89" s="81">
        <v>2.5028301886792465E-2</v>
      </c>
      <c r="F89" s="81">
        <v>2.5028301886792465E-2</v>
      </c>
      <c r="G89" s="82">
        <v>2.6545718432510884E-2</v>
      </c>
    </row>
    <row r="90" spans="1:7" ht="12.75">
      <c r="A90" s="122" t="s">
        <v>21</v>
      </c>
      <c r="B90" s="121">
        <v>70.400000000000006</v>
      </c>
      <c r="C90" s="30">
        <f t="shared" si="1"/>
        <v>68.900000000000006</v>
      </c>
      <c r="D90" s="14">
        <v>0.26625710227272736</v>
      </c>
      <c r="E90" s="81">
        <v>2.6625710227272739E-2</v>
      </c>
      <c r="F90" s="81">
        <v>2.6625710227272739E-2</v>
      </c>
      <c r="G90" s="82">
        <v>2.8110795454545454E-2</v>
      </c>
    </row>
    <row r="91" spans="1:7" ht="12.75">
      <c r="A91" s="122" t="s">
        <v>22</v>
      </c>
      <c r="B91" s="121">
        <v>72.099999999999994</v>
      </c>
      <c r="C91" s="30">
        <f t="shared" si="1"/>
        <v>70.400000000000006</v>
      </c>
      <c r="D91" s="14">
        <v>0.28355755894590845</v>
      </c>
      <c r="E91" s="81">
        <v>2.8355755894590846E-2</v>
      </c>
      <c r="F91" s="81">
        <v>2.8355755894590846E-2</v>
      </c>
      <c r="G91" s="82">
        <v>2.980582524271843E-2</v>
      </c>
    </row>
    <row r="92" spans="1:7" ht="12.75">
      <c r="A92" s="122" t="s">
        <v>23</v>
      </c>
      <c r="B92" s="121">
        <v>73.7</v>
      </c>
      <c r="C92" s="30">
        <f t="shared" si="1"/>
        <v>72.099999999999994</v>
      </c>
      <c r="D92" s="14">
        <v>0.29911126187245596</v>
      </c>
      <c r="E92" s="81">
        <v>2.9911126187245601E-2</v>
      </c>
      <c r="F92" s="81">
        <v>2.9911126187245601E-2</v>
      </c>
      <c r="G92" s="82">
        <v>3.132971506105834E-2</v>
      </c>
    </row>
    <row r="93" spans="1:7" ht="12.75">
      <c r="A93" s="122" t="s">
        <v>24</v>
      </c>
      <c r="B93" s="121">
        <v>75.5</v>
      </c>
      <c r="C93" s="30">
        <f t="shared" si="1"/>
        <v>73.7</v>
      </c>
      <c r="D93" s="14">
        <v>0.3158211920529802</v>
      </c>
      <c r="E93" s="81">
        <v>3.158211920529802E-2</v>
      </c>
      <c r="F93" s="81">
        <v>3.158211920529802E-2</v>
      </c>
      <c r="G93" s="82">
        <v>3.2966887417218538E-2</v>
      </c>
    </row>
    <row r="94" spans="1:7" ht="12.75">
      <c r="A94" s="122" t="s">
        <v>25</v>
      </c>
      <c r="B94" s="121">
        <v>76.900000000000006</v>
      </c>
      <c r="C94" s="30">
        <f t="shared" si="1"/>
        <v>75.5</v>
      </c>
      <c r="D94" s="14">
        <v>0.32827698309492859</v>
      </c>
      <c r="E94" s="81">
        <v>3.2827698309492864E-2</v>
      </c>
      <c r="F94" s="81">
        <v>3.2827698309492864E-2</v>
      </c>
      <c r="G94" s="82">
        <v>3.4187256176853052E-2</v>
      </c>
    </row>
    <row r="95" spans="1:7" ht="12.75">
      <c r="A95" s="122" t="s">
        <v>26</v>
      </c>
      <c r="B95" s="121">
        <v>78.7</v>
      </c>
      <c r="C95" s="30">
        <f t="shared" si="1"/>
        <v>76.900000000000006</v>
      </c>
      <c r="D95" s="14">
        <v>0.34364040660736983</v>
      </c>
      <c r="E95" s="81">
        <v>3.4364040660736984E-2</v>
      </c>
      <c r="F95" s="81">
        <v>3.4364040660736984E-2</v>
      </c>
      <c r="G95" s="82">
        <v>3.5692503176620073E-2</v>
      </c>
    </row>
    <row r="96" spans="1:7" ht="12.75">
      <c r="A96" s="122" t="s">
        <v>27</v>
      </c>
      <c r="B96" s="121">
        <v>80.7</v>
      </c>
      <c r="C96" s="30">
        <f t="shared" si="1"/>
        <v>78.7</v>
      </c>
      <c r="D96" s="14">
        <v>0.35990706319702609</v>
      </c>
      <c r="E96" s="81">
        <v>3.5990706319702609E-2</v>
      </c>
      <c r="F96" s="81">
        <v>3.5990706319702609E-2</v>
      </c>
      <c r="G96" s="82">
        <v>3.7286245353159851E-2</v>
      </c>
    </row>
    <row r="97" spans="1:7" ht="12.75">
      <c r="A97" s="122" t="s">
        <v>28</v>
      </c>
      <c r="B97" s="121">
        <v>81.900000000000006</v>
      </c>
      <c r="C97" s="30">
        <f t="shared" si="1"/>
        <v>80.7</v>
      </c>
      <c r="D97" s="14">
        <v>0.36928571428571438</v>
      </c>
      <c r="E97" s="81">
        <v>3.6928571428571443E-2</v>
      </c>
      <c r="F97" s="81">
        <v>3.6928571428571443E-2</v>
      </c>
      <c r="G97" s="82">
        <v>3.8205128205128204E-2</v>
      </c>
    </row>
    <row r="98" spans="1:7" ht="12.75">
      <c r="A98" s="122" t="s">
        <v>29</v>
      </c>
      <c r="B98" s="121">
        <v>83.4</v>
      </c>
      <c r="C98" s="30">
        <f t="shared" si="1"/>
        <v>81.900000000000006</v>
      </c>
      <c r="D98" s="14">
        <v>0.3806294964028778</v>
      </c>
      <c r="E98" s="81">
        <v>3.806294964028778E-2</v>
      </c>
      <c r="F98" s="81">
        <v>3.806294964028778E-2</v>
      </c>
      <c r="G98" s="82">
        <v>3.9316546762589923E-2</v>
      </c>
    </row>
    <row r="99" spans="1:7" ht="12.75">
      <c r="A99" s="122" t="s">
        <v>30</v>
      </c>
      <c r="B99" s="121">
        <v>85.1</v>
      </c>
      <c r="C99" s="30">
        <f t="shared" si="1"/>
        <v>83.4</v>
      </c>
      <c r="D99" s="14">
        <v>0.39300235017626323</v>
      </c>
      <c r="E99" s="81">
        <v>3.9300235017626327E-2</v>
      </c>
      <c r="F99" s="81">
        <v>3.9300235017626327E-2</v>
      </c>
      <c r="G99" s="82">
        <v>4.3172737955346596E-2</v>
      </c>
    </row>
    <row r="100" spans="1:7" ht="12.75">
      <c r="A100" s="122" t="s">
        <v>31</v>
      </c>
      <c r="B100" s="121">
        <v>87.5</v>
      </c>
      <c r="C100" s="30">
        <f t="shared" si="1"/>
        <v>85.1</v>
      </c>
      <c r="D100" s="14">
        <v>0.40965142857142861</v>
      </c>
      <c r="E100" s="81">
        <v>4.5790857142857147E-2</v>
      </c>
      <c r="F100" s="81">
        <v>4.5790857142857147E-2</v>
      </c>
      <c r="G100" s="82">
        <v>5.2959999999999965E-2</v>
      </c>
    </row>
    <row r="101" spans="1:7" ht="12.75">
      <c r="A101" s="122" t="s">
        <v>32</v>
      </c>
      <c r="B101" s="121">
        <v>89.1</v>
      </c>
      <c r="C101" s="30">
        <f t="shared" si="1"/>
        <v>87.5</v>
      </c>
      <c r="D101" s="14">
        <v>0.42025252525252527</v>
      </c>
      <c r="E101" s="81">
        <v>5.2151515151515136E-2</v>
      </c>
      <c r="F101" s="81">
        <v>5.2151515151515136E-2</v>
      </c>
      <c r="G101" s="82">
        <v>5.9191919191919136E-2</v>
      </c>
    </row>
    <row r="102" spans="1:7" ht="12.75">
      <c r="A102" s="122" t="s">
        <v>33</v>
      </c>
      <c r="B102" s="121">
        <v>90.7</v>
      </c>
      <c r="C102" s="30">
        <f t="shared" si="1"/>
        <v>89.1</v>
      </c>
      <c r="D102" s="14">
        <v>0.43047960308710037</v>
      </c>
      <c r="E102" s="81">
        <v>5.8287761852260214E-2</v>
      </c>
      <c r="F102" s="81">
        <v>5.8287761852260214E-2</v>
      </c>
      <c r="G102" s="82">
        <v>6.5203969128996661E-2</v>
      </c>
    </row>
    <row r="103" spans="1:7" ht="12.75">
      <c r="A103" s="122" t="s">
        <v>34</v>
      </c>
      <c r="B103" s="121">
        <v>92.4</v>
      </c>
      <c r="C103" s="30">
        <f t="shared" si="1"/>
        <v>90.7</v>
      </c>
      <c r="D103" s="14">
        <v>0.4409577922077923</v>
      </c>
      <c r="E103" s="81">
        <v>6.4574675324675354E-2</v>
      </c>
      <c r="F103" s="81">
        <v>6.4574675324675354E-2</v>
      </c>
      <c r="G103" s="82">
        <v>7.1363636363636351E-2</v>
      </c>
    </row>
    <row r="104" spans="1:7" ht="12.75">
      <c r="A104" s="122" t="s">
        <v>35</v>
      </c>
      <c r="B104" s="121">
        <v>94.5</v>
      </c>
      <c r="C104" s="30">
        <f t="shared" si="1"/>
        <v>92.4</v>
      </c>
      <c r="D104" s="14">
        <v>0.45338095238095244</v>
      </c>
      <c r="E104" s="81">
        <v>7.2028571428571428E-2</v>
      </c>
      <c r="F104" s="81">
        <v>7.2028571428571428E-2</v>
      </c>
      <c r="G104" s="82">
        <v>7.8666666666666635E-2</v>
      </c>
    </row>
    <row r="105" spans="1:7" ht="12.75">
      <c r="A105" s="122" t="s">
        <v>36</v>
      </c>
      <c r="B105" s="121">
        <v>97.4</v>
      </c>
      <c r="C105" s="30">
        <f t="shared" si="1"/>
        <v>94.5</v>
      </c>
      <c r="D105" s="14">
        <v>0.46965605749486661</v>
      </c>
      <c r="E105" s="81">
        <v>8.179363449691994E-2</v>
      </c>
      <c r="F105" s="81">
        <v>8.179363449691994E-2</v>
      </c>
      <c r="G105" s="82">
        <v>8.8234086242299781E-2</v>
      </c>
    </row>
    <row r="106" spans="1:7" ht="12.75">
      <c r="A106" s="122" t="s">
        <v>37</v>
      </c>
      <c r="B106" s="121">
        <v>99.9</v>
      </c>
      <c r="C106" s="30">
        <f t="shared" si="1"/>
        <v>97.4</v>
      </c>
      <c r="D106" s="14">
        <v>0.48292792792792799</v>
      </c>
      <c r="E106" s="81">
        <v>8.9756756756756775E-2</v>
      </c>
      <c r="F106" s="81">
        <v>8.9756756756756775E-2</v>
      </c>
      <c r="G106" s="82">
        <v>9.6036036036036027E-2</v>
      </c>
    </row>
    <row r="107" spans="1:7" ht="12.75">
      <c r="A107" s="122" t="s">
        <v>38</v>
      </c>
      <c r="B107" s="121">
        <v>102.6</v>
      </c>
      <c r="C107" s="30">
        <f t="shared" si="1"/>
        <v>99.9</v>
      </c>
      <c r="D107" s="14">
        <v>0.49653508771929827</v>
      </c>
      <c r="E107" s="81">
        <v>9.7921052631578936E-2</v>
      </c>
      <c r="F107" s="81">
        <v>9.7921052631578936E-2</v>
      </c>
      <c r="G107" s="82">
        <v>0.10403508771929822</v>
      </c>
    </row>
    <row r="108" spans="1:7" ht="12.75">
      <c r="A108" s="122" t="s">
        <v>39</v>
      </c>
      <c r="B108" s="121">
        <v>104.5</v>
      </c>
      <c r="C108" s="30">
        <f t="shared" si="1"/>
        <v>102.6</v>
      </c>
      <c r="D108" s="14">
        <v>0.50568899521531108</v>
      </c>
      <c r="E108" s="81">
        <v>0.1034133971291866</v>
      </c>
      <c r="F108" s="81">
        <v>0.1034133971291866</v>
      </c>
      <c r="G108" s="82">
        <v>0.1094162679425837</v>
      </c>
    </row>
    <row r="109" spans="1:7" ht="12.75">
      <c r="A109" s="122" t="s">
        <v>40</v>
      </c>
      <c r="B109" s="121">
        <v>107.3</v>
      </c>
      <c r="C109" s="30">
        <f t="shared" si="1"/>
        <v>104.5</v>
      </c>
      <c r="D109" s="14">
        <v>0.51858807082945013</v>
      </c>
      <c r="E109" s="81">
        <v>0.11115284249767009</v>
      </c>
      <c r="F109" s="81">
        <v>0.11115284249767009</v>
      </c>
      <c r="G109" s="82">
        <v>0.11699906803355077</v>
      </c>
    </row>
    <row r="110" spans="1:7" ht="12.75">
      <c r="A110" s="122" t="s">
        <v>41</v>
      </c>
      <c r="B110" s="121">
        <v>110</v>
      </c>
      <c r="C110" s="30">
        <f t="shared" si="1"/>
        <v>107.3</v>
      </c>
      <c r="D110" s="14">
        <v>0.53040454545454552</v>
      </c>
      <c r="E110" s="81">
        <v>0.11824272727272729</v>
      </c>
      <c r="F110" s="81">
        <v>0.11824272727272729</v>
      </c>
      <c r="G110" s="82">
        <v>0.12394545454545454</v>
      </c>
    </row>
    <row r="111" spans="1:7" ht="12.75">
      <c r="A111" s="122" t="s">
        <v>42</v>
      </c>
      <c r="B111" s="121">
        <v>113.4</v>
      </c>
      <c r="C111" s="30">
        <f t="shared" si="1"/>
        <v>110</v>
      </c>
      <c r="D111" s="14">
        <v>0.54448412698412707</v>
      </c>
      <c r="E111" s="81">
        <v>0.12669047619047619</v>
      </c>
      <c r="F111" s="81">
        <v>0.12669047619047619</v>
      </c>
      <c r="G111" s="82">
        <v>0.13222222222222221</v>
      </c>
    </row>
    <row r="112" spans="1:7" ht="12.75">
      <c r="A112" s="122" t="s">
        <v>43</v>
      </c>
      <c r="B112" s="121">
        <v>118.3</v>
      </c>
      <c r="C112" s="30">
        <f t="shared" si="1"/>
        <v>113.4</v>
      </c>
      <c r="D112" s="14">
        <v>0.5633516483516483</v>
      </c>
      <c r="E112" s="81">
        <v>0.13801098901098902</v>
      </c>
      <c r="F112" s="81">
        <v>0.13801098901098902</v>
      </c>
      <c r="G112" s="82">
        <v>0.14331360946745561</v>
      </c>
    </row>
    <row r="113" spans="1:7" ht="12.75">
      <c r="A113" s="122" t="s">
        <v>44</v>
      </c>
      <c r="B113" s="121">
        <v>121.7</v>
      </c>
      <c r="C113" s="30">
        <f t="shared" si="1"/>
        <v>118.3</v>
      </c>
      <c r="D113" s="14">
        <v>0.57555053410024648</v>
      </c>
      <c r="E113" s="81">
        <v>0.1453303204601479</v>
      </c>
      <c r="F113" s="81">
        <v>0.1453303204601479</v>
      </c>
      <c r="G113" s="82">
        <v>0.15048479868529169</v>
      </c>
    </row>
    <row r="114" spans="1:7" ht="12.75">
      <c r="A114" s="122" t="s">
        <v>45</v>
      </c>
      <c r="B114" s="121">
        <v>125.6</v>
      </c>
      <c r="C114" s="30">
        <f t="shared" si="1"/>
        <v>121.7</v>
      </c>
      <c r="D114" s="14">
        <v>0.58873009554140132</v>
      </c>
      <c r="E114" s="81">
        <v>0.15323805732484075</v>
      </c>
      <c r="F114" s="81">
        <v>0.15323805732484075</v>
      </c>
      <c r="G114" s="82">
        <v>0.15823248407643309</v>
      </c>
    </row>
    <row r="115" spans="1:7" ht="12.75">
      <c r="A115" s="122" t="s">
        <v>46</v>
      </c>
      <c r="B115" s="121">
        <v>130.69999999999999</v>
      </c>
      <c r="C115" s="30">
        <f t="shared" si="1"/>
        <v>125.6</v>
      </c>
      <c r="D115" s="14">
        <v>0.60477811782708502</v>
      </c>
      <c r="E115" s="81">
        <v>0.16286687069625094</v>
      </c>
      <c r="F115" s="81">
        <v>0.16286687069625094</v>
      </c>
      <c r="G115" s="82">
        <v>0.16766641162968626</v>
      </c>
    </row>
    <row r="116" spans="1:7" ht="12.75">
      <c r="A116" s="122" t="s">
        <v>47</v>
      </c>
      <c r="B116" s="121">
        <v>134.6</v>
      </c>
      <c r="C116" s="30">
        <f t="shared" si="1"/>
        <v>130.69999999999999</v>
      </c>
      <c r="D116" s="14">
        <v>0.61622956909361071</v>
      </c>
      <c r="E116" s="81">
        <v>0.16973774145616641</v>
      </c>
      <c r="F116" s="81">
        <v>0.16973774145616641</v>
      </c>
      <c r="G116" s="82">
        <v>0.17439821693907873</v>
      </c>
    </row>
    <row r="117" spans="1:7" ht="12.75">
      <c r="A117" s="122" t="s">
        <v>48</v>
      </c>
      <c r="B117" s="121">
        <v>141.19999999999999</v>
      </c>
      <c r="C117" s="30">
        <f t="shared" si="1"/>
        <v>134.6</v>
      </c>
      <c r="D117" s="14">
        <v>0.63416784702549578</v>
      </c>
      <c r="E117" s="81">
        <v>0.18050070821529743</v>
      </c>
      <c r="F117" s="81">
        <v>0.18050070821529743</v>
      </c>
      <c r="G117" s="82">
        <v>0.18494334277620397</v>
      </c>
    </row>
    <row r="118" spans="1:7" ht="12.75">
      <c r="A118" s="122" t="s">
        <v>49</v>
      </c>
      <c r="B118" s="121">
        <v>149.30000000000001</v>
      </c>
      <c r="C118" s="30">
        <f t="shared" si="1"/>
        <v>141.19999999999999</v>
      </c>
      <c r="D118" s="14">
        <v>0.65401540522438051</v>
      </c>
      <c r="E118" s="81">
        <v>0.19240924313462829</v>
      </c>
      <c r="F118" s="81">
        <v>0.19240924313462829</v>
      </c>
      <c r="G118" s="82">
        <v>0.19661085063630276</v>
      </c>
    </row>
    <row r="119" spans="1:7" ht="12.75">
      <c r="A119" s="122" t="s">
        <v>50</v>
      </c>
      <c r="B119" s="121">
        <v>158.80000000000001</v>
      </c>
      <c r="C119" s="30">
        <f t="shared" si="1"/>
        <v>149.30000000000001</v>
      </c>
      <c r="D119" s="14">
        <v>0.67471347607052901</v>
      </c>
      <c r="E119" s="81">
        <v>0.20482808564231739</v>
      </c>
      <c r="F119" s="81">
        <v>0.20482808564231739</v>
      </c>
      <c r="G119" s="82">
        <v>0.20877833753148614</v>
      </c>
    </row>
    <row r="120" spans="1:7" ht="12.75">
      <c r="A120" s="122" t="s">
        <v>51</v>
      </c>
      <c r="B120" s="121">
        <v>167.3</v>
      </c>
      <c r="C120" s="30">
        <f t="shared" si="1"/>
        <v>158.80000000000001</v>
      </c>
      <c r="D120" s="14">
        <v>0.69124028690974304</v>
      </c>
      <c r="E120" s="81">
        <v>0.21474417214584579</v>
      </c>
      <c r="F120" s="81">
        <v>0.21474417214584579</v>
      </c>
      <c r="G120" s="82">
        <v>0.21849372384937238</v>
      </c>
    </row>
    <row r="121" spans="1:7" ht="12.75">
      <c r="A121" s="122" t="s">
        <v>52</v>
      </c>
      <c r="B121" s="121">
        <v>187.5</v>
      </c>
      <c r="C121" s="30">
        <f t="shared" si="1"/>
        <v>167.3</v>
      </c>
      <c r="D121" s="14">
        <v>0.72450400000000004</v>
      </c>
      <c r="E121" s="81">
        <v>0.23470240000000001</v>
      </c>
      <c r="F121" s="81">
        <v>0.23470240000000001</v>
      </c>
      <c r="G121" s="82">
        <v>0.23804800000000001</v>
      </c>
    </row>
    <row r="122" spans="1:7" ht="12.75">
      <c r="A122" s="122" t="s">
        <v>53</v>
      </c>
      <c r="B122" s="121">
        <v>224.5</v>
      </c>
      <c r="C122" s="30">
        <f>B121</f>
        <v>187.5</v>
      </c>
      <c r="D122" s="14">
        <v>0.76990868596881967</v>
      </c>
      <c r="E122" s="81">
        <v>0.26194521158129175</v>
      </c>
      <c r="F122" s="81">
        <v>0.26194521158129175</v>
      </c>
      <c r="G122" s="82">
        <v>0.26473942093541203</v>
      </c>
    </row>
    <row r="123" spans="1:7" ht="13.5" thickBot="1">
      <c r="A123" s="123" t="s">
        <v>53</v>
      </c>
      <c r="B123" s="124" t="s">
        <v>102</v>
      </c>
      <c r="C123" s="30">
        <f t="shared" si="1"/>
        <v>224.5</v>
      </c>
      <c r="D123" s="86"/>
      <c r="E123" s="87"/>
      <c r="F123" s="87"/>
      <c r="G123" s="88"/>
    </row>
    <row r="124" spans="1:7" ht="13.5" thickBot="1">
      <c r="A124" s="89"/>
      <c r="B124" s="125"/>
      <c r="C124" s="29"/>
      <c r="D124" s="126"/>
      <c r="E124" s="127">
        <v>7.1125794190815092E-2</v>
      </c>
      <c r="F124" s="127">
        <v>7.1125794190815092E-2</v>
      </c>
      <c r="G124" s="128">
        <v>7.4272825418810348E-2</v>
      </c>
    </row>
    <row r="125" spans="1:7" ht="51">
      <c r="A125" s="94" t="s">
        <v>55</v>
      </c>
      <c r="B125" s="129">
        <v>34.200000000000003</v>
      </c>
      <c r="C125" s="29"/>
      <c r="D125" s="96"/>
      <c r="E125" s="97">
        <v>86.092500000000001</v>
      </c>
      <c r="F125" s="98">
        <v>86.092500000000001</v>
      </c>
      <c r="G125" s="99">
        <v>84.350000000000009</v>
      </c>
    </row>
    <row r="126" spans="1:7" ht="52.5" customHeight="1">
      <c r="A126" s="100" t="s">
        <v>56</v>
      </c>
      <c r="B126" s="130">
        <v>90.3</v>
      </c>
      <c r="C126" s="29"/>
      <c r="D126" s="102"/>
      <c r="E126" s="103"/>
      <c r="F126" s="103"/>
      <c r="G126" s="104"/>
    </row>
    <row r="127" spans="1:7" ht="78" customHeight="1" thickBot="1">
      <c r="A127" s="105" t="s">
        <v>57</v>
      </c>
      <c r="B127" s="131">
        <v>20.5</v>
      </c>
      <c r="C127" s="29"/>
      <c r="D127" s="87"/>
      <c r="E127" s="86">
        <v>51.655499999999996</v>
      </c>
      <c r="F127" s="86">
        <v>51.655499999999996</v>
      </c>
      <c r="G127" s="107">
        <v>50.610000000000007</v>
      </c>
    </row>
    <row r="128" spans="1:7" ht="15.75" thickBot="1"/>
    <row r="129" spans="1:7" ht="51.75" thickBot="1">
      <c r="A129" s="108" t="s">
        <v>56</v>
      </c>
      <c r="B129" s="109">
        <f>B126</f>
        <v>90.3</v>
      </c>
    </row>
    <row r="130" spans="1:7">
      <c r="A130" s="110" t="s">
        <v>64</v>
      </c>
      <c r="B130" s="111">
        <f>AVERAGE(B78:B117)</f>
        <v>86.092500000000001</v>
      </c>
      <c r="C130" s="17"/>
    </row>
    <row r="131" spans="1:7">
      <c r="A131" s="112" t="s">
        <v>65</v>
      </c>
      <c r="B131" s="113">
        <f>AVERAGE(B83:B112)</f>
        <v>84.350000000000009</v>
      </c>
      <c r="C131" s="18"/>
    </row>
    <row r="132" spans="1:7" ht="15.75" thickBot="1">
      <c r="A132" s="114" t="s">
        <v>66</v>
      </c>
      <c r="B132" s="115">
        <f>AVERAGE(B89:B107)</f>
        <v>84.284210526315803</v>
      </c>
      <c r="C132" s="18"/>
    </row>
    <row r="133" spans="1:7" ht="15.75" thickBot="1"/>
    <row r="134" spans="1:7" ht="13.5" thickBot="1">
      <c r="A134" s="535" t="s">
        <v>0</v>
      </c>
      <c r="B134" s="538" t="s">
        <v>78</v>
      </c>
      <c r="C134" s="539"/>
      <c r="D134" s="540"/>
      <c r="E134" s="62">
        <f>(1-E189)^(1/3)-1</f>
        <v>-2.9454287542973967E-2</v>
      </c>
      <c r="F134" s="63">
        <f>(1-F189)^(1/3)-1</f>
        <v>-2.9454287542973967E-2</v>
      </c>
      <c r="G134" s="64"/>
    </row>
    <row r="135" spans="1:7" ht="77.25" thickBot="1">
      <c r="A135" s="536"/>
      <c r="B135" s="65" t="s">
        <v>4</v>
      </c>
      <c r="C135" s="254"/>
      <c r="D135" s="65" t="s">
        <v>80</v>
      </c>
      <c r="E135" s="65" t="s">
        <v>5</v>
      </c>
      <c r="F135" s="65" t="s">
        <v>5</v>
      </c>
      <c r="G135" s="65"/>
    </row>
    <row r="136" spans="1:7" ht="26.25" thickBot="1">
      <c r="A136" s="537"/>
      <c r="B136" s="66" t="s">
        <v>9</v>
      </c>
      <c r="C136" s="254"/>
      <c r="D136" s="66" t="s">
        <v>7</v>
      </c>
      <c r="E136" s="67" t="s">
        <v>82</v>
      </c>
      <c r="F136" s="68" t="s">
        <v>83</v>
      </c>
      <c r="G136" s="68"/>
    </row>
    <row r="137" spans="1:7" ht="13.5" thickBot="1">
      <c r="A137" s="69">
        <v>1</v>
      </c>
      <c r="B137" s="70">
        <v>2</v>
      </c>
      <c r="C137" s="51"/>
      <c r="D137" s="71">
        <v>3</v>
      </c>
      <c r="E137" s="72">
        <v>4</v>
      </c>
      <c r="F137" s="73">
        <v>5</v>
      </c>
      <c r="G137" s="72"/>
    </row>
    <row r="138" spans="1:7" ht="12.75">
      <c r="A138" s="74" t="s">
        <v>10</v>
      </c>
      <c r="B138" s="132">
        <v>0.36</v>
      </c>
      <c r="C138" s="255">
        <v>0</v>
      </c>
      <c r="D138" s="76">
        <v>0</v>
      </c>
      <c r="E138" s="77">
        <v>0</v>
      </c>
      <c r="F138" s="77">
        <v>0</v>
      </c>
      <c r="G138" s="78">
        <v>0</v>
      </c>
    </row>
    <row r="139" spans="1:7" ht="12.75">
      <c r="A139" s="79" t="s">
        <v>58</v>
      </c>
      <c r="B139" s="133">
        <v>0.46</v>
      </c>
      <c r="C139" s="30">
        <f>B138</f>
        <v>0.36</v>
      </c>
      <c r="D139" s="76">
        <v>0</v>
      </c>
      <c r="E139" s="81">
        <v>0</v>
      </c>
      <c r="F139" s="81">
        <v>0</v>
      </c>
      <c r="G139" s="82">
        <v>0</v>
      </c>
    </row>
    <row r="140" spans="1:7" ht="12.75">
      <c r="A140" s="79" t="s">
        <v>59</v>
      </c>
      <c r="B140" s="133">
        <v>0.51</v>
      </c>
      <c r="C140" s="30">
        <f t="shared" ref="C140:C188" si="2">B139</f>
        <v>0.46</v>
      </c>
      <c r="D140" s="76">
        <v>0</v>
      </c>
      <c r="E140" s="81">
        <v>0</v>
      </c>
      <c r="F140" s="81">
        <v>0</v>
      </c>
      <c r="G140" s="82">
        <v>0</v>
      </c>
    </row>
    <row r="141" spans="1:7" ht="12.75">
      <c r="A141" s="79" t="s">
        <v>60</v>
      </c>
      <c r="B141" s="133">
        <v>0.61</v>
      </c>
      <c r="C141" s="30">
        <f t="shared" si="2"/>
        <v>0.51</v>
      </c>
      <c r="D141" s="76">
        <v>0</v>
      </c>
      <c r="E141" s="81">
        <v>0</v>
      </c>
      <c r="F141" s="81">
        <v>0</v>
      </c>
      <c r="G141" s="82">
        <v>0</v>
      </c>
    </row>
    <row r="142" spans="1:7" ht="12.75">
      <c r="A142" s="79" t="s">
        <v>61</v>
      </c>
      <c r="B142" s="133">
        <v>0.65</v>
      </c>
      <c r="C142" s="30">
        <f t="shared" si="2"/>
        <v>0.61</v>
      </c>
      <c r="D142" s="76">
        <v>0</v>
      </c>
      <c r="E142" s="81">
        <v>0</v>
      </c>
      <c r="F142" s="81">
        <v>0</v>
      </c>
      <c r="G142" s="82">
        <v>0</v>
      </c>
    </row>
    <row r="143" spans="1:7" ht="12.75">
      <c r="A143" s="79" t="s">
        <v>62</v>
      </c>
      <c r="B143" s="133">
        <v>0.73</v>
      </c>
      <c r="C143" s="30">
        <f t="shared" si="2"/>
        <v>0.65</v>
      </c>
      <c r="D143" s="76">
        <v>0</v>
      </c>
      <c r="E143" s="81">
        <v>0</v>
      </c>
      <c r="F143" s="81">
        <v>0</v>
      </c>
      <c r="G143" s="82">
        <v>0</v>
      </c>
    </row>
    <row r="144" spans="1:7" ht="12.75">
      <c r="A144" s="79" t="s">
        <v>63</v>
      </c>
      <c r="B144" s="133">
        <v>0.79</v>
      </c>
      <c r="C144" s="30">
        <f t="shared" si="2"/>
        <v>0.73</v>
      </c>
      <c r="D144" s="76">
        <v>0</v>
      </c>
      <c r="E144" s="81">
        <v>0</v>
      </c>
      <c r="F144" s="81">
        <v>0</v>
      </c>
      <c r="G144" s="82">
        <v>0</v>
      </c>
    </row>
    <row r="145" spans="1:7" ht="12.75">
      <c r="A145" s="83" t="s">
        <v>11</v>
      </c>
      <c r="B145" s="133">
        <v>0.85</v>
      </c>
      <c r="C145" s="30">
        <f t="shared" si="2"/>
        <v>0.79</v>
      </c>
      <c r="D145" s="76">
        <v>0</v>
      </c>
      <c r="E145" s="81">
        <v>0</v>
      </c>
      <c r="F145" s="81">
        <v>0</v>
      </c>
      <c r="G145" s="82">
        <v>0</v>
      </c>
    </row>
    <row r="146" spans="1:7" ht="12.75">
      <c r="A146" s="83" t="s">
        <v>12</v>
      </c>
      <c r="B146" s="133">
        <v>0.91</v>
      </c>
      <c r="C146" s="30">
        <f t="shared" si="2"/>
        <v>0.85</v>
      </c>
      <c r="D146" s="76">
        <v>0</v>
      </c>
      <c r="E146" s="81">
        <v>0</v>
      </c>
      <c r="F146" s="81">
        <v>0</v>
      </c>
      <c r="G146" s="82">
        <v>0</v>
      </c>
    </row>
    <row r="147" spans="1:7" ht="12.75">
      <c r="A147" s="83" t="s">
        <v>13</v>
      </c>
      <c r="B147" s="133">
        <v>0.98</v>
      </c>
      <c r="C147" s="30">
        <f t="shared" si="2"/>
        <v>0.91</v>
      </c>
      <c r="D147" s="76">
        <v>0</v>
      </c>
      <c r="E147" s="81">
        <v>0</v>
      </c>
      <c r="F147" s="81">
        <v>0</v>
      </c>
      <c r="G147" s="82">
        <v>0</v>
      </c>
    </row>
    <row r="148" spans="1:7" ht="12.75">
      <c r="A148" s="83" t="s">
        <v>14</v>
      </c>
      <c r="B148" s="133">
        <v>1.02</v>
      </c>
      <c r="C148" s="30">
        <f t="shared" si="2"/>
        <v>0.98</v>
      </c>
      <c r="D148" s="76">
        <v>0</v>
      </c>
      <c r="E148" s="81">
        <v>0</v>
      </c>
      <c r="F148" s="81">
        <v>0</v>
      </c>
      <c r="G148" s="82">
        <v>0</v>
      </c>
    </row>
    <row r="149" spans="1:7" ht="12.75">
      <c r="A149" s="83" t="s">
        <v>15</v>
      </c>
      <c r="B149" s="133">
        <v>1.1000000000000001</v>
      </c>
      <c r="C149" s="30">
        <f t="shared" si="2"/>
        <v>1.02</v>
      </c>
      <c r="D149" s="76">
        <v>0</v>
      </c>
      <c r="E149" s="81">
        <v>0</v>
      </c>
      <c r="F149" s="81">
        <v>0</v>
      </c>
      <c r="G149" s="82">
        <v>0</v>
      </c>
    </row>
    <row r="150" spans="1:7" ht="12.75">
      <c r="A150" s="83" t="s">
        <v>16</v>
      </c>
      <c r="B150" s="133">
        <v>1.1599999999999999</v>
      </c>
      <c r="C150" s="30">
        <f t="shared" si="2"/>
        <v>1.1000000000000001</v>
      </c>
      <c r="D150" s="76">
        <v>0</v>
      </c>
      <c r="E150" s="81">
        <v>0</v>
      </c>
      <c r="F150" s="81">
        <v>0</v>
      </c>
      <c r="G150" s="82">
        <v>0</v>
      </c>
    </row>
    <row r="151" spans="1:7" ht="12.75">
      <c r="A151" s="83" t="s">
        <v>17</v>
      </c>
      <c r="B151" s="133">
        <v>1.24</v>
      </c>
      <c r="C151" s="30">
        <f t="shared" si="2"/>
        <v>1.1599999999999999</v>
      </c>
      <c r="D151" s="76">
        <v>0</v>
      </c>
      <c r="E151" s="81">
        <v>0</v>
      </c>
      <c r="F151" s="81">
        <v>0</v>
      </c>
      <c r="G151" s="82">
        <v>0</v>
      </c>
    </row>
    <row r="152" spans="1:7" ht="12.75">
      <c r="A152" s="83" t="s">
        <v>18</v>
      </c>
      <c r="B152" s="133">
        <v>1.29</v>
      </c>
      <c r="C152" s="30">
        <f t="shared" si="2"/>
        <v>1.24</v>
      </c>
      <c r="D152" s="76">
        <v>0</v>
      </c>
      <c r="E152" s="81">
        <v>0</v>
      </c>
      <c r="F152" s="81">
        <v>0</v>
      </c>
      <c r="G152" s="82">
        <v>0</v>
      </c>
    </row>
    <row r="153" spans="1:7" ht="12.75">
      <c r="A153" s="83" t="s">
        <v>19</v>
      </c>
      <c r="B153" s="133">
        <v>1.33</v>
      </c>
      <c r="C153" s="30">
        <f t="shared" si="2"/>
        <v>1.29</v>
      </c>
      <c r="D153" s="76">
        <v>0</v>
      </c>
      <c r="E153" s="81">
        <v>0</v>
      </c>
      <c r="F153" s="81">
        <v>0</v>
      </c>
      <c r="G153" s="82">
        <v>0</v>
      </c>
    </row>
    <row r="154" spans="1:7" ht="12.75">
      <c r="A154" s="83" t="s">
        <v>20</v>
      </c>
      <c r="B154" s="133">
        <v>1.36</v>
      </c>
      <c r="C154" s="30">
        <f t="shared" si="2"/>
        <v>1.33</v>
      </c>
      <c r="D154" s="76">
        <v>0</v>
      </c>
      <c r="E154" s="81">
        <v>0</v>
      </c>
      <c r="F154" s="81">
        <v>0</v>
      </c>
      <c r="G154" s="82">
        <v>0</v>
      </c>
    </row>
    <row r="155" spans="1:7" ht="12.75">
      <c r="A155" s="83" t="s">
        <v>21</v>
      </c>
      <c r="B155" s="133">
        <v>1.41</v>
      </c>
      <c r="C155" s="30">
        <f t="shared" si="2"/>
        <v>1.36</v>
      </c>
      <c r="D155" s="76">
        <v>0</v>
      </c>
      <c r="E155" s="81">
        <v>0</v>
      </c>
      <c r="F155" s="81">
        <v>0</v>
      </c>
      <c r="G155" s="82">
        <v>0</v>
      </c>
    </row>
    <row r="156" spans="1:7" ht="12.75">
      <c r="A156" s="83" t="s">
        <v>22</v>
      </c>
      <c r="B156" s="133">
        <v>1.5</v>
      </c>
      <c r="C156" s="30">
        <f t="shared" si="2"/>
        <v>1.41</v>
      </c>
      <c r="D156" s="76">
        <v>0</v>
      </c>
      <c r="E156" s="81">
        <v>0</v>
      </c>
      <c r="F156" s="81">
        <v>0</v>
      </c>
      <c r="G156" s="82">
        <v>5.3466666666666558E-3</v>
      </c>
    </row>
    <row r="157" spans="1:7" ht="12.75">
      <c r="A157" s="83" t="s">
        <v>23</v>
      </c>
      <c r="B157" s="133">
        <v>1.57</v>
      </c>
      <c r="C157" s="30">
        <f t="shared" si="2"/>
        <v>1.5</v>
      </c>
      <c r="D157" s="76">
        <v>0</v>
      </c>
      <c r="E157" s="81">
        <v>0</v>
      </c>
      <c r="F157" s="81">
        <v>0</v>
      </c>
      <c r="G157" s="82">
        <v>9.5668789808917125E-3</v>
      </c>
    </row>
    <row r="158" spans="1:7" ht="12.75">
      <c r="A158" s="83" t="s">
        <v>24</v>
      </c>
      <c r="B158" s="133">
        <v>1.68</v>
      </c>
      <c r="C158" s="30">
        <f t="shared" si="2"/>
        <v>1.57</v>
      </c>
      <c r="D158" s="76">
        <v>0</v>
      </c>
      <c r="E158" s="81">
        <v>0</v>
      </c>
      <c r="F158" s="81">
        <v>0</v>
      </c>
      <c r="G158" s="82">
        <v>1.5488095238095224E-2</v>
      </c>
    </row>
    <row r="159" spans="1:7" ht="12.75">
      <c r="A159" s="83" t="s">
        <v>25</v>
      </c>
      <c r="B159" s="133">
        <v>1.73</v>
      </c>
      <c r="C159" s="30">
        <f t="shared" si="2"/>
        <v>1.68</v>
      </c>
      <c r="D159" s="76">
        <v>0</v>
      </c>
      <c r="E159" s="81">
        <v>0</v>
      </c>
      <c r="F159" s="81">
        <v>0</v>
      </c>
      <c r="G159" s="82">
        <v>1.7930635838150279E-2</v>
      </c>
    </row>
    <row r="160" spans="1:7" ht="12.75">
      <c r="A160" s="83" t="s">
        <v>26</v>
      </c>
      <c r="B160" s="133">
        <v>1.8</v>
      </c>
      <c r="C160" s="30">
        <f t="shared" si="2"/>
        <v>1.73</v>
      </c>
      <c r="D160" s="76">
        <v>2.9333333333333309E-2</v>
      </c>
      <c r="E160" s="81"/>
      <c r="F160" s="81">
        <v>2.9333333333333312E-3</v>
      </c>
      <c r="G160" s="82">
        <v>2.1122222222222216E-2</v>
      </c>
    </row>
    <row r="161" spans="1:7" ht="12.75">
      <c r="A161" s="83" t="s">
        <v>27</v>
      </c>
      <c r="B161" s="133">
        <v>1.88</v>
      </c>
      <c r="C161" s="30">
        <f t="shared" si="2"/>
        <v>1.8</v>
      </c>
      <c r="D161" s="76">
        <v>7.0638297872340328E-2</v>
      </c>
      <c r="E161" s="81"/>
      <c r="F161" s="81">
        <v>7.0638297872340329E-3</v>
      </c>
      <c r="G161" s="82">
        <v>2.4478723404255307E-2</v>
      </c>
    </row>
    <row r="162" spans="1:7" ht="12.75">
      <c r="A162" s="83" t="s">
        <v>28</v>
      </c>
      <c r="B162" s="133">
        <v>1.96</v>
      </c>
      <c r="C162" s="30">
        <f t="shared" si="2"/>
        <v>1.88</v>
      </c>
      <c r="D162" s="76">
        <v>0.10857142857142851</v>
      </c>
      <c r="E162" s="81">
        <v>1.0857142857142852E-2</v>
      </c>
      <c r="F162" s="81">
        <v>1.0857142857142852E-2</v>
      </c>
      <c r="G162" s="82">
        <v>2.7561224489795911E-2</v>
      </c>
    </row>
    <row r="163" spans="1:7" ht="12.75">
      <c r="A163" s="83" t="s">
        <v>29</v>
      </c>
      <c r="B163" s="133">
        <v>2.0299999999999998</v>
      </c>
      <c r="C163" s="30">
        <f t="shared" si="2"/>
        <v>1.96</v>
      </c>
      <c r="D163" s="76">
        <v>0.13931034482758609</v>
      </c>
      <c r="E163" s="81">
        <v>1.3931034482758608E-2</v>
      </c>
      <c r="F163" s="81">
        <v>1.3931034482758608E-2</v>
      </c>
      <c r="G163" s="82">
        <v>3.0059113300492595E-2</v>
      </c>
    </row>
    <row r="164" spans="1:7" ht="12.75">
      <c r="A164" s="83" t="s">
        <v>30</v>
      </c>
      <c r="B164" s="133">
        <v>2.14</v>
      </c>
      <c r="C164" s="30">
        <f t="shared" si="2"/>
        <v>2.0299999999999998</v>
      </c>
      <c r="D164" s="76">
        <v>0.18355140186915889</v>
      </c>
      <c r="E164" s="81">
        <v>1.8355140186915891E-2</v>
      </c>
      <c r="F164" s="81">
        <v>1.8355140186915891E-2</v>
      </c>
      <c r="G164" s="82">
        <v>3.3654205607476631E-2</v>
      </c>
    </row>
    <row r="165" spans="1:7" ht="12.75">
      <c r="A165" s="83" t="s">
        <v>31</v>
      </c>
      <c r="B165" s="133">
        <v>2.2999999999999998</v>
      </c>
      <c r="C165" s="30">
        <f t="shared" si="2"/>
        <v>2.14</v>
      </c>
      <c r="D165" s="76">
        <v>0.24034782608695643</v>
      </c>
      <c r="E165" s="81">
        <v>2.4034782608695644E-2</v>
      </c>
      <c r="F165" s="81">
        <v>2.4034782608695644E-2</v>
      </c>
      <c r="G165" s="82">
        <v>3.8269565217391298E-2</v>
      </c>
    </row>
    <row r="166" spans="1:7" ht="12.75">
      <c r="A166" s="83" t="s">
        <v>32</v>
      </c>
      <c r="B166" s="133">
        <v>2.38</v>
      </c>
      <c r="C166" s="30">
        <f t="shared" si="2"/>
        <v>2.2999999999999998</v>
      </c>
      <c r="D166" s="76">
        <v>0.2658823529411764</v>
      </c>
      <c r="E166" s="81">
        <v>2.6588235294117645E-2</v>
      </c>
      <c r="F166" s="81">
        <v>2.6588235294117645E-2</v>
      </c>
      <c r="G166" s="82">
        <v>4.2067226890756218E-2</v>
      </c>
    </row>
    <row r="167" spans="1:7" ht="12.75">
      <c r="A167" s="83" t="s">
        <v>33</v>
      </c>
      <c r="B167" s="133">
        <v>2.5</v>
      </c>
      <c r="C167" s="30">
        <f t="shared" si="2"/>
        <v>2.38</v>
      </c>
      <c r="D167" s="76">
        <v>0.30111999999999994</v>
      </c>
      <c r="E167" s="81">
        <v>3.0112E-2</v>
      </c>
      <c r="F167" s="81">
        <v>3.0112E-2</v>
      </c>
      <c r="G167" s="82">
        <v>5.9247999999999933E-2</v>
      </c>
    </row>
    <row r="168" spans="1:7" ht="12.75">
      <c r="A168" s="83" t="s">
        <v>34</v>
      </c>
      <c r="B168" s="133">
        <v>2.61</v>
      </c>
      <c r="C168" s="30">
        <f t="shared" si="2"/>
        <v>2.5</v>
      </c>
      <c r="D168" s="76">
        <v>0.3305747126436781</v>
      </c>
      <c r="E168" s="81">
        <v>3.305747126436781E-2</v>
      </c>
      <c r="F168" s="81">
        <v>3.305747126436781E-2</v>
      </c>
      <c r="G168" s="82">
        <v>7.360919540229878E-2</v>
      </c>
    </row>
    <row r="169" spans="1:7" ht="12.75">
      <c r="A169" s="83" t="s">
        <v>35</v>
      </c>
      <c r="B169" s="133">
        <v>2.82</v>
      </c>
      <c r="C169" s="30">
        <f t="shared" si="2"/>
        <v>2.61</v>
      </c>
      <c r="D169" s="76">
        <v>0.38042553191489353</v>
      </c>
      <c r="E169" s="81">
        <v>3.8042553191489359E-2</v>
      </c>
      <c r="F169" s="81">
        <v>3.8042553191489359E-2</v>
      </c>
      <c r="G169" s="82">
        <v>9.7914893617021215E-2</v>
      </c>
    </row>
    <row r="170" spans="1:7" ht="12.75">
      <c r="A170" s="83" t="s">
        <v>36</v>
      </c>
      <c r="B170" s="133">
        <v>3.02</v>
      </c>
      <c r="C170" s="30">
        <f t="shared" si="2"/>
        <v>2.82</v>
      </c>
      <c r="D170" s="76">
        <v>0.42145695364238406</v>
      </c>
      <c r="E170" s="81">
        <v>5.2874172185430425E-2</v>
      </c>
      <c r="F170" s="81">
        <v>5.2874172185430425E-2</v>
      </c>
      <c r="G170" s="82">
        <v>0.11792052980132445</v>
      </c>
    </row>
    <row r="171" spans="1:7" ht="12.75">
      <c r="A171" s="83" t="s">
        <v>37</v>
      </c>
      <c r="B171" s="133">
        <v>3.2</v>
      </c>
      <c r="C171" s="30">
        <f t="shared" si="2"/>
        <v>3.02</v>
      </c>
      <c r="D171" s="76">
        <v>0.45400000000000001</v>
      </c>
      <c r="E171" s="81">
        <v>7.2399999999999978E-2</v>
      </c>
      <c r="F171" s="81">
        <v>7.2399999999999978E-2</v>
      </c>
      <c r="G171" s="82">
        <v>0.13378749999999998</v>
      </c>
    </row>
    <row r="172" spans="1:7" ht="12.75">
      <c r="A172" s="83" t="s">
        <v>38</v>
      </c>
      <c r="B172" s="133">
        <v>3.41</v>
      </c>
      <c r="C172" s="30">
        <f t="shared" si="2"/>
        <v>3.2</v>
      </c>
      <c r="D172" s="76">
        <v>0.48762463343108503</v>
      </c>
      <c r="E172" s="81">
        <v>9.257478005865101E-2</v>
      </c>
      <c r="F172" s="81">
        <v>9.257478005865101E-2</v>
      </c>
      <c r="G172" s="82">
        <v>0.15018181818181814</v>
      </c>
    </row>
    <row r="173" spans="1:7" ht="12.75">
      <c r="A173" s="83" t="s">
        <v>39</v>
      </c>
      <c r="B173" s="133">
        <v>3.71</v>
      </c>
      <c r="C173" s="30">
        <f t="shared" si="2"/>
        <v>3.41</v>
      </c>
      <c r="D173" s="76">
        <v>0.52905660377358488</v>
      </c>
      <c r="E173" s="81">
        <v>0.11743396226415091</v>
      </c>
      <c r="F173" s="81">
        <v>0.11743396226415091</v>
      </c>
      <c r="G173" s="82">
        <v>0.1703827493261455</v>
      </c>
    </row>
    <row r="174" spans="1:7" ht="12.75">
      <c r="A174" s="83" t="s">
        <v>40</v>
      </c>
      <c r="B174" s="133">
        <v>4.08</v>
      </c>
      <c r="C174" s="30">
        <f t="shared" si="2"/>
        <v>3.71</v>
      </c>
      <c r="D174" s="76">
        <v>0.57176470588235284</v>
      </c>
      <c r="E174" s="81">
        <v>0.14305882352941177</v>
      </c>
      <c r="F174" s="81">
        <v>0.14305882352941177</v>
      </c>
      <c r="G174" s="82">
        <v>0.19120588235294114</v>
      </c>
    </row>
    <row r="175" spans="1:7" ht="12.75">
      <c r="A175" s="83" t="s">
        <v>41</v>
      </c>
      <c r="B175" s="133">
        <v>4.3499999999999996</v>
      </c>
      <c r="C175" s="30">
        <f t="shared" si="2"/>
        <v>4.08</v>
      </c>
      <c r="D175" s="76">
        <v>0.59834482758620677</v>
      </c>
      <c r="E175" s="81">
        <v>0.15900689655172409</v>
      </c>
      <c r="F175" s="81">
        <v>0.15900689655172409</v>
      </c>
      <c r="G175" s="82">
        <v>0.20416551724137927</v>
      </c>
    </row>
    <row r="176" spans="1:7" ht="12.75">
      <c r="A176" s="83" t="s">
        <v>42</v>
      </c>
      <c r="B176" s="133">
        <v>4.92</v>
      </c>
      <c r="C176" s="30">
        <f t="shared" si="2"/>
        <v>4.3499999999999996</v>
      </c>
      <c r="D176" s="76">
        <v>0.64487804878048771</v>
      </c>
      <c r="E176" s="81">
        <v>0.18692682926829268</v>
      </c>
      <c r="F176" s="81">
        <v>0.18692682926829268</v>
      </c>
      <c r="G176" s="82">
        <v>0.22685365853658537</v>
      </c>
    </row>
    <row r="177" spans="1:7" ht="12.75">
      <c r="A177" s="83" t="s">
        <v>43</v>
      </c>
      <c r="B177" s="133">
        <v>5.49</v>
      </c>
      <c r="C177" s="30">
        <f t="shared" si="2"/>
        <v>4.92</v>
      </c>
      <c r="D177" s="76">
        <v>0.68174863387978135</v>
      </c>
      <c r="E177" s="81">
        <v>0.20904918032786882</v>
      </c>
      <c r="F177" s="81">
        <v>0.20904918032786882</v>
      </c>
      <c r="G177" s="82">
        <v>0.2448306010928962</v>
      </c>
    </row>
    <row r="178" spans="1:7" ht="12.75">
      <c r="A178" s="83" t="s">
        <v>44</v>
      </c>
      <c r="B178" s="133">
        <v>6.09</v>
      </c>
      <c r="C178" s="30">
        <f t="shared" si="2"/>
        <v>5.49</v>
      </c>
      <c r="D178" s="76">
        <v>0.71310344827586203</v>
      </c>
      <c r="E178" s="81">
        <v>0.22786206896551725</v>
      </c>
      <c r="F178" s="81">
        <v>0.22786206896551725</v>
      </c>
      <c r="G178" s="82">
        <v>0.26011822660098521</v>
      </c>
    </row>
    <row r="179" spans="1:7" ht="12.75">
      <c r="A179" s="83" t="s">
        <v>45</v>
      </c>
      <c r="B179" s="133">
        <v>6.87</v>
      </c>
      <c r="C179" s="30">
        <f t="shared" si="2"/>
        <v>6.09</v>
      </c>
      <c r="D179" s="76">
        <v>0.7456768558951965</v>
      </c>
      <c r="E179" s="81">
        <v>0.24740611353711789</v>
      </c>
      <c r="F179" s="81">
        <v>0.24740611353711789</v>
      </c>
      <c r="G179" s="82">
        <v>0.27599999999999997</v>
      </c>
    </row>
    <row r="180" spans="1:7" ht="12.75">
      <c r="A180" s="83" t="s">
        <v>46</v>
      </c>
      <c r="B180" s="133">
        <v>8.01</v>
      </c>
      <c r="C180" s="30">
        <f t="shared" si="2"/>
        <v>6.87</v>
      </c>
      <c r="D180" s="76">
        <v>0.78187265917602988</v>
      </c>
      <c r="E180" s="81">
        <v>0.26912359550561799</v>
      </c>
      <c r="F180" s="81">
        <v>0.26912359550561799</v>
      </c>
      <c r="G180" s="82">
        <v>0.29364794007490641</v>
      </c>
    </row>
    <row r="181" spans="1:7" ht="12.75">
      <c r="A181" s="83" t="s">
        <v>47</v>
      </c>
      <c r="B181" s="133">
        <v>9.14</v>
      </c>
      <c r="C181" s="30">
        <f t="shared" si="2"/>
        <v>8.01</v>
      </c>
      <c r="D181" s="76">
        <v>0.80884026258205688</v>
      </c>
      <c r="E181" s="81">
        <v>0.28530415754923416</v>
      </c>
      <c r="F181" s="81">
        <v>0.28530415754923416</v>
      </c>
      <c r="G181" s="82">
        <v>0.30679649890590815</v>
      </c>
    </row>
    <row r="182" spans="1:7" ht="12.75">
      <c r="A182" s="83" t="s">
        <v>48</v>
      </c>
      <c r="B182" s="133">
        <v>11.12</v>
      </c>
      <c r="C182" s="30">
        <f t="shared" si="2"/>
        <v>9.14</v>
      </c>
      <c r="D182" s="76">
        <v>0.84287769784172661</v>
      </c>
      <c r="E182" s="81">
        <v>0.30572661870503598</v>
      </c>
      <c r="F182" s="81">
        <v>0.30572661870503598</v>
      </c>
      <c r="G182" s="82">
        <v>0.32339208633093525</v>
      </c>
    </row>
    <row r="183" spans="1:7" ht="12.75">
      <c r="A183" s="83" t="s">
        <v>49</v>
      </c>
      <c r="B183" s="133">
        <v>12.99</v>
      </c>
      <c r="C183" s="30">
        <f t="shared" si="2"/>
        <v>11.12</v>
      </c>
      <c r="D183" s="76">
        <v>0.86549653579676677</v>
      </c>
      <c r="E183" s="81">
        <v>0.31929792147806008</v>
      </c>
      <c r="F183" s="81">
        <v>0.31929792147806008</v>
      </c>
      <c r="G183" s="82">
        <v>0.33442032332563509</v>
      </c>
    </row>
    <row r="184" spans="1:7" ht="12.75">
      <c r="A184" s="83" t="s">
        <v>50</v>
      </c>
      <c r="B184" s="133">
        <v>15.27</v>
      </c>
      <c r="C184" s="30">
        <f t="shared" si="2"/>
        <v>12.99</v>
      </c>
      <c r="D184" s="76">
        <v>0.88557956777996072</v>
      </c>
      <c r="E184" s="81">
        <v>0.33134774066797645</v>
      </c>
      <c r="F184" s="81">
        <v>0.33134774066797645</v>
      </c>
      <c r="G184" s="82">
        <v>0.3442121807465619</v>
      </c>
    </row>
    <row r="185" spans="1:7" ht="12.75">
      <c r="A185" s="83" t="s">
        <v>51</v>
      </c>
      <c r="B185" s="133">
        <v>19.760000000000002</v>
      </c>
      <c r="C185" s="30">
        <f t="shared" si="2"/>
        <v>15.27</v>
      </c>
      <c r="D185" s="76">
        <v>0.91157894736842104</v>
      </c>
      <c r="E185" s="81">
        <v>0.34694736842105267</v>
      </c>
      <c r="F185" s="81">
        <v>0.34694736842105267</v>
      </c>
      <c r="G185" s="82">
        <v>0.35688866396761137</v>
      </c>
    </row>
    <row r="186" spans="1:7" ht="12.75">
      <c r="A186" s="83" t="s">
        <v>52</v>
      </c>
      <c r="B186" s="133">
        <v>22.06</v>
      </c>
      <c r="C186" s="30">
        <f t="shared" si="2"/>
        <v>19.760000000000002</v>
      </c>
      <c r="D186" s="76">
        <v>0.92079782411604716</v>
      </c>
      <c r="E186" s="81">
        <v>0.35247869446962832</v>
      </c>
      <c r="F186" s="81">
        <v>0.35247869446962832</v>
      </c>
      <c r="G186" s="82">
        <v>0.36138349954669086</v>
      </c>
    </row>
    <row r="187" spans="1:7" ht="12.75">
      <c r="A187" s="83" t="s">
        <v>53</v>
      </c>
      <c r="B187" s="133">
        <v>30.38</v>
      </c>
      <c r="C187" s="30">
        <f>B186</f>
        <v>22.06</v>
      </c>
      <c r="D187" s="76">
        <v>0.94248847926267287</v>
      </c>
      <c r="E187" s="81">
        <v>0.36549308755760374</v>
      </c>
      <c r="F187" s="81">
        <v>0.36549308755760374</v>
      </c>
      <c r="G187" s="82">
        <v>0.37195918367346942</v>
      </c>
    </row>
    <row r="188" spans="1:7" ht="13.5" thickBot="1">
      <c r="A188" s="84" t="s">
        <v>53</v>
      </c>
      <c r="B188" s="134" t="s">
        <v>103</v>
      </c>
      <c r="C188" s="30">
        <f t="shared" si="2"/>
        <v>30.38</v>
      </c>
      <c r="D188" s="87"/>
      <c r="E188" s="87"/>
      <c r="F188" s="87"/>
      <c r="G188" s="88"/>
    </row>
    <row r="189" spans="1:7" ht="13.5" thickBot="1">
      <c r="A189" s="89"/>
      <c r="B189" s="90"/>
      <c r="C189" s="4"/>
      <c r="D189" s="91"/>
      <c r="E189" s="92">
        <v>8.5785750680968581E-2</v>
      </c>
      <c r="F189" s="92">
        <v>8.5785750680968581E-2</v>
      </c>
      <c r="G189" s="93">
        <v>0.10328927013162614</v>
      </c>
    </row>
    <row r="190" spans="1:7" ht="51.75" thickBot="1">
      <c r="A190" s="94" t="s">
        <v>55</v>
      </c>
      <c r="B190" s="129">
        <v>1.79</v>
      </c>
      <c r="C190" s="4"/>
      <c r="D190" s="96"/>
      <c r="E190" s="135">
        <v>2.9120000000000004</v>
      </c>
      <c r="F190" s="136">
        <v>2.9120000000000004</v>
      </c>
      <c r="G190" s="137">
        <v>2.3663333333333338</v>
      </c>
    </row>
    <row r="191" spans="1:7" ht="51.75" thickBot="1">
      <c r="A191" s="100" t="s">
        <v>56</v>
      </c>
      <c r="B191" s="130">
        <v>5.71</v>
      </c>
      <c r="C191" s="4"/>
      <c r="D191" s="102"/>
      <c r="E191" s="138"/>
      <c r="F191" s="138"/>
      <c r="G191" s="139"/>
    </row>
    <row r="192" spans="1:7" ht="77.25" thickBot="1">
      <c r="A192" s="105" t="s">
        <v>57</v>
      </c>
      <c r="B192" s="131">
        <v>1.07</v>
      </c>
      <c r="C192" s="4"/>
      <c r="D192" s="87"/>
      <c r="E192" s="140">
        <v>1.7472000000000001</v>
      </c>
      <c r="F192" s="140">
        <v>1.7472000000000001</v>
      </c>
      <c r="G192" s="141">
        <v>1.4198000000000002</v>
      </c>
    </row>
    <row r="193" spans="1:7" ht="15.75" thickBot="1"/>
    <row r="194" spans="1:7" ht="51.75" thickBot="1">
      <c r="A194" s="108" t="s">
        <v>56</v>
      </c>
      <c r="B194" s="109">
        <f>B191</f>
        <v>5.71</v>
      </c>
    </row>
    <row r="195" spans="1:7">
      <c r="A195" s="110" t="s">
        <v>64</v>
      </c>
      <c r="B195" s="142">
        <f>AVERAGE(B143:B182)</f>
        <v>2.9120000000000004</v>
      </c>
      <c r="C195" s="17"/>
    </row>
    <row r="196" spans="1:7">
      <c r="A196" s="112" t="s">
        <v>65</v>
      </c>
      <c r="B196" s="143">
        <f>AVERAGE(B148:B177)</f>
        <v>2.3663333333333338</v>
      </c>
      <c r="C196" s="18"/>
    </row>
    <row r="197" spans="1:7" ht="15.75" thickBot="1">
      <c r="A197" s="114" t="s">
        <v>66</v>
      </c>
      <c r="B197" s="144">
        <f>AVERAGE(B154:B172)</f>
        <v>2.1736842105263166</v>
      </c>
      <c r="C197" s="18"/>
    </row>
    <row r="199" spans="1:7" ht="15.75" thickBot="1"/>
    <row r="200" spans="1:7" ht="15" customHeight="1" thickBot="1">
      <c r="A200" s="535" t="s">
        <v>0</v>
      </c>
      <c r="B200" s="538" t="s">
        <v>3</v>
      </c>
      <c r="C200" s="539"/>
      <c r="D200" s="540"/>
      <c r="E200" s="62">
        <f>(1-E255)^(1/3)-1</f>
        <v>-2.8647896300734388E-2</v>
      </c>
      <c r="F200" s="63">
        <f>(1-F255)^(1/3)-1</f>
        <v>-2.8647896300734388E-2</v>
      </c>
      <c r="G200" s="64"/>
    </row>
    <row r="201" spans="1:7" ht="77.25" thickBot="1">
      <c r="A201" s="536"/>
      <c r="B201" s="65" t="s">
        <v>4</v>
      </c>
      <c r="C201" s="11"/>
      <c r="D201" s="65" t="s">
        <v>80</v>
      </c>
      <c r="E201" s="65" t="s">
        <v>5</v>
      </c>
      <c r="F201" s="65" t="s">
        <v>5</v>
      </c>
      <c r="G201" s="65"/>
    </row>
    <row r="202" spans="1:7" ht="26.25" thickBot="1">
      <c r="A202" s="537"/>
      <c r="B202" s="66" t="s">
        <v>9</v>
      </c>
      <c r="C202" s="11"/>
      <c r="D202" s="66" t="s">
        <v>7</v>
      </c>
      <c r="E202" s="67" t="s">
        <v>82</v>
      </c>
      <c r="F202" s="68" t="s">
        <v>83</v>
      </c>
      <c r="G202" s="68"/>
    </row>
    <row r="203" spans="1:7" ht="13.5" thickBot="1">
      <c r="A203" s="69">
        <v>1</v>
      </c>
      <c r="B203" s="116">
        <v>2</v>
      </c>
      <c r="C203" s="51"/>
      <c r="D203" s="117">
        <v>3</v>
      </c>
      <c r="E203" s="71">
        <v>4</v>
      </c>
      <c r="F203" s="117">
        <v>5</v>
      </c>
      <c r="G203" s="71"/>
    </row>
    <row r="204" spans="1:7" ht="12.75">
      <c r="A204" s="118" t="s">
        <v>10</v>
      </c>
      <c r="B204" s="119">
        <v>1.1000000000000001</v>
      </c>
      <c r="C204" s="163">
        <v>0</v>
      </c>
      <c r="D204" s="76">
        <v>0</v>
      </c>
      <c r="E204" s="77">
        <v>0</v>
      </c>
      <c r="F204" s="77">
        <v>0</v>
      </c>
      <c r="G204" s="78">
        <v>0</v>
      </c>
    </row>
    <row r="205" spans="1:7" ht="12.75">
      <c r="A205" s="120" t="s">
        <v>58</v>
      </c>
      <c r="B205" s="121">
        <v>1.3</v>
      </c>
      <c r="C205" s="30">
        <f>B204</f>
        <v>1.1000000000000001</v>
      </c>
      <c r="D205" s="76">
        <v>0</v>
      </c>
      <c r="E205" s="81">
        <v>0</v>
      </c>
      <c r="F205" s="81">
        <v>0</v>
      </c>
      <c r="G205" s="82">
        <v>0</v>
      </c>
    </row>
    <row r="206" spans="1:7" ht="12.75">
      <c r="A206" s="120" t="s">
        <v>59</v>
      </c>
      <c r="B206" s="121">
        <v>1.5</v>
      </c>
      <c r="C206" s="30">
        <f t="shared" ref="C206:C254" si="3">B205</f>
        <v>1.3</v>
      </c>
      <c r="D206" s="76">
        <v>0</v>
      </c>
      <c r="E206" s="81">
        <v>0</v>
      </c>
      <c r="F206" s="81">
        <v>0</v>
      </c>
      <c r="G206" s="82">
        <v>0</v>
      </c>
    </row>
    <row r="207" spans="1:7" ht="12.75">
      <c r="A207" s="120" t="s">
        <v>60</v>
      </c>
      <c r="B207" s="121">
        <v>1.7</v>
      </c>
      <c r="C207" s="30">
        <f t="shared" si="3"/>
        <v>1.5</v>
      </c>
      <c r="D207" s="76">
        <v>0</v>
      </c>
      <c r="E207" s="81">
        <v>0</v>
      </c>
      <c r="F207" s="81">
        <v>0</v>
      </c>
      <c r="G207" s="82">
        <v>0</v>
      </c>
    </row>
    <row r="208" spans="1:7" ht="12.75">
      <c r="A208" s="120" t="s">
        <v>61</v>
      </c>
      <c r="B208" s="121">
        <v>2</v>
      </c>
      <c r="C208" s="30">
        <f t="shared" si="3"/>
        <v>1.7</v>
      </c>
      <c r="D208" s="76">
        <v>0</v>
      </c>
      <c r="E208" s="81">
        <v>0</v>
      </c>
      <c r="F208" s="81">
        <v>0</v>
      </c>
      <c r="G208" s="82">
        <v>0</v>
      </c>
    </row>
    <row r="209" spans="1:7" ht="12.75">
      <c r="A209" s="120" t="s">
        <v>62</v>
      </c>
      <c r="B209" s="121">
        <v>2.2000000000000002</v>
      </c>
      <c r="C209" s="30">
        <f t="shared" si="3"/>
        <v>2</v>
      </c>
      <c r="D209" s="76">
        <v>0</v>
      </c>
      <c r="E209" s="81">
        <v>0</v>
      </c>
      <c r="F209" s="81">
        <v>0</v>
      </c>
      <c r="G209" s="82">
        <v>0</v>
      </c>
    </row>
    <row r="210" spans="1:7" ht="12.75">
      <c r="A210" s="120" t="s">
        <v>63</v>
      </c>
      <c r="B210" s="121">
        <v>2.4</v>
      </c>
      <c r="C210" s="30">
        <f t="shared" si="3"/>
        <v>2.2000000000000002</v>
      </c>
      <c r="D210" s="76">
        <v>0</v>
      </c>
      <c r="E210" s="81">
        <v>0</v>
      </c>
      <c r="F210" s="81">
        <v>0</v>
      </c>
      <c r="G210" s="82">
        <v>0</v>
      </c>
    </row>
    <row r="211" spans="1:7" ht="12.75">
      <c r="A211" s="122" t="s">
        <v>11</v>
      </c>
      <c r="B211" s="121">
        <v>2.5</v>
      </c>
      <c r="C211" s="30">
        <f t="shared" si="3"/>
        <v>2.4</v>
      </c>
      <c r="D211" s="76">
        <v>0</v>
      </c>
      <c r="E211" s="81">
        <v>0</v>
      </c>
      <c r="F211" s="81">
        <v>0</v>
      </c>
      <c r="G211" s="82">
        <v>0</v>
      </c>
    </row>
    <row r="212" spans="1:7" ht="12.75">
      <c r="A212" s="122" t="s">
        <v>12</v>
      </c>
      <c r="B212" s="121">
        <v>2.7</v>
      </c>
      <c r="C212" s="30">
        <f t="shared" si="3"/>
        <v>2.5</v>
      </c>
      <c r="D212" s="76">
        <v>0</v>
      </c>
      <c r="E212" s="81">
        <v>0</v>
      </c>
      <c r="F212" s="81">
        <v>0</v>
      </c>
      <c r="G212" s="82">
        <v>0</v>
      </c>
    </row>
    <row r="213" spans="1:7" ht="12.75">
      <c r="A213" s="122" t="s">
        <v>13</v>
      </c>
      <c r="B213" s="121">
        <v>2.9</v>
      </c>
      <c r="C213" s="30">
        <f t="shared" si="3"/>
        <v>2.7</v>
      </c>
      <c r="D213" s="76">
        <v>0</v>
      </c>
      <c r="E213" s="81">
        <v>0</v>
      </c>
      <c r="F213" s="81">
        <v>0</v>
      </c>
      <c r="G213" s="82">
        <v>0</v>
      </c>
    </row>
    <row r="214" spans="1:7" ht="12.75">
      <c r="A214" s="122" t="s">
        <v>14</v>
      </c>
      <c r="B214" s="121">
        <v>3</v>
      </c>
      <c r="C214" s="30">
        <f t="shared" si="3"/>
        <v>2.9</v>
      </c>
      <c r="D214" s="76">
        <v>0</v>
      </c>
      <c r="E214" s="81">
        <v>0</v>
      </c>
      <c r="F214" s="81">
        <v>0</v>
      </c>
      <c r="G214" s="82">
        <v>0</v>
      </c>
    </row>
    <row r="215" spans="1:7" ht="12.75">
      <c r="A215" s="122" t="s">
        <v>15</v>
      </c>
      <c r="B215" s="121">
        <v>3.2</v>
      </c>
      <c r="C215" s="30">
        <f t="shared" si="3"/>
        <v>3</v>
      </c>
      <c r="D215" s="76">
        <v>0</v>
      </c>
      <c r="E215" s="81">
        <v>0</v>
      </c>
      <c r="F215" s="81">
        <v>0</v>
      </c>
      <c r="G215" s="82">
        <v>0</v>
      </c>
    </row>
    <row r="216" spans="1:7" ht="12.75">
      <c r="A216" s="122" t="s">
        <v>16</v>
      </c>
      <c r="B216" s="121">
        <v>3.3</v>
      </c>
      <c r="C216" s="30">
        <f t="shared" si="3"/>
        <v>3.2</v>
      </c>
      <c r="D216" s="76">
        <v>0</v>
      </c>
      <c r="E216" s="81">
        <v>0</v>
      </c>
      <c r="F216" s="81">
        <v>0</v>
      </c>
      <c r="G216" s="82">
        <v>0</v>
      </c>
    </row>
    <row r="217" spans="1:7" ht="12.75">
      <c r="A217" s="122" t="s">
        <v>17</v>
      </c>
      <c r="B217" s="121">
        <v>3.5</v>
      </c>
      <c r="C217" s="30">
        <f t="shared" si="3"/>
        <v>3.3</v>
      </c>
      <c r="D217" s="76">
        <v>0</v>
      </c>
      <c r="E217" s="81">
        <v>0</v>
      </c>
      <c r="F217" s="81">
        <v>0</v>
      </c>
      <c r="G217" s="82">
        <v>2.2857142857142755E-3</v>
      </c>
    </row>
    <row r="218" spans="1:7" ht="12.75">
      <c r="A218" s="122" t="s">
        <v>18</v>
      </c>
      <c r="B218" s="121">
        <v>3.6</v>
      </c>
      <c r="C218" s="30">
        <f t="shared" si="3"/>
        <v>3.5</v>
      </c>
      <c r="D218" s="76">
        <v>0</v>
      </c>
      <c r="E218" s="81">
        <v>0</v>
      </c>
      <c r="F218" s="81">
        <v>0</v>
      </c>
      <c r="G218" s="82">
        <v>4.9999999999999914E-3</v>
      </c>
    </row>
    <row r="219" spans="1:7" ht="12.75">
      <c r="A219" s="122" t="s">
        <v>19</v>
      </c>
      <c r="B219" s="121">
        <v>3.8</v>
      </c>
      <c r="C219" s="30">
        <f t="shared" si="3"/>
        <v>3.6</v>
      </c>
      <c r="D219" s="76">
        <v>1.7105263157894606E-2</v>
      </c>
      <c r="E219" s="81"/>
      <c r="F219" s="81">
        <v>1.7105263157894607E-3</v>
      </c>
      <c r="G219" s="82">
        <v>9.9999999999999881E-3</v>
      </c>
    </row>
    <row r="220" spans="1:7" ht="12.75">
      <c r="A220" s="122" t="s">
        <v>20</v>
      </c>
      <c r="B220" s="121">
        <v>4</v>
      </c>
      <c r="C220" s="30">
        <f t="shared" si="3"/>
        <v>3.8</v>
      </c>
      <c r="D220" s="76">
        <v>6.624999999999992E-2</v>
      </c>
      <c r="E220" s="81"/>
      <c r="F220" s="81">
        <v>6.624999999999992E-3</v>
      </c>
      <c r="G220" s="82">
        <v>1.4499999999999992E-2</v>
      </c>
    </row>
    <row r="221" spans="1:7" ht="12.75">
      <c r="A221" s="122" t="s">
        <v>21</v>
      </c>
      <c r="B221" s="121">
        <v>4.2</v>
      </c>
      <c r="C221" s="30">
        <f t="shared" si="3"/>
        <v>4</v>
      </c>
      <c r="D221" s="76">
        <v>0.11071428571428568</v>
      </c>
      <c r="E221" s="81">
        <v>1.1071428571428567E-2</v>
      </c>
      <c r="F221" s="81">
        <v>1.1071428571428567E-2</v>
      </c>
      <c r="G221" s="82">
        <v>1.8571428571428569E-2</v>
      </c>
    </row>
    <row r="222" spans="1:7" ht="12.75">
      <c r="A222" s="122" t="s">
        <v>22</v>
      </c>
      <c r="B222" s="121">
        <v>4.3</v>
      </c>
      <c r="C222" s="30">
        <f t="shared" si="3"/>
        <v>4.2</v>
      </c>
      <c r="D222" s="76">
        <v>0.13139534883720919</v>
      </c>
      <c r="E222" s="81">
        <v>1.3139534883720921E-2</v>
      </c>
      <c r="F222" s="81">
        <v>1.3139534883720921E-2</v>
      </c>
      <c r="G222" s="82">
        <v>2.0465116279069759E-2</v>
      </c>
    </row>
    <row r="223" spans="1:7" ht="12.75">
      <c r="A223" s="122" t="s">
        <v>23</v>
      </c>
      <c r="B223" s="121">
        <v>4.5</v>
      </c>
      <c r="C223" s="30">
        <f t="shared" si="3"/>
        <v>4.3</v>
      </c>
      <c r="D223" s="76">
        <v>0.16999999999999993</v>
      </c>
      <c r="E223" s="81">
        <v>1.6999999999999994E-2</v>
      </c>
      <c r="F223" s="81">
        <v>1.6999999999999994E-2</v>
      </c>
      <c r="G223" s="82">
        <v>2.3999999999999994E-2</v>
      </c>
    </row>
    <row r="224" spans="1:7" ht="12.75">
      <c r="A224" s="122" t="s">
        <v>24</v>
      </c>
      <c r="B224" s="121">
        <v>4.5999999999999996</v>
      </c>
      <c r="C224" s="30">
        <f t="shared" si="3"/>
        <v>4.5</v>
      </c>
      <c r="D224" s="76">
        <v>0.18804347826086942</v>
      </c>
      <c r="E224" s="81">
        <v>1.8804347826086944E-2</v>
      </c>
      <c r="F224" s="81">
        <v>1.8804347826086944E-2</v>
      </c>
      <c r="G224" s="82">
        <v>2.5652173913043468E-2</v>
      </c>
    </row>
    <row r="225" spans="1:7" ht="12.75">
      <c r="A225" s="122" t="s">
        <v>25</v>
      </c>
      <c r="B225" s="121">
        <v>4.8</v>
      </c>
      <c r="C225" s="30">
        <f t="shared" si="3"/>
        <v>4.5999999999999996</v>
      </c>
      <c r="D225" s="76">
        <v>0.22187499999999991</v>
      </c>
      <c r="E225" s="81">
        <v>2.2187499999999992E-2</v>
      </c>
      <c r="F225" s="81">
        <v>2.2187499999999992E-2</v>
      </c>
      <c r="G225" s="82">
        <v>2.8749999999999991E-2</v>
      </c>
    </row>
    <row r="226" spans="1:7" ht="12.75">
      <c r="A226" s="122" t="s">
        <v>26</v>
      </c>
      <c r="B226" s="121">
        <v>4.9000000000000004</v>
      </c>
      <c r="C226" s="30">
        <f t="shared" si="3"/>
        <v>4.8</v>
      </c>
      <c r="D226" s="76">
        <v>0.23775510204081632</v>
      </c>
      <c r="E226" s="81">
        <v>2.3775510204081633E-2</v>
      </c>
      <c r="F226" s="81">
        <v>2.3775510204081633E-2</v>
      </c>
      <c r="G226" s="82">
        <v>3.0204081632653059E-2</v>
      </c>
    </row>
    <row r="227" spans="1:7" ht="12.75">
      <c r="A227" s="122" t="s">
        <v>27</v>
      </c>
      <c r="B227" s="121">
        <v>5.0999999999999996</v>
      </c>
      <c r="C227" s="30">
        <f t="shared" si="3"/>
        <v>4.9000000000000004</v>
      </c>
      <c r="D227" s="76">
        <v>0.26764705882352929</v>
      </c>
      <c r="E227" s="81">
        <v>2.676470588235293E-2</v>
      </c>
      <c r="F227" s="81">
        <v>2.676470588235293E-2</v>
      </c>
      <c r="G227" s="82">
        <v>3.2941176470588224E-2</v>
      </c>
    </row>
    <row r="228" spans="1:7" ht="12.75">
      <c r="A228" s="122" t="s">
        <v>28</v>
      </c>
      <c r="B228" s="121">
        <v>5.2</v>
      </c>
      <c r="C228" s="30">
        <f t="shared" si="3"/>
        <v>5.0999999999999996</v>
      </c>
      <c r="D228" s="76">
        <v>0.28173076923076917</v>
      </c>
      <c r="E228" s="81">
        <v>2.8173076923076919E-2</v>
      </c>
      <c r="F228" s="81">
        <v>2.8173076923076919E-2</v>
      </c>
      <c r="G228" s="82">
        <v>3.4230769230769231E-2</v>
      </c>
    </row>
    <row r="229" spans="1:7" ht="12.75">
      <c r="A229" s="122" t="s">
        <v>29</v>
      </c>
      <c r="B229" s="121">
        <v>5.4</v>
      </c>
      <c r="C229" s="30">
        <f t="shared" si="3"/>
        <v>5.2</v>
      </c>
      <c r="D229" s="76">
        <v>0.30833333333333329</v>
      </c>
      <c r="E229" s="81">
        <v>3.0833333333333334E-2</v>
      </c>
      <c r="F229" s="81">
        <v>3.0833333333333334E-2</v>
      </c>
      <c r="G229" s="82">
        <v>3.6666666666666667E-2</v>
      </c>
    </row>
    <row r="230" spans="1:7" ht="12.75">
      <c r="A230" s="122" t="s">
        <v>30</v>
      </c>
      <c r="B230" s="121">
        <v>5.5</v>
      </c>
      <c r="C230" s="30">
        <f t="shared" si="3"/>
        <v>5.4</v>
      </c>
      <c r="D230" s="76">
        <v>0.32090909090909087</v>
      </c>
      <c r="E230" s="81">
        <v>3.2090909090909087E-2</v>
      </c>
      <c r="F230" s="81">
        <v>3.2090909090909087E-2</v>
      </c>
      <c r="G230" s="82">
        <v>3.7818181818181813E-2</v>
      </c>
    </row>
    <row r="231" spans="1:7" ht="12.75">
      <c r="A231" s="122" t="s">
        <v>31</v>
      </c>
      <c r="B231" s="121">
        <v>5.8</v>
      </c>
      <c r="C231" s="30">
        <f t="shared" si="3"/>
        <v>5.5</v>
      </c>
      <c r="D231" s="76">
        <v>0.3560344827586206</v>
      </c>
      <c r="E231" s="81">
        <v>3.5603448275862065E-2</v>
      </c>
      <c r="F231" s="81">
        <v>3.5603448275862065E-2</v>
      </c>
      <c r="G231" s="82">
        <v>4.6206896551724067E-2</v>
      </c>
    </row>
    <row r="232" spans="1:7" ht="12.75">
      <c r="A232" s="122" t="s">
        <v>32</v>
      </c>
      <c r="B232" s="121">
        <v>6</v>
      </c>
      <c r="C232" s="30">
        <f t="shared" si="3"/>
        <v>5.8</v>
      </c>
      <c r="D232" s="76">
        <v>0.37749999999999995</v>
      </c>
      <c r="E232" s="81">
        <v>3.7749999999999999E-2</v>
      </c>
      <c r="F232" s="81">
        <v>3.7749999999999999E-2</v>
      </c>
      <c r="G232" s="82">
        <v>5.799999999999994E-2</v>
      </c>
    </row>
    <row r="233" spans="1:7" ht="12.75">
      <c r="A233" s="122" t="s">
        <v>33</v>
      </c>
      <c r="B233" s="121">
        <v>6.2</v>
      </c>
      <c r="C233" s="30">
        <f t="shared" si="3"/>
        <v>6</v>
      </c>
      <c r="D233" s="76">
        <v>0.39758064516129027</v>
      </c>
      <c r="E233" s="81">
        <v>3.9758064516129031E-2</v>
      </c>
      <c r="F233" s="81">
        <v>3.9758064516129031E-2</v>
      </c>
      <c r="G233" s="82">
        <v>6.9032258064516086E-2</v>
      </c>
    </row>
    <row r="234" spans="1:7" ht="12.75">
      <c r="A234" s="122" t="s">
        <v>34</v>
      </c>
      <c r="B234" s="121">
        <v>6.4</v>
      </c>
      <c r="C234" s="30">
        <f t="shared" si="3"/>
        <v>6.2</v>
      </c>
      <c r="D234" s="76">
        <v>0.41640624999999998</v>
      </c>
      <c r="E234" s="81">
        <v>4.9843749999999992E-2</v>
      </c>
      <c r="F234" s="81">
        <v>4.9843749999999992E-2</v>
      </c>
      <c r="G234" s="82">
        <v>7.9374999999999959E-2</v>
      </c>
    </row>
    <row r="235" spans="1:7" ht="12.75">
      <c r="A235" s="122" t="s">
        <v>35</v>
      </c>
      <c r="B235" s="121">
        <v>6.7</v>
      </c>
      <c r="C235" s="30">
        <f t="shared" si="3"/>
        <v>6.4</v>
      </c>
      <c r="D235" s="76">
        <v>0.44253731343283581</v>
      </c>
      <c r="E235" s="81">
        <v>6.5522388059701481E-2</v>
      </c>
      <c r="F235" s="81">
        <v>6.5522388059701481E-2</v>
      </c>
      <c r="G235" s="82">
        <v>9.3731343283582055E-2</v>
      </c>
    </row>
    <row r="236" spans="1:7" ht="12.75">
      <c r="A236" s="122" t="s">
        <v>36</v>
      </c>
      <c r="B236" s="121">
        <v>6.9</v>
      </c>
      <c r="C236" s="30">
        <f t="shared" si="3"/>
        <v>6.7</v>
      </c>
      <c r="D236" s="76">
        <v>0.458695652173913</v>
      </c>
      <c r="E236" s="81">
        <v>7.5217391304347819E-2</v>
      </c>
      <c r="F236" s="81">
        <v>7.5217391304347819E-2</v>
      </c>
      <c r="G236" s="82">
        <v>0.10260869565217388</v>
      </c>
    </row>
    <row r="237" spans="1:7" ht="12.75">
      <c r="A237" s="122" t="s">
        <v>37</v>
      </c>
      <c r="B237" s="121">
        <v>7.3</v>
      </c>
      <c r="C237" s="30">
        <f t="shared" si="3"/>
        <v>6.9</v>
      </c>
      <c r="D237" s="76">
        <v>0.48835616438356161</v>
      </c>
      <c r="E237" s="81">
        <v>9.3013698630136948E-2</v>
      </c>
      <c r="F237" s="81">
        <v>9.3013698630136948E-2</v>
      </c>
      <c r="G237" s="82">
        <v>0.11890410958904105</v>
      </c>
    </row>
    <row r="238" spans="1:7" ht="12.75">
      <c r="A238" s="122" t="s">
        <v>38</v>
      </c>
      <c r="B238" s="121">
        <v>7.7</v>
      </c>
      <c r="C238" s="30">
        <f t="shared" si="3"/>
        <v>7.3</v>
      </c>
      <c r="D238" s="76">
        <v>0.51493506493506491</v>
      </c>
      <c r="E238" s="81">
        <v>0.10896103896103894</v>
      </c>
      <c r="F238" s="81">
        <v>0.10896103896103894</v>
      </c>
      <c r="G238" s="82">
        <v>0.13350649350649349</v>
      </c>
    </row>
    <row r="239" spans="1:7" ht="12.75">
      <c r="A239" s="122" t="s">
        <v>39</v>
      </c>
      <c r="B239" s="121">
        <v>8</v>
      </c>
      <c r="C239" s="30">
        <f t="shared" si="3"/>
        <v>7.7</v>
      </c>
      <c r="D239" s="76">
        <v>0.53312499999999996</v>
      </c>
      <c r="E239" s="81">
        <v>0.11987499999999998</v>
      </c>
      <c r="F239" s="81">
        <v>0.11987499999999998</v>
      </c>
      <c r="G239" s="82">
        <v>0.14349999999999996</v>
      </c>
    </row>
    <row r="240" spans="1:7" ht="12.75">
      <c r="A240" s="122" t="s">
        <v>40</v>
      </c>
      <c r="B240" s="121">
        <v>8.5</v>
      </c>
      <c r="C240" s="30">
        <f t="shared" si="3"/>
        <v>8</v>
      </c>
      <c r="D240" s="76">
        <v>0.56058823529411761</v>
      </c>
      <c r="E240" s="81">
        <v>0.13635294117647057</v>
      </c>
      <c r="F240" s="81">
        <v>0.13635294117647057</v>
      </c>
      <c r="G240" s="82">
        <v>0.15858823529411764</v>
      </c>
    </row>
    <row r="241" spans="1:7" ht="12.75">
      <c r="A241" s="122" t="s">
        <v>41</v>
      </c>
      <c r="B241" s="121">
        <v>9</v>
      </c>
      <c r="C241" s="30">
        <f t="shared" si="3"/>
        <v>8.5</v>
      </c>
      <c r="D241" s="76">
        <v>0.58499999999999996</v>
      </c>
      <c r="E241" s="81">
        <v>0.151</v>
      </c>
      <c r="F241" s="81">
        <v>0.151</v>
      </c>
      <c r="G241" s="82">
        <v>0.17199999999999996</v>
      </c>
    </row>
    <row r="242" spans="1:7" ht="12.75">
      <c r="A242" s="122" t="s">
        <v>42</v>
      </c>
      <c r="B242" s="121">
        <v>9.5</v>
      </c>
      <c r="C242" s="30">
        <f t="shared" si="3"/>
        <v>9</v>
      </c>
      <c r="D242" s="76">
        <v>0.60684210526315785</v>
      </c>
      <c r="E242" s="81">
        <v>0.16410526315789473</v>
      </c>
      <c r="F242" s="81">
        <v>0.16410526315789473</v>
      </c>
      <c r="G242" s="82">
        <v>0.18399999999999997</v>
      </c>
    </row>
    <row r="243" spans="1:7" ht="12.75">
      <c r="A243" s="122" t="s">
        <v>43</v>
      </c>
      <c r="B243" s="121">
        <v>10.1</v>
      </c>
      <c r="C243" s="30">
        <f t="shared" si="3"/>
        <v>9.5</v>
      </c>
      <c r="D243" s="76">
        <v>0.6301980198019802</v>
      </c>
      <c r="E243" s="81">
        <v>0.17811881188118811</v>
      </c>
      <c r="F243" s="81">
        <v>0.17811881188118811</v>
      </c>
      <c r="G243" s="82">
        <v>0.19683168316831678</v>
      </c>
    </row>
    <row r="244" spans="1:7" ht="12.75">
      <c r="A244" s="122" t="s">
        <v>44</v>
      </c>
      <c r="B244" s="121">
        <v>10.9</v>
      </c>
      <c r="C244" s="30">
        <f t="shared" si="3"/>
        <v>10.1</v>
      </c>
      <c r="D244" s="76">
        <v>0.65733944954128443</v>
      </c>
      <c r="E244" s="81">
        <v>0.19440366972477066</v>
      </c>
      <c r="F244" s="81">
        <v>0.19440366972477066</v>
      </c>
      <c r="G244" s="82">
        <v>0.21174311926605502</v>
      </c>
    </row>
    <row r="245" spans="1:7" ht="12.75">
      <c r="A245" s="122" t="s">
        <v>45</v>
      </c>
      <c r="B245" s="121">
        <v>11.9</v>
      </c>
      <c r="C245" s="30">
        <f t="shared" si="3"/>
        <v>10.9</v>
      </c>
      <c r="D245" s="76">
        <v>0.6861344537815125</v>
      </c>
      <c r="E245" s="81">
        <v>0.21168067226890758</v>
      </c>
      <c r="F245" s="81">
        <v>0.21168067226890758</v>
      </c>
      <c r="G245" s="82">
        <v>0.22756302521008404</v>
      </c>
    </row>
    <row r="246" spans="1:7" ht="12.75">
      <c r="A246" s="122" t="s">
        <v>46</v>
      </c>
      <c r="B246" s="121">
        <v>12.9</v>
      </c>
      <c r="C246" s="30">
        <f t="shared" si="3"/>
        <v>11.9</v>
      </c>
      <c r="D246" s="76">
        <v>0.71046511627906972</v>
      </c>
      <c r="E246" s="81">
        <v>0.22627906976744186</v>
      </c>
      <c r="F246" s="81">
        <v>0.22627906976744186</v>
      </c>
      <c r="G246" s="82">
        <v>0.24093023255813953</v>
      </c>
    </row>
    <row r="247" spans="1:7" ht="12.75">
      <c r="A247" s="122" t="s">
        <v>47</v>
      </c>
      <c r="B247" s="121">
        <v>14.1</v>
      </c>
      <c r="C247" s="30">
        <f t="shared" si="3"/>
        <v>12.9</v>
      </c>
      <c r="D247" s="76">
        <v>0.73510638297872333</v>
      </c>
      <c r="E247" s="81">
        <v>0.24106382978723406</v>
      </c>
      <c r="F247" s="81">
        <v>0.24106382978723406</v>
      </c>
      <c r="G247" s="82">
        <v>0.25446808510638297</v>
      </c>
    </row>
    <row r="248" spans="1:7" ht="12.75">
      <c r="A248" s="122" t="s">
        <v>48</v>
      </c>
      <c r="B248" s="121">
        <v>15.5</v>
      </c>
      <c r="C248" s="30">
        <f t="shared" si="3"/>
        <v>14.1</v>
      </c>
      <c r="D248" s="76">
        <v>0.75903225806451613</v>
      </c>
      <c r="E248" s="81">
        <v>0.25541935483870964</v>
      </c>
      <c r="F248" s="81">
        <v>0.25541935483870964</v>
      </c>
      <c r="G248" s="82">
        <v>0.26761290322580644</v>
      </c>
    </row>
    <row r="249" spans="1:7" ht="12.75">
      <c r="A249" s="122" t="s">
        <v>49</v>
      </c>
      <c r="B249" s="121">
        <v>17.3</v>
      </c>
      <c r="C249" s="30">
        <f t="shared" si="3"/>
        <v>15.5</v>
      </c>
      <c r="D249" s="76">
        <v>0.78410404624277463</v>
      </c>
      <c r="E249" s="81">
        <v>0.2704624277456647</v>
      </c>
      <c r="F249" s="81">
        <v>0.2704624277456647</v>
      </c>
      <c r="G249" s="82">
        <v>0.28138728323699419</v>
      </c>
    </row>
    <row r="250" spans="1:7" ht="12.75">
      <c r="A250" s="122" t="s">
        <v>50</v>
      </c>
      <c r="B250" s="121">
        <v>20.7</v>
      </c>
      <c r="C250" s="30">
        <f t="shared" si="3"/>
        <v>17.3</v>
      </c>
      <c r="D250" s="76">
        <v>0.81956521739130439</v>
      </c>
      <c r="E250" s="81">
        <v>0.29173913043478256</v>
      </c>
      <c r="F250" s="81">
        <v>0.29173913043478256</v>
      </c>
      <c r="G250" s="82">
        <v>0.30086956521739128</v>
      </c>
    </row>
    <row r="251" spans="1:7" ht="12.75">
      <c r="A251" s="122" t="s">
        <v>51</v>
      </c>
      <c r="B251" s="121">
        <v>25.9</v>
      </c>
      <c r="C251" s="30">
        <f t="shared" si="3"/>
        <v>20.7</v>
      </c>
      <c r="D251" s="76">
        <v>0.85579150579150576</v>
      </c>
      <c r="E251" s="81">
        <v>0.31347490347490348</v>
      </c>
      <c r="F251" s="81">
        <v>0.31347490347490348</v>
      </c>
      <c r="G251" s="82">
        <v>0.3207722007722007</v>
      </c>
    </row>
    <row r="252" spans="1:7" ht="12.75">
      <c r="A252" s="122" t="s">
        <v>52</v>
      </c>
      <c r="B252" s="121">
        <v>33.4</v>
      </c>
      <c r="C252" s="30">
        <f t="shared" si="3"/>
        <v>25.9</v>
      </c>
      <c r="D252" s="76">
        <v>0.88817365269461079</v>
      </c>
      <c r="E252" s="81">
        <v>0.33290419161676649</v>
      </c>
      <c r="F252" s="81">
        <v>0.33290419161676649</v>
      </c>
      <c r="G252" s="82">
        <v>0.33856287425149695</v>
      </c>
    </row>
    <row r="253" spans="1:7" ht="12.75">
      <c r="A253" s="122" t="s">
        <v>53</v>
      </c>
      <c r="B253" s="121">
        <v>45.3</v>
      </c>
      <c r="C253" s="30">
        <f>B252</f>
        <v>33.4</v>
      </c>
      <c r="D253" s="76">
        <v>0.91754966887417222</v>
      </c>
      <c r="E253" s="81">
        <v>0.35052980132450334</v>
      </c>
      <c r="F253" s="81">
        <v>0.35052980132450334</v>
      </c>
      <c r="G253" s="82">
        <v>0.35470198675496684</v>
      </c>
    </row>
    <row r="254" spans="1:7" ht="13.5" thickBot="1">
      <c r="A254" s="123" t="s">
        <v>53</v>
      </c>
      <c r="B254" s="145" t="s">
        <v>104</v>
      </c>
      <c r="C254" s="30">
        <f t="shared" si="3"/>
        <v>45.3</v>
      </c>
      <c r="D254" s="87"/>
      <c r="E254" s="87"/>
      <c r="F254" s="87"/>
      <c r="G254" s="88"/>
    </row>
    <row r="255" spans="1:7" ht="13.5" thickBot="1">
      <c r="A255" s="89"/>
      <c r="B255" s="125"/>
      <c r="C255" s="29"/>
      <c r="D255" s="126"/>
      <c r="E255" s="127">
        <v>8.3505094399544677E-2</v>
      </c>
      <c r="F255" s="127">
        <v>8.3505094399544677E-2</v>
      </c>
      <c r="G255" s="128">
        <v>9.3519625991551947E-2</v>
      </c>
    </row>
    <row r="256" spans="1:7" ht="51">
      <c r="A256" s="94" t="s">
        <v>55</v>
      </c>
      <c r="B256" s="95">
        <v>8</v>
      </c>
      <c r="C256" s="29"/>
      <c r="D256" s="96"/>
      <c r="E256" s="97">
        <v>6.2250000000000005</v>
      </c>
      <c r="F256" s="98">
        <v>6.2250000000000005</v>
      </c>
      <c r="G256" s="99">
        <v>5.7000000000000011</v>
      </c>
    </row>
    <row r="257" spans="1:7" ht="54" customHeight="1">
      <c r="A257" s="100" t="s">
        <v>56</v>
      </c>
      <c r="B257" s="101">
        <v>3.6</v>
      </c>
      <c r="C257" s="29"/>
      <c r="D257" s="102"/>
      <c r="E257" s="103"/>
      <c r="F257" s="103"/>
      <c r="G257" s="104"/>
    </row>
    <row r="258" spans="1:7" ht="82.5" customHeight="1" thickBot="1">
      <c r="A258" s="105" t="s">
        <v>57</v>
      </c>
      <c r="B258" s="106">
        <v>3.2</v>
      </c>
      <c r="C258" s="29"/>
      <c r="D258" s="87"/>
      <c r="E258" s="86">
        <v>3.7350000000000003</v>
      </c>
      <c r="F258" s="86">
        <v>3.7350000000000003</v>
      </c>
      <c r="G258" s="107">
        <v>3.4200000000000004</v>
      </c>
    </row>
    <row r="259" spans="1:7" ht="15.75" thickBot="1"/>
    <row r="260" spans="1:7" ht="51.75" thickBot="1">
      <c r="A260" s="108" t="s">
        <v>56</v>
      </c>
      <c r="B260" s="109">
        <f>B257</f>
        <v>3.6</v>
      </c>
    </row>
    <row r="261" spans="1:7">
      <c r="A261" s="110" t="s">
        <v>64</v>
      </c>
      <c r="B261" s="111">
        <f>AVERAGE(B209:B248)</f>
        <v>6.2250000000000005</v>
      </c>
      <c r="C261" s="17"/>
    </row>
    <row r="262" spans="1:7">
      <c r="A262" s="112" t="s">
        <v>65</v>
      </c>
      <c r="B262" s="113">
        <f>AVERAGE(B214:B243)</f>
        <v>5.7000000000000011</v>
      </c>
      <c r="C262" s="18"/>
    </row>
    <row r="263" spans="1:7" ht="15.75" thickBot="1">
      <c r="A263" s="114" t="s">
        <v>66</v>
      </c>
      <c r="B263" s="115">
        <f>AVERAGE(B220:B238)</f>
        <v>5.5526315789473699</v>
      </c>
      <c r="C263" s="18"/>
    </row>
    <row r="264" spans="1:7" ht="15.75" thickBot="1"/>
    <row r="265" spans="1:7" ht="15" customHeight="1" thickBot="1">
      <c r="A265" s="535" t="s">
        <v>0</v>
      </c>
      <c r="B265" s="538" t="s">
        <v>67</v>
      </c>
      <c r="C265" s="539"/>
      <c r="D265" s="540"/>
      <c r="E265" s="62">
        <f>(1-E320)^(1/3)-1</f>
        <v>-2.3862005633579431E-2</v>
      </c>
      <c r="F265" s="63">
        <f>(1-F320)^(1/3)-1</f>
        <v>-2.3862005633579431E-2</v>
      </c>
      <c r="G265" s="64"/>
    </row>
    <row r="266" spans="1:7" ht="77.25" thickBot="1">
      <c r="A266" s="536"/>
      <c r="B266" s="65" t="s">
        <v>4</v>
      </c>
      <c r="C266" s="65"/>
      <c r="D266" s="65" t="s">
        <v>80</v>
      </c>
      <c r="E266" s="65" t="s">
        <v>5</v>
      </c>
      <c r="F266" s="65" t="s">
        <v>5</v>
      </c>
      <c r="G266" s="65"/>
    </row>
    <row r="267" spans="1:7" ht="26.25" thickBot="1">
      <c r="A267" s="537"/>
      <c r="B267" s="66" t="s">
        <v>68</v>
      </c>
      <c r="C267" s="65"/>
      <c r="D267" s="66" t="s">
        <v>7</v>
      </c>
      <c r="E267" s="67" t="s">
        <v>82</v>
      </c>
      <c r="F267" s="68" t="s">
        <v>83</v>
      </c>
      <c r="G267" s="68"/>
    </row>
    <row r="268" spans="1:7" ht="15.75" thickBot="1">
      <c r="A268" s="69">
        <v>1</v>
      </c>
      <c r="B268" s="116">
        <v>2</v>
      </c>
      <c r="D268" s="117">
        <v>3</v>
      </c>
      <c r="E268" s="71">
        <v>4</v>
      </c>
      <c r="F268" s="117">
        <v>5</v>
      </c>
      <c r="G268" s="71"/>
    </row>
    <row r="269" spans="1:7">
      <c r="A269" s="118" t="s">
        <v>10</v>
      </c>
      <c r="B269" s="119">
        <v>17</v>
      </c>
      <c r="C269">
        <v>0</v>
      </c>
      <c r="D269" s="76">
        <v>0</v>
      </c>
      <c r="E269" s="77">
        <v>0</v>
      </c>
      <c r="F269" s="77">
        <v>0</v>
      </c>
      <c r="G269" s="78">
        <v>0</v>
      </c>
    </row>
    <row r="270" spans="1:7" ht="12.75">
      <c r="A270" s="120" t="s">
        <v>58</v>
      </c>
      <c r="B270" s="121">
        <v>18.3</v>
      </c>
      <c r="C270" s="30">
        <f>B269</f>
        <v>17</v>
      </c>
      <c r="D270" s="76">
        <v>0</v>
      </c>
      <c r="E270" s="81">
        <v>0</v>
      </c>
      <c r="F270" s="81">
        <v>0</v>
      </c>
      <c r="G270" s="82">
        <v>0</v>
      </c>
    </row>
    <row r="271" spans="1:7" ht="12.75">
      <c r="A271" s="120" t="s">
        <v>59</v>
      </c>
      <c r="B271" s="121">
        <v>19.100000000000001</v>
      </c>
      <c r="C271" s="30">
        <f t="shared" ref="C271:C319" si="4">B270</f>
        <v>18.3</v>
      </c>
      <c r="D271" s="76">
        <v>0</v>
      </c>
      <c r="E271" s="81">
        <v>0</v>
      </c>
      <c r="F271" s="81">
        <v>0</v>
      </c>
      <c r="G271" s="82">
        <v>0</v>
      </c>
    </row>
    <row r="272" spans="1:7" ht="12.75">
      <c r="A272" s="120" t="s">
        <v>60</v>
      </c>
      <c r="B272" s="121">
        <v>19.8</v>
      </c>
      <c r="C272" s="30">
        <f t="shared" si="4"/>
        <v>19.100000000000001</v>
      </c>
      <c r="D272" s="76">
        <v>0</v>
      </c>
      <c r="E272" s="81">
        <v>0</v>
      </c>
      <c r="F272" s="81">
        <v>0</v>
      </c>
      <c r="G272" s="82">
        <v>0</v>
      </c>
    </row>
    <row r="273" spans="1:7" ht="12.75">
      <c r="A273" s="120" t="s">
        <v>61</v>
      </c>
      <c r="B273" s="121">
        <v>20.6</v>
      </c>
      <c r="C273" s="30">
        <f t="shared" si="4"/>
        <v>19.8</v>
      </c>
      <c r="D273" s="76">
        <v>0</v>
      </c>
      <c r="E273" s="81">
        <v>0</v>
      </c>
      <c r="F273" s="81">
        <v>0</v>
      </c>
      <c r="G273" s="82">
        <v>0</v>
      </c>
    </row>
    <row r="274" spans="1:7" ht="12.75">
      <c r="A274" s="120" t="s">
        <v>62</v>
      </c>
      <c r="B274" s="121">
        <v>21.2</v>
      </c>
      <c r="C274" s="30">
        <f t="shared" si="4"/>
        <v>20.6</v>
      </c>
      <c r="D274" s="76">
        <v>0</v>
      </c>
      <c r="E274" s="81">
        <v>0</v>
      </c>
      <c r="F274" s="81">
        <v>0</v>
      </c>
      <c r="G274" s="82">
        <v>3.2075471698112191E-4</v>
      </c>
    </row>
    <row r="275" spans="1:7" ht="12.75">
      <c r="A275" s="120" t="s">
        <v>63</v>
      </c>
      <c r="B275" s="121">
        <v>22</v>
      </c>
      <c r="C275" s="30">
        <f t="shared" si="4"/>
        <v>21.2</v>
      </c>
      <c r="D275" s="76">
        <v>1.9272727272726928E-2</v>
      </c>
      <c r="E275" s="81"/>
      <c r="F275" s="81">
        <v>1.9272727272726929E-3</v>
      </c>
      <c r="G275" s="82">
        <v>3.9454545454545393E-3</v>
      </c>
    </row>
    <row r="276" spans="1:7" ht="12.75">
      <c r="A276" s="122" t="s">
        <v>11</v>
      </c>
      <c r="B276" s="121">
        <v>22.4</v>
      </c>
      <c r="C276" s="30">
        <f t="shared" si="4"/>
        <v>22</v>
      </c>
      <c r="D276" s="76">
        <v>3.6785714285713887E-2</v>
      </c>
      <c r="E276" s="81"/>
      <c r="F276" s="81">
        <v>3.6785714285713887E-3</v>
      </c>
      <c r="G276" s="82">
        <v>5.6607142857142733E-3</v>
      </c>
    </row>
    <row r="277" spans="1:7" ht="12.75">
      <c r="A277" s="122" t="s">
        <v>12</v>
      </c>
      <c r="B277" s="121">
        <v>23.1</v>
      </c>
      <c r="C277" s="30">
        <f t="shared" si="4"/>
        <v>22.4</v>
      </c>
      <c r="D277" s="76">
        <v>6.5974025974025699E-2</v>
      </c>
      <c r="E277" s="81"/>
      <c r="F277" s="81">
        <v>6.5974025974025706E-3</v>
      </c>
      <c r="G277" s="82">
        <v>8.5194805194805188E-3</v>
      </c>
    </row>
    <row r="278" spans="1:7" ht="12.75">
      <c r="A278" s="122" t="s">
        <v>13</v>
      </c>
      <c r="B278" s="121">
        <v>24.4</v>
      </c>
      <c r="C278" s="30">
        <f t="shared" si="4"/>
        <v>23.1</v>
      </c>
      <c r="D278" s="76">
        <v>0.11573770491803242</v>
      </c>
      <c r="E278" s="81">
        <v>1.1573770491803243E-2</v>
      </c>
      <c r="F278" s="81">
        <v>1.1573770491803243E-2</v>
      </c>
      <c r="G278" s="82">
        <v>1.3393442622950811E-2</v>
      </c>
    </row>
    <row r="279" spans="1:7" ht="12.75">
      <c r="A279" s="122" t="s">
        <v>14</v>
      </c>
      <c r="B279" s="121">
        <v>25.2</v>
      </c>
      <c r="C279" s="30">
        <f t="shared" si="4"/>
        <v>24.4</v>
      </c>
      <c r="D279" s="76">
        <v>0.14380952380952347</v>
      </c>
      <c r="E279" s="81">
        <v>1.4380952380952348E-2</v>
      </c>
      <c r="F279" s="81">
        <v>1.4380952380952348E-2</v>
      </c>
      <c r="G279" s="82">
        <v>1.6142857142857136E-2</v>
      </c>
    </row>
    <row r="280" spans="1:7" ht="12.75">
      <c r="A280" s="122" t="s">
        <v>15</v>
      </c>
      <c r="B280" s="121">
        <v>25.8</v>
      </c>
      <c r="C280" s="30">
        <f t="shared" si="4"/>
        <v>25.2</v>
      </c>
      <c r="D280" s="76">
        <v>0.16372093023255788</v>
      </c>
      <c r="E280" s="81">
        <v>1.6372093023255787E-2</v>
      </c>
      <c r="F280" s="81">
        <v>1.6372093023255787E-2</v>
      </c>
      <c r="G280" s="82">
        <v>1.809302325581395E-2</v>
      </c>
    </row>
    <row r="281" spans="1:7" ht="12.75">
      <c r="A281" s="122" t="s">
        <v>16</v>
      </c>
      <c r="B281" s="121">
        <v>26.4</v>
      </c>
      <c r="C281" s="30">
        <f t="shared" si="4"/>
        <v>25.8</v>
      </c>
      <c r="D281" s="76">
        <v>0.18272727272727241</v>
      </c>
      <c r="E281" s="81">
        <v>1.8272727272727239E-2</v>
      </c>
      <c r="F281" s="81">
        <v>1.8272727272727239E-2</v>
      </c>
      <c r="G281" s="82">
        <v>1.9954545454545444E-2</v>
      </c>
    </row>
    <row r="282" spans="1:7" ht="12.75">
      <c r="A282" s="122" t="s">
        <v>17</v>
      </c>
      <c r="B282" s="121">
        <v>27</v>
      </c>
      <c r="C282" s="30">
        <f t="shared" si="4"/>
        <v>26.4</v>
      </c>
      <c r="D282" s="76">
        <v>0.20088888888888862</v>
      </c>
      <c r="E282" s="81">
        <v>2.0088888888888861E-2</v>
      </c>
      <c r="F282" s="81">
        <v>2.0088888888888861E-2</v>
      </c>
      <c r="G282" s="82">
        <v>2.173333333333333E-2</v>
      </c>
    </row>
    <row r="283" spans="1:7" ht="12.75">
      <c r="A283" s="122" t="s">
        <v>18</v>
      </c>
      <c r="B283" s="121">
        <v>27.7</v>
      </c>
      <c r="C283" s="30">
        <f t="shared" si="4"/>
        <v>27</v>
      </c>
      <c r="D283" s="76">
        <v>0.22108303249097444</v>
      </c>
      <c r="E283" s="81">
        <v>2.2108303249097443E-2</v>
      </c>
      <c r="F283" s="81">
        <v>2.2108303249097443E-2</v>
      </c>
      <c r="G283" s="82">
        <v>2.3711191335740067E-2</v>
      </c>
    </row>
    <row r="284" spans="1:7" ht="12.75">
      <c r="A284" s="122" t="s">
        <v>19</v>
      </c>
      <c r="B284" s="121">
        <v>28.7</v>
      </c>
      <c r="C284" s="30">
        <f t="shared" si="4"/>
        <v>27.7</v>
      </c>
      <c r="D284" s="76">
        <v>0.24822299651567917</v>
      </c>
      <c r="E284" s="81">
        <v>2.482229965156792E-2</v>
      </c>
      <c r="F284" s="81">
        <v>2.482229965156792E-2</v>
      </c>
      <c r="G284" s="82">
        <v>2.6369337979094069E-2</v>
      </c>
    </row>
    <row r="285" spans="1:7" ht="12.75">
      <c r="A285" s="122" t="s">
        <v>20</v>
      </c>
      <c r="B285" s="121">
        <v>29.4</v>
      </c>
      <c r="C285" s="30">
        <f t="shared" si="4"/>
        <v>28.7</v>
      </c>
      <c r="D285" s="76">
        <v>0.26612244897959153</v>
      </c>
      <c r="E285" s="81">
        <v>2.6612244897959155E-2</v>
      </c>
      <c r="F285" s="81">
        <v>2.6612244897959155E-2</v>
      </c>
      <c r="G285" s="82">
        <v>2.8122448979591829E-2</v>
      </c>
    </row>
    <row r="286" spans="1:7" ht="12.75">
      <c r="A286" s="122" t="s">
        <v>21</v>
      </c>
      <c r="B286" s="121">
        <v>29.9</v>
      </c>
      <c r="C286" s="30">
        <f t="shared" si="4"/>
        <v>29.4</v>
      </c>
      <c r="D286" s="76">
        <v>0.27839464882943116</v>
      </c>
      <c r="E286" s="81">
        <v>2.7839464882943116E-2</v>
      </c>
      <c r="F286" s="81">
        <v>2.7839464882943116E-2</v>
      </c>
      <c r="G286" s="82">
        <v>2.9324414715719057E-2</v>
      </c>
    </row>
    <row r="287" spans="1:7" ht="12.75">
      <c r="A287" s="122" t="s">
        <v>22</v>
      </c>
      <c r="B287" s="121">
        <v>30.6</v>
      </c>
      <c r="C287" s="30">
        <f t="shared" si="4"/>
        <v>29.9</v>
      </c>
      <c r="D287" s="76">
        <v>0.29490196078431352</v>
      </c>
      <c r="E287" s="81">
        <v>2.9490196078431351E-2</v>
      </c>
      <c r="F287" s="81">
        <v>2.9490196078431351E-2</v>
      </c>
      <c r="G287" s="82">
        <v>3.0941176470588236E-2</v>
      </c>
    </row>
    <row r="288" spans="1:7" ht="12.75">
      <c r="A288" s="122" t="s">
        <v>23</v>
      </c>
      <c r="B288" s="121">
        <v>31.1</v>
      </c>
      <c r="C288" s="30">
        <f t="shared" si="4"/>
        <v>30.6</v>
      </c>
      <c r="D288" s="76">
        <v>0.3062379421221863</v>
      </c>
      <c r="E288" s="81">
        <v>3.0623794212218631E-2</v>
      </c>
      <c r="F288" s="81">
        <v>3.0623794212218631E-2</v>
      </c>
      <c r="G288" s="82">
        <v>3.2051446945337618E-2</v>
      </c>
    </row>
    <row r="289" spans="1:7" ht="12.75">
      <c r="A289" s="122" t="s">
        <v>24</v>
      </c>
      <c r="B289" s="121">
        <v>31.8</v>
      </c>
      <c r="C289" s="30">
        <f t="shared" si="4"/>
        <v>31.1</v>
      </c>
      <c r="D289" s="76">
        <v>0.32150943396226395</v>
      </c>
      <c r="E289" s="81">
        <v>3.2150943396226393E-2</v>
      </c>
      <c r="F289" s="81">
        <v>3.2150943396226393E-2</v>
      </c>
      <c r="G289" s="82">
        <v>3.3547169811320755E-2</v>
      </c>
    </row>
    <row r="290" spans="1:7" ht="12.75">
      <c r="A290" s="122" t="s">
        <v>25</v>
      </c>
      <c r="B290" s="121">
        <v>32.299999999999997</v>
      </c>
      <c r="C290" s="30">
        <f t="shared" si="4"/>
        <v>31.8</v>
      </c>
      <c r="D290" s="76">
        <v>0.33201238390092852</v>
      </c>
      <c r="E290" s="81">
        <v>3.3201238390092848E-2</v>
      </c>
      <c r="F290" s="81">
        <v>3.3201238390092848E-2</v>
      </c>
      <c r="G290" s="82">
        <v>3.4575851393188847E-2</v>
      </c>
    </row>
    <row r="291" spans="1:7" ht="12.75">
      <c r="A291" s="122" t="s">
        <v>26</v>
      </c>
      <c r="B291" s="121">
        <v>32.6</v>
      </c>
      <c r="C291" s="30">
        <f t="shared" si="4"/>
        <v>32.299999999999997</v>
      </c>
      <c r="D291" s="76">
        <v>0.3381595092024538</v>
      </c>
      <c r="E291" s="81">
        <v>3.3815950920245377E-2</v>
      </c>
      <c r="F291" s="81">
        <v>3.3815950920245377E-2</v>
      </c>
      <c r="G291" s="82">
        <v>3.5177914110429448E-2</v>
      </c>
    </row>
    <row r="292" spans="1:7" ht="12.75">
      <c r="A292" s="122" t="s">
        <v>27</v>
      </c>
      <c r="B292" s="121">
        <v>32.9</v>
      </c>
      <c r="C292" s="30">
        <f t="shared" si="4"/>
        <v>32.6</v>
      </c>
      <c r="D292" s="76">
        <v>0.34419452887537966</v>
      </c>
      <c r="E292" s="81">
        <v>3.441945288753797E-2</v>
      </c>
      <c r="F292" s="81">
        <v>3.441945288753797E-2</v>
      </c>
      <c r="G292" s="82">
        <v>3.576899696048632E-2</v>
      </c>
    </row>
    <row r="293" spans="1:7" ht="12.75">
      <c r="A293" s="122" t="s">
        <v>28</v>
      </c>
      <c r="B293" s="121">
        <v>33.200000000000003</v>
      </c>
      <c r="C293" s="30">
        <f t="shared" si="4"/>
        <v>32.9</v>
      </c>
      <c r="D293" s="76">
        <v>0.35012048192771067</v>
      </c>
      <c r="E293" s="81">
        <v>3.5012048192771074E-2</v>
      </c>
      <c r="F293" s="81">
        <v>3.5012048192771074E-2</v>
      </c>
      <c r="G293" s="82">
        <v>3.6349397590361453E-2</v>
      </c>
    </row>
    <row r="294" spans="1:7" ht="12.75">
      <c r="A294" s="122" t="s">
        <v>29</v>
      </c>
      <c r="B294" s="121">
        <v>33.5</v>
      </c>
      <c r="C294" s="30">
        <f t="shared" si="4"/>
        <v>33.200000000000003</v>
      </c>
      <c r="D294" s="76">
        <v>0.35594029850746245</v>
      </c>
      <c r="E294" s="81">
        <v>3.5594029850746244E-2</v>
      </c>
      <c r="F294" s="81">
        <v>3.5594029850746244E-2</v>
      </c>
      <c r="G294" s="82">
        <v>3.6919402985074623E-2</v>
      </c>
    </row>
    <row r="295" spans="1:7" ht="12.75">
      <c r="A295" s="122" t="s">
        <v>30</v>
      </c>
      <c r="B295" s="121">
        <v>34.4</v>
      </c>
      <c r="C295" s="30">
        <f t="shared" si="4"/>
        <v>33.5</v>
      </c>
      <c r="D295" s="76">
        <v>0.37279069767441836</v>
      </c>
      <c r="E295" s="81">
        <v>3.7279069767441837E-2</v>
      </c>
      <c r="F295" s="81">
        <v>3.7279069767441837E-2</v>
      </c>
      <c r="G295" s="82">
        <v>3.8569767441860463E-2</v>
      </c>
    </row>
    <row r="296" spans="1:7" ht="12.75">
      <c r="A296" s="122" t="s">
        <v>31</v>
      </c>
      <c r="B296" s="121">
        <v>35.4</v>
      </c>
      <c r="C296" s="30">
        <f t="shared" si="4"/>
        <v>34.4</v>
      </c>
      <c r="D296" s="76">
        <v>0.39050847457627097</v>
      </c>
      <c r="E296" s="81">
        <v>3.9050847457627096E-2</v>
      </c>
      <c r="F296" s="81">
        <v>3.9050847457627096E-2</v>
      </c>
      <c r="G296" s="82">
        <v>4.18305084745762E-2</v>
      </c>
    </row>
    <row r="297" spans="1:7" ht="12.75">
      <c r="A297" s="122" t="s">
        <v>32</v>
      </c>
      <c r="B297" s="121">
        <v>36.5</v>
      </c>
      <c r="C297" s="30">
        <f t="shared" si="4"/>
        <v>35.4</v>
      </c>
      <c r="D297" s="76">
        <v>0.40887671232876693</v>
      </c>
      <c r="E297" s="81">
        <v>4.5326027397260132E-2</v>
      </c>
      <c r="F297" s="81">
        <v>4.5326027397260132E-2</v>
      </c>
      <c r="G297" s="82">
        <v>5.262465753424652E-2</v>
      </c>
    </row>
    <row r="298" spans="1:7" ht="12.75">
      <c r="A298" s="122" t="s">
        <v>33</v>
      </c>
      <c r="B298" s="121">
        <v>37.5</v>
      </c>
      <c r="C298" s="30">
        <f t="shared" si="4"/>
        <v>36.5</v>
      </c>
      <c r="D298" s="76">
        <v>0.4246399999999998</v>
      </c>
      <c r="E298" s="81">
        <v>5.4783999999999861E-2</v>
      </c>
      <c r="F298" s="81">
        <v>5.4783999999999861E-2</v>
      </c>
      <c r="G298" s="82">
        <v>6.1887999999999957E-2</v>
      </c>
    </row>
    <row r="299" spans="1:7" ht="12.75">
      <c r="A299" s="122" t="s">
        <v>34</v>
      </c>
      <c r="B299" s="121">
        <v>38.5</v>
      </c>
      <c r="C299" s="30">
        <f t="shared" si="4"/>
        <v>37.5</v>
      </c>
      <c r="D299" s="76">
        <v>0.43958441558441541</v>
      </c>
      <c r="E299" s="81">
        <v>6.3750649350649211E-2</v>
      </c>
      <c r="F299" s="81">
        <v>6.3750649350649211E-2</v>
      </c>
      <c r="G299" s="82">
        <v>7.0670129870129814E-2</v>
      </c>
    </row>
    <row r="300" spans="1:7" ht="12.75">
      <c r="A300" s="122" t="s">
        <v>35</v>
      </c>
      <c r="B300" s="121">
        <v>39.6</v>
      </c>
      <c r="C300" s="30">
        <f t="shared" si="4"/>
        <v>38.5</v>
      </c>
      <c r="D300" s="76">
        <v>0.45515151515151497</v>
      </c>
      <c r="E300" s="81">
        <v>7.3090909090908984E-2</v>
      </c>
      <c r="F300" s="81">
        <v>7.3090909090908984E-2</v>
      </c>
      <c r="G300" s="82">
        <v>7.9818181818181788E-2</v>
      </c>
    </row>
    <row r="301" spans="1:7" ht="12.75">
      <c r="A301" s="122" t="s">
        <v>36</v>
      </c>
      <c r="B301" s="121">
        <v>40.4</v>
      </c>
      <c r="C301" s="30">
        <f t="shared" si="4"/>
        <v>39.6</v>
      </c>
      <c r="D301" s="76">
        <v>0.46594059405940574</v>
      </c>
      <c r="E301" s="81">
        <v>7.9564356435643427E-2</v>
      </c>
      <c r="F301" s="81">
        <v>7.9564356435643427E-2</v>
      </c>
      <c r="G301" s="82">
        <v>8.615841584158411E-2</v>
      </c>
    </row>
    <row r="302" spans="1:7" ht="12.75">
      <c r="A302" s="122" t="s">
        <v>37</v>
      </c>
      <c r="B302" s="121">
        <v>41.7</v>
      </c>
      <c r="C302" s="30">
        <f t="shared" si="4"/>
        <v>40.4</v>
      </c>
      <c r="D302" s="76">
        <v>0.4825899280575538</v>
      </c>
      <c r="E302" s="81">
        <v>8.9553956834532281E-2</v>
      </c>
      <c r="F302" s="81">
        <v>8.9553956834532281E-2</v>
      </c>
      <c r="G302" s="82">
        <v>9.5942446043165444E-2</v>
      </c>
    </row>
    <row r="303" spans="1:7" ht="12.75">
      <c r="A303" s="122" t="s">
        <v>38</v>
      </c>
      <c r="B303" s="121">
        <v>43</v>
      </c>
      <c r="C303" s="30">
        <f t="shared" si="4"/>
        <v>41.7</v>
      </c>
      <c r="D303" s="76">
        <v>0.49823255813953471</v>
      </c>
      <c r="E303" s="81">
        <v>9.8939534883720814E-2</v>
      </c>
      <c r="F303" s="81">
        <v>9.8939534883720814E-2</v>
      </c>
      <c r="G303" s="82">
        <v>0.1051348837209302</v>
      </c>
    </row>
    <row r="304" spans="1:7" ht="12.75">
      <c r="A304" s="122" t="s">
        <v>39</v>
      </c>
      <c r="B304" s="121">
        <v>44.1</v>
      </c>
      <c r="C304" s="30">
        <f t="shared" si="4"/>
        <v>43</v>
      </c>
      <c r="D304" s="76">
        <v>0.51074829931972776</v>
      </c>
      <c r="E304" s="81">
        <v>0.10644897959183663</v>
      </c>
      <c r="F304" s="81">
        <v>0.10644897959183663</v>
      </c>
      <c r="G304" s="82">
        <v>0.11248979591836732</v>
      </c>
    </row>
    <row r="305" spans="1:7" ht="12.75">
      <c r="A305" s="122" t="s">
        <v>40</v>
      </c>
      <c r="B305" s="121">
        <v>45.2</v>
      </c>
      <c r="C305" s="30">
        <f t="shared" si="4"/>
        <v>44.1</v>
      </c>
      <c r="D305" s="76">
        <v>0.52265486725663701</v>
      </c>
      <c r="E305" s="81">
        <v>0.1135929203539822</v>
      </c>
      <c r="F305" s="81">
        <v>0.1135929203539822</v>
      </c>
      <c r="G305" s="82">
        <v>0.11948672566371679</v>
      </c>
    </row>
    <row r="306" spans="1:7" ht="12.75">
      <c r="A306" s="122" t="s">
        <v>41</v>
      </c>
      <c r="B306" s="121">
        <v>46.4</v>
      </c>
      <c r="C306" s="30">
        <f t="shared" si="4"/>
        <v>45.2</v>
      </c>
      <c r="D306" s="76">
        <v>0.53499999999999981</v>
      </c>
      <c r="E306" s="81">
        <v>0.12099999999999989</v>
      </c>
      <c r="F306" s="81">
        <v>0.12099999999999989</v>
      </c>
      <c r="G306" s="82">
        <v>0.12674137931034477</v>
      </c>
    </row>
    <row r="307" spans="1:7" ht="12.75">
      <c r="A307" s="122" t="s">
        <v>42</v>
      </c>
      <c r="B307" s="121">
        <v>47.4</v>
      </c>
      <c r="C307" s="30">
        <f t="shared" si="4"/>
        <v>46.4</v>
      </c>
      <c r="D307" s="76">
        <v>0.54481012658227834</v>
      </c>
      <c r="E307" s="81">
        <v>0.12688607594936696</v>
      </c>
      <c r="F307" s="81">
        <v>0.12688607594936696</v>
      </c>
      <c r="G307" s="82">
        <v>0.13250632911392402</v>
      </c>
    </row>
    <row r="308" spans="1:7" ht="12.75">
      <c r="A308" s="122" t="s">
        <v>43</v>
      </c>
      <c r="B308" s="121">
        <v>48.4</v>
      </c>
      <c r="C308" s="30">
        <f t="shared" si="4"/>
        <v>47.4</v>
      </c>
      <c r="D308" s="76">
        <v>0.55421487603305764</v>
      </c>
      <c r="E308" s="81">
        <v>0.13252892561983459</v>
      </c>
      <c r="F308" s="81">
        <v>0.13252892561983459</v>
      </c>
      <c r="G308" s="82">
        <v>0.13803305785123962</v>
      </c>
    </row>
    <row r="309" spans="1:7" ht="12.75">
      <c r="A309" s="122" t="s">
        <v>44</v>
      </c>
      <c r="B309" s="121">
        <v>50.4</v>
      </c>
      <c r="C309" s="30">
        <f t="shared" si="4"/>
        <v>48.4</v>
      </c>
      <c r="D309" s="76">
        <v>0.57190476190476169</v>
      </c>
      <c r="E309" s="81">
        <v>0.14314285714285704</v>
      </c>
      <c r="F309" s="81">
        <v>0.14314285714285704</v>
      </c>
      <c r="G309" s="82">
        <v>0.14842857142857138</v>
      </c>
    </row>
    <row r="310" spans="1:7" ht="12.75">
      <c r="A310" s="122" t="s">
        <v>45</v>
      </c>
      <c r="B310" s="121">
        <v>51.9</v>
      </c>
      <c r="C310" s="30">
        <f t="shared" si="4"/>
        <v>50.4</v>
      </c>
      <c r="D310" s="76">
        <v>0.58427745664739872</v>
      </c>
      <c r="E310" s="81">
        <v>0.1505664739884392</v>
      </c>
      <c r="F310" s="81">
        <v>0.1505664739884392</v>
      </c>
      <c r="G310" s="82">
        <v>0.15569942196531789</v>
      </c>
    </row>
    <row r="311" spans="1:7" ht="12.75">
      <c r="A311" s="122" t="s">
        <v>46</v>
      </c>
      <c r="B311" s="121">
        <v>53.5</v>
      </c>
      <c r="C311" s="30">
        <f t="shared" si="4"/>
        <v>51.9</v>
      </c>
      <c r="D311" s="76">
        <v>0.59671028037383167</v>
      </c>
      <c r="E311" s="81">
        <v>0.15802616822429899</v>
      </c>
      <c r="F311" s="81">
        <v>0.15802616822429899</v>
      </c>
      <c r="G311" s="82">
        <v>0.16300560747663548</v>
      </c>
    </row>
    <row r="312" spans="1:7" ht="12.75">
      <c r="A312" s="122" t="s">
        <v>47</v>
      </c>
      <c r="B312" s="121">
        <v>55.9</v>
      </c>
      <c r="C312" s="30">
        <f t="shared" si="4"/>
        <v>53.5</v>
      </c>
      <c r="D312" s="76">
        <v>0.61402504472271902</v>
      </c>
      <c r="E312" s="81">
        <v>0.16841502683363141</v>
      </c>
      <c r="F312" s="81">
        <v>0.16841502683363141</v>
      </c>
      <c r="G312" s="82">
        <v>0.17318067978533092</v>
      </c>
    </row>
    <row r="313" spans="1:7" ht="12.75">
      <c r="A313" s="122" t="s">
        <v>48</v>
      </c>
      <c r="B313" s="121">
        <v>57</v>
      </c>
      <c r="C313" s="30">
        <f t="shared" si="4"/>
        <v>55.9</v>
      </c>
      <c r="D313" s="76">
        <v>0.62147368421052618</v>
      </c>
      <c r="E313" s="81">
        <v>0.17288421052631572</v>
      </c>
      <c r="F313" s="81">
        <v>0.17288421052631572</v>
      </c>
      <c r="G313" s="82">
        <v>0.17755789473684208</v>
      </c>
    </row>
    <row r="314" spans="1:7" ht="12.75">
      <c r="A314" s="122" t="s">
        <v>49</v>
      </c>
      <c r="B314" s="121">
        <v>59.3</v>
      </c>
      <c r="C314" s="30">
        <f t="shared" si="4"/>
        <v>57</v>
      </c>
      <c r="D314" s="76">
        <v>0.63615514333895429</v>
      </c>
      <c r="E314" s="81">
        <v>0.18169308600337261</v>
      </c>
      <c r="F314" s="81">
        <v>0.18169308600337261</v>
      </c>
      <c r="G314" s="82">
        <v>0.18618549747048904</v>
      </c>
    </row>
    <row r="315" spans="1:7" ht="12.75">
      <c r="A315" s="122" t="s">
        <v>50</v>
      </c>
      <c r="B315" s="121">
        <v>64.5</v>
      </c>
      <c r="C315" s="30">
        <f t="shared" si="4"/>
        <v>59.3</v>
      </c>
      <c r="D315" s="76">
        <v>0.66548837209302314</v>
      </c>
      <c r="E315" s="81">
        <v>0.19929302325581391</v>
      </c>
      <c r="F315" s="81">
        <v>0.19929302325581391</v>
      </c>
      <c r="G315" s="82">
        <v>0.20342325581395349</v>
      </c>
    </row>
    <row r="316" spans="1:7" ht="12.75">
      <c r="A316" s="122" t="s">
        <v>51</v>
      </c>
      <c r="B316" s="121">
        <v>68.3</v>
      </c>
      <c r="C316" s="30">
        <f t="shared" si="4"/>
        <v>64.5</v>
      </c>
      <c r="D316" s="76">
        <v>0.68409956076134693</v>
      </c>
      <c r="E316" s="81">
        <v>0.21045973645680813</v>
      </c>
      <c r="F316" s="81">
        <v>0.21045973645680813</v>
      </c>
      <c r="G316" s="82">
        <v>0.2143601756954612</v>
      </c>
    </row>
    <row r="317" spans="1:7" ht="12.75">
      <c r="A317" s="122" t="s">
        <v>52</v>
      </c>
      <c r="B317" s="121">
        <v>72.3</v>
      </c>
      <c r="C317" s="30">
        <f t="shared" si="4"/>
        <v>68.3</v>
      </c>
      <c r="D317" s="76">
        <v>0.70157676348547704</v>
      </c>
      <c r="E317" s="81">
        <v>0.22094605809128626</v>
      </c>
      <c r="F317" s="81">
        <v>0.22094605809128626</v>
      </c>
      <c r="G317" s="82">
        <v>0.22463070539419083</v>
      </c>
    </row>
    <row r="318" spans="1:7" ht="12.75">
      <c r="A318" s="122" t="s">
        <v>53</v>
      </c>
      <c r="B318" s="121">
        <v>85.6</v>
      </c>
      <c r="C318" s="30">
        <f>B317</f>
        <v>72.3</v>
      </c>
      <c r="D318" s="76">
        <v>0.74794392523364472</v>
      </c>
      <c r="E318" s="81">
        <v>0.24876635514018688</v>
      </c>
      <c r="F318" s="81">
        <v>0.24876635514018688</v>
      </c>
      <c r="G318" s="82">
        <v>0.25187850467289719</v>
      </c>
    </row>
    <row r="319" spans="1:7" ht="13.5" thickBot="1">
      <c r="A319" s="123" t="s">
        <v>53</v>
      </c>
      <c r="B319" s="124" t="s">
        <v>105</v>
      </c>
      <c r="C319" s="30">
        <f t="shared" si="4"/>
        <v>85.6</v>
      </c>
      <c r="D319" s="87"/>
      <c r="E319" s="87"/>
      <c r="F319" s="87"/>
      <c r="G319" s="88"/>
    </row>
    <row r="320" spans="1:7" ht="13.5" thickBot="1">
      <c r="A320" s="89"/>
      <c r="B320" s="125"/>
      <c r="C320" s="30"/>
      <c r="D320" s="126"/>
      <c r="E320" s="127">
        <v>6.9891417876330519E-2</v>
      </c>
      <c r="F320" s="127">
        <v>6.9891417876330519E-2</v>
      </c>
      <c r="G320" s="128">
        <v>7.3017338963920417E-2</v>
      </c>
    </row>
    <row r="321" spans="1:7" ht="51">
      <c r="A321" s="94" t="s">
        <v>55</v>
      </c>
      <c r="B321" s="95"/>
      <c r="D321" s="96"/>
      <c r="E321" s="97">
        <v>35.960000000000015</v>
      </c>
      <c r="F321" s="98">
        <v>35.960000000000015</v>
      </c>
      <c r="G321" s="99">
        <v>35.220000000000006</v>
      </c>
    </row>
    <row r="322" spans="1:7" ht="53.25" customHeight="1">
      <c r="A322" s="100" t="s">
        <v>56</v>
      </c>
      <c r="B322" s="101">
        <v>37.6</v>
      </c>
      <c r="D322" s="102"/>
      <c r="E322" s="103"/>
      <c r="F322" s="103"/>
      <c r="G322" s="104"/>
    </row>
    <row r="323" spans="1:7" ht="78" customHeight="1" thickBot="1">
      <c r="A323" s="105" t="s">
        <v>57</v>
      </c>
      <c r="B323" s="106">
        <v>22.6</v>
      </c>
      <c r="D323" s="87"/>
      <c r="E323" s="86">
        <v>21.576000000000008</v>
      </c>
      <c r="F323" s="86">
        <v>21.576000000000008</v>
      </c>
      <c r="G323" s="107">
        <v>21.132000000000001</v>
      </c>
    </row>
    <row r="324" spans="1:7" ht="15.75" thickBot="1"/>
    <row r="325" spans="1:7" ht="51.75" thickBot="1">
      <c r="A325" s="108" t="s">
        <v>56</v>
      </c>
      <c r="B325" s="109">
        <f>B322</f>
        <v>37.6</v>
      </c>
    </row>
    <row r="326" spans="1:7">
      <c r="A326" s="110" t="s">
        <v>64</v>
      </c>
      <c r="B326" s="111">
        <f>AVERAGE(B274:B313)</f>
        <v>35.960000000000015</v>
      </c>
    </row>
    <row r="327" spans="1:7">
      <c r="A327" s="112" t="s">
        <v>65</v>
      </c>
      <c r="B327" s="113">
        <f>AVERAGE(B279:B308)</f>
        <v>35.220000000000006</v>
      </c>
    </row>
    <row r="328" spans="1:7" ht="15.75" thickBot="1">
      <c r="A328" s="114" t="s">
        <v>66</v>
      </c>
      <c r="B328" s="115">
        <f>AVERAGE(B285:B303)</f>
        <v>34.963157894736838</v>
      </c>
    </row>
    <row r="329" spans="1:7" ht="15.75" thickBot="1"/>
    <row r="330" spans="1:7" ht="15" customHeight="1" thickBot="1">
      <c r="A330" s="535" t="s">
        <v>0</v>
      </c>
      <c r="B330" s="538" t="s">
        <v>70</v>
      </c>
      <c r="C330" s="539"/>
      <c r="D330" s="540"/>
      <c r="E330" s="62" t="e">
        <f>(1-E385)^(1/3)-1</f>
        <v>#DIV/0!</v>
      </c>
      <c r="F330" s="63" t="e">
        <f>(1-F385)^(1/3)-1</f>
        <v>#DIV/0!</v>
      </c>
      <c r="G330" s="64"/>
    </row>
    <row r="331" spans="1:7" ht="77.25" thickBot="1">
      <c r="A331" s="536"/>
      <c r="B331" s="65" t="s">
        <v>4</v>
      </c>
      <c r="D331" s="65" t="s">
        <v>80</v>
      </c>
      <c r="E331" s="65" t="s">
        <v>5</v>
      </c>
      <c r="F331" s="65" t="s">
        <v>5</v>
      </c>
      <c r="G331" s="65"/>
    </row>
    <row r="332" spans="1:7" ht="26.25" thickBot="1">
      <c r="A332" s="537"/>
      <c r="B332" s="66" t="s">
        <v>88</v>
      </c>
      <c r="D332" s="66" t="s">
        <v>7</v>
      </c>
      <c r="E332" s="67" t="s">
        <v>82</v>
      </c>
      <c r="F332" s="68" t="s">
        <v>83</v>
      </c>
      <c r="G332" s="68"/>
    </row>
    <row r="333" spans="1:7" ht="13.5" thickBot="1">
      <c r="A333" s="69">
        <v>1</v>
      </c>
      <c r="B333" s="116">
        <v>2</v>
      </c>
      <c r="C333" s="117"/>
      <c r="D333" s="117">
        <v>3</v>
      </c>
      <c r="E333" s="71">
        <v>4</v>
      </c>
      <c r="F333" s="117">
        <v>5</v>
      </c>
      <c r="G333" s="71"/>
    </row>
    <row r="334" spans="1:7">
      <c r="A334" s="118" t="s">
        <v>10</v>
      </c>
      <c r="B334" s="119"/>
      <c r="D334" s="76">
        <f>IF(B334=0,0,IF(B334&lt;=E$388,0,B334-E$388)/B334)</f>
        <v>0</v>
      </c>
      <c r="E334" s="77"/>
      <c r="F334" s="77"/>
      <c r="G334" s="78"/>
    </row>
    <row r="335" spans="1:7">
      <c r="A335" s="120" t="s">
        <v>58</v>
      </c>
      <c r="B335" s="121"/>
      <c r="D335" s="76">
        <f t="shared" ref="D335:D383" si="5">IF(B335=0,0,IF(B335&lt;=E$388,0,B335-E$388)/B335)</f>
        <v>0</v>
      </c>
      <c r="E335" s="81"/>
      <c r="F335" s="81"/>
      <c r="G335" s="82"/>
    </row>
    <row r="336" spans="1:7" ht="13.5" thickBot="1">
      <c r="A336" s="120" t="s">
        <v>59</v>
      </c>
      <c r="B336" s="121"/>
      <c r="C336" s="117"/>
      <c r="D336" s="76">
        <f t="shared" si="5"/>
        <v>0</v>
      </c>
      <c r="E336" s="81"/>
      <c r="F336" s="81"/>
      <c r="G336" s="82"/>
    </row>
    <row r="337" spans="1:7">
      <c r="A337" s="120" t="s">
        <v>60</v>
      </c>
      <c r="B337" s="121"/>
      <c r="C337">
        <v>0</v>
      </c>
      <c r="D337" s="76">
        <f t="shared" si="5"/>
        <v>0</v>
      </c>
      <c r="E337" s="81"/>
      <c r="F337" s="81"/>
      <c r="G337" s="82"/>
    </row>
    <row r="338" spans="1:7" ht="12.75">
      <c r="A338" s="120" t="s">
        <v>61</v>
      </c>
      <c r="B338" s="121"/>
      <c r="C338" s="30">
        <f>B337</f>
        <v>0</v>
      </c>
      <c r="D338" s="76">
        <f t="shared" si="5"/>
        <v>0</v>
      </c>
      <c r="E338" s="81"/>
      <c r="F338" s="81"/>
      <c r="G338" s="82"/>
    </row>
    <row r="339" spans="1:7" ht="12.75">
      <c r="A339" s="120" t="s">
        <v>62</v>
      </c>
      <c r="B339" s="121"/>
      <c r="C339" s="30">
        <f t="shared" ref="C339:C387" si="6">B338</f>
        <v>0</v>
      </c>
      <c r="D339" s="76">
        <f t="shared" si="5"/>
        <v>0</v>
      </c>
      <c r="E339" s="81"/>
      <c r="F339" s="81"/>
      <c r="G339" s="82"/>
    </row>
    <row r="340" spans="1:7" ht="12.75">
      <c r="A340" s="120" t="s">
        <v>63</v>
      </c>
      <c r="B340" s="121"/>
      <c r="C340" s="30">
        <f t="shared" si="6"/>
        <v>0</v>
      </c>
      <c r="D340" s="76">
        <f t="shared" si="5"/>
        <v>0</v>
      </c>
      <c r="E340" s="81"/>
      <c r="F340" s="81"/>
      <c r="G340" s="82"/>
    </row>
    <row r="341" spans="1:7" ht="12.75">
      <c r="A341" s="122" t="s">
        <v>11</v>
      </c>
      <c r="B341" s="121"/>
      <c r="C341" s="30">
        <f t="shared" si="6"/>
        <v>0</v>
      </c>
      <c r="D341" s="76">
        <f t="shared" si="5"/>
        <v>0</v>
      </c>
      <c r="E341" s="81"/>
      <c r="F341" s="81"/>
      <c r="G341" s="82"/>
    </row>
    <row r="342" spans="1:7" ht="12.75">
      <c r="A342" s="122" t="s">
        <v>12</v>
      </c>
      <c r="B342" s="121"/>
      <c r="C342" s="30">
        <f t="shared" si="6"/>
        <v>0</v>
      </c>
      <c r="D342" s="76">
        <f t="shared" si="5"/>
        <v>0</v>
      </c>
      <c r="E342" s="81"/>
      <c r="F342" s="81"/>
      <c r="G342" s="82"/>
    </row>
    <row r="343" spans="1:7" ht="12.75">
      <c r="A343" s="122" t="s">
        <v>13</v>
      </c>
      <c r="B343" s="121"/>
      <c r="C343" s="30">
        <f t="shared" si="6"/>
        <v>0</v>
      </c>
      <c r="D343" s="76">
        <f t="shared" si="5"/>
        <v>0</v>
      </c>
      <c r="E343" s="81"/>
      <c r="F343" s="81"/>
      <c r="G343" s="82"/>
    </row>
    <row r="344" spans="1:7" ht="12.75">
      <c r="A344" s="122" t="s">
        <v>14</v>
      </c>
      <c r="B344" s="121"/>
      <c r="C344" s="30">
        <f t="shared" si="6"/>
        <v>0</v>
      </c>
      <c r="D344" s="76">
        <f t="shared" si="5"/>
        <v>0</v>
      </c>
      <c r="E344" s="81"/>
      <c r="F344" s="81"/>
      <c r="G344" s="82"/>
    </row>
    <row r="345" spans="1:7" ht="12.75">
      <c r="A345" s="122" t="s">
        <v>15</v>
      </c>
      <c r="B345" s="121"/>
      <c r="C345" s="30">
        <f t="shared" si="6"/>
        <v>0</v>
      </c>
      <c r="D345" s="76">
        <f t="shared" si="5"/>
        <v>0</v>
      </c>
      <c r="E345" s="81"/>
      <c r="F345" s="81"/>
      <c r="G345" s="82"/>
    </row>
    <row r="346" spans="1:7" ht="12.75">
      <c r="A346" s="122" t="s">
        <v>16</v>
      </c>
      <c r="B346" s="121"/>
      <c r="C346" s="30">
        <f t="shared" si="6"/>
        <v>0</v>
      </c>
      <c r="D346" s="76">
        <f t="shared" si="5"/>
        <v>0</v>
      </c>
      <c r="E346" s="81"/>
      <c r="F346" s="81"/>
      <c r="G346" s="82"/>
    </row>
    <row r="347" spans="1:7" ht="12.75">
      <c r="A347" s="122" t="s">
        <v>17</v>
      </c>
      <c r="B347" s="121"/>
      <c r="C347" s="30">
        <f t="shared" si="6"/>
        <v>0</v>
      </c>
      <c r="D347" s="76">
        <f t="shared" si="5"/>
        <v>0</v>
      </c>
      <c r="E347" s="81"/>
      <c r="F347" s="81"/>
      <c r="G347" s="82"/>
    </row>
    <row r="348" spans="1:7" ht="12.75">
      <c r="A348" s="122" t="s">
        <v>18</v>
      </c>
      <c r="B348" s="121"/>
      <c r="C348" s="30">
        <f t="shared" si="6"/>
        <v>0</v>
      </c>
      <c r="D348" s="76">
        <f t="shared" si="5"/>
        <v>0</v>
      </c>
      <c r="E348" s="81"/>
      <c r="F348" s="81"/>
      <c r="G348" s="82"/>
    </row>
    <row r="349" spans="1:7" ht="12.75">
      <c r="A349" s="122" t="s">
        <v>19</v>
      </c>
      <c r="B349" s="121"/>
      <c r="C349" s="30">
        <f t="shared" si="6"/>
        <v>0</v>
      </c>
      <c r="D349" s="76">
        <f t="shared" si="5"/>
        <v>0</v>
      </c>
      <c r="E349" s="81"/>
      <c r="F349" s="81"/>
      <c r="G349" s="82"/>
    </row>
    <row r="350" spans="1:7" ht="12.75">
      <c r="A350" s="122" t="s">
        <v>20</v>
      </c>
      <c r="B350" s="121"/>
      <c r="C350" s="30">
        <f t="shared" si="6"/>
        <v>0</v>
      </c>
      <c r="D350" s="76">
        <f t="shared" si="5"/>
        <v>0</v>
      </c>
      <c r="E350" s="81"/>
      <c r="F350" s="81"/>
      <c r="G350" s="82"/>
    </row>
    <row r="351" spans="1:7" ht="12.75">
      <c r="A351" s="122" t="s">
        <v>21</v>
      </c>
      <c r="B351" s="121"/>
      <c r="C351" s="30">
        <f t="shared" si="6"/>
        <v>0</v>
      </c>
      <c r="D351" s="76">
        <f t="shared" si="5"/>
        <v>0</v>
      </c>
      <c r="E351" s="81"/>
      <c r="F351" s="81"/>
      <c r="G351" s="82"/>
    </row>
    <row r="352" spans="1:7" ht="12.75">
      <c r="A352" s="122" t="s">
        <v>22</v>
      </c>
      <c r="B352" s="121"/>
      <c r="C352" s="30">
        <f t="shared" si="6"/>
        <v>0</v>
      </c>
      <c r="D352" s="76">
        <f t="shared" si="5"/>
        <v>0</v>
      </c>
      <c r="E352" s="81"/>
      <c r="F352" s="81"/>
      <c r="G352" s="82"/>
    </row>
    <row r="353" spans="1:7" ht="12.75">
      <c r="A353" s="122" t="s">
        <v>23</v>
      </c>
      <c r="B353" s="121"/>
      <c r="C353" s="30">
        <f t="shared" si="6"/>
        <v>0</v>
      </c>
      <c r="D353" s="76">
        <f t="shared" si="5"/>
        <v>0</v>
      </c>
      <c r="E353" s="81"/>
      <c r="F353" s="81"/>
      <c r="G353" s="82"/>
    </row>
    <row r="354" spans="1:7" ht="12.75">
      <c r="A354" s="122" t="s">
        <v>24</v>
      </c>
      <c r="B354" s="121"/>
      <c r="C354" s="30">
        <f t="shared" si="6"/>
        <v>0</v>
      </c>
      <c r="D354" s="76">
        <f t="shared" si="5"/>
        <v>0</v>
      </c>
      <c r="E354" s="81"/>
      <c r="F354" s="81"/>
      <c r="G354" s="82"/>
    </row>
    <row r="355" spans="1:7" ht="12.75">
      <c r="A355" s="122" t="s">
        <v>25</v>
      </c>
      <c r="B355" s="121"/>
      <c r="C355" s="30">
        <f t="shared" si="6"/>
        <v>0</v>
      </c>
      <c r="D355" s="76">
        <f t="shared" si="5"/>
        <v>0</v>
      </c>
      <c r="E355" s="81"/>
      <c r="F355" s="81"/>
      <c r="G355" s="82"/>
    </row>
    <row r="356" spans="1:7" ht="12.75">
      <c r="A356" s="122" t="s">
        <v>26</v>
      </c>
      <c r="B356" s="121"/>
      <c r="C356" s="30">
        <f t="shared" si="6"/>
        <v>0</v>
      </c>
      <c r="D356" s="76">
        <f t="shared" si="5"/>
        <v>0</v>
      </c>
      <c r="E356" s="81"/>
      <c r="F356" s="81"/>
      <c r="G356" s="82"/>
    </row>
    <row r="357" spans="1:7" ht="12.75">
      <c r="A357" s="122" t="s">
        <v>27</v>
      </c>
      <c r="B357" s="121"/>
      <c r="C357" s="30">
        <f t="shared" si="6"/>
        <v>0</v>
      </c>
      <c r="D357" s="76">
        <f t="shared" si="5"/>
        <v>0</v>
      </c>
      <c r="E357" s="81"/>
      <c r="F357" s="81"/>
      <c r="G357" s="82"/>
    </row>
    <row r="358" spans="1:7" ht="12.75">
      <c r="A358" s="122" t="s">
        <v>28</v>
      </c>
      <c r="B358" s="121"/>
      <c r="C358" s="30">
        <f t="shared" si="6"/>
        <v>0</v>
      </c>
      <c r="D358" s="76">
        <f t="shared" si="5"/>
        <v>0</v>
      </c>
      <c r="E358" s="81"/>
      <c r="F358" s="81"/>
      <c r="G358" s="82"/>
    </row>
    <row r="359" spans="1:7" ht="12.75">
      <c r="A359" s="122" t="s">
        <v>29</v>
      </c>
      <c r="B359" s="121"/>
      <c r="C359" s="30">
        <f t="shared" si="6"/>
        <v>0</v>
      </c>
      <c r="D359" s="76">
        <f t="shared" si="5"/>
        <v>0</v>
      </c>
      <c r="E359" s="81"/>
      <c r="F359" s="81"/>
      <c r="G359" s="82"/>
    </row>
    <row r="360" spans="1:7" ht="12.75">
      <c r="A360" s="122" t="s">
        <v>30</v>
      </c>
      <c r="B360" s="121"/>
      <c r="C360" s="30">
        <f t="shared" si="6"/>
        <v>0</v>
      </c>
      <c r="D360" s="76">
        <f t="shared" si="5"/>
        <v>0</v>
      </c>
      <c r="E360" s="81"/>
      <c r="F360" s="81"/>
      <c r="G360" s="82"/>
    </row>
    <row r="361" spans="1:7" ht="12.75">
      <c r="A361" s="122" t="s">
        <v>31</v>
      </c>
      <c r="B361" s="121"/>
      <c r="C361" s="30">
        <f t="shared" si="6"/>
        <v>0</v>
      </c>
      <c r="D361" s="76">
        <f t="shared" si="5"/>
        <v>0</v>
      </c>
      <c r="E361" s="81"/>
      <c r="F361" s="81"/>
      <c r="G361" s="82"/>
    </row>
    <row r="362" spans="1:7" ht="12.75">
      <c r="A362" s="122" t="s">
        <v>32</v>
      </c>
      <c r="B362" s="121"/>
      <c r="C362" s="30">
        <f t="shared" si="6"/>
        <v>0</v>
      </c>
      <c r="D362" s="76">
        <f t="shared" si="5"/>
        <v>0</v>
      </c>
      <c r="E362" s="81"/>
      <c r="F362" s="81"/>
      <c r="G362" s="82"/>
    </row>
    <row r="363" spans="1:7" ht="12.75">
      <c r="A363" s="122" t="s">
        <v>33</v>
      </c>
      <c r="B363" s="121"/>
      <c r="C363" s="30">
        <f t="shared" si="6"/>
        <v>0</v>
      </c>
      <c r="D363" s="76">
        <f t="shared" si="5"/>
        <v>0</v>
      </c>
      <c r="E363" s="81"/>
      <c r="F363" s="81"/>
      <c r="G363" s="82"/>
    </row>
    <row r="364" spans="1:7" ht="12.75">
      <c r="A364" s="122" t="s">
        <v>34</v>
      </c>
      <c r="B364" s="121"/>
      <c r="C364" s="30">
        <f t="shared" si="6"/>
        <v>0</v>
      </c>
      <c r="D364" s="76">
        <f t="shared" si="5"/>
        <v>0</v>
      </c>
      <c r="E364" s="81"/>
      <c r="F364" s="81"/>
      <c r="G364" s="82"/>
    </row>
    <row r="365" spans="1:7" ht="12.75">
      <c r="A365" s="122" t="s">
        <v>35</v>
      </c>
      <c r="B365" s="121"/>
      <c r="C365" s="30">
        <f t="shared" si="6"/>
        <v>0</v>
      </c>
      <c r="D365" s="76">
        <f t="shared" si="5"/>
        <v>0</v>
      </c>
      <c r="E365" s="81"/>
      <c r="F365" s="81"/>
      <c r="G365" s="82"/>
    </row>
    <row r="366" spans="1:7" ht="12.75">
      <c r="A366" s="122" t="s">
        <v>36</v>
      </c>
      <c r="B366" s="121"/>
      <c r="C366" s="30">
        <f t="shared" si="6"/>
        <v>0</v>
      </c>
      <c r="D366" s="76">
        <f t="shared" si="5"/>
        <v>0</v>
      </c>
      <c r="E366" s="81"/>
      <c r="F366" s="81"/>
      <c r="G366" s="82"/>
    </row>
    <row r="367" spans="1:7" ht="12.75">
      <c r="A367" s="122" t="s">
        <v>37</v>
      </c>
      <c r="B367" s="121"/>
      <c r="C367" s="30">
        <f t="shared" si="6"/>
        <v>0</v>
      </c>
      <c r="D367" s="76">
        <f t="shared" si="5"/>
        <v>0</v>
      </c>
      <c r="E367" s="81"/>
      <c r="F367" s="81"/>
      <c r="G367" s="82"/>
    </row>
    <row r="368" spans="1:7" ht="12.75">
      <c r="A368" s="122" t="s">
        <v>38</v>
      </c>
      <c r="B368" s="121"/>
      <c r="C368" s="30">
        <f t="shared" si="6"/>
        <v>0</v>
      </c>
      <c r="D368" s="76">
        <f t="shared" si="5"/>
        <v>0</v>
      </c>
      <c r="E368" s="81"/>
      <c r="F368" s="81"/>
      <c r="G368" s="82"/>
    </row>
    <row r="369" spans="1:7" ht="12.75">
      <c r="A369" s="122" t="s">
        <v>39</v>
      </c>
      <c r="B369" s="121"/>
      <c r="C369" s="30">
        <f t="shared" si="6"/>
        <v>0</v>
      </c>
      <c r="D369" s="76">
        <f t="shared" si="5"/>
        <v>0</v>
      </c>
      <c r="E369" s="81"/>
      <c r="F369" s="81"/>
      <c r="G369" s="82"/>
    </row>
    <row r="370" spans="1:7" ht="12.75">
      <c r="A370" s="122" t="s">
        <v>40</v>
      </c>
      <c r="B370" s="121"/>
      <c r="C370" s="30">
        <f t="shared" si="6"/>
        <v>0</v>
      </c>
      <c r="D370" s="76">
        <f t="shared" si="5"/>
        <v>0</v>
      </c>
      <c r="E370" s="81"/>
      <c r="F370" s="81"/>
      <c r="G370" s="82"/>
    </row>
    <row r="371" spans="1:7" ht="12.75">
      <c r="A371" s="122" t="s">
        <v>41</v>
      </c>
      <c r="B371" s="121"/>
      <c r="C371" s="30">
        <f t="shared" si="6"/>
        <v>0</v>
      </c>
      <c r="D371" s="76">
        <f t="shared" si="5"/>
        <v>0</v>
      </c>
      <c r="E371" s="81"/>
      <c r="F371" s="81"/>
      <c r="G371" s="82"/>
    </row>
    <row r="372" spans="1:7" ht="12.75">
      <c r="A372" s="122" t="s">
        <v>42</v>
      </c>
      <c r="B372" s="121"/>
      <c r="C372" s="30">
        <f t="shared" si="6"/>
        <v>0</v>
      </c>
      <c r="D372" s="76">
        <f t="shared" si="5"/>
        <v>0</v>
      </c>
      <c r="E372" s="81"/>
      <c r="F372" s="81"/>
      <c r="G372" s="82"/>
    </row>
    <row r="373" spans="1:7" ht="12.75">
      <c r="A373" s="122" t="s">
        <v>43</v>
      </c>
      <c r="B373" s="121"/>
      <c r="C373" s="30">
        <f t="shared" si="6"/>
        <v>0</v>
      </c>
      <c r="D373" s="76">
        <f t="shared" si="5"/>
        <v>0</v>
      </c>
      <c r="E373" s="81"/>
      <c r="F373" s="81"/>
      <c r="G373" s="82"/>
    </row>
    <row r="374" spans="1:7" ht="12.75">
      <c r="A374" s="122" t="s">
        <v>44</v>
      </c>
      <c r="B374" s="121"/>
      <c r="C374" s="30">
        <f t="shared" si="6"/>
        <v>0</v>
      </c>
      <c r="D374" s="76">
        <f t="shared" si="5"/>
        <v>0</v>
      </c>
      <c r="E374" s="81"/>
      <c r="F374" s="81"/>
      <c r="G374" s="82"/>
    </row>
    <row r="375" spans="1:7" ht="12.75">
      <c r="A375" s="122" t="s">
        <v>45</v>
      </c>
      <c r="B375" s="121"/>
      <c r="C375" s="30">
        <f t="shared" si="6"/>
        <v>0</v>
      </c>
      <c r="D375" s="76">
        <f t="shared" si="5"/>
        <v>0</v>
      </c>
      <c r="E375" s="81"/>
      <c r="F375" s="81"/>
      <c r="G375" s="82"/>
    </row>
    <row r="376" spans="1:7" ht="12.75">
      <c r="A376" s="122" t="s">
        <v>46</v>
      </c>
      <c r="B376" s="121"/>
      <c r="C376" s="30">
        <f t="shared" si="6"/>
        <v>0</v>
      </c>
      <c r="D376" s="76">
        <f t="shared" si="5"/>
        <v>0</v>
      </c>
      <c r="E376" s="81"/>
      <c r="F376" s="81"/>
      <c r="G376" s="82"/>
    </row>
    <row r="377" spans="1:7" ht="12.75">
      <c r="A377" s="122" t="s">
        <v>47</v>
      </c>
      <c r="B377" s="121"/>
      <c r="C377" s="30">
        <f t="shared" si="6"/>
        <v>0</v>
      </c>
      <c r="D377" s="76">
        <f t="shared" si="5"/>
        <v>0</v>
      </c>
      <c r="E377" s="81"/>
      <c r="F377" s="81"/>
      <c r="G377" s="82"/>
    </row>
    <row r="378" spans="1:7" ht="12.75">
      <c r="A378" s="122" t="s">
        <v>48</v>
      </c>
      <c r="B378" s="121"/>
      <c r="C378" s="30">
        <f t="shared" si="6"/>
        <v>0</v>
      </c>
      <c r="D378" s="76">
        <f t="shared" si="5"/>
        <v>0</v>
      </c>
      <c r="E378" s="81"/>
      <c r="F378" s="81"/>
      <c r="G378" s="82"/>
    </row>
    <row r="379" spans="1:7" ht="12.75">
      <c r="A379" s="122" t="s">
        <v>49</v>
      </c>
      <c r="B379" s="121"/>
      <c r="C379" s="30">
        <f t="shared" si="6"/>
        <v>0</v>
      </c>
      <c r="D379" s="76">
        <f t="shared" si="5"/>
        <v>0</v>
      </c>
      <c r="E379" s="81"/>
      <c r="F379" s="81"/>
      <c r="G379" s="82"/>
    </row>
    <row r="380" spans="1:7" ht="12.75">
      <c r="A380" s="122" t="s">
        <v>50</v>
      </c>
      <c r="B380" s="121"/>
      <c r="C380" s="30">
        <f t="shared" si="6"/>
        <v>0</v>
      </c>
      <c r="D380" s="76">
        <f t="shared" si="5"/>
        <v>0</v>
      </c>
      <c r="E380" s="81"/>
      <c r="F380" s="81"/>
      <c r="G380" s="82"/>
    </row>
    <row r="381" spans="1:7" ht="12.75">
      <c r="A381" s="122" t="s">
        <v>51</v>
      </c>
      <c r="B381" s="121"/>
      <c r="C381" s="30">
        <f t="shared" si="6"/>
        <v>0</v>
      </c>
      <c r="D381" s="76">
        <f t="shared" si="5"/>
        <v>0</v>
      </c>
      <c r="E381" s="81"/>
      <c r="F381" s="81"/>
      <c r="G381" s="82"/>
    </row>
    <row r="382" spans="1:7" ht="12.75">
      <c r="A382" s="122" t="s">
        <v>52</v>
      </c>
      <c r="B382" s="121"/>
      <c r="C382" s="30">
        <f t="shared" si="6"/>
        <v>0</v>
      </c>
      <c r="D382" s="76">
        <f t="shared" si="5"/>
        <v>0</v>
      </c>
      <c r="E382" s="81"/>
      <c r="F382" s="81"/>
      <c r="G382" s="82"/>
    </row>
    <row r="383" spans="1:7" ht="12.75">
      <c r="A383" s="122" t="s">
        <v>53</v>
      </c>
      <c r="B383" s="121"/>
      <c r="C383" s="30">
        <f t="shared" si="6"/>
        <v>0</v>
      </c>
      <c r="D383" s="76">
        <f t="shared" si="5"/>
        <v>0</v>
      </c>
      <c r="E383" s="81"/>
      <c r="F383" s="81"/>
      <c r="G383" s="82"/>
    </row>
    <row r="384" spans="1:7" ht="13.5" thickBot="1">
      <c r="A384" s="123" t="s">
        <v>53</v>
      </c>
      <c r="B384" s="145"/>
      <c r="C384" s="30">
        <f t="shared" si="6"/>
        <v>0</v>
      </c>
      <c r="D384" s="87"/>
      <c r="E384" s="87"/>
      <c r="F384" s="87"/>
      <c r="G384" s="88"/>
    </row>
    <row r="385" spans="1:7" ht="13.5" thickBot="1">
      <c r="A385" s="89"/>
      <c r="B385" s="125"/>
      <c r="C385" s="30">
        <f t="shared" si="6"/>
        <v>0</v>
      </c>
      <c r="D385" s="126"/>
      <c r="E385" s="127" t="e">
        <f>AVERAGE(E334:E383)</f>
        <v>#DIV/0!</v>
      </c>
      <c r="F385" s="127" t="e">
        <f>AVERAGE(F334:F384)</f>
        <v>#DIV/0!</v>
      </c>
      <c r="G385" s="128"/>
    </row>
    <row r="386" spans="1:7" ht="52.5" customHeight="1">
      <c r="A386" s="94" t="s">
        <v>55</v>
      </c>
      <c r="B386" s="95"/>
      <c r="C386" s="30">
        <f>B385</f>
        <v>0</v>
      </c>
      <c r="D386" s="96"/>
      <c r="E386" s="97">
        <f>B387</f>
        <v>0</v>
      </c>
      <c r="F386" s="98" t="e">
        <f>B391</f>
        <v>#DIV/0!</v>
      </c>
      <c r="G386" s="99"/>
    </row>
    <row r="387" spans="1:7" ht="54.75" customHeight="1">
      <c r="A387" s="100" t="s">
        <v>56</v>
      </c>
      <c r="B387" s="101"/>
      <c r="C387" s="30">
        <f t="shared" si="6"/>
        <v>0</v>
      </c>
      <c r="D387" s="102"/>
      <c r="E387" s="103"/>
      <c r="F387" s="103"/>
      <c r="G387" s="104"/>
    </row>
    <row r="388" spans="1:7" ht="78" customHeight="1" thickBot="1">
      <c r="A388" s="105" t="s">
        <v>57</v>
      </c>
      <c r="B388" s="106"/>
      <c r="D388" s="87"/>
      <c r="E388" s="86">
        <f>0.6*E386</f>
        <v>0</v>
      </c>
      <c r="F388" s="86" t="e">
        <f>0.6*F386</f>
        <v>#DIV/0!</v>
      </c>
      <c r="G388" s="107"/>
    </row>
    <row r="389" spans="1:7" ht="15" customHeight="1" thickBot="1"/>
    <row r="390" spans="1:7" ht="51.75" thickBot="1">
      <c r="A390" s="108" t="s">
        <v>56</v>
      </c>
      <c r="B390" s="109">
        <f>B387</f>
        <v>0</v>
      </c>
    </row>
    <row r="391" spans="1:7">
      <c r="A391" s="110" t="s">
        <v>64</v>
      </c>
      <c r="B391" s="111" t="e">
        <f>AVERAGE(B339:B378)</f>
        <v>#DIV/0!</v>
      </c>
    </row>
    <row r="392" spans="1:7">
      <c r="A392" s="112" t="s">
        <v>65</v>
      </c>
      <c r="B392" s="113" t="e">
        <f>AVERAGE(B344:B373)</f>
        <v>#DIV/0!</v>
      </c>
    </row>
    <row r="393" spans="1:7" ht="15.75" thickBot="1">
      <c r="A393" s="114" t="s">
        <v>66</v>
      </c>
      <c r="B393" s="115" t="e">
        <f>AVERAGE(B350:B368)</f>
        <v>#DIV/0!</v>
      </c>
    </row>
    <row r="394" spans="1:7" ht="15.75" thickBot="1"/>
    <row r="395" spans="1:7" ht="15.75" customHeight="1" thickBot="1">
      <c r="A395" s="535" t="s">
        <v>0</v>
      </c>
      <c r="B395" s="538" t="s">
        <v>89</v>
      </c>
      <c r="C395" s="539"/>
      <c r="D395" s="540"/>
      <c r="E395" s="62">
        <f>(1-E450)^(1/3)-1</f>
        <v>-2.455985596516852E-2</v>
      </c>
      <c r="F395" s="63">
        <f>(1-F450)^(1/3)-1</f>
        <v>-2.8594260398878912E-2</v>
      </c>
      <c r="G395" s="64"/>
    </row>
    <row r="396" spans="1:7" ht="77.25" thickBot="1">
      <c r="A396" s="536"/>
      <c r="B396" s="65" t="s">
        <v>4</v>
      </c>
      <c r="D396" s="65" t="s">
        <v>80</v>
      </c>
      <c r="E396" s="65" t="s">
        <v>5</v>
      </c>
      <c r="F396" s="65" t="s">
        <v>5</v>
      </c>
      <c r="G396" s="65"/>
    </row>
    <row r="397" spans="1:7" ht="15.75" thickBot="1">
      <c r="A397" s="537"/>
      <c r="B397" s="66" t="s">
        <v>90</v>
      </c>
      <c r="D397" s="66" t="s">
        <v>7</v>
      </c>
      <c r="E397" s="67" t="s">
        <v>82</v>
      </c>
      <c r="F397" s="68" t="s">
        <v>83</v>
      </c>
      <c r="G397" s="68"/>
    </row>
    <row r="398" spans="1:7" ht="15.75" thickBot="1">
      <c r="A398" s="69">
        <v>1</v>
      </c>
      <c r="B398" s="116">
        <v>2</v>
      </c>
      <c r="D398" s="117">
        <v>3</v>
      </c>
      <c r="E398" s="71">
        <v>4</v>
      </c>
      <c r="F398" s="117">
        <v>5</v>
      </c>
      <c r="G398" s="71"/>
    </row>
    <row r="399" spans="1:7">
      <c r="A399" s="118" t="s">
        <v>10</v>
      </c>
      <c r="B399" s="119">
        <v>9.1999999999999993</v>
      </c>
      <c r="D399" s="76">
        <f>IF(B399=0,0,IF(B399&lt;=E$453,0,B399-E$453)/B399)</f>
        <v>0</v>
      </c>
      <c r="E399" s="77">
        <f t="shared" ref="E399:F418" si="7">IF($B399&lt;=E$453,0,IF(AND(E$453&lt;$B399,$B399&lt;=E$451),$E$1*($B399-E$453),$E$1*(E$451-E$453)+$F$1*($B399-E$451)))/$B399</f>
        <v>0</v>
      </c>
      <c r="F399" s="77">
        <f t="shared" si="7"/>
        <v>0</v>
      </c>
      <c r="G399" s="78"/>
    </row>
    <row r="400" spans="1:7">
      <c r="A400" s="120" t="s">
        <v>58</v>
      </c>
      <c r="B400" s="121">
        <v>15.5</v>
      </c>
      <c r="D400" s="76">
        <f t="shared" ref="D400:D448" si="8">IF(B400=0,0,IF(B400&lt;=E$453,0,B400-E$453)/B400)</f>
        <v>0</v>
      </c>
      <c r="E400" s="81">
        <f t="shared" si="7"/>
        <v>0</v>
      </c>
      <c r="F400" s="81">
        <f t="shared" si="7"/>
        <v>0</v>
      </c>
      <c r="G400" s="82"/>
    </row>
    <row r="401" spans="1:7">
      <c r="A401" s="120" t="s">
        <v>59</v>
      </c>
      <c r="B401" s="121">
        <v>18.899999999999999</v>
      </c>
      <c r="D401" s="76">
        <f t="shared" si="8"/>
        <v>0</v>
      </c>
      <c r="E401" s="81">
        <f t="shared" si="7"/>
        <v>0</v>
      </c>
      <c r="F401" s="81">
        <f t="shared" si="7"/>
        <v>0</v>
      </c>
      <c r="G401" s="82"/>
    </row>
    <row r="402" spans="1:7">
      <c r="A402" s="120" t="s">
        <v>60</v>
      </c>
      <c r="B402" s="121">
        <v>23.4</v>
      </c>
      <c r="C402">
        <v>0</v>
      </c>
      <c r="D402" s="76">
        <f t="shared" si="8"/>
        <v>0</v>
      </c>
      <c r="E402" s="81">
        <f t="shared" si="7"/>
        <v>0</v>
      </c>
      <c r="F402" s="81">
        <f t="shared" si="7"/>
        <v>0</v>
      </c>
      <c r="G402" s="82"/>
    </row>
    <row r="403" spans="1:7" ht="12.75">
      <c r="A403" s="120" t="s">
        <v>61</v>
      </c>
      <c r="B403" s="121">
        <v>27.7</v>
      </c>
      <c r="C403" s="30">
        <f>B402</f>
        <v>23.4</v>
      </c>
      <c r="D403" s="76">
        <f t="shared" si="8"/>
        <v>0</v>
      </c>
      <c r="E403" s="81">
        <f t="shared" si="7"/>
        <v>0</v>
      </c>
      <c r="F403" s="81">
        <f t="shared" si="7"/>
        <v>0</v>
      </c>
      <c r="G403" s="82"/>
    </row>
    <row r="404" spans="1:7" ht="12.75">
      <c r="A404" s="120" t="s">
        <v>62</v>
      </c>
      <c r="B404" s="121">
        <v>30.1</v>
      </c>
      <c r="C404" s="30">
        <f t="shared" ref="C404:C452" si="9">B403</f>
        <v>27.7</v>
      </c>
      <c r="D404" s="76">
        <f t="shared" si="8"/>
        <v>0</v>
      </c>
      <c r="E404" s="81">
        <f t="shared" si="7"/>
        <v>0</v>
      </c>
      <c r="F404" s="81">
        <f t="shared" si="7"/>
        <v>0</v>
      </c>
      <c r="G404" s="82"/>
    </row>
    <row r="405" spans="1:7" ht="12.75">
      <c r="A405" s="120" t="s">
        <v>63</v>
      </c>
      <c r="B405" s="121">
        <v>32.700000000000003</v>
      </c>
      <c r="C405" s="30">
        <f t="shared" si="9"/>
        <v>30.1</v>
      </c>
      <c r="D405" s="76">
        <f t="shared" si="8"/>
        <v>0</v>
      </c>
      <c r="E405" s="81">
        <f t="shared" si="7"/>
        <v>0</v>
      </c>
      <c r="F405" s="81">
        <f t="shared" si="7"/>
        <v>0</v>
      </c>
      <c r="G405" s="82"/>
    </row>
    <row r="406" spans="1:7" ht="12.75">
      <c r="A406" s="122" t="s">
        <v>11</v>
      </c>
      <c r="B406" s="121">
        <v>35.6</v>
      </c>
      <c r="C406" s="30">
        <f t="shared" si="9"/>
        <v>32.700000000000003</v>
      </c>
      <c r="D406" s="76">
        <f t="shared" si="8"/>
        <v>0</v>
      </c>
      <c r="E406" s="81">
        <f t="shared" si="7"/>
        <v>0</v>
      </c>
      <c r="F406" s="81">
        <f t="shared" si="7"/>
        <v>0</v>
      </c>
      <c r="G406" s="82"/>
    </row>
    <row r="407" spans="1:7" ht="12.75">
      <c r="A407" s="122" t="s">
        <v>12</v>
      </c>
      <c r="B407" s="121">
        <v>38.4</v>
      </c>
      <c r="C407" s="30">
        <f t="shared" si="9"/>
        <v>35.6</v>
      </c>
      <c r="D407" s="76">
        <f t="shared" si="8"/>
        <v>0</v>
      </c>
      <c r="E407" s="81">
        <f t="shared" si="7"/>
        <v>0</v>
      </c>
      <c r="F407" s="81">
        <f t="shared" si="7"/>
        <v>0</v>
      </c>
      <c r="G407" s="82"/>
    </row>
    <row r="408" spans="1:7" ht="12.75">
      <c r="A408" s="122" t="s">
        <v>13</v>
      </c>
      <c r="B408" s="121">
        <v>41</v>
      </c>
      <c r="C408" s="30">
        <f t="shared" si="9"/>
        <v>38.4</v>
      </c>
      <c r="D408" s="76">
        <f t="shared" si="8"/>
        <v>0</v>
      </c>
      <c r="E408" s="81">
        <f t="shared" si="7"/>
        <v>0</v>
      </c>
      <c r="F408" s="81">
        <f t="shared" si="7"/>
        <v>0</v>
      </c>
      <c r="G408" s="82"/>
    </row>
    <row r="409" spans="1:7" ht="12.75">
      <c r="A409" s="122" t="s">
        <v>14</v>
      </c>
      <c r="B409" s="121">
        <v>43.1</v>
      </c>
      <c r="C409" s="30">
        <f t="shared" si="9"/>
        <v>41</v>
      </c>
      <c r="D409" s="76">
        <f t="shared" si="8"/>
        <v>0</v>
      </c>
      <c r="E409" s="81">
        <f t="shared" si="7"/>
        <v>0</v>
      </c>
      <c r="F409" s="81">
        <f t="shared" si="7"/>
        <v>0</v>
      </c>
      <c r="G409" s="82"/>
    </row>
    <row r="410" spans="1:7" ht="12.75">
      <c r="A410" s="122" t="s">
        <v>15</v>
      </c>
      <c r="B410" s="121">
        <v>45.5</v>
      </c>
      <c r="C410" s="30">
        <f t="shared" si="9"/>
        <v>43.1</v>
      </c>
      <c r="D410" s="76">
        <f t="shared" si="8"/>
        <v>0</v>
      </c>
      <c r="E410" s="81">
        <f t="shared" si="7"/>
        <v>0</v>
      </c>
      <c r="F410" s="81">
        <f t="shared" si="7"/>
        <v>0</v>
      </c>
      <c r="G410" s="82"/>
    </row>
    <row r="411" spans="1:7" ht="12.75">
      <c r="A411" s="122" t="s">
        <v>16</v>
      </c>
      <c r="B411" s="121">
        <v>47.3</v>
      </c>
      <c r="C411" s="30">
        <f t="shared" si="9"/>
        <v>45.5</v>
      </c>
      <c r="D411" s="76">
        <f t="shared" si="8"/>
        <v>0</v>
      </c>
      <c r="E411" s="81">
        <f t="shared" si="7"/>
        <v>0</v>
      </c>
      <c r="F411" s="81">
        <f t="shared" si="7"/>
        <v>0</v>
      </c>
      <c r="G411" s="82"/>
    </row>
    <row r="412" spans="1:7" ht="12.75">
      <c r="A412" s="122" t="s">
        <v>17</v>
      </c>
      <c r="B412" s="121">
        <v>49.3</v>
      </c>
      <c r="C412" s="30">
        <f t="shared" si="9"/>
        <v>47.3</v>
      </c>
      <c r="D412" s="76">
        <f t="shared" si="8"/>
        <v>0</v>
      </c>
      <c r="E412" s="81">
        <f t="shared" si="7"/>
        <v>0</v>
      </c>
      <c r="F412" s="81">
        <f t="shared" si="7"/>
        <v>0</v>
      </c>
      <c r="G412" s="82"/>
    </row>
    <row r="413" spans="1:7" ht="12.75">
      <c r="A413" s="122" t="s">
        <v>18</v>
      </c>
      <c r="B413" s="121">
        <v>51.3</v>
      </c>
      <c r="C413" s="30">
        <f t="shared" si="9"/>
        <v>49.3</v>
      </c>
      <c r="D413" s="76">
        <f t="shared" si="8"/>
        <v>0</v>
      </c>
      <c r="E413" s="81">
        <f t="shared" si="7"/>
        <v>0</v>
      </c>
      <c r="F413" s="81">
        <f t="shared" si="7"/>
        <v>0</v>
      </c>
      <c r="G413" s="82"/>
    </row>
    <row r="414" spans="1:7" ht="12.75">
      <c r="A414" s="122" t="s">
        <v>19</v>
      </c>
      <c r="B414" s="121">
        <v>54</v>
      </c>
      <c r="C414" s="30">
        <f t="shared" si="9"/>
        <v>51.3</v>
      </c>
      <c r="D414" s="76">
        <f t="shared" si="8"/>
        <v>0</v>
      </c>
      <c r="E414" s="81">
        <f t="shared" si="7"/>
        <v>0</v>
      </c>
      <c r="F414" s="81">
        <f t="shared" si="7"/>
        <v>0</v>
      </c>
      <c r="G414" s="82"/>
    </row>
    <row r="415" spans="1:7" ht="12.75">
      <c r="A415" s="122" t="s">
        <v>20</v>
      </c>
      <c r="B415" s="121">
        <v>56.4</v>
      </c>
      <c r="C415" s="30">
        <f t="shared" si="9"/>
        <v>54</v>
      </c>
      <c r="D415" s="76">
        <f t="shared" si="8"/>
        <v>0</v>
      </c>
      <c r="E415" s="81">
        <f t="shared" si="7"/>
        <v>0</v>
      </c>
      <c r="F415" s="81">
        <f t="shared" si="7"/>
        <v>2.2287234042553156E-3</v>
      </c>
      <c r="G415" s="82"/>
    </row>
    <row r="416" spans="1:7" ht="12.75">
      <c r="A416" s="122" t="s">
        <v>21</v>
      </c>
      <c r="B416" s="121">
        <v>59.4</v>
      </c>
      <c r="C416" s="30">
        <f t="shared" si="9"/>
        <v>56.4</v>
      </c>
      <c r="D416" s="76">
        <f t="shared" si="8"/>
        <v>0</v>
      </c>
      <c r="E416" s="81">
        <f t="shared" si="7"/>
        <v>0</v>
      </c>
      <c r="F416" s="81">
        <f t="shared" si="7"/>
        <v>7.1666666666666632E-3</v>
      </c>
      <c r="G416" s="82"/>
    </row>
    <row r="417" spans="1:7" ht="12.75">
      <c r="A417" s="122" t="s">
        <v>22</v>
      </c>
      <c r="B417" s="121">
        <v>62.2</v>
      </c>
      <c r="C417" s="30">
        <f t="shared" si="9"/>
        <v>59.4</v>
      </c>
      <c r="D417" s="76">
        <f t="shared" si="8"/>
        <v>0</v>
      </c>
      <c r="E417" s="81">
        <f t="shared" si="7"/>
        <v>0</v>
      </c>
      <c r="F417" s="81">
        <f t="shared" si="7"/>
        <v>1.1345659163987141E-2</v>
      </c>
      <c r="G417" s="82"/>
    </row>
    <row r="418" spans="1:7" ht="12.75">
      <c r="A418" s="122" t="s">
        <v>23</v>
      </c>
      <c r="B418" s="121">
        <v>64.7</v>
      </c>
      <c r="C418" s="30">
        <f t="shared" si="9"/>
        <v>62.2</v>
      </c>
      <c r="D418" s="76">
        <f t="shared" si="8"/>
        <v>3.7403400309119143E-2</v>
      </c>
      <c r="E418" s="81"/>
      <c r="F418" s="81">
        <f t="shared" si="7"/>
        <v>1.477125193199382E-2</v>
      </c>
      <c r="G418" s="82"/>
    </row>
    <row r="419" spans="1:7" ht="12.75">
      <c r="A419" s="122" t="s">
        <v>24</v>
      </c>
      <c r="B419" s="121">
        <v>67.7</v>
      </c>
      <c r="C419" s="30">
        <f t="shared" si="9"/>
        <v>64.7</v>
      </c>
      <c r="D419" s="76">
        <f t="shared" si="8"/>
        <v>8.0059084194977967E-2</v>
      </c>
      <c r="E419" s="81"/>
      <c r="F419" s="81">
        <f t="shared" ref="E419:F438" si="10">IF($B419&lt;=F$453,0,IF(AND(F$453&lt;$B419,$B419&lt;=F$451),$E$1*($B419-F$453),$E$1*(F$451-F$453)+$F$1*($B419-F$451)))/$B419</f>
        <v>1.8548005908419502E-2</v>
      </c>
      <c r="G419" s="82"/>
    </row>
    <row r="420" spans="1:7" ht="12.75">
      <c r="A420" s="122" t="s">
        <v>25</v>
      </c>
      <c r="B420" s="121">
        <v>70.3</v>
      </c>
      <c r="C420" s="30">
        <f t="shared" si="9"/>
        <v>67.7</v>
      </c>
      <c r="D420" s="76">
        <f t="shared" si="8"/>
        <v>0.11408250355618782</v>
      </c>
      <c r="E420" s="81">
        <f t="shared" si="10"/>
        <v>1.1408250355618783E-2</v>
      </c>
      <c r="F420" s="81">
        <f t="shared" si="10"/>
        <v>2.1560455192034138E-2</v>
      </c>
      <c r="G420" s="82"/>
    </row>
    <row r="421" spans="1:7" ht="12.75">
      <c r="A421" s="122" t="s">
        <v>26</v>
      </c>
      <c r="B421" s="121">
        <v>72.7</v>
      </c>
      <c r="C421" s="30">
        <f t="shared" si="9"/>
        <v>70.3</v>
      </c>
      <c r="D421" s="76">
        <f t="shared" si="8"/>
        <v>0.14332874828060535</v>
      </c>
      <c r="E421" s="81">
        <f t="shared" si="10"/>
        <v>1.4332874828060536E-2</v>
      </c>
      <c r="F421" s="81">
        <f t="shared" si="10"/>
        <v>2.4149931224209081E-2</v>
      </c>
      <c r="G421" s="82"/>
    </row>
    <row r="422" spans="1:7" ht="12.75">
      <c r="A422" s="122" t="s">
        <v>27</v>
      </c>
      <c r="B422" s="121">
        <v>76.7</v>
      </c>
      <c r="C422" s="30">
        <f t="shared" si="9"/>
        <v>72.7</v>
      </c>
      <c r="D422" s="76">
        <f t="shared" si="8"/>
        <v>0.18800521512385929</v>
      </c>
      <c r="E422" s="81">
        <f t="shared" si="10"/>
        <v>1.8800521512385933E-2</v>
      </c>
      <c r="F422" s="81">
        <f t="shared" si="10"/>
        <v>2.8105606258148636E-2</v>
      </c>
      <c r="G422" s="82"/>
    </row>
    <row r="423" spans="1:7" ht="12.75">
      <c r="A423" s="122" t="s">
        <v>28</v>
      </c>
      <c r="B423" s="121">
        <v>79.8</v>
      </c>
      <c r="C423" s="30">
        <f t="shared" si="9"/>
        <v>76.7</v>
      </c>
      <c r="D423" s="76">
        <f t="shared" si="8"/>
        <v>0.21954887218045119</v>
      </c>
      <c r="E423" s="81">
        <f t="shared" si="10"/>
        <v>2.1954887218045119E-2</v>
      </c>
      <c r="F423" s="81">
        <f t="shared" si="10"/>
        <v>3.0898496240601505E-2</v>
      </c>
      <c r="G423" s="82"/>
    </row>
    <row r="424" spans="1:7" ht="12.75">
      <c r="A424" s="122" t="s">
        <v>29</v>
      </c>
      <c r="B424" s="121">
        <v>83.7</v>
      </c>
      <c r="C424" s="30">
        <f t="shared" si="9"/>
        <v>79.8</v>
      </c>
      <c r="D424" s="76">
        <f t="shared" si="8"/>
        <v>0.25591397849462377</v>
      </c>
      <c r="E424" s="81">
        <f t="shared" si="10"/>
        <v>2.5591397849462374E-2</v>
      </c>
      <c r="F424" s="81">
        <f t="shared" si="10"/>
        <v>3.4118279569892482E-2</v>
      </c>
      <c r="G424" s="82"/>
    </row>
    <row r="425" spans="1:7" ht="12.75">
      <c r="A425" s="122" t="s">
        <v>30</v>
      </c>
      <c r="B425" s="121">
        <v>88.5</v>
      </c>
      <c r="C425" s="30">
        <f t="shared" si="9"/>
        <v>83.7</v>
      </c>
      <c r="D425" s="76">
        <f t="shared" si="8"/>
        <v>0.29627118644067801</v>
      </c>
      <c r="E425" s="81">
        <f t="shared" si="10"/>
        <v>2.9627118644067807E-2</v>
      </c>
      <c r="F425" s="81">
        <f t="shared" si="10"/>
        <v>3.7691525423728812E-2</v>
      </c>
      <c r="G425" s="82"/>
    </row>
    <row r="426" spans="1:7" ht="12.75">
      <c r="A426" s="122" t="s">
        <v>31</v>
      </c>
      <c r="B426" s="121">
        <v>92.8</v>
      </c>
      <c r="C426" s="30">
        <f t="shared" si="9"/>
        <v>88.5</v>
      </c>
      <c r="D426" s="76">
        <f t="shared" si="8"/>
        <v>0.32887931034482765</v>
      </c>
      <c r="E426" s="81">
        <f t="shared" si="10"/>
        <v>3.2887931034482766E-2</v>
      </c>
      <c r="F426" s="81">
        <f t="shared" si="10"/>
        <v>4.3471982758620673E-2</v>
      </c>
      <c r="G426" s="82"/>
    </row>
    <row r="427" spans="1:7" ht="12.75">
      <c r="A427" s="122" t="s">
        <v>32</v>
      </c>
      <c r="B427" s="121">
        <v>96.7</v>
      </c>
      <c r="C427" s="30">
        <f t="shared" si="9"/>
        <v>92.8</v>
      </c>
      <c r="D427" s="76">
        <f t="shared" si="8"/>
        <v>0.35594622543950372</v>
      </c>
      <c r="E427" s="81">
        <f t="shared" si="10"/>
        <v>3.559462254395037E-2</v>
      </c>
      <c r="F427" s="81">
        <f t="shared" si="10"/>
        <v>5.7851085832471567E-2</v>
      </c>
      <c r="G427" s="82"/>
    </row>
    <row r="428" spans="1:7" ht="12.75">
      <c r="A428" s="122" t="s">
        <v>33</v>
      </c>
      <c r="B428" s="121">
        <v>99.7</v>
      </c>
      <c r="C428" s="30">
        <f t="shared" si="9"/>
        <v>96.7</v>
      </c>
      <c r="D428" s="76">
        <f t="shared" si="8"/>
        <v>0.37532597793380146</v>
      </c>
      <c r="E428" s="81">
        <f t="shared" si="10"/>
        <v>3.7532597793380147E-2</v>
      </c>
      <c r="F428" s="81">
        <f t="shared" si="10"/>
        <v>6.8146439317953875E-2</v>
      </c>
      <c r="G428" s="82"/>
    </row>
    <row r="429" spans="1:7" ht="12.75">
      <c r="A429" s="122" t="s">
        <v>34</v>
      </c>
      <c r="B429" s="121">
        <v>102.8</v>
      </c>
      <c r="C429" s="30">
        <f t="shared" si="9"/>
        <v>99.7</v>
      </c>
      <c r="D429" s="76">
        <f t="shared" si="8"/>
        <v>0.39416342412451366</v>
      </c>
      <c r="E429" s="81">
        <f t="shared" si="10"/>
        <v>3.9416342412451365E-2</v>
      </c>
      <c r="F429" s="81">
        <f t="shared" si="10"/>
        <v>7.8153696498054467E-2</v>
      </c>
      <c r="G429" s="82"/>
    </row>
    <row r="430" spans="1:7" ht="12.75">
      <c r="A430" s="122" t="s">
        <v>35</v>
      </c>
      <c r="B430" s="121">
        <v>107.4</v>
      </c>
      <c r="C430" s="30">
        <f t="shared" si="9"/>
        <v>102.8</v>
      </c>
      <c r="D430" s="76">
        <f t="shared" si="8"/>
        <v>0.42011173184357553</v>
      </c>
      <c r="E430" s="81">
        <f t="shared" si="10"/>
        <v>5.2067039106145289E-2</v>
      </c>
      <c r="F430" s="81">
        <f t="shared" si="10"/>
        <v>9.1938547486033528E-2</v>
      </c>
      <c r="G430" s="82"/>
    </row>
    <row r="431" spans="1:7" ht="12.75">
      <c r="A431" s="122" t="s">
        <v>36</v>
      </c>
      <c r="B431" s="121">
        <v>111.4</v>
      </c>
      <c r="C431" s="30">
        <f t="shared" si="9"/>
        <v>107.4</v>
      </c>
      <c r="D431" s="76">
        <f t="shared" si="8"/>
        <v>0.44093357271095163</v>
      </c>
      <c r="E431" s="81">
        <f t="shared" si="10"/>
        <v>6.4560143626570948E-2</v>
      </c>
      <c r="F431" s="81">
        <f t="shared" si="10"/>
        <v>0.10300000000000001</v>
      </c>
      <c r="G431" s="82"/>
    </row>
    <row r="432" spans="1:7" ht="12.75">
      <c r="A432" s="122" t="s">
        <v>37</v>
      </c>
      <c r="B432" s="121">
        <v>115</v>
      </c>
      <c r="C432" s="30">
        <f t="shared" si="9"/>
        <v>111.4</v>
      </c>
      <c r="D432" s="76">
        <f t="shared" si="8"/>
        <v>0.45843478260869569</v>
      </c>
      <c r="E432" s="81">
        <f t="shared" si="10"/>
        <v>7.5060869565217403E-2</v>
      </c>
      <c r="F432" s="81">
        <f t="shared" si="10"/>
        <v>0.11229739130434782</v>
      </c>
      <c r="G432" s="82"/>
    </row>
    <row r="433" spans="1:7" ht="12.75">
      <c r="A433" s="122" t="s">
        <v>38</v>
      </c>
      <c r="B433" s="121">
        <v>120.4</v>
      </c>
      <c r="C433" s="30">
        <f t="shared" si="9"/>
        <v>115</v>
      </c>
      <c r="D433" s="76">
        <f t="shared" si="8"/>
        <v>0.48272425249169443</v>
      </c>
      <c r="E433" s="81">
        <f t="shared" si="10"/>
        <v>8.9634551495016646E-2</v>
      </c>
      <c r="F433" s="81">
        <f t="shared" si="10"/>
        <v>0.12520099667774087</v>
      </c>
      <c r="G433" s="82"/>
    </row>
    <row r="434" spans="1:7" ht="12.75">
      <c r="A434" s="122" t="s">
        <v>39</v>
      </c>
      <c r="B434" s="121">
        <v>126.9</v>
      </c>
      <c r="C434" s="30">
        <f t="shared" si="9"/>
        <v>120.4</v>
      </c>
      <c r="D434" s="76">
        <f t="shared" si="8"/>
        <v>0.50921985815602833</v>
      </c>
      <c r="E434" s="81">
        <f t="shared" si="10"/>
        <v>0.10553191489361705</v>
      </c>
      <c r="F434" s="81">
        <f t="shared" si="10"/>
        <v>0.13927659574468088</v>
      </c>
      <c r="G434" s="82"/>
    </row>
    <row r="435" spans="1:7" ht="12.75">
      <c r="A435" s="122" t="s">
        <v>40</v>
      </c>
      <c r="B435" s="121">
        <v>133.19999999999999</v>
      </c>
      <c r="C435" s="30">
        <f t="shared" si="9"/>
        <v>126.9</v>
      </c>
      <c r="D435" s="76">
        <f t="shared" si="8"/>
        <v>0.53243243243243243</v>
      </c>
      <c r="E435" s="81">
        <f t="shared" si="10"/>
        <v>0.11945945945945946</v>
      </c>
      <c r="F435" s="81">
        <f t="shared" si="10"/>
        <v>0.1516081081081081</v>
      </c>
      <c r="G435" s="82"/>
    </row>
    <row r="436" spans="1:7" ht="12.75">
      <c r="A436" s="122" t="s">
        <v>41</v>
      </c>
      <c r="B436" s="121">
        <v>137.80000000000001</v>
      </c>
      <c r="C436" s="30">
        <f t="shared" si="9"/>
        <v>133.19999999999999</v>
      </c>
      <c r="D436" s="76">
        <f t="shared" si="8"/>
        <v>0.5480406386066764</v>
      </c>
      <c r="E436" s="81">
        <f t="shared" si="10"/>
        <v>0.12882438316400585</v>
      </c>
      <c r="F436" s="81">
        <f t="shared" si="10"/>
        <v>0.15989985486211905</v>
      </c>
      <c r="G436" s="82"/>
    </row>
    <row r="437" spans="1:7" ht="12.75">
      <c r="A437" s="122" t="s">
        <v>42</v>
      </c>
      <c r="B437" s="121">
        <v>144</v>
      </c>
      <c r="C437" s="30">
        <f t="shared" si="9"/>
        <v>137.80000000000001</v>
      </c>
      <c r="D437" s="76">
        <f t="shared" si="8"/>
        <v>0.5675</v>
      </c>
      <c r="E437" s="81">
        <f t="shared" si="10"/>
        <v>0.14050000000000001</v>
      </c>
      <c r="F437" s="81">
        <f t="shared" si="10"/>
        <v>0.17023750000000001</v>
      </c>
      <c r="G437" s="82"/>
    </row>
    <row r="438" spans="1:7" ht="12.75">
      <c r="A438" s="122" t="s">
        <v>43</v>
      </c>
      <c r="B438" s="121">
        <v>149</v>
      </c>
      <c r="C438" s="30">
        <f t="shared" si="9"/>
        <v>144</v>
      </c>
      <c r="D438" s="76">
        <f t="shared" si="8"/>
        <v>0.58201342281879198</v>
      </c>
      <c r="E438" s="81">
        <f t="shared" si="10"/>
        <v>0.14920805369127518</v>
      </c>
      <c r="F438" s="81">
        <f t="shared" si="10"/>
        <v>0.17794765100671142</v>
      </c>
      <c r="G438" s="82"/>
    </row>
    <row r="439" spans="1:7" ht="12.75">
      <c r="A439" s="122" t="s">
        <v>44</v>
      </c>
      <c r="B439" s="121">
        <v>155.5</v>
      </c>
      <c r="C439" s="30">
        <f t="shared" si="9"/>
        <v>149</v>
      </c>
      <c r="D439" s="76">
        <f t="shared" si="8"/>
        <v>0.59948553054662379</v>
      </c>
      <c r="E439" s="81">
        <f t="shared" ref="E439:F448" si="11">IF($B439&lt;=E$453,0,IF(AND(E$453&lt;$B439,$B439&lt;=E$451),$E$1*($B439-E$453),$E$1*(E$451-E$453)+$F$1*($B439-E$451)))/$B439</f>
        <v>0.15969131832797431</v>
      </c>
      <c r="F439" s="81">
        <f t="shared" si="11"/>
        <v>0.18722958199356915</v>
      </c>
      <c r="G439" s="82"/>
    </row>
    <row r="440" spans="1:7" ht="12.75">
      <c r="A440" s="122" t="s">
        <v>45</v>
      </c>
      <c r="B440" s="121">
        <v>165.1</v>
      </c>
      <c r="C440" s="30">
        <f t="shared" si="9"/>
        <v>155.5</v>
      </c>
      <c r="D440" s="76">
        <f t="shared" si="8"/>
        <v>0.62277407631738335</v>
      </c>
      <c r="E440" s="81">
        <f t="shared" si="11"/>
        <v>0.17366444579043006</v>
      </c>
      <c r="F440" s="81">
        <f t="shared" si="11"/>
        <v>0.19960145366444579</v>
      </c>
      <c r="G440" s="82"/>
    </row>
    <row r="441" spans="1:7" ht="12.75">
      <c r="A441" s="122" t="s">
        <v>46</v>
      </c>
      <c r="B441" s="121">
        <v>176</v>
      </c>
      <c r="C441" s="30">
        <f t="shared" si="9"/>
        <v>165.1</v>
      </c>
      <c r="D441" s="76">
        <f t="shared" si="8"/>
        <v>0.64613636363636362</v>
      </c>
      <c r="E441" s="81">
        <f t="shared" si="11"/>
        <v>0.1876818181818182</v>
      </c>
      <c r="F441" s="81">
        <f t="shared" si="11"/>
        <v>0.21201249999999999</v>
      </c>
      <c r="G441" s="82"/>
    </row>
    <row r="442" spans="1:7" ht="12.75">
      <c r="A442" s="122" t="s">
        <v>47</v>
      </c>
      <c r="B442" s="121">
        <v>188.2</v>
      </c>
      <c r="C442" s="30">
        <f t="shared" si="9"/>
        <v>176</v>
      </c>
      <c r="D442" s="76">
        <f t="shared" si="8"/>
        <v>0.66907545164718385</v>
      </c>
      <c r="E442" s="81">
        <f t="shared" si="11"/>
        <v>0.2014452709883103</v>
      </c>
      <c r="F442" s="81">
        <f t="shared" si="11"/>
        <v>0.2241987247608927</v>
      </c>
      <c r="G442" s="82"/>
    </row>
    <row r="443" spans="1:7" ht="12.75">
      <c r="A443" s="122" t="s">
        <v>48</v>
      </c>
      <c r="B443" s="121">
        <v>203.9</v>
      </c>
      <c r="C443" s="30">
        <f t="shared" si="9"/>
        <v>188.2</v>
      </c>
      <c r="D443" s="76">
        <f t="shared" si="8"/>
        <v>0.69455615497793033</v>
      </c>
      <c r="E443" s="81">
        <f t="shared" si="11"/>
        <v>0.21673369298675824</v>
      </c>
      <c r="F443" s="81">
        <f t="shared" si="11"/>
        <v>0.23773516429622366</v>
      </c>
      <c r="G443" s="82"/>
    </row>
    <row r="444" spans="1:7" ht="12.75">
      <c r="A444" s="122" t="s">
        <v>49</v>
      </c>
      <c r="B444" s="121">
        <v>216.7</v>
      </c>
      <c r="C444" s="30">
        <f t="shared" si="9"/>
        <v>203.9</v>
      </c>
      <c r="D444" s="76">
        <f t="shared" si="8"/>
        <v>0.71259806183664054</v>
      </c>
      <c r="E444" s="81">
        <f t="shared" si="11"/>
        <v>0.22755883710198432</v>
      </c>
      <c r="F444" s="81">
        <f t="shared" si="11"/>
        <v>0.24731979695431475</v>
      </c>
      <c r="G444" s="82"/>
    </row>
    <row r="445" spans="1:7" ht="12.75">
      <c r="A445" s="122" t="s">
        <v>50</v>
      </c>
      <c r="B445" s="121">
        <v>238.9</v>
      </c>
      <c r="C445" s="30">
        <f t="shared" si="9"/>
        <v>216.7</v>
      </c>
      <c r="D445" s="76">
        <f t="shared" si="8"/>
        <v>0.73930514859773966</v>
      </c>
      <c r="E445" s="81">
        <f t="shared" si="11"/>
        <v>0.24358308915864385</v>
      </c>
      <c r="F445" s="81">
        <f t="shared" si="11"/>
        <v>0.26150774382586855</v>
      </c>
      <c r="G445" s="82"/>
    </row>
    <row r="446" spans="1:7" ht="12.75">
      <c r="A446" s="122" t="s">
        <v>51</v>
      </c>
      <c r="B446" s="121">
        <v>276.89999999999998</v>
      </c>
      <c r="C446" s="30">
        <f t="shared" si="9"/>
        <v>238.9</v>
      </c>
      <c r="D446" s="76">
        <f t="shared" si="8"/>
        <v>0.77508125677139761</v>
      </c>
      <c r="E446" s="81">
        <f t="shared" si="11"/>
        <v>0.26504875406283857</v>
      </c>
      <c r="F446" s="81">
        <f t="shared" si="11"/>
        <v>0.28051354279523288</v>
      </c>
      <c r="G446" s="82"/>
    </row>
    <row r="447" spans="1:7" ht="12.75">
      <c r="A447" s="122" t="s">
        <v>52</v>
      </c>
      <c r="B447" s="121">
        <v>319.2</v>
      </c>
      <c r="C447" s="30">
        <f t="shared" si="9"/>
        <v>276.89999999999998</v>
      </c>
      <c r="D447" s="76">
        <f t="shared" si="8"/>
        <v>0.80488721804511287</v>
      </c>
      <c r="E447" s="81">
        <f t="shared" si="11"/>
        <v>0.28293233082706765</v>
      </c>
      <c r="F447" s="81">
        <f t="shared" si="11"/>
        <v>0.29634774436090228</v>
      </c>
      <c r="G447" s="82"/>
    </row>
    <row r="448" spans="1:7" ht="12.75">
      <c r="A448" s="122" t="s">
        <v>53</v>
      </c>
      <c r="B448" s="121">
        <v>374.2</v>
      </c>
      <c r="C448" s="30">
        <f t="shared" si="9"/>
        <v>319.2</v>
      </c>
      <c r="D448" s="76">
        <f t="shared" si="8"/>
        <v>0.83356493853554259</v>
      </c>
      <c r="E448" s="81">
        <f t="shared" si="11"/>
        <v>0.30013896312132549</v>
      </c>
      <c r="F448" s="81">
        <f t="shared" si="11"/>
        <v>0.31158257616247992</v>
      </c>
      <c r="G448" s="82"/>
    </row>
    <row r="449" spans="1:7" ht="13.5" thickBot="1">
      <c r="A449" s="123" t="s">
        <v>53</v>
      </c>
      <c r="B449" s="124" t="s">
        <v>106</v>
      </c>
      <c r="C449" s="30">
        <f t="shared" si="9"/>
        <v>374.2</v>
      </c>
      <c r="D449" s="87"/>
      <c r="E449" s="87"/>
      <c r="F449" s="87"/>
      <c r="G449" s="88"/>
    </row>
    <row r="450" spans="1:7" ht="13.5" thickBot="1">
      <c r="A450" s="89"/>
      <c r="B450" s="125"/>
      <c r="C450" s="30" t="str">
        <f t="shared" si="9"/>
        <v>&gt;374,2</v>
      </c>
      <c r="D450" s="126"/>
      <c r="E450" s="127">
        <f>AVERAGE(E399:E448)</f>
        <v>7.1884822494590911E-2</v>
      </c>
      <c r="F450" s="127">
        <f>AVERAGE(F399:F449)</f>
        <v>8.3353265587894174E-2</v>
      </c>
      <c r="G450" s="128"/>
    </row>
    <row r="451" spans="1:7" ht="53.25" customHeight="1">
      <c r="A451" s="94" t="s">
        <v>55</v>
      </c>
      <c r="B451" s="95"/>
      <c r="C451" s="30">
        <f>B450</f>
        <v>0</v>
      </c>
      <c r="D451" s="96"/>
      <c r="E451" s="97">
        <f>B452</f>
        <v>103.8</v>
      </c>
      <c r="F451" s="98">
        <f>B456</f>
        <v>91.905000000000001</v>
      </c>
      <c r="G451" s="99"/>
    </row>
    <row r="452" spans="1:7" ht="51.75" customHeight="1">
      <c r="A452" s="100" t="s">
        <v>56</v>
      </c>
      <c r="B452" s="101">
        <v>103.8</v>
      </c>
      <c r="C452" s="30">
        <f t="shared" si="9"/>
        <v>0</v>
      </c>
      <c r="D452" s="102"/>
      <c r="E452" s="103"/>
      <c r="F452" s="103"/>
      <c r="G452" s="104"/>
    </row>
    <row r="453" spans="1:7" ht="77.25" customHeight="1" thickBot="1">
      <c r="A453" s="105" t="s">
        <v>57</v>
      </c>
      <c r="B453" s="106">
        <v>62.3</v>
      </c>
      <c r="D453" s="87"/>
      <c r="E453" s="86">
        <f>0.6*E451</f>
        <v>62.279999999999994</v>
      </c>
      <c r="F453" s="86">
        <f>0.6*F451</f>
        <v>55.143000000000001</v>
      </c>
      <c r="G453" s="107"/>
    </row>
    <row r="454" spans="1:7" ht="15.75" thickBot="1"/>
    <row r="455" spans="1:7" ht="51.75" thickBot="1">
      <c r="A455" s="108" t="s">
        <v>56</v>
      </c>
      <c r="B455" s="109">
        <f>B452</f>
        <v>103.8</v>
      </c>
    </row>
    <row r="456" spans="1:7">
      <c r="A456" s="110" t="s">
        <v>64</v>
      </c>
      <c r="B456" s="111">
        <f>AVERAGE(B404:B443)</f>
        <v>91.905000000000001</v>
      </c>
    </row>
    <row r="457" spans="1:7">
      <c r="A457" s="112" t="s">
        <v>65</v>
      </c>
      <c r="B457" s="113">
        <f>AVERAGE(B409:B438)</f>
        <v>86.990000000000009</v>
      </c>
    </row>
    <row r="458" spans="1:7" ht="15.75" thickBot="1">
      <c r="A458" s="114" t="s">
        <v>66</v>
      </c>
      <c r="B458" s="115">
        <f>AVERAGE(B415:B433)</f>
        <v>85.7</v>
      </c>
    </row>
  </sheetData>
  <mergeCells count="14">
    <mergeCell ref="A2:A4"/>
    <mergeCell ref="B2:D2"/>
    <mergeCell ref="A69:A71"/>
    <mergeCell ref="B69:D69"/>
    <mergeCell ref="A134:A136"/>
    <mergeCell ref="B134:D134"/>
    <mergeCell ref="A395:A397"/>
    <mergeCell ref="B395:D395"/>
    <mergeCell ref="A200:A202"/>
    <mergeCell ref="B200:D200"/>
    <mergeCell ref="A265:A267"/>
    <mergeCell ref="B265:D265"/>
    <mergeCell ref="A330:A332"/>
    <mergeCell ref="B330:D330"/>
  </mergeCells>
  <pageMargins left="0.7" right="0.7" top="0.75" bottom="0.75" header="0.3" footer="0.3"/>
  <pageSetup paperSize="9" orientation="portrait" horizontalDpi="4294967295" verticalDpi="4294967295" r:id="rId1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Лист20">
    <tabColor rgb="FF92D050"/>
  </sheetPr>
  <dimension ref="A1:L452"/>
  <sheetViews>
    <sheetView topLeftCell="A466" workbookViewId="0">
      <selection activeCell="E346" sqref="E346:E348"/>
    </sheetView>
  </sheetViews>
  <sheetFormatPr defaultColWidth="8.7109375" defaultRowHeight="15"/>
  <cols>
    <col min="1" max="1" width="19.7109375" customWidth="1"/>
    <col min="2" max="2" width="17.28515625" customWidth="1"/>
    <col min="3" max="3" width="9.140625"/>
    <col min="4" max="4" width="16.28515625" customWidth="1"/>
    <col min="5" max="5" width="15" customWidth="1"/>
    <col min="6" max="6" width="16.42578125" style="36" customWidth="1"/>
    <col min="7" max="7" width="17.28515625" style="36" customWidth="1"/>
  </cols>
  <sheetData>
    <row r="1" spans="1:7" ht="15.75" thickBot="1">
      <c r="D1" s="13">
        <v>0.1</v>
      </c>
      <c r="E1" s="13">
        <v>0.4</v>
      </c>
    </row>
    <row r="2" spans="1:7" ht="23.25" customHeight="1" thickBot="1">
      <c r="A2" s="464" t="s">
        <v>0</v>
      </c>
      <c r="B2" s="467" t="s">
        <v>1</v>
      </c>
      <c r="C2" s="468"/>
      <c r="D2" s="469"/>
      <c r="E2" s="19">
        <f>(1-E57)^(1/3)-1</f>
        <v>-2.2818683052563848E-2</v>
      </c>
      <c r="F2" s="19">
        <f>(1-F57)^(1/3)-1</f>
        <v>-2.3110574606652445E-2</v>
      </c>
      <c r="G2" s="19"/>
    </row>
    <row r="3" spans="1:7" ht="47.25" customHeight="1" thickBot="1">
      <c r="A3" s="465"/>
      <c r="B3" s="1" t="s">
        <v>4</v>
      </c>
      <c r="C3" s="1"/>
      <c r="D3" s="1" t="s">
        <v>80</v>
      </c>
      <c r="E3" s="1" t="s">
        <v>5</v>
      </c>
      <c r="F3" s="37" t="s">
        <v>5</v>
      </c>
      <c r="G3" s="37"/>
    </row>
    <row r="4" spans="1:7" ht="16.5" customHeight="1" thickBot="1">
      <c r="A4" s="466"/>
      <c r="B4" s="1" t="s">
        <v>6</v>
      </c>
      <c r="C4" s="1"/>
      <c r="D4" s="1" t="s">
        <v>7</v>
      </c>
      <c r="E4" s="1" t="s">
        <v>7</v>
      </c>
      <c r="F4" s="37" t="s">
        <v>7</v>
      </c>
      <c r="G4" s="37"/>
    </row>
    <row r="5" spans="1:7">
      <c r="A5" s="50">
        <v>1</v>
      </c>
      <c r="B5" s="51">
        <v>2</v>
      </c>
      <c r="C5" s="51"/>
      <c r="D5" s="51">
        <v>3</v>
      </c>
      <c r="E5" s="51">
        <v>4</v>
      </c>
      <c r="F5" s="52">
        <v>5</v>
      </c>
      <c r="G5" s="52"/>
    </row>
    <row r="6" spans="1:7">
      <c r="A6" s="27" t="s">
        <v>10</v>
      </c>
      <c r="B6" s="28">
        <v>7.4</v>
      </c>
      <c r="C6" s="30">
        <v>0</v>
      </c>
      <c r="D6" s="14">
        <v>0</v>
      </c>
      <c r="E6" s="14">
        <v>0</v>
      </c>
      <c r="F6" s="38">
        <v>0</v>
      </c>
      <c r="G6" s="38">
        <v>1.8918918918918923E-2</v>
      </c>
    </row>
    <row r="7" spans="1:7">
      <c r="A7" s="27" t="s">
        <v>58</v>
      </c>
      <c r="B7" s="28">
        <v>8.9</v>
      </c>
      <c r="C7" s="30">
        <f>B6</f>
        <v>7.4</v>
      </c>
      <c r="D7" s="14">
        <v>0</v>
      </c>
      <c r="E7" s="14">
        <v>0</v>
      </c>
      <c r="F7" s="38">
        <v>0</v>
      </c>
      <c r="G7" s="38">
        <v>3.2584269662921349E-2</v>
      </c>
    </row>
    <row r="8" spans="1:7">
      <c r="A8" s="27" t="s">
        <v>59</v>
      </c>
      <c r="B8" s="28">
        <v>10.5</v>
      </c>
      <c r="C8" s="30">
        <f t="shared" ref="C8:C56" si="0">B7</f>
        <v>8.9</v>
      </c>
      <c r="D8" s="14">
        <v>0</v>
      </c>
      <c r="E8" s="14">
        <v>0</v>
      </c>
      <c r="F8" s="38">
        <v>0</v>
      </c>
      <c r="G8" s="38">
        <v>5.7142857142857148E-2</v>
      </c>
    </row>
    <row r="9" spans="1:7">
      <c r="A9" s="27" t="s">
        <v>60</v>
      </c>
      <c r="B9" s="28">
        <v>11.5</v>
      </c>
      <c r="C9" s="30">
        <f t="shared" si="0"/>
        <v>10.5</v>
      </c>
      <c r="D9" s="14">
        <v>0</v>
      </c>
      <c r="E9" s="14">
        <v>0</v>
      </c>
      <c r="F9" s="38">
        <v>0</v>
      </c>
      <c r="G9" s="38">
        <v>8.6956521739130432E-2</v>
      </c>
    </row>
    <row r="10" spans="1:7">
      <c r="A10" s="27" t="s">
        <v>61</v>
      </c>
      <c r="B10" s="28">
        <v>12.3</v>
      </c>
      <c r="C10" s="30">
        <f t="shared" si="0"/>
        <v>11.5</v>
      </c>
      <c r="D10" s="14">
        <v>0</v>
      </c>
      <c r="E10" s="14">
        <v>0</v>
      </c>
      <c r="F10" s="38">
        <v>0</v>
      </c>
      <c r="G10" s="38">
        <v>0.10731707317073172</v>
      </c>
    </row>
    <row r="11" spans="1:7">
      <c r="A11" s="27" t="s">
        <v>62</v>
      </c>
      <c r="B11" s="28">
        <v>13</v>
      </c>
      <c r="C11" s="30">
        <f t="shared" si="0"/>
        <v>12.3</v>
      </c>
      <c r="D11" s="14">
        <v>0</v>
      </c>
      <c r="E11" s="14">
        <v>0</v>
      </c>
      <c r="F11" s="38">
        <v>0</v>
      </c>
      <c r="G11" s="38">
        <v>0.12307692307692308</v>
      </c>
    </row>
    <row r="12" spans="1:7">
      <c r="A12" s="27" t="s">
        <v>63</v>
      </c>
      <c r="B12" s="28">
        <v>13.5</v>
      </c>
      <c r="C12" s="30">
        <f t="shared" si="0"/>
        <v>13</v>
      </c>
      <c r="D12" s="14">
        <v>0</v>
      </c>
      <c r="E12" s="14">
        <v>0</v>
      </c>
      <c r="F12" s="38">
        <v>0</v>
      </c>
      <c r="G12" s="38">
        <v>0.13333333333333336</v>
      </c>
    </row>
    <row r="13" spans="1:7">
      <c r="A13" s="29" t="s">
        <v>11</v>
      </c>
      <c r="B13" s="28">
        <v>14.2</v>
      </c>
      <c r="C13" s="30">
        <f t="shared" si="0"/>
        <v>13.5</v>
      </c>
      <c r="D13" s="14">
        <v>2.8169014084505192E-3</v>
      </c>
      <c r="E13" s="14">
        <v>2.8169014084505195E-4</v>
      </c>
      <c r="F13" s="38">
        <v>7.7464788732392728E-4</v>
      </c>
      <c r="G13" s="38">
        <v>0.14647887323943659</v>
      </c>
    </row>
    <row r="14" spans="1:7">
      <c r="A14" s="29" t="s">
        <v>12</v>
      </c>
      <c r="B14" s="28">
        <v>14.9</v>
      </c>
      <c r="C14" s="30">
        <f t="shared" si="0"/>
        <v>14.2</v>
      </c>
      <c r="D14" s="14">
        <v>4.9664429530201233E-2</v>
      </c>
      <c r="E14" s="14"/>
      <c r="F14" s="38">
        <v>5.4362416107382469E-3</v>
      </c>
      <c r="G14" s="38">
        <v>0.15838926174496645</v>
      </c>
    </row>
    <row r="15" spans="1:7">
      <c r="A15" s="29" t="s">
        <v>13</v>
      </c>
      <c r="B15" s="28">
        <v>15.5</v>
      </c>
      <c r="C15" s="30">
        <f t="shared" si="0"/>
        <v>14.9</v>
      </c>
      <c r="D15" s="14">
        <v>8.6451612903225686E-2</v>
      </c>
      <c r="E15" s="14"/>
      <c r="F15" s="38">
        <v>9.0967741935483772E-3</v>
      </c>
      <c r="G15" s="38">
        <v>0.16774193548387098</v>
      </c>
    </row>
    <row r="16" spans="1:7">
      <c r="A16" s="29" t="s">
        <v>14</v>
      </c>
      <c r="B16" s="28">
        <v>16</v>
      </c>
      <c r="C16" s="30">
        <f t="shared" si="0"/>
        <v>15.5</v>
      </c>
      <c r="D16" s="14">
        <v>0.11499999999999988</v>
      </c>
      <c r="E16" s="14">
        <v>1.1499999999999989E-2</v>
      </c>
      <c r="F16" s="38">
        <v>1.193749999999999E-2</v>
      </c>
      <c r="G16" s="38">
        <v>0.17500000000000002</v>
      </c>
    </row>
    <row r="17" spans="1:7">
      <c r="A17" s="29" t="s">
        <v>15</v>
      </c>
      <c r="B17" s="28">
        <v>16.600000000000001</v>
      </c>
      <c r="C17" s="30">
        <f t="shared" si="0"/>
        <v>16</v>
      </c>
      <c r="D17" s="14">
        <v>0.14698795180722887</v>
      </c>
      <c r="E17" s="14">
        <v>1.4698795180722889E-2</v>
      </c>
      <c r="F17" s="38">
        <v>1.5120481927710842E-2</v>
      </c>
      <c r="G17" s="38">
        <v>0.18313253012048195</v>
      </c>
    </row>
    <row r="18" spans="1:7">
      <c r="A18" s="29" t="s">
        <v>16</v>
      </c>
      <c r="B18" s="28">
        <v>17.100000000000001</v>
      </c>
      <c r="C18" s="30">
        <f t="shared" si="0"/>
        <v>16.600000000000001</v>
      </c>
      <c r="D18" s="14">
        <v>0.17192982456140346</v>
      </c>
      <c r="E18" s="14">
        <v>1.719298245614035E-2</v>
      </c>
      <c r="F18" s="38">
        <v>1.7602339181286546E-2</v>
      </c>
      <c r="G18" s="38">
        <v>0.18947368421052635</v>
      </c>
    </row>
    <row r="19" spans="1:7">
      <c r="A19" s="29" t="s">
        <v>17</v>
      </c>
      <c r="B19" s="28">
        <v>17.7</v>
      </c>
      <c r="C19" s="30">
        <f t="shared" si="0"/>
        <v>17.100000000000001</v>
      </c>
      <c r="D19" s="14">
        <v>0.19999999999999987</v>
      </c>
      <c r="E19" s="14">
        <v>1.9999999999999987E-2</v>
      </c>
      <c r="F19" s="38">
        <v>2.0395480225988687E-2</v>
      </c>
      <c r="G19" s="38">
        <v>0.19661016949152543</v>
      </c>
    </row>
    <row r="20" spans="1:7">
      <c r="A20" s="29" t="s">
        <v>18</v>
      </c>
      <c r="B20" s="28">
        <v>18.2</v>
      </c>
      <c r="C20" s="30">
        <f t="shared" si="0"/>
        <v>17.7</v>
      </c>
      <c r="D20" s="14">
        <v>0.22197802197802186</v>
      </c>
      <c r="E20" s="14">
        <v>2.2197802197802183E-2</v>
      </c>
      <c r="F20" s="38">
        <v>2.2582417582417573E-2</v>
      </c>
      <c r="G20" s="38">
        <v>0.2021978021978022</v>
      </c>
    </row>
    <row r="21" spans="1:7">
      <c r="A21" s="29" t="s">
        <v>19</v>
      </c>
      <c r="B21" s="28">
        <v>18.7</v>
      </c>
      <c r="C21" s="30">
        <f t="shared" si="0"/>
        <v>18.2</v>
      </c>
      <c r="D21" s="14">
        <v>0.24278074866310148</v>
      </c>
      <c r="E21" s="14">
        <v>2.4278074866310149E-2</v>
      </c>
      <c r="F21" s="38">
        <v>2.4652406417112291E-2</v>
      </c>
      <c r="G21" s="38">
        <v>0.20748663101604278</v>
      </c>
    </row>
    <row r="22" spans="1:7">
      <c r="A22" s="29" t="s">
        <v>20</v>
      </c>
      <c r="B22" s="28">
        <v>19.399999999999999</v>
      </c>
      <c r="C22" s="30">
        <f t="shared" si="0"/>
        <v>18.7</v>
      </c>
      <c r="D22" s="14">
        <v>0.27010309278350503</v>
      </c>
      <c r="E22" s="14">
        <v>2.7010309278350502E-2</v>
      </c>
      <c r="F22" s="38">
        <v>2.7371134020618543E-2</v>
      </c>
      <c r="G22" s="38">
        <v>0.21443298969072166</v>
      </c>
    </row>
    <row r="23" spans="1:7">
      <c r="A23" s="29" t="s">
        <v>21</v>
      </c>
      <c r="B23" s="28">
        <v>19.899999999999999</v>
      </c>
      <c r="C23" s="30">
        <f t="shared" si="0"/>
        <v>19.399999999999999</v>
      </c>
      <c r="D23" s="14">
        <v>0.28844221105527623</v>
      </c>
      <c r="E23" s="14">
        <v>2.8844221105527628E-2</v>
      </c>
      <c r="F23" s="38">
        <v>2.9195979899497477E-2</v>
      </c>
      <c r="G23" s="38">
        <v>0.21909547738693466</v>
      </c>
    </row>
    <row r="24" spans="1:7">
      <c r="A24" s="29" t="s">
        <v>22</v>
      </c>
      <c r="B24" s="30">
        <v>20.399999999999999</v>
      </c>
      <c r="C24" s="30">
        <f t="shared" si="0"/>
        <v>19.899999999999999</v>
      </c>
      <c r="D24" s="14">
        <v>0.30588235294117633</v>
      </c>
      <c r="E24" s="14">
        <v>3.0588235294117631E-2</v>
      </c>
      <c r="F24" s="38">
        <v>3.0931372549019599E-2</v>
      </c>
      <c r="G24" s="38">
        <v>0.22352941176470587</v>
      </c>
    </row>
    <row r="25" spans="1:7">
      <c r="A25" s="29" t="s">
        <v>23</v>
      </c>
      <c r="B25" s="28">
        <v>20.9</v>
      </c>
      <c r="C25" s="30">
        <f t="shared" si="0"/>
        <v>20.399999999999999</v>
      </c>
      <c r="D25" s="14">
        <v>0.32248803827751182</v>
      </c>
      <c r="E25" s="14">
        <v>3.2248803827751187E-2</v>
      </c>
      <c r="F25" s="38">
        <v>3.2583732057416256E-2</v>
      </c>
      <c r="G25" s="38">
        <v>0.22775119617224882</v>
      </c>
    </row>
    <row r="26" spans="1:7">
      <c r="A26" s="29" t="s">
        <v>24</v>
      </c>
      <c r="B26" s="28">
        <v>21.2</v>
      </c>
      <c r="C26" s="30">
        <f t="shared" si="0"/>
        <v>20.9</v>
      </c>
      <c r="D26" s="14">
        <v>0.33207547169811308</v>
      </c>
      <c r="E26" s="14">
        <v>3.3207547169811308E-2</v>
      </c>
      <c r="F26" s="38">
        <v>3.3537735849056595E-2</v>
      </c>
      <c r="G26" s="38">
        <v>0.23018867924528302</v>
      </c>
    </row>
    <row r="27" spans="1:7">
      <c r="A27" s="29" t="s">
        <v>25</v>
      </c>
      <c r="B27" s="28">
        <v>21.7</v>
      </c>
      <c r="C27" s="30">
        <f t="shared" si="0"/>
        <v>21.2</v>
      </c>
      <c r="D27" s="14">
        <v>0.34746543778801831</v>
      </c>
      <c r="E27" s="14">
        <v>3.4746543778801833E-2</v>
      </c>
      <c r="F27" s="38">
        <v>3.5069124423963122E-2</v>
      </c>
      <c r="G27" s="38">
        <v>0.23410138248847928</v>
      </c>
    </row>
    <row r="28" spans="1:7">
      <c r="A28" s="29" t="s">
        <v>26</v>
      </c>
      <c r="B28" s="28">
        <v>22.1</v>
      </c>
      <c r="C28" s="30">
        <f t="shared" si="0"/>
        <v>21.7</v>
      </c>
      <c r="D28" s="14">
        <v>0.35927601809954746</v>
      </c>
      <c r="E28" s="14">
        <v>3.5927601809954753E-2</v>
      </c>
      <c r="F28" s="38">
        <v>3.6244343891402714E-2</v>
      </c>
      <c r="G28" s="38">
        <v>0.23710407239819009</v>
      </c>
    </row>
    <row r="29" spans="1:7">
      <c r="A29" s="29" t="s">
        <v>27</v>
      </c>
      <c r="B29" s="28">
        <v>22.6</v>
      </c>
      <c r="C29" s="30">
        <f t="shared" si="0"/>
        <v>22.1</v>
      </c>
      <c r="D29" s="14">
        <v>0.3734513274336283</v>
      </c>
      <c r="E29" s="14">
        <v>3.7345132743362826E-2</v>
      </c>
      <c r="F29" s="38">
        <v>3.7654867256637164E-2</v>
      </c>
      <c r="G29" s="38">
        <v>0.24070796460176996</v>
      </c>
    </row>
    <row r="30" spans="1:7">
      <c r="A30" s="29" t="s">
        <v>28</v>
      </c>
      <c r="B30" s="28">
        <v>23.1</v>
      </c>
      <c r="C30" s="30">
        <f t="shared" si="0"/>
        <v>22.6</v>
      </c>
      <c r="D30" s="14">
        <v>0.38701298701298698</v>
      </c>
      <c r="E30" s="14">
        <v>3.8701298701298702E-2</v>
      </c>
      <c r="F30" s="38">
        <v>3.9004329004329E-2</v>
      </c>
      <c r="G30" s="38">
        <v>0.24415584415584421</v>
      </c>
    </row>
    <row r="31" spans="1:7">
      <c r="A31" s="29" t="s">
        <v>29</v>
      </c>
      <c r="B31" s="28">
        <v>23.6</v>
      </c>
      <c r="C31" s="30">
        <f t="shared" si="0"/>
        <v>23.1</v>
      </c>
      <c r="D31" s="14">
        <v>0.39999999999999997</v>
      </c>
      <c r="E31" s="14">
        <v>3.9999999999999994E-2</v>
      </c>
      <c r="F31" s="38">
        <v>4.1779661016949111E-2</v>
      </c>
      <c r="G31" s="38">
        <v>0.24745762711864414</v>
      </c>
    </row>
    <row r="32" spans="1:7">
      <c r="A32" s="29" t="s">
        <v>30</v>
      </c>
      <c r="B32" s="28">
        <v>24.1</v>
      </c>
      <c r="C32" s="30">
        <f t="shared" si="0"/>
        <v>23.6</v>
      </c>
      <c r="D32" s="14">
        <v>0.41244813278008297</v>
      </c>
      <c r="E32" s="14">
        <v>4.7468879668049746E-2</v>
      </c>
      <c r="F32" s="38">
        <v>4.9211618257261371E-2</v>
      </c>
      <c r="G32" s="38">
        <v>0.25062240663900415</v>
      </c>
    </row>
    <row r="33" spans="1:8">
      <c r="A33" s="29" t="s">
        <v>31</v>
      </c>
      <c r="B33" s="28">
        <v>24.5</v>
      </c>
      <c r="C33" s="30">
        <f t="shared" si="0"/>
        <v>24.1</v>
      </c>
      <c r="D33" s="14">
        <v>0.42204081632653051</v>
      </c>
      <c r="E33" s="14">
        <v>5.3224489795918303E-2</v>
      </c>
      <c r="F33" s="38">
        <v>5.493877551020402E-2</v>
      </c>
      <c r="G33" s="38">
        <v>0.25306122448979596</v>
      </c>
    </row>
    <row r="34" spans="1:8">
      <c r="A34" s="29" t="s">
        <v>32</v>
      </c>
      <c r="B34" s="28">
        <v>24.9</v>
      </c>
      <c r="C34" s="30">
        <f t="shared" si="0"/>
        <v>24.5</v>
      </c>
      <c r="D34" s="14">
        <v>0.43132530120481916</v>
      </c>
      <c r="E34" s="14">
        <v>5.8795180722891478E-2</v>
      </c>
      <c r="F34" s="38">
        <v>6.0481927710843299E-2</v>
      </c>
      <c r="G34" s="38">
        <v>0.25542168674698795</v>
      </c>
    </row>
    <row r="35" spans="1:8">
      <c r="A35" s="29" t="s">
        <v>33</v>
      </c>
      <c r="B35" s="28">
        <v>25.4</v>
      </c>
      <c r="C35" s="30">
        <f t="shared" si="0"/>
        <v>24.9</v>
      </c>
      <c r="D35" s="14">
        <v>0.44251968503936995</v>
      </c>
      <c r="E35" s="14">
        <v>6.5511811023621969E-2</v>
      </c>
      <c r="F35" s="38">
        <v>6.7165354330708596E-2</v>
      </c>
      <c r="G35" s="38">
        <v>0.25826771653543312</v>
      </c>
    </row>
    <row r="36" spans="1:8">
      <c r="A36" s="29" t="s">
        <v>34</v>
      </c>
      <c r="B36" s="28">
        <v>26.1</v>
      </c>
      <c r="C36" s="30">
        <f t="shared" si="0"/>
        <v>25.4</v>
      </c>
      <c r="D36" s="14">
        <v>0.45747126436781604</v>
      </c>
      <c r="E36" s="14">
        <v>7.4482758620689621E-2</v>
      </c>
      <c r="F36" s="38">
        <v>7.6091954022988476E-2</v>
      </c>
      <c r="G36" s="38">
        <v>0.2620689655172414</v>
      </c>
    </row>
    <row r="37" spans="1:8">
      <c r="A37" s="29" t="s">
        <v>35</v>
      </c>
      <c r="B37" s="28">
        <v>26.5</v>
      </c>
      <c r="C37" s="30">
        <f t="shared" si="0"/>
        <v>26.1</v>
      </c>
      <c r="D37" s="14">
        <v>0.46566037735849047</v>
      </c>
      <c r="E37" s="14">
        <v>7.9396226415094279E-2</v>
      </c>
      <c r="F37" s="38">
        <v>8.098113207547164E-2</v>
      </c>
      <c r="G37" s="38">
        <v>0.26415094339622647</v>
      </c>
    </row>
    <row r="38" spans="1:8">
      <c r="A38" s="29" t="s">
        <v>36</v>
      </c>
      <c r="B38" s="28">
        <v>27.1</v>
      </c>
      <c r="C38" s="30">
        <f t="shared" si="0"/>
        <v>26.5</v>
      </c>
      <c r="D38" s="14">
        <v>0.47749077490774905</v>
      </c>
      <c r="E38" s="14">
        <v>8.6494464944649407E-2</v>
      </c>
      <c r="F38" s="38">
        <v>8.8044280442804393E-2</v>
      </c>
      <c r="G38" s="38">
        <v>0.26715867158671591</v>
      </c>
    </row>
    <row r="39" spans="1:8">
      <c r="A39" s="29" t="s">
        <v>37</v>
      </c>
      <c r="B39" s="28">
        <v>27.7</v>
      </c>
      <c r="C39" s="30">
        <f t="shared" si="0"/>
        <v>27.1</v>
      </c>
      <c r="D39" s="14">
        <v>0.48880866425992769</v>
      </c>
      <c r="E39" s="14">
        <v>9.3285198555956614E-2</v>
      </c>
      <c r="F39" s="38">
        <v>9.4801444043321248E-2</v>
      </c>
      <c r="G39" s="38">
        <v>0.2700361010830325</v>
      </c>
      <c r="H39">
        <f>B39*(1-E39)</f>
        <v>25.116</v>
      </c>
    </row>
    <row r="40" spans="1:8">
      <c r="A40" s="29" t="s">
        <v>38</v>
      </c>
      <c r="B40" s="28">
        <v>28.2</v>
      </c>
      <c r="C40" s="30">
        <f t="shared" si="0"/>
        <v>27.7</v>
      </c>
      <c r="D40" s="14">
        <v>0.49787234042553186</v>
      </c>
      <c r="E40" s="14">
        <v>9.8723404255319086E-2</v>
      </c>
      <c r="F40" s="38">
        <v>0.10021276595744676</v>
      </c>
      <c r="G40" s="38">
        <v>0.2723404255319149</v>
      </c>
    </row>
    <row r="41" spans="1:8">
      <c r="A41" s="29" t="s">
        <v>39</v>
      </c>
      <c r="B41" s="28">
        <v>28.8</v>
      </c>
      <c r="C41" s="30">
        <f t="shared" si="0"/>
        <v>28.2</v>
      </c>
      <c r="D41" s="14">
        <v>0.5083333333333333</v>
      </c>
      <c r="E41" s="14">
        <v>0.10499999999999995</v>
      </c>
      <c r="F41" s="38">
        <v>0.10645833333333329</v>
      </c>
      <c r="G41" s="38">
        <v>0.27500000000000002</v>
      </c>
      <c r="H41">
        <f>B41*(1-E41)</f>
        <v>25.776</v>
      </c>
    </row>
    <row r="42" spans="1:8">
      <c r="A42" s="29" t="s">
        <v>40</v>
      </c>
      <c r="B42" s="28">
        <v>29.5</v>
      </c>
      <c r="C42" s="30">
        <f t="shared" si="0"/>
        <v>28.8</v>
      </c>
      <c r="D42" s="14">
        <v>0.51999999999999991</v>
      </c>
      <c r="E42" s="14">
        <v>0.11199999999999995</v>
      </c>
      <c r="F42" s="38">
        <v>0.11342372881355928</v>
      </c>
      <c r="G42" s="38">
        <v>0.27796610169491531</v>
      </c>
    </row>
    <row r="43" spans="1:8">
      <c r="A43" s="29" t="s">
        <v>41</v>
      </c>
      <c r="B43" s="28">
        <v>30.2</v>
      </c>
      <c r="C43" s="30">
        <f t="shared" si="0"/>
        <v>29.5</v>
      </c>
      <c r="D43" s="14">
        <v>0.53112582781456952</v>
      </c>
      <c r="E43" s="14">
        <v>0.11867549668874167</v>
      </c>
      <c r="F43" s="38">
        <v>0.12006622516556287</v>
      </c>
      <c r="G43" s="38">
        <v>0.28079470198675499</v>
      </c>
    </row>
    <row r="44" spans="1:8">
      <c r="A44" s="29" t="s">
        <v>42</v>
      </c>
      <c r="B44" s="28">
        <v>30.8</v>
      </c>
      <c r="C44" s="30">
        <f t="shared" si="0"/>
        <v>30.2</v>
      </c>
      <c r="D44" s="14">
        <v>0.54025974025974022</v>
      </c>
      <c r="E44" s="14">
        <v>0.12415584415584412</v>
      </c>
      <c r="F44" s="38">
        <v>0.1255194805194805</v>
      </c>
      <c r="G44" s="38">
        <v>0.28311688311688316</v>
      </c>
      <c r="H44">
        <f>B44*(1-E44)</f>
        <v>26.976000000000003</v>
      </c>
    </row>
    <row r="45" spans="1:8">
      <c r="A45" s="29" t="s">
        <v>43</v>
      </c>
      <c r="B45" s="28">
        <v>31.5</v>
      </c>
      <c r="C45" s="30">
        <f t="shared" si="0"/>
        <v>30.8</v>
      </c>
      <c r="D45" s="14">
        <v>0.55047619047619034</v>
      </c>
      <c r="E45" s="14">
        <v>0.13028571428571425</v>
      </c>
      <c r="F45" s="38">
        <v>0.13161904761904758</v>
      </c>
      <c r="G45" s="38">
        <v>0.2857142857142857</v>
      </c>
      <c r="H45">
        <f>B45*(1-E45)</f>
        <v>27.396000000000001</v>
      </c>
    </row>
    <row r="46" spans="1:8">
      <c r="A46" s="29" t="s">
        <v>44</v>
      </c>
      <c r="B46" s="28">
        <v>32.5</v>
      </c>
      <c r="C46" s="30">
        <f t="shared" si="0"/>
        <v>31.5</v>
      </c>
      <c r="D46" s="14">
        <v>0.56430769230769218</v>
      </c>
      <c r="E46" s="14">
        <v>0.13858461538461533</v>
      </c>
      <c r="F46" s="38">
        <v>0.13987692307692304</v>
      </c>
      <c r="G46" s="38">
        <v>0.28923076923076924</v>
      </c>
    </row>
    <row r="47" spans="1:8">
      <c r="A47" s="29" t="s">
        <v>45</v>
      </c>
      <c r="B47" s="28">
        <v>32.9</v>
      </c>
      <c r="C47" s="30">
        <f t="shared" si="0"/>
        <v>32.5</v>
      </c>
      <c r="D47" s="14">
        <v>0.56960486322188442</v>
      </c>
      <c r="E47" s="14">
        <v>0.14176291793313064</v>
      </c>
      <c r="F47" s="38">
        <v>0.14303951367781148</v>
      </c>
      <c r="G47" s="38">
        <v>0.2905775075987842</v>
      </c>
    </row>
    <row r="48" spans="1:8">
      <c r="A48" s="29" t="s">
        <v>46</v>
      </c>
      <c r="B48" s="28">
        <v>33.6</v>
      </c>
      <c r="C48" s="30">
        <f t="shared" si="0"/>
        <v>32.9</v>
      </c>
      <c r="D48" s="14">
        <v>0.57857142857142851</v>
      </c>
      <c r="E48" s="14">
        <v>0.1471428571428571</v>
      </c>
      <c r="F48" s="38">
        <v>0.14839285714285713</v>
      </c>
      <c r="G48" s="38">
        <v>0.29285714285714287</v>
      </c>
      <c r="H48">
        <f>B48*(1-E48)</f>
        <v>28.656000000000002</v>
      </c>
    </row>
    <row r="49" spans="1:8">
      <c r="A49" s="29" t="s">
        <v>47</v>
      </c>
      <c r="B49" s="28">
        <v>34.200000000000003</v>
      </c>
      <c r="C49" s="30">
        <f t="shared" si="0"/>
        <v>33.6</v>
      </c>
      <c r="D49" s="14">
        <v>0.58596491228070169</v>
      </c>
      <c r="E49" s="14">
        <v>0.15157894736842101</v>
      </c>
      <c r="F49" s="38">
        <v>0.15280701754385964</v>
      </c>
      <c r="G49" s="38">
        <v>0.29473684210526319</v>
      </c>
    </row>
    <row r="50" spans="1:8">
      <c r="A50" s="29" t="s">
        <v>48</v>
      </c>
      <c r="B50" s="28">
        <v>35.200000000000003</v>
      </c>
      <c r="C50" s="30">
        <f t="shared" si="0"/>
        <v>34.200000000000003</v>
      </c>
      <c r="D50" s="14">
        <v>0.59772727272727266</v>
      </c>
      <c r="E50" s="14">
        <v>0.1586363636363636</v>
      </c>
      <c r="F50" s="38">
        <v>0.15982954545454545</v>
      </c>
      <c r="G50" s="38">
        <v>0.29772727272727278</v>
      </c>
    </row>
    <row r="51" spans="1:8">
      <c r="A51" s="29" t="s">
        <v>49</v>
      </c>
      <c r="B51" s="28">
        <v>36.200000000000003</v>
      </c>
      <c r="C51" s="30">
        <f t="shared" si="0"/>
        <v>35.200000000000003</v>
      </c>
      <c r="D51" s="14">
        <v>0.60883977900552477</v>
      </c>
      <c r="E51" s="14">
        <v>0.1653038674033149</v>
      </c>
      <c r="F51" s="38">
        <v>0.16646408839779003</v>
      </c>
      <c r="G51" s="38">
        <v>0.30055248618784536</v>
      </c>
      <c r="H51" t="s">
        <v>81</v>
      </c>
    </row>
    <row r="52" spans="1:8">
      <c r="A52" s="29" t="s">
        <v>50</v>
      </c>
      <c r="B52" s="28">
        <v>37.1</v>
      </c>
      <c r="C52" s="30">
        <f t="shared" si="0"/>
        <v>36.200000000000003</v>
      </c>
      <c r="D52" s="14">
        <v>0.61832884097035035</v>
      </c>
      <c r="E52" s="14">
        <v>0.17099730458221021</v>
      </c>
      <c r="F52" s="38">
        <v>0.17212938005390832</v>
      </c>
      <c r="G52" s="38">
        <v>0.30296495956873321</v>
      </c>
    </row>
    <row r="53" spans="1:8">
      <c r="A53" s="29" t="s">
        <v>51</v>
      </c>
      <c r="B53" s="28">
        <v>38.200000000000003</v>
      </c>
      <c r="C53" s="30">
        <f t="shared" si="0"/>
        <v>37.1</v>
      </c>
      <c r="D53" s="14">
        <v>0.62931937172774866</v>
      </c>
      <c r="E53" s="14">
        <v>0.17759162303664922</v>
      </c>
      <c r="F53" s="38">
        <v>0.1786910994764398</v>
      </c>
      <c r="G53" s="38">
        <v>0.30575916230366496</v>
      </c>
      <c r="H53">
        <f>B53*(1-E53)</f>
        <v>31.416000000000004</v>
      </c>
    </row>
    <row r="54" spans="1:8">
      <c r="A54" s="29" t="s">
        <v>52</v>
      </c>
      <c r="B54" s="28">
        <v>39.9</v>
      </c>
      <c r="C54" s="30">
        <f t="shared" si="0"/>
        <v>38.200000000000003</v>
      </c>
      <c r="D54" s="14">
        <v>0.64511278195488708</v>
      </c>
      <c r="E54" s="14">
        <v>0.1870676691729323</v>
      </c>
      <c r="F54" s="38">
        <v>0.18812030075187966</v>
      </c>
      <c r="G54" s="38">
        <v>0.30977443609022559</v>
      </c>
      <c r="H54" t="s">
        <v>81</v>
      </c>
    </row>
    <row r="55" spans="1:8">
      <c r="A55" s="29" t="s">
        <v>53</v>
      </c>
      <c r="B55" s="28">
        <v>41.8</v>
      </c>
      <c r="C55" s="30">
        <f>B54</f>
        <v>39.9</v>
      </c>
      <c r="D55" s="14">
        <v>0.66124401913875586</v>
      </c>
      <c r="E55" s="14">
        <v>0.19674641148325356</v>
      </c>
      <c r="F55" s="38">
        <v>0.19775119617224879</v>
      </c>
      <c r="G55" s="38">
        <v>0.31387559808612442</v>
      </c>
    </row>
    <row r="56" spans="1:8">
      <c r="A56" s="29" t="s">
        <v>53</v>
      </c>
      <c r="B56" s="31" t="s">
        <v>113</v>
      </c>
      <c r="C56" s="30">
        <f t="shared" si="0"/>
        <v>41.8</v>
      </c>
      <c r="D56" s="11"/>
      <c r="E56" s="11"/>
      <c r="F56" s="39"/>
      <c r="G56" s="39"/>
    </row>
    <row r="57" spans="1:8">
      <c r="A57" s="29"/>
      <c r="B57" s="31"/>
      <c r="C57" s="31"/>
      <c r="D57" s="11"/>
      <c r="E57" s="32">
        <v>6.6905853781407551E-2</v>
      </c>
      <c r="F57" s="40">
        <v>6.7741771170906254E-2</v>
      </c>
      <c r="G57" s="40">
        <v>0.22516283440734622</v>
      </c>
    </row>
    <row r="58" spans="1:8" ht="25.5" customHeight="1">
      <c r="A58" s="33" t="s">
        <v>114</v>
      </c>
      <c r="B58" s="162">
        <v>10</v>
      </c>
      <c r="C58" s="31"/>
      <c r="D58" s="11"/>
      <c r="E58" s="163">
        <v>23.600000000000005</v>
      </c>
      <c r="F58" s="164">
        <v>23.483333333333338</v>
      </c>
      <c r="G58" s="165">
        <v>10</v>
      </c>
    </row>
    <row r="59" spans="1:8" ht="24">
      <c r="A59" s="33" t="s">
        <v>56</v>
      </c>
      <c r="B59" s="162">
        <v>23.9</v>
      </c>
      <c r="C59" s="31"/>
      <c r="D59" s="11"/>
      <c r="E59" s="11"/>
      <c r="F59" s="39"/>
      <c r="G59" s="39"/>
    </row>
    <row r="60" spans="1:8" ht="36">
      <c r="A60" s="166" t="s">
        <v>57</v>
      </c>
      <c r="B60" s="57">
        <v>14.339999999999998</v>
      </c>
      <c r="C60" s="29"/>
      <c r="D60" s="11"/>
      <c r="E60" s="57">
        <v>14.160000000000002</v>
      </c>
      <c r="F60" s="167">
        <v>14.090000000000002</v>
      </c>
      <c r="G60" s="167">
        <v>6</v>
      </c>
    </row>
    <row r="62" spans="1:8" ht="26.25" customHeight="1">
      <c r="A62" s="33" t="s">
        <v>56</v>
      </c>
      <c r="B62" s="168">
        <f>B59</f>
        <v>23.9</v>
      </c>
    </row>
    <row r="63" spans="1:8">
      <c r="A63" s="16" t="s">
        <v>64</v>
      </c>
      <c r="B63" s="17">
        <f>AVERAGE(B11:B50)</f>
        <v>23.600000000000005</v>
      </c>
      <c r="C63" s="17"/>
    </row>
    <row r="64" spans="1:8">
      <c r="A64" s="16" t="s">
        <v>65</v>
      </c>
      <c r="B64" s="18">
        <f>AVERAGE(B16:B45)</f>
        <v>23.483333333333338</v>
      </c>
      <c r="C64" s="18"/>
    </row>
    <row r="65" spans="1:7">
      <c r="A65" s="16" t="s">
        <v>66</v>
      </c>
      <c r="B65" s="18">
        <f>AVERAGE(B22:B40)</f>
        <v>23.652631578947368</v>
      </c>
      <c r="C65" s="18"/>
    </row>
    <row r="69" spans="1:7" ht="18" customHeight="1">
      <c r="A69" s="470" t="s">
        <v>0</v>
      </c>
      <c r="B69" s="473" t="s">
        <v>2</v>
      </c>
      <c r="C69" s="473"/>
      <c r="D69" s="473"/>
      <c r="E69" s="49">
        <f>(1-E124)^(1/3)-1</f>
        <v>-2.2112864925512343E-2</v>
      </c>
      <c r="F69" s="49">
        <f>(1-F124)^(1/3)-1</f>
        <v>-2.2665302209911586E-2</v>
      </c>
      <c r="G69" s="49"/>
    </row>
    <row r="70" spans="1:7" ht="48">
      <c r="A70" s="471"/>
      <c r="B70" s="57" t="s">
        <v>4</v>
      </c>
      <c r="C70" s="11"/>
      <c r="D70" s="57" t="s">
        <v>80</v>
      </c>
      <c r="E70" s="11" t="s">
        <v>5</v>
      </c>
      <c r="F70" s="39" t="s">
        <v>5</v>
      </c>
      <c r="G70" s="39"/>
    </row>
    <row r="71" spans="1:7">
      <c r="A71" s="472"/>
      <c r="B71" s="11" t="s">
        <v>8</v>
      </c>
      <c r="C71" s="11"/>
      <c r="D71" s="11" t="s">
        <v>7</v>
      </c>
      <c r="E71" s="11" t="s">
        <v>7</v>
      </c>
      <c r="F71" s="39" t="s">
        <v>7</v>
      </c>
      <c r="G71" s="39"/>
    </row>
    <row r="72" spans="1:7">
      <c r="A72" s="50">
        <v>1</v>
      </c>
      <c r="B72" s="51">
        <v>2</v>
      </c>
      <c r="C72" s="51"/>
      <c r="D72" s="51">
        <v>3</v>
      </c>
      <c r="E72" s="51">
        <v>4</v>
      </c>
      <c r="F72" s="52">
        <v>5</v>
      </c>
      <c r="G72" s="52"/>
    </row>
    <row r="73" spans="1:7">
      <c r="A73" s="27" t="s">
        <v>10</v>
      </c>
      <c r="B73" s="53">
        <v>18.600000000000001</v>
      </c>
      <c r="C73" s="253">
        <v>0</v>
      </c>
      <c r="D73" s="14">
        <v>0</v>
      </c>
      <c r="E73" s="14">
        <v>0</v>
      </c>
      <c r="F73" s="38">
        <v>0</v>
      </c>
      <c r="G73" s="38">
        <v>6.7741935483871052E-3</v>
      </c>
    </row>
    <row r="74" spans="1:7">
      <c r="A74" s="27" t="s">
        <v>58</v>
      </c>
      <c r="B74" s="53">
        <v>21.8</v>
      </c>
      <c r="C74" s="30">
        <f>B73</f>
        <v>18.600000000000001</v>
      </c>
      <c r="D74" s="14">
        <v>0</v>
      </c>
      <c r="E74" s="14">
        <v>0</v>
      </c>
      <c r="F74" s="38">
        <v>0</v>
      </c>
      <c r="G74" s="38">
        <v>2.0458715596330279E-2</v>
      </c>
    </row>
    <row r="75" spans="1:7">
      <c r="A75" s="27" t="s">
        <v>59</v>
      </c>
      <c r="B75" s="53">
        <v>24.4</v>
      </c>
      <c r="C75" s="30">
        <f t="shared" ref="C75:C123" si="1">B74</f>
        <v>21.8</v>
      </c>
      <c r="D75" s="14">
        <v>0</v>
      </c>
      <c r="E75" s="14">
        <v>0</v>
      </c>
      <c r="F75" s="38">
        <v>0</v>
      </c>
      <c r="G75" s="38">
        <v>2.8934426229508196E-2</v>
      </c>
    </row>
    <row r="76" spans="1:7">
      <c r="A76" s="27" t="s">
        <v>60</v>
      </c>
      <c r="B76" s="53">
        <v>26.3</v>
      </c>
      <c r="C76" s="30">
        <f t="shared" si="1"/>
        <v>24.4</v>
      </c>
      <c r="D76" s="14">
        <v>0</v>
      </c>
      <c r="E76" s="14">
        <v>0</v>
      </c>
      <c r="F76" s="38">
        <v>0</v>
      </c>
      <c r="G76" s="38">
        <v>3.4068441064638785E-2</v>
      </c>
    </row>
    <row r="77" spans="1:7">
      <c r="A77" s="27" t="s">
        <v>61</v>
      </c>
      <c r="B77" s="53">
        <v>28</v>
      </c>
      <c r="C77" s="30">
        <f t="shared" si="1"/>
        <v>26.3</v>
      </c>
      <c r="D77" s="14">
        <v>0</v>
      </c>
      <c r="E77" s="14">
        <v>0</v>
      </c>
      <c r="F77" s="38">
        <v>0</v>
      </c>
      <c r="G77" s="38">
        <v>3.8071428571428576E-2</v>
      </c>
    </row>
    <row r="78" spans="1:7">
      <c r="A78" s="27" t="s">
        <v>62</v>
      </c>
      <c r="B78" s="53">
        <v>29.5</v>
      </c>
      <c r="C78" s="30">
        <f t="shared" si="1"/>
        <v>28</v>
      </c>
      <c r="D78" s="14">
        <v>3.750847457627144E-2</v>
      </c>
      <c r="E78" s="14"/>
      <c r="F78" s="38">
        <v>4.6508474576271181E-3</v>
      </c>
      <c r="G78" s="38">
        <v>4.7322033898305103E-2</v>
      </c>
    </row>
    <row r="79" spans="1:7">
      <c r="A79" s="27" t="s">
        <v>63</v>
      </c>
      <c r="B79" s="53">
        <v>30.8</v>
      </c>
      <c r="C79" s="30">
        <f t="shared" si="1"/>
        <v>29.5</v>
      </c>
      <c r="D79" s="14">
        <v>7.8133116883117151E-2</v>
      </c>
      <c r="E79" s="14"/>
      <c r="F79" s="38">
        <v>8.6753246753246763E-3</v>
      </c>
      <c r="G79" s="38">
        <v>6.2207792207792233E-2</v>
      </c>
    </row>
    <row r="80" spans="1:7">
      <c r="A80" s="29" t="s">
        <v>11</v>
      </c>
      <c r="B80" s="53">
        <v>32</v>
      </c>
      <c r="C80" s="30">
        <f t="shared" si="1"/>
        <v>30.8</v>
      </c>
      <c r="D80" s="14">
        <v>0.11270312500000024</v>
      </c>
      <c r="E80" s="14">
        <v>1.1270312500000025E-2</v>
      </c>
      <c r="F80" s="38">
        <v>1.21E-2</v>
      </c>
      <c r="G80" s="38">
        <v>7.4875000000000025E-2</v>
      </c>
    </row>
    <row r="81" spans="1:12">
      <c r="A81" s="29" t="s">
        <v>12</v>
      </c>
      <c r="B81" s="53">
        <v>33</v>
      </c>
      <c r="C81" s="30">
        <f t="shared" si="1"/>
        <v>32</v>
      </c>
      <c r="D81" s="14">
        <v>0.13959090909090932</v>
      </c>
      <c r="E81" s="14">
        <v>1.3959090909090933E-2</v>
      </c>
      <c r="F81" s="38">
        <v>1.4763636363636364E-2</v>
      </c>
      <c r="G81" s="38">
        <v>8.4727272727272734E-2</v>
      </c>
      <c r="J81">
        <v>10</v>
      </c>
      <c r="K81">
        <v>29</v>
      </c>
      <c r="L81">
        <v>30</v>
      </c>
    </row>
    <row r="82" spans="1:12">
      <c r="A82" s="29" t="s">
        <v>13</v>
      </c>
      <c r="B82" s="53">
        <v>33.799999999999997</v>
      </c>
      <c r="C82" s="30">
        <f t="shared" si="1"/>
        <v>33</v>
      </c>
      <c r="D82" s="14">
        <v>0.15995562130177529</v>
      </c>
      <c r="E82" s="14">
        <v>1.599556213017753E-2</v>
      </c>
      <c r="F82" s="38">
        <v>1.6781065088757388E-2</v>
      </c>
      <c r="G82" s="38">
        <v>9.2189349112426031E-2</v>
      </c>
      <c r="J82">
        <f>IF(AND(J81&lt;K81,K81&lt;L81),25,100)</f>
        <v>25</v>
      </c>
    </row>
    <row r="83" spans="1:12">
      <c r="A83" s="29" t="s">
        <v>14</v>
      </c>
      <c r="B83" s="53">
        <v>34.700000000000003</v>
      </c>
      <c r="C83" s="30">
        <f t="shared" si="1"/>
        <v>33.799999999999997</v>
      </c>
      <c r="D83" s="14">
        <v>0.18174351585014437</v>
      </c>
      <c r="E83" s="14">
        <v>1.8174351585014438E-2</v>
      </c>
      <c r="F83" s="38">
        <v>1.8939481268011534E-2</v>
      </c>
      <c r="G83" s="38">
        <v>0.10017291066282424</v>
      </c>
    </row>
    <row r="84" spans="1:12">
      <c r="A84" s="29" t="s">
        <v>15</v>
      </c>
      <c r="B84" s="53">
        <v>35.6</v>
      </c>
      <c r="C84" s="30">
        <f t="shared" si="1"/>
        <v>34.700000000000003</v>
      </c>
      <c r="D84" s="14">
        <v>0.20242977528089912</v>
      </c>
      <c r="E84" s="14">
        <v>2.0242977528089911E-2</v>
      </c>
      <c r="F84" s="38">
        <v>2.0988764044943826E-2</v>
      </c>
      <c r="G84" s="38">
        <v>0.10775280898876408</v>
      </c>
    </row>
    <row r="85" spans="1:12">
      <c r="A85" s="29" t="s">
        <v>16</v>
      </c>
      <c r="B85" s="53">
        <v>36.5</v>
      </c>
      <c r="C85" s="30">
        <f t="shared" si="1"/>
        <v>35.6</v>
      </c>
      <c r="D85" s="14">
        <v>0.22209589041095912</v>
      </c>
      <c r="E85" s="14">
        <v>2.220958904109591E-2</v>
      </c>
      <c r="F85" s="38">
        <v>2.2936986301369866E-2</v>
      </c>
      <c r="G85" s="38">
        <v>0.11495890410958906</v>
      </c>
    </row>
    <row r="86" spans="1:12">
      <c r="A86" s="29" t="s">
        <v>17</v>
      </c>
      <c r="B86" s="53">
        <v>37.299999999999997</v>
      </c>
      <c r="C86" s="30">
        <f t="shared" si="1"/>
        <v>36.5</v>
      </c>
      <c r="D86" s="14">
        <v>0.23878016085790899</v>
      </c>
      <c r="E86" s="14">
        <v>2.3878016085790901E-2</v>
      </c>
      <c r="F86" s="38">
        <v>2.4589812332439676E-2</v>
      </c>
      <c r="G86" s="38">
        <v>0.12107238605898121</v>
      </c>
    </row>
    <row r="87" spans="1:12">
      <c r="A87" s="29" t="s">
        <v>18</v>
      </c>
      <c r="B87" s="53">
        <v>38.1</v>
      </c>
      <c r="C87" s="30">
        <f t="shared" si="1"/>
        <v>37.299999999999997</v>
      </c>
      <c r="D87" s="14">
        <v>0.2547637795275593</v>
      </c>
      <c r="E87" s="14">
        <v>2.5476377952755928E-2</v>
      </c>
      <c r="F87" s="38">
        <v>2.6173228346456696E-2</v>
      </c>
      <c r="G87" s="38">
        <v>0.12692913385826773</v>
      </c>
    </row>
    <row r="88" spans="1:12">
      <c r="A88" s="29" t="s">
        <v>19</v>
      </c>
      <c r="B88" s="53">
        <v>38.799999999999997</v>
      </c>
      <c r="C88" s="30">
        <f t="shared" si="1"/>
        <v>38.1</v>
      </c>
      <c r="D88" s="14">
        <v>0.26820876288659806</v>
      </c>
      <c r="E88" s="14">
        <v>2.6820876288659808E-2</v>
      </c>
      <c r="F88" s="38">
        <v>2.7505154639175251E-2</v>
      </c>
      <c r="G88" s="38">
        <v>0.13185567010309279</v>
      </c>
    </row>
    <row r="89" spans="1:12">
      <c r="A89" s="29" t="s">
        <v>20</v>
      </c>
      <c r="B89" s="53">
        <v>39.700000000000003</v>
      </c>
      <c r="C89" s="30">
        <f t="shared" si="1"/>
        <v>38.799999999999997</v>
      </c>
      <c r="D89" s="14">
        <v>0.28479848866498764</v>
      </c>
      <c r="E89" s="14">
        <v>2.8479848866498764E-2</v>
      </c>
      <c r="F89" s="38">
        <v>2.9148614609571792E-2</v>
      </c>
      <c r="G89" s="38">
        <v>0.13793450881612093</v>
      </c>
    </row>
    <row r="90" spans="1:12">
      <c r="A90" s="29" t="s">
        <v>21</v>
      </c>
      <c r="B90" s="53">
        <v>40.6</v>
      </c>
      <c r="C90" s="30">
        <f t="shared" si="1"/>
        <v>39.700000000000003</v>
      </c>
      <c r="D90" s="14">
        <v>0.30065270935960614</v>
      </c>
      <c r="E90" s="14">
        <v>3.0065270935960613E-2</v>
      </c>
      <c r="F90" s="38">
        <v>3.0719211822660106E-2</v>
      </c>
      <c r="G90" s="38">
        <v>0.14374384236453205</v>
      </c>
    </row>
    <row r="91" spans="1:12">
      <c r="A91" s="29" t="s">
        <v>22</v>
      </c>
      <c r="B91" s="53">
        <v>41.3</v>
      </c>
      <c r="C91" s="30">
        <f t="shared" si="1"/>
        <v>40.6</v>
      </c>
      <c r="D91" s="14">
        <v>0.31250605326876529</v>
      </c>
      <c r="E91" s="14">
        <v>3.1250605326876527E-2</v>
      </c>
      <c r="F91" s="38">
        <v>3.1893462469733652E-2</v>
      </c>
      <c r="G91" s="38">
        <v>0.14808716707021791</v>
      </c>
    </row>
    <row r="92" spans="1:12">
      <c r="A92" s="29" t="s">
        <v>23</v>
      </c>
      <c r="B92" s="53">
        <v>42.1</v>
      </c>
      <c r="C92" s="30">
        <f t="shared" si="1"/>
        <v>41.3</v>
      </c>
      <c r="D92" s="14">
        <v>0.32557007125890758</v>
      </c>
      <c r="E92" s="14">
        <v>3.2557007125890762E-2</v>
      </c>
      <c r="F92" s="38">
        <v>3.3187648456057012E-2</v>
      </c>
      <c r="G92" s="38">
        <v>0.15287410926365796</v>
      </c>
    </row>
    <row r="93" spans="1:12">
      <c r="A93" s="29" t="s">
        <v>24</v>
      </c>
      <c r="B93" s="53">
        <v>42.8</v>
      </c>
      <c r="C93" s="30">
        <f t="shared" si="1"/>
        <v>42.1</v>
      </c>
      <c r="D93" s="14">
        <v>0.33660046728971976</v>
      </c>
      <c r="E93" s="14">
        <v>3.3660046728971979E-2</v>
      </c>
      <c r="F93" s="38">
        <v>3.42803738317757E-2</v>
      </c>
      <c r="G93" s="38">
        <v>0.15691588785046728</v>
      </c>
    </row>
    <row r="94" spans="1:12">
      <c r="A94" s="29" t="s">
        <v>25</v>
      </c>
      <c r="B94" s="53">
        <v>43.6</v>
      </c>
      <c r="C94" s="30">
        <f t="shared" si="1"/>
        <v>42.8</v>
      </c>
      <c r="D94" s="14">
        <v>0.34877293577981672</v>
      </c>
      <c r="E94" s="14">
        <v>3.4877293577981673E-2</v>
      </c>
      <c r="F94" s="38">
        <v>3.5486238532110095E-2</v>
      </c>
      <c r="G94" s="38">
        <v>0.16137614678899084</v>
      </c>
    </row>
    <row r="95" spans="1:12">
      <c r="A95" s="29" t="s">
        <v>26</v>
      </c>
      <c r="B95" s="53">
        <v>44.3</v>
      </c>
      <c r="C95" s="30">
        <f t="shared" si="1"/>
        <v>43.6</v>
      </c>
      <c r="D95" s="14">
        <v>0.35906320541760733</v>
      </c>
      <c r="E95" s="14">
        <v>3.5906320541760739E-2</v>
      </c>
      <c r="F95" s="38">
        <v>3.6505643340857784E-2</v>
      </c>
      <c r="G95" s="38">
        <v>0.1651467268623025</v>
      </c>
    </row>
    <row r="96" spans="1:12">
      <c r="A96" s="29" t="s">
        <v>27</v>
      </c>
      <c r="B96" s="53">
        <v>45.2</v>
      </c>
      <c r="C96" s="30">
        <f t="shared" si="1"/>
        <v>44.3</v>
      </c>
      <c r="D96" s="14">
        <v>0.37182522123893824</v>
      </c>
      <c r="E96" s="14">
        <v>3.7182522123893828E-2</v>
      </c>
      <c r="F96" s="38">
        <v>3.7769911504424783E-2</v>
      </c>
      <c r="G96" s="38">
        <v>0.16982300884955756</v>
      </c>
    </row>
    <row r="97" spans="1:11">
      <c r="A97" s="29" t="s">
        <v>28</v>
      </c>
      <c r="B97" s="53">
        <v>46</v>
      </c>
      <c r="C97" s="30">
        <f t="shared" si="1"/>
        <v>45.2</v>
      </c>
      <c r="D97" s="14">
        <v>0.38275000000000015</v>
      </c>
      <c r="E97" s="14">
        <v>3.8275000000000017E-2</v>
      </c>
      <c r="F97" s="38">
        <v>3.8852173913043478E-2</v>
      </c>
      <c r="G97" s="38">
        <v>0.17382608695652174</v>
      </c>
    </row>
    <row r="98" spans="1:11">
      <c r="A98" s="29" t="s">
        <v>29</v>
      </c>
      <c r="B98" s="53">
        <v>46.9</v>
      </c>
      <c r="C98" s="30">
        <f t="shared" si="1"/>
        <v>46</v>
      </c>
      <c r="D98" s="14">
        <v>0.39459488272921123</v>
      </c>
      <c r="E98" s="14">
        <v>3.9459488272921124E-2</v>
      </c>
      <c r="F98" s="38">
        <v>4.0153518123667353E-2</v>
      </c>
      <c r="G98" s="38">
        <v>0.17816631130063967</v>
      </c>
    </row>
    <row r="99" spans="1:11">
      <c r="A99" s="29" t="s">
        <v>30</v>
      </c>
      <c r="B99" s="53">
        <v>47.7</v>
      </c>
      <c r="C99" s="30">
        <f t="shared" si="1"/>
        <v>46.9</v>
      </c>
      <c r="D99" s="14">
        <v>0.40474842767295616</v>
      </c>
      <c r="E99" s="14">
        <v>4.284905660377368E-2</v>
      </c>
      <c r="F99" s="38">
        <v>4.6188679245283033E-2</v>
      </c>
      <c r="G99" s="38">
        <v>0.18188679245283021</v>
      </c>
    </row>
    <row r="100" spans="1:11">
      <c r="A100" s="29" t="s">
        <v>31</v>
      </c>
      <c r="B100" s="53">
        <v>48.6</v>
      </c>
      <c r="C100" s="30">
        <f t="shared" si="1"/>
        <v>47.7</v>
      </c>
      <c r="D100" s="14">
        <v>0.41577160493827175</v>
      </c>
      <c r="E100" s="14">
        <v>4.9462962962963049E-2</v>
      </c>
      <c r="F100" s="38">
        <v>5.2740740740740741E-2</v>
      </c>
      <c r="G100" s="38">
        <v>0.18592592592592594</v>
      </c>
    </row>
    <row r="101" spans="1:11">
      <c r="A101" s="29" t="s">
        <v>32</v>
      </c>
      <c r="B101" s="53">
        <v>49.5</v>
      </c>
      <c r="C101" s="30">
        <f t="shared" si="1"/>
        <v>48.6</v>
      </c>
      <c r="D101" s="14">
        <v>0.42639393939393955</v>
      </c>
      <c r="E101" s="14">
        <v>5.5836363636363712E-2</v>
      </c>
      <c r="F101" s="38">
        <v>5.9054545454545443E-2</v>
      </c>
      <c r="G101" s="38">
        <v>0.18981818181818183</v>
      </c>
      <c r="H101">
        <f>B101*(1-E101)</f>
        <v>46.7361</v>
      </c>
      <c r="J101">
        <v>1.02</v>
      </c>
      <c r="K101">
        <f>J101^3</f>
        <v>1.0612079999999999</v>
      </c>
    </row>
    <row r="102" spans="1:11">
      <c r="A102" s="29" t="s">
        <v>33</v>
      </c>
      <c r="B102" s="53">
        <v>50.4</v>
      </c>
      <c r="C102" s="30">
        <f t="shared" si="1"/>
        <v>49.5</v>
      </c>
      <c r="D102" s="14">
        <v>0.43663690476190492</v>
      </c>
      <c r="E102" s="14">
        <v>6.198214285714293E-2</v>
      </c>
      <c r="F102" s="38">
        <v>6.5142857142857127E-2</v>
      </c>
      <c r="G102" s="38">
        <v>0.19357142857142859</v>
      </c>
      <c r="H102">
        <f>B102*(1-E102)</f>
        <v>47.276099999999992</v>
      </c>
    </row>
    <row r="103" spans="1:11">
      <c r="A103" s="29" t="s">
        <v>34</v>
      </c>
      <c r="B103" s="53">
        <v>51.2</v>
      </c>
      <c r="C103" s="30">
        <f t="shared" si="1"/>
        <v>50.4</v>
      </c>
      <c r="D103" s="14">
        <v>0.44543945312500016</v>
      </c>
      <c r="E103" s="14">
        <v>6.7263671875000083E-2</v>
      </c>
      <c r="F103" s="38">
        <v>7.0375000000000007E-2</v>
      </c>
      <c r="G103" s="38">
        <v>0.19679687500000004</v>
      </c>
    </row>
    <row r="104" spans="1:11">
      <c r="A104" s="29" t="s">
        <v>35</v>
      </c>
      <c r="B104" s="53">
        <v>52.2</v>
      </c>
      <c r="C104" s="30">
        <f t="shared" si="1"/>
        <v>51.2</v>
      </c>
      <c r="D104" s="14">
        <v>0.45606321839080477</v>
      </c>
      <c r="E104" s="14">
        <v>7.3637931034482851E-2</v>
      </c>
      <c r="F104" s="38">
        <v>7.6689655172413801E-2</v>
      </c>
      <c r="G104" s="38">
        <v>0.20068965517241383</v>
      </c>
      <c r="H104">
        <f>B104*(1-E104)</f>
        <v>48.356099999999998</v>
      </c>
    </row>
    <row r="105" spans="1:11">
      <c r="A105" s="29" t="s">
        <v>36</v>
      </c>
      <c r="B105" s="53">
        <v>53.1</v>
      </c>
      <c r="C105" s="30">
        <f t="shared" si="1"/>
        <v>52.2</v>
      </c>
      <c r="D105" s="14">
        <v>0.46528248587570636</v>
      </c>
      <c r="E105" s="14">
        <v>7.916949152542381E-2</v>
      </c>
      <c r="F105" s="38">
        <v>8.216949152542373E-2</v>
      </c>
      <c r="G105" s="38">
        <v>0.20406779661016952</v>
      </c>
    </row>
    <row r="106" spans="1:11">
      <c r="A106" s="29" t="s">
        <v>37</v>
      </c>
      <c r="B106" s="53">
        <v>54.1</v>
      </c>
      <c r="C106" s="30">
        <f t="shared" si="1"/>
        <v>53.1</v>
      </c>
      <c r="D106" s="14">
        <v>0.47516635859519424</v>
      </c>
      <c r="E106" s="14">
        <v>8.5099815157116537E-2</v>
      </c>
      <c r="F106" s="38">
        <v>8.8044362292051759E-2</v>
      </c>
      <c r="G106" s="38">
        <v>0.20768946395563775</v>
      </c>
    </row>
    <row r="107" spans="1:11">
      <c r="A107" s="29" t="s">
        <v>38</v>
      </c>
      <c r="B107" s="53">
        <v>55</v>
      </c>
      <c r="C107" s="30">
        <f t="shared" si="1"/>
        <v>54.1</v>
      </c>
      <c r="D107" s="14">
        <v>0.4837545454545456</v>
      </c>
      <c r="E107" s="14">
        <v>9.0252727272727346E-2</v>
      </c>
      <c r="F107" s="38">
        <v>9.3149090909090904E-2</v>
      </c>
      <c r="G107" s="38">
        <v>0.21083636363636368</v>
      </c>
    </row>
    <row r="108" spans="1:11">
      <c r="A108" s="29" t="s">
        <v>39</v>
      </c>
      <c r="B108" s="53">
        <v>56</v>
      </c>
      <c r="C108" s="30">
        <f t="shared" si="1"/>
        <v>55</v>
      </c>
      <c r="D108" s="14">
        <v>0.49297321428571445</v>
      </c>
      <c r="E108" s="14">
        <v>9.5783928571428631E-2</v>
      </c>
      <c r="F108" s="38">
        <v>9.8628571428571413E-2</v>
      </c>
      <c r="G108" s="38">
        <v>0.21421428571428575</v>
      </c>
      <c r="H108">
        <f>B108*(1-E108)</f>
        <v>50.636099999999999</v>
      </c>
    </row>
    <row r="109" spans="1:11">
      <c r="A109" s="29" t="s">
        <v>40</v>
      </c>
      <c r="B109" s="53">
        <v>57</v>
      </c>
      <c r="C109" s="30">
        <f t="shared" si="1"/>
        <v>56</v>
      </c>
      <c r="D109" s="14">
        <v>0.50186842105263174</v>
      </c>
      <c r="E109" s="14">
        <v>0.10112105263157901</v>
      </c>
      <c r="F109" s="38">
        <v>0.1039157894736842</v>
      </c>
      <c r="G109" s="38">
        <v>0.21747368421052637</v>
      </c>
    </row>
    <row r="110" spans="1:11">
      <c r="A110" s="29" t="s">
        <v>41</v>
      </c>
      <c r="B110" s="53">
        <v>58.1</v>
      </c>
      <c r="C110" s="30">
        <f t="shared" si="1"/>
        <v>57</v>
      </c>
      <c r="D110" s="14">
        <v>0.51129948364888134</v>
      </c>
      <c r="E110" s="14">
        <v>0.10677969018932881</v>
      </c>
      <c r="F110" s="38">
        <v>0.10952151462994836</v>
      </c>
      <c r="G110" s="38">
        <v>0.22092943201376938</v>
      </c>
    </row>
    <row r="111" spans="1:11">
      <c r="A111" s="29" t="s">
        <v>42</v>
      </c>
      <c r="B111" s="53">
        <v>59.3</v>
      </c>
      <c r="C111" s="30">
        <f t="shared" si="1"/>
        <v>58.1</v>
      </c>
      <c r="D111" s="14">
        <v>0.52118887015177073</v>
      </c>
      <c r="E111" s="14">
        <v>0.11271332209106245</v>
      </c>
      <c r="F111" s="38">
        <v>0.11539966273187183</v>
      </c>
      <c r="G111" s="38">
        <v>0.22455311973018552</v>
      </c>
    </row>
    <row r="112" spans="1:11">
      <c r="A112" s="29" t="s">
        <v>43</v>
      </c>
      <c r="B112" s="53">
        <v>60.7</v>
      </c>
      <c r="C112" s="30">
        <f t="shared" si="1"/>
        <v>59.3</v>
      </c>
      <c r="D112" s="14">
        <v>0.53223228995057681</v>
      </c>
      <c r="E112" s="14">
        <v>0.11933937397034605</v>
      </c>
      <c r="F112" s="38">
        <v>0.12196375617792422</v>
      </c>
      <c r="G112" s="38">
        <v>0.22859967051070845</v>
      </c>
    </row>
    <row r="113" spans="1:8">
      <c r="A113" s="29" t="s">
        <v>44</v>
      </c>
      <c r="B113" s="53">
        <v>62.1</v>
      </c>
      <c r="C113" s="30">
        <f t="shared" si="1"/>
        <v>60.7</v>
      </c>
      <c r="D113" s="14">
        <v>0.5427777777777778</v>
      </c>
      <c r="E113" s="14">
        <v>0.12566666666666673</v>
      </c>
      <c r="F113" s="38">
        <v>0.12823188405797101</v>
      </c>
      <c r="G113" s="38">
        <v>0.23246376811594205</v>
      </c>
    </row>
    <row r="114" spans="1:8">
      <c r="A114" s="29" t="s">
        <v>45</v>
      </c>
      <c r="B114" s="53">
        <v>63.6</v>
      </c>
      <c r="C114" s="30">
        <f t="shared" si="1"/>
        <v>62.1</v>
      </c>
      <c r="D114" s="14">
        <v>0.55356132075471709</v>
      </c>
      <c r="E114" s="14">
        <v>0.13213679245283025</v>
      </c>
      <c r="F114" s="38">
        <v>0.13464150943396228</v>
      </c>
      <c r="G114" s="38">
        <v>0.23641509433962268</v>
      </c>
      <c r="H114">
        <f>B114*(1-E114)</f>
        <v>55.196099999999994</v>
      </c>
    </row>
    <row r="115" spans="1:8">
      <c r="A115" s="29" t="s">
        <v>46</v>
      </c>
      <c r="B115" s="53">
        <v>65.3</v>
      </c>
      <c r="C115" s="30">
        <f t="shared" si="1"/>
        <v>63.6</v>
      </c>
      <c r="D115" s="14">
        <v>0.56518376722817776</v>
      </c>
      <c r="E115" s="14">
        <v>0.13911026033690665</v>
      </c>
      <c r="F115" s="38">
        <v>0.14154977029096474</v>
      </c>
      <c r="G115" s="38">
        <v>0.24067381316998471</v>
      </c>
    </row>
    <row r="116" spans="1:8">
      <c r="A116" s="29" t="s">
        <v>47</v>
      </c>
      <c r="B116" s="53">
        <v>67.2</v>
      </c>
      <c r="C116" s="30">
        <f t="shared" si="1"/>
        <v>65.3</v>
      </c>
      <c r="D116" s="14">
        <v>0.57747767857142873</v>
      </c>
      <c r="E116" s="14">
        <v>0.14648660714285722</v>
      </c>
      <c r="F116" s="38">
        <v>0.14885714285714285</v>
      </c>
      <c r="G116" s="38">
        <v>0.24517857142857147</v>
      </c>
    </row>
    <row r="117" spans="1:8">
      <c r="A117" s="29" t="s">
        <v>48</v>
      </c>
      <c r="B117" s="53">
        <v>69.2</v>
      </c>
      <c r="C117" s="30">
        <f t="shared" si="1"/>
        <v>67.2</v>
      </c>
      <c r="D117" s="14">
        <v>0.58968930635838168</v>
      </c>
      <c r="E117" s="14">
        <v>0.15381358381502896</v>
      </c>
      <c r="F117" s="38">
        <v>0.15611560693641618</v>
      </c>
      <c r="G117" s="38">
        <v>0.24965317919075145</v>
      </c>
    </row>
    <row r="118" spans="1:8">
      <c r="A118" s="29" t="s">
        <v>49</v>
      </c>
      <c r="B118" s="53">
        <v>71.2</v>
      </c>
      <c r="C118" s="30">
        <f t="shared" si="1"/>
        <v>69.2</v>
      </c>
      <c r="D118" s="14">
        <v>0.60121488764044961</v>
      </c>
      <c r="E118" s="14">
        <v>0.16072893258426973</v>
      </c>
      <c r="F118" s="38">
        <v>0.16296629213483146</v>
      </c>
      <c r="G118" s="38">
        <v>0.25387640449438204</v>
      </c>
    </row>
    <row r="119" spans="1:8">
      <c r="A119" s="29" t="s">
        <v>50</v>
      </c>
      <c r="B119" s="53">
        <v>73.099999999999994</v>
      </c>
      <c r="C119" s="30">
        <f t="shared" si="1"/>
        <v>71.2</v>
      </c>
      <c r="D119" s="14">
        <v>0.61158002735978123</v>
      </c>
      <c r="E119" s="14">
        <v>0.16694801641586871</v>
      </c>
      <c r="F119" s="38">
        <v>0.16912722298221614</v>
      </c>
      <c r="G119" s="38">
        <v>0.25767441860465118</v>
      </c>
      <c r="H119">
        <f>B119*(1-E119)</f>
        <v>60.89609999999999</v>
      </c>
    </row>
    <row r="120" spans="1:8">
      <c r="A120" s="29" t="s">
        <v>51</v>
      </c>
      <c r="B120" s="53">
        <v>75.400000000000006</v>
      </c>
      <c r="C120" s="30">
        <f t="shared" si="1"/>
        <v>73.099999999999994</v>
      </c>
      <c r="D120" s="14">
        <v>0.62342838196286487</v>
      </c>
      <c r="E120" s="14">
        <v>0.1740570291777189</v>
      </c>
      <c r="F120" s="38">
        <v>0.17616976127320955</v>
      </c>
      <c r="G120" s="38">
        <v>0.26201591511936345</v>
      </c>
    </row>
    <row r="121" spans="1:8">
      <c r="A121" s="29" t="s">
        <v>52</v>
      </c>
      <c r="B121" s="53">
        <v>78.099999999999994</v>
      </c>
      <c r="C121" s="30">
        <f t="shared" si="1"/>
        <v>75.400000000000006</v>
      </c>
      <c r="D121" s="14">
        <v>0.63644686299615894</v>
      </c>
      <c r="E121" s="14">
        <v>0.18186811779769529</v>
      </c>
      <c r="F121" s="38">
        <v>0.18390781049935981</v>
      </c>
      <c r="G121" s="38">
        <v>0.26678617157490397</v>
      </c>
    </row>
    <row r="122" spans="1:8">
      <c r="A122" s="29" t="s">
        <v>53</v>
      </c>
      <c r="B122" s="53">
        <v>81.400000000000006</v>
      </c>
      <c r="C122" s="30">
        <f>B121</f>
        <v>78.099999999999994</v>
      </c>
      <c r="D122" s="14">
        <v>0.65118550368550387</v>
      </c>
      <c r="E122" s="14">
        <v>0.19071130221130231</v>
      </c>
      <c r="F122" s="38">
        <v>0.1926683046683047</v>
      </c>
      <c r="G122" s="38">
        <v>0.27218673218673217</v>
      </c>
    </row>
    <row r="123" spans="1:8">
      <c r="A123" s="29" t="s">
        <v>53</v>
      </c>
      <c r="B123" s="29" t="s">
        <v>115</v>
      </c>
      <c r="C123" s="30">
        <f t="shared" si="1"/>
        <v>81.400000000000006</v>
      </c>
      <c r="D123" s="11" t="s">
        <v>81</v>
      </c>
      <c r="E123" s="11"/>
      <c r="F123" s="39"/>
      <c r="G123" s="39"/>
    </row>
    <row r="124" spans="1:8">
      <c r="A124" s="29"/>
      <c r="B124" s="29"/>
      <c r="C124" s="29"/>
      <c r="D124" s="11"/>
      <c r="E124" s="32">
        <v>6.4882471112945095E-2</v>
      </c>
      <c r="F124" s="40">
        <v>6.6466402383608597E-2</v>
      </c>
      <c r="G124" s="40">
        <v>0.16348482012815893</v>
      </c>
    </row>
    <row r="125" spans="1:8" ht="26.25" customHeight="1">
      <c r="A125" s="33" t="s">
        <v>55</v>
      </c>
      <c r="B125" s="57">
        <v>28.9</v>
      </c>
      <c r="C125" s="29"/>
      <c r="D125" s="11"/>
      <c r="E125" s="169">
        <v>47.322499999999991</v>
      </c>
      <c r="F125" s="164">
        <v>46.88</v>
      </c>
      <c r="G125" s="170">
        <v>28.9</v>
      </c>
    </row>
    <row r="126" spans="1:8" ht="27.75" customHeight="1">
      <c r="A126" s="33" t="s">
        <v>56</v>
      </c>
      <c r="B126" s="57">
        <v>48.1</v>
      </c>
      <c r="C126" s="29"/>
      <c r="D126" s="11"/>
      <c r="E126" s="57"/>
      <c r="F126" s="167"/>
      <c r="G126" s="167"/>
    </row>
    <row r="127" spans="1:8" ht="37.5" customHeight="1">
      <c r="A127" s="35" t="s">
        <v>57</v>
      </c>
      <c r="B127" s="57">
        <v>27.7</v>
      </c>
      <c r="C127" s="29"/>
      <c r="D127" s="11"/>
      <c r="E127" s="57">
        <v>28.393499999999992</v>
      </c>
      <c r="F127" s="167">
        <v>28.128</v>
      </c>
      <c r="G127" s="167">
        <v>17.34</v>
      </c>
    </row>
    <row r="129" spans="1:7" ht="30" customHeight="1">
      <c r="A129" s="33" t="s">
        <v>56</v>
      </c>
      <c r="B129" s="168">
        <f>B126</f>
        <v>48.1</v>
      </c>
    </row>
    <row r="130" spans="1:7">
      <c r="A130" s="16" t="s">
        <v>64</v>
      </c>
      <c r="B130" s="17">
        <f>AVERAGE(B78:B117)</f>
        <v>47.322499999999991</v>
      </c>
      <c r="C130" s="17"/>
    </row>
    <row r="131" spans="1:7">
      <c r="A131" s="16" t="s">
        <v>65</v>
      </c>
      <c r="B131" s="18">
        <f>AVERAGE(B83:B112)</f>
        <v>46.88</v>
      </c>
      <c r="C131" s="18"/>
    </row>
    <row r="132" spans="1:7">
      <c r="A132" s="16" t="s">
        <v>66</v>
      </c>
      <c r="B132" s="18">
        <f>AVERAGE(B89:B107)</f>
        <v>47.068421052631585</v>
      </c>
      <c r="C132" s="18"/>
    </row>
    <row r="134" spans="1:7">
      <c r="A134" s="473" t="s">
        <v>0</v>
      </c>
      <c r="B134" s="473" t="s">
        <v>78</v>
      </c>
      <c r="C134" s="473"/>
      <c r="D134" s="473"/>
      <c r="E134" s="40">
        <f>(1-E189)^(1/3)-1</f>
        <v>-2.9306068529798668E-2</v>
      </c>
      <c r="F134" s="40">
        <f>(1-F189)^(1/3)-1</f>
        <v>-3.2747105051999958E-2</v>
      </c>
      <c r="G134" s="40"/>
    </row>
    <row r="135" spans="1:7" ht="48">
      <c r="A135" s="473"/>
      <c r="B135" s="11" t="s">
        <v>4</v>
      </c>
      <c r="C135" s="254"/>
      <c r="D135" s="11" t="s">
        <v>80</v>
      </c>
      <c r="E135" s="11" t="s">
        <v>5</v>
      </c>
      <c r="F135" s="39" t="s">
        <v>5</v>
      </c>
      <c r="G135" s="39"/>
    </row>
    <row r="136" spans="1:7">
      <c r="A136" s="473"/>
      <c r="B136" s="11" t="s">
        <v>9</v>
      </c>
      <c r="C136" s="254"/>
      <c r="D136" s="11" t="s">
        <v>7</v>
      </c>
      <c r="E136" s="11" t="s">
        <v>7</v>
      </c>
      <c r="F136" s="39" t="s">
        <v>7</v>
      </c>
      <c r="G136" s="39"/>
    </row>
    <row r="137" spans="1:7">
      <c r="A137" s="171">
        <v>1</v>
      </c>
      <c r="B137" s="172">
        <v>2</v>
      </c>
      <c r="C137" s="51"/>
      <c r="D137" s="172">
        <v>3</v>
      </c>
      <c r="E137" s="172">
        <v>4</v>
      </c>
      <c r="F137" s="173">
        <v>5</v>
      </c>
      <c r="G137" s="173"/>
    </row>
    <row r="138" spans="1:7">
      <c r="A138" s="27" t="s">
        <v>10</v>
      </c>
      <c r="B138" s="174">
        <v>0.35</v>
      </c>
      <c r="C138" s="255">
        <v>0</v>
      </c>
      <c r="D138" s="157">
        <v>0</v>
      </c>
      <c r="E138" s="14">
        <v>0</v>
      </c>
      <c r="F138" s="38">
        <v>0</v>
      </c>
      <c r="G138" s="38">
        <v>0</v>
      </c>
    </row>
    <row r="139" spans="1:7">
      <c r="A139" s="27" t="s">
        <v>58</v>
      </c>
      <c r="B139" s="174">
        <v>0.39</v>
      </c>
      <c r="C139" s="30">
        <f>B138</f>
        <v>0.35</v>
      </c>
      <c r="D139" s="157">
        <v>0</v>
      </c>
      <c r="E139" s="14">
        <v>0</v>
      </c>
      <c r="F139" s="38">
        <v>0</v>
      </c>
      <c r="G139" s="38">
        <v>0</v>
      </c>
    </row>
    <row r="140" spans="1:7">
      <c r="A140" s="27" t="s">
        <v>59</v>
      </c>
      <c r="B140" s="174">
        <v>0.43</v>
      </c>
      <c r="C140" s="30">
        <f t="shared" ref="C140:C188" si="2">B139</f>
        <v>0.39</v>
      </c>
      <c r="D140" s="157">
        <v>0</v>
      </c>
      <c r="E140" s="14">
        <v>0</v>
      </c>
      <c r="F140" s="38">
        <v>0</v>
      </c>
      <c r="G140" s="38">
        <v>0</v>
      </c>
    </row>
    <row r="141" spans="1:7">
      <c r="A141" s="27" t="s">
        <v>60</v>
      </c>
      <c r="B141" s="174">
        <v>0.47</v>
      </c>
      <c r="C141" s="30">
        <f t="shared" si="2"/>
        <v>0.43</v>
      </c>
      <c r="D141" s="157">
        <v>0</v>
      </c>
      <c r="E141" s="14">
        <v>0</v>
      </c>
      <c r="F141" s="38">
        <v>0</v>
      </c>
      <c r="G141" s="38">
        <v>0</v>
      </c>
    </row>
    <row r="142" spans="1:7">
      <c r="A142" s="27" t="s">
        <v>61</v>
      </c>
      <c r="B142" s="174">
        <v>0.52</v>
      </c>
      <c r="C142" s="30">
        <f t="shared" si="2"/>
        <v>0.47</v>
      </c>
      <c r="D142" s="157">
        <v>0</v>
      </c>
      <c r="E142" s="14">
        <v>0</v>
      </c>
      <c r="F142" s="38">
        <v>0</v>
      </c>
      <c r="G142" s="38">
        <v>0</v>
      </c>
    </row>
    <row r="143" spans="1:7">
      <c r="A143" s="27" t="s">
        <v>62</v>
      </c>
      <c r="B143" s="174">
        <v>0.54</v>
      </c>
      <c r="C143" s="30">
        <f t="shared" si="2"/>
        <v>0.52</v>
      </c>
      <c r="D143" s="157">
        <v>0</v>
      </c>
      <c r="E143" s="14">
        <v>0</v>
      </c>
      <c r="F143" s="38">
        <v>0</v>
      </c>
      <c r="G143" s="38">
        <v>0</v>
      </c>
    </row>
    <row r="144" spans="1:7">
      <c r="A144" s="27" t="s">
        <v>63</v>
      </c>
      <c r="B144" s="174">
        <v>0.57999999999999996</v>
      </c>
      <c r="C144" s="30">
        <f t="shared" si="2"/>
        <v>0.54</v>
      </c>
      <c r="D144" s="157">
        <v>0</v>
      </c>
      <c r="E144" s="14">
        <v>0</v>
      </c>
      <c r="F144" s="38">
        <v>0</v>
      </c>
      <c r="G144" s="38">
        <v>0</v>
      </c>
    </row>
    <row r="145" spans="1:7">
      <c r="A145" s="29" t="s">
        <v>11</v>
      </c>
      <c r="B145" s="174">
        <v>0.62</v>
      </c>
      <c r="C145" s="30">
        <f t="shared" si="2"/>
        <v>0.57999999999999996</v>
      </c>
      <c r="D145" s="157">
        <v>0</v>
      </c>
      <c r="E145" s="14">
        <v>0</v>
      </c>
      <c r="F145" s="38">
        <v>0</v>
      </c>
      <c r="G145" s="38">
        <v>0</v>
      </c>
    </row>
    <row r="146" spans="1:7">
      <c r="A146" s="29" t="s">
        <v>12</v>
      </c>
      <c r="B146" s="174">
        <v>0.66</v>
      </c>
      <c r="C146" s="30">
        <f t="shared" si="2"/>
        <v>0.62</v>
      </c>
      <c r="D146" s="157">
        <v>0</v>
      </c>
      <c r="E146" s="14">
        <v>0</v>
      </c>
      <c r="F146" s="38">
        <v>0</v>
      </c>
      <c r="G146" s="38">
        <v>0</v>
      </c>
    </row>
    <row r="147" spans="1:7">
      <c r="A147" s="29" t="s">
        <v>13</v>
      </c>
      <c r="B147" s="174">
        <v>0.7</v>
      </c>
      <c r="C147" s="30">
        <f t="shared" si="2"/>
        <v>0.66</v>
      </c>
      <c r="D147" s="157">
        <v>0</v>
      </c>
      <c r="E147" s="14">
        <v>0</v>
      </c>
      <c r="F147" s="38">
        <v>0</v>
      </c>
      <c r="G147" s="38">
        <v>0</v>
      </c>
    </row>
    <row r="148" spans="1:7">
      <c r="A148" s="29" t="s">
        <v>14</v>
      </c>
      <c r="B148" s="174">
        <v>0.74</v>
      </c>
      <c r="C148" s="30">
        <f t="shared" si="2"/>
        <v>0.7</v>
      </c>
      <c r="D148" s="157">
        <v>0</v>
      </c>
      <c r="E148" s="14">
        <v>0</v>
      </c>
      <c r="F148" s="38">
        <v>0</v>
      </c>
      <c r="G148" s="38">
        <v>0</v>
      </c>
    </row>
    <row r="149" spans="1:7">
      <c r="A149" s="29" t="s">
        <v>15</v>
      </c>
      <c r="B149" s="174">
        <v>0.78</v>
      </c>
      <c r="C149" s="30">
        <f t="shared" si="2"/>
        <v>0.74</v>
      </c>
      <c r="D149" s="157">
        <v>0</v>
      </c>
      <c r="E149" s="14">
        <v>0</v>
      </c>
      <c r="F149" s="38">
        <v>0</v>
      </c>
      <c r="G149" s="38">
        <v>0</v>
      </c>
    </row>
    <row r="150" spans="1:7">
      <c r="A150" s="29" t="s">
        <v>16</v>
      </c>
      <c r="B150" s="174">
        <v>0.83</v>
      </c>
      <c r="C150" s="30">
        <f t="shared" si="2"/>
        <v>0.78</v>
      </c>
      <c r="D150" s="157">
        <v>0</v>
      </c>
      <c r="E150" s="14">
        <v>0</v>
      </c>
      <c r="F150" s="38">
        <v>0</v>
      </c>
      <c r="G150" s="38">
        <v>0</v>
      </c>
    </row>
    <row r="151" spans="1:7">
      <c r="A151" s="29" t="s">
        <v>17</v>
      </c>
      <c r="B151" s="174">
        <v>0.88</v>
      </c>
      <c r="C151" s="30">
        <f t="shared" si="2"/>
        <v>0.83</v>
      </c>
      <c r="D151" s="157">
        <v>0</v>
      </c>
      <c r="E151" s="14">
        <v>0</v>
      </c>
      <c r="F151" s="38">
        <v>0</v>
      </c>
      <c r="G151" s="38">
        <v>0</v>
      </c>
    </row>
    <row r="152" spans="1:7">
      <c r="A152" s="29" t="s">
        <v>18</v>
      </c>
      <c r="B152" s="174">
        <v>0.93</v>
      </c>
      <c r="C152" s="30">
        <f t="shared" si="2"/>
        <v>0.88</v>
      </c>
      <c r="D152" s="157">
        <v>0</v>
      </c>
      <c r="E152" s="14">
        <v>0</v>
      </c>
      <c r="F152" s="38">
        <v>0</v>
      </c>
      <c r="G152" s="38">
        <v>0</v>
      </c>
    </row>
    <row r="153" spans="1:7">
      <c r="A153" s="29" t="s">
        <v>19</v>
      </c>
      <c r="B153" s="174">
        <v>0.97</v>
      </c>
      <c r="C153" s="30">
        <f t="shared" si="2"/>
        <v>0.93</v>
      </c>
      <c r="D153" s="157">
        <v>0</v>
      </c>
      <c r="E153" s="14">
        <v>0</v>
      </c>
      <c r="F153" s="38">
        <v>0</v>
      </c>
      <c r="G153" s="38">
        <v>0</v>
      </c>
    </row>
    <row r="154" spans="1:7">
      <c r="A154" s="29" t="s">
        <v>20</v>
      </c>
      <c r="B154" s="174">
        <v>1.02</v>
      </c>
      <c r="C154" s="30">
        <f t="shared" si="2"/>
        <v>0.97</v>
      </c>
      <c r="D154" s="157">
        <v>0</v>
      </c>
      <c r="E154" s="14">
        <v>0</v>
      </c>
      <c r="F154" s="38">
        <v>3.7647058823529508E-3</v>
      </c>
      <c r="G154" s="38">
        <v>0</v>
      </c>
    </row>
    <row r="155" spans="1:7">
      <c r="A155" s="29" t="s">
        <v>21</v>
      </c>
      <c r="B155" s="174">
        <v>1.06</v>
      </c>
      <c r="C155" s="30">
        <f t="shared" si="2"/>
        <v>1.02</v>
      </c>
      <c r="D155" s="157">
        <v>0</v>
      </c>
      <c r="E155" s="14">
        <v>0</v>
      </c>
      <c r="F155" s="38">
        <v>7.3962264150943518E-3</v>
      </c>
      <c r="G155" s="38">
        <v>0</v>
      </c>
    </row>
    <row r="156" spans="1:7">
      <c r="A156" s="29" t="s">
        <v>22</v>
      </c>
      <c r="B156" s="174">
        <v>1.1100000000000001</v>
      </c>
      <c r="C156" s="30">
        <f t="shared" si="2"/>
        <v>1.06</v>
      </c>
      <c r="D156" s="157">
        <v>3.3918918918918878E-2</v>
      </c>
      <c r="E156" s="14"/>
      <c r="F156" s="38">
        <v>1.1567567567567582E-2</v>
      </c>
      <c r="G156" s="38">
        <v>0</v>
      </c>
    </row>
    <row r="157" spans="1:7">
      <c r="A157" s="29" t="s">
        <v>23</v>
      </c>
      <c r="B157" s="174">
        <v>1.1499999999999999</v>
      </c>
      <c r="C157" s="30">
        <f t="shared" si="2"/>
        <v>1.1100000000000001</v>
      </c>
      <c r="D157" s="157">
        <v>6.7521739130434591E-2</v>
      </c>
      <c r="E157" s="14"/>
      <c r="F157" s="38">
        <v>1.4643478260869567E-2</v>
      </c>
      <c r="G157" s="38">
        <v>0</v>
      </c>
    </row>
    <row r="158" spans="1:7">
      <c r="A158" s="29" t="s">
        <v>24</v>
      </c>
      <c r="B158" s="174">
        <v>1.19</v>
      </c>
      <c r="C158" s="30">
        <f t="shared" si="2"/>
        <v>1.1499999999999999</v>
      </c>
      <c r="D158" s="157">
        <v>9.8865546218487241E-2</v>
      </c>
      <c r="E158" s="14">
        <v>9.8865546218487241E-3</v>
      </c>
      <c r="F158" s="38">
        <v>1.7512605042016811E-2</v>
      </c>
      <c r="G158" s="38">
        <v>0</v>
      </c>
    </row>
    <row r="159" spans="1:7">
      <c r="A159" s="29" t="s">
        <v>25</v>
      </c>
      <c r="B159" s="174">
        <v>1.22</v>
      </c>
      <c r="C159" s="30">
        <f t="shared" si="2"/>
        <v>1.19</v>
      </c>
      <c r="D159" s="157">
        <v>0.1210245901639343</v>
      </c>
      <c r="E159" s="14">
        <v>1.2102459016393431E-2</v>
      </c>
      <c r="F159" s="38">
        <v>1.9540983606557382E-2</v>
      </c>
      <c r="G159" s="38">
        <v>0</v>
      </c>
    </row>
    <row r="160" spans="1:7">
      <c r="A160" s="29" t="s">
        <v>26</v>
      </c>
      <c r="B160" s="174">
        <v>1.32</v>
      </c>
      <c r="C160" s="30">
        <f t="shared" si="2"/>
        <v>1.22</v>
      </c>
      <c r="D160" s="157">
        <v>0.18761363636363629</v>
      </c>
      <c r="E160" s="14">
        <v>1.8761363636363632E-2</v>
      </c>
      <c r="F160" s="38">
        <v>2.5636363636363648E-2</v>
      </c>
      <c r="G160" s="38">
        <v>0</v>
      </c>
    </row>
    <row r="161" spans="1:7">
      <c r="A161" s="29" t="s">
        <v>27</v>
      </c>
      <c r="B161" s="174">
        <v>1.42</v>
      </c>
      <c r="C161" s="30">
        <f t="shared" si="2"/>
        <v>1.32</v>
      </c>
      <c r="D161" s="157">
        <v>0.24482394366197169</v>
      </c>
      <c r="E161" s="14">
        <v>2.4482394366197174E-2</v>
      </c>
      <c r="F161" s="38">
        <v>3.0873239436619723E-2</v>
      </c>
      <c r="G161" s="38">
        <v>0</v>
      </c>
    </row>
    <row r="162" spans="1:7">
      <c r="A162" s="29" t="s">
        <v>28</v>
      </c>
      <c r="B162" s="174">
        <v>1.48</v>
      </c>
      <c r="C162" s="30">
        <f t="shared" si="2"/>
        <v>1.42</v>
      </c>
      <c r="D162" s="157">
        <v>0.27543918918918908</v>
      </c>
      <c r="E162" s="14">
        <v>2.754391891891891E-2</v>
      </c>
      <c r="F162" s="38">
        <v>3.3675675675675684E-2</v>
      </c>
      <c r="G162" s="38">
        <v>3.5135135135135171E-3</v>
      </c>
    </row>
    <row r="163" spans="1:7">
      <c r="A163" s="29" t="s">
        <v>29</v>
      </c>
      <c r="B163" s="174">
        <v>1.56</v>
      </c>
      <c r="C163" s="30">
        <f t="shared" si="2"/>
        <v>1.48</v>
      </c>
      <c r="D163" s="157">
        <v>0.3125961538461538</v>
      </c>
      <c r="E163" s="14">
        <v>3.1259615384615379E-2</v>
      </c>
      <c r="F163" s="38">
        <v>3.7076923076923084E-2</v>
      </c>
      <c r="G163" s="38">
        <v>8.4615384615384683E-3</v>
      </c>
    </row>
    <row r="164" spans="1:7">
      <c r="A164" s="29" t="s">
        <v>30</v>
      </c>
      <c r="B164" s="174">
        <v>1.62</v>
      </c>
      <c r="C164" s="30">
        <f t="shared" si="2"/>
        <v>1.56</v>
      </c>
      <c r="D164" s="157">
        <v>0.3380555555555555</v>
      </c>
      <c r="E164" s="14">
        <v>3.3805555555555554E-2</v>
      </c>
      <c r="F164" s="38">
        <v>3.9407407407407419E-2</v>
      </c>
      <c r="G164" s="38">
        <v>1.1851851851851863E-2</v>
      </c>
    </row>
    <row r="165" spans="1:7">
      <c r="A165" s="29" t="s">
        <v>31</v>
      </c>
      <c r="B165" s="174">
        <v>1.69</v>
      </c>
      <c r="C165" s="30">
        <f t="shared" si="2"/>
        <v>1.62</v>
      </c>
      <c r="D165" s="157">
        <v>0.36547337278106501</v>
      </c>
      <c r="E165" s="14">
        <v>3.6547337278106502E-2</v>
      </c>
      <c r="F165" s="38">
        <v>5.1502958579881672E-2</v>
      </c>
      <c r="G165" s="38">
        <v>1.5502958579881657E-2</v>
      </c>
    </row>
    <row r="166" spans="1:7">
      <c r="A166" s="29" t="s">
        <v>32</v>
      </c>
      <c r="B166" s="174">
        <v>1.76</v>
      </c>
      <c r="C166" s="30">
        <f t="shared" si="2"/>
        <v>1.69</v>
      </c>
      <c r="D166" s="157">
        <v>0.3907102272727272</v>
      </c>
      <c r="E166" s="14">
        <v>3.9071022727272725E-2</v>
      </c>
      <c r="F166" s="38">
        <v>6.5363636363636388E-2</v>
      </c>
      <c r="G166" s="38">
        <v>1.8863636363636367E-2</v>
      </c>
    </row>
    <row r="167" spans="1:7">
      <c r="A167" s="29" t="s">
        <v>33</v>
      </c>
      <c r="B167" s="174">
        <v>1.84</v>
      </c>
      <c r="C167" s="30">
        <f t="shared" si="2"/>
        <v>1.76</v>
      </c>
      <c r="D167" s="157">
        <v>0.41720108695652169</v>
      </c>
      <c r="E167" s="14">
        <v>5.0320652173913016E-2</v>
      </c>
      <c r="F167" s="38">
        <v>7.9913043478260892E-2</v>
      </c>
      <c r="G167" s="38">
        <v>2.2391304347826095E-2</v>
      </c>
    </row>
    <row r="168" spans="1:7">
      <c r="A168" s="29" t="s">
        <v>34</v>
      </c>
      <c r="B168" s="174">
        <v>1.94</v>
      </c>
      <c r="C168" s="30">
        <f t="shared" si="2"/>
        <v>1.84</v>
      </c>
      <c r="D168" s="157">
        <v>0.44724226804123701</v>
      </c>
      <c r="E168" s="14">
        <v>6.8345360824742213E-2</v>
      </c>
      <c r="F168" s="38">
        <v>9.6412371134020639E-2</v>
      </c>
      <c r="G168" s="38">
        <v>2.6391752577319589E-2</v>
      </c>
    </row>
    <row r="169" spans="1:7">
      <c r="A169" s="29" t="s">
        <v>35</v>
      </c>
      <c r="B169" s="174">
        <v>2.0299999999999998</v>
      </c>
      <c r="C169" s="30">
        <f t="shared" si="2"/>
        <v>1.94</v>
      </c>
      <c r="D169" s="157">
        <v>0.47174876847290631</v>
      </c>
      <c r="E169" s="14">
        <v>8.3049261083743775E-2</v>
      </c>
      <c r="F169" s="38">
        <v>0.10987192118226601</v>
      </c>
      <c r="G169" s="38">
        <v>2.9655172413793101E-2</v>
      </c>
    </row>
    <row r="170" spans="1:7">
      <c r="A170" s="29" t="s">
        <v>36</v>
      </c>
      <c r="B170" s="174">
        <v>2.11</v>
      </c>
      <c r="C170" s="30">
        <f t="shared" si="2"/>
        <v>2.0299999999999998</v>
      </c>
      <c r="D170" s="157">
        <v>0.49177725118483401</v>
      </c>
      <c r="E170" s="14">
        <v>9.5066350710900416E-2</v>
      </c>
      <c r="F170" s="38">
        <v>0.12087203791469195</v>
      </c>
      <c r="G170" s="38">
        <v>3.2322274881516587E-2</v>
      </c>
    </row>
    <row r="171" spans="1:7">
      <c r="A171" s="29" t="s">
        <v>37</v>
      </c>
      <c r="B171" s="174">
        <v>2.2200000000000002</v>
      </c>
      <c r="C171" s="30">
        <f t="shared" si="2"/>
        <v>2.11</v>
      </c>
      <c r="D171" s="157">
        <v>0.51695945945945943</v>
      </c>
      <c r="E171" s="14">
        <v>0.11017567567567568</v>
      </c>
      <c r="F171" s="38">
        <v>0.13470270270270276</v>
      </c>
      <c r="G171" s="38">
        <v>3.5675675675675686E-2</v>
      </c>
    </row>
    <row r="172" spans="1:7">
      <c r="A172" s="29" t="s">
        <v>38</v>
      </c>
      <c r="B172" s="174">
        <v>2.33</v>
      </c>
      <c r="C172" s="30">
        <f t="shared" si="2"/>
        <v>2.2200000000000002</v>
      </c>
      <c r="D172" s="157">
        <v>0.53976394849785403</v>
      </c>
      <c r="E172" s="14">
        <v>0.12385836909871242</v>
      </c>
      <c r="F172" s="38">
        <v>0.14722746781115884</v>
      </c>
      <c r="G172" s="38">
        <v>3.8712446351931336E-2</v>
      </c>
    </row>
    <row r="173" spans="1:7">
      <c r="A173" s="29" t="s">
        <v>39</v>
      </c>
      <c r="B173" s="174">
        <v>2.4300000000000002</v>
      </c>
      <c r="C173" s="30">
        <f t="shared" si="2"/>
        <v>2.33</v>
      </c>
      <c r="D173" s="157">
        <v>0.5587037037037037</v>
      </c>
      <c r="E173" s="14">
        <v>0.13522222222222222</v>
      </c>
      <c r="F173" s="38">
        <v>0.15762962962962968</v>
      </c>
      <c r="G173" s="38">
        <v>4.7407407407407447E-2</v>
      </c>
    </row>
    <row r="174" spans="1:7">
      <c r="A174" s="29" t="s">
        <v>40</v>
      </c>
      <c r="B174" s="174">
        <v>2.61</v>
      </c>
      <c r="C174" s="30">
        <f t="shared" si="2"/>
        <v>2.4300000000000002</v>
      </c>
      <c r="D174" s="157">
        <v>0.58913793103448264</v>
      </c>
      <c r="E174" s="14">
        <v>0.15348275862068961</v>
      </c>
      <c r="F174" s="38">
        <v>0.1743448275862069</v>
      </c>
      <c r="G174" s="38">
        <v>7.1724137931034493E-2</v>
      </c>
    </row>
    <row r="175" spans="1:7">
      <c r="A175" s="29" t="s">
        <v>41</v>
      </c>
      <c r="B175" s="174">
        <v>2.79</v>
      </c>
      <c r="C175" s="30">
        <f t="shared" si="2"/>
        <v>2.61</v>
      </c>
      <c r="D175" s="157">
        <v>0.61564516129032254</v>
      </c>
      <c r="E175" s="14">
        <v>0.16938709677419353</v>
      </c>
      <c r="F175" s="38">
        <v>0.18890322580645164</v>
      </c>
      <c r="G175" s="38">
        <v>9.2903225806451648E-2</v>
      </c>
    </row>
    <row r="176" spans="1:7">
      <c r="A176" s="29" t="s">
        <v>42</v>
      </c>
      <c r="B176" s="174">
        <v>2.94</v>
      </c>
      <c r="C176" s="30">
        <f t="shared" si="2"/>
        <v>2.79</v>
      </c>
      <c r="D176" s="157">
        <v>0.63525510204081626</v>
      </c>
      <c r="E176" s="14">
        <v>0.18115306122448976</v>
      </c>
      <c r="F176" s="38">
        <v>0.1996734693877551</v>
      </c>
      <c r="G176" s="38">
        <v>0.10857142857142858</v>
      </c>
    </row>
    <row r="177" spans="1:7">
      <c r="A177" s="29" t="s">
        <v>43</v>
      </c>
      <c r="B177" s="174">
        <v>3.11</v>
      </c>
      <c r="C177" s="30">
        <f t="shared" si="2"/>
        <v>2.94</v>
      </c>
      <c r="D177" s="157">
        <v>0.655192926045016</v>
      </c>
      <c r="E177" s="14">
        <v>0.19311575562700964</v>
      </c>
      <c r="F177" s="38">
        <v>0.21062379421221869</v>
      </c>
      <c r="G177" s="38">
        <v>0.1245016077170418</v>
      </c>
    </row>
    <row r="178" spans="1:7">
      <c r="A178" s="29" t="s">
        <v>44</v>
      </c>
      <c r="B178" s="174">
        <v>3.28</v>
      </c>
      <c r="C178" s="30">
        <f t="shared" si="2"/>
        <v>3.11</v>
      </c>
      <c r="D178" s="157">
        <v>0.67306402439024382</v>
      </c>
      <c r="E178" s="14">
        <v>0.20383841463414631</v>
      </c>
      <c r="F178" s="38">
        <v>0.22043902439024388</v>
      </c>
      <c r="G178" s="38">
        <v>0.13878048780487806</v>
      </c>
    </row>
    <row r="179" spans="1:7">
      <c r="A179" s="29" t="s">
        <v>45</v>
      </c>
      <c r="B179" s="174">
        <v>3.52</v>
      </c>
      <c r="C179" s="30">
        <f t="shared" si="2"/>
        <v>3.28</v>
      </c>
      <c r="D179" s="157">
        <v>0.6953551136363636</v>
      </c>
      <c r="E179" s="14">
        <v>0.21721306818181818</v>
      </c>
      <c r="F179" s="38">
        <v>0.23268181818181818</v>
      </c>
      <c r="G179" s="38">
        <v>0.15659090909090914</v>
      </c>
    </row>
    <row r="180" spans="1:7">
      <c r="A180" s="29" t="s">
        <v>46</v>
      </c>
      <c r="B180" s="174">
        <v>3.8</v>
      </c>
      <c r="C180" s="30">
        <f t="shared" si="2"/>
        <v>3.52</v>
      </c>
      <c r="D180" s="157">
        <v>0.7178026315789473</v>
      </c>
      <c r="E180" s="14">
        <v>0.23068157894736843</v>
      </c>
      <c r="F180" s="38">
        <v>0.24501052631578946</v>
      </c>
      <c r="G180" s="38">
        <v>0.1745263157894737</v>
      </c>
    </row>
    <row r="181" spans="1:7">
      <c r="A181" s="29" t="s">
        <v>47</v>
      </c>
      <c r="B181" s="174">
        <v>4.1500000000000004</v>
      </c>
      <c r="C181" s="30">
        <f t="shared" si="2"/>
        <v>3.8</v>
      </c>
      <c r="D181" s="157">
        <v>0.74160240963855417</v>
      </c>
      <c r="E181" s="14">
        <v>0.24496144578313253</v>
      </c>
      <c r="F181" s="38">
        <v>0.25808192771084337</v>
      </c>
      <c r="G181" s="38">
        <v>0.19354216867469881</v>
      </c>
    </row>
    <row r="182" spans="1:7">
      <c r="A182" s="29" t="s">
        <v>48</v>
      </c>
      <c r="B182" s="174">
        <v>4.5599999999999996</v>
      </c>
      <c r="C182" s="30">
        <f t="shared" si="2"/>
        <v>4.1500000000000004</v>
      </c>
      <c r="D182" s="157">
        <v>0.76483552631578944</v>
      </c>
      <c r="E182" s="14">
        <v>0.25890131578947367</v>
      </c>
      <c r="F182" s="38">
        <v>0.27084210526315783</v>
      </c>
      <c r="G182" s="38">
        <v>0.21210526315789471</v>
      </c>
    </row>
    <row r="183" spans="1:7">
      <c r="A183" s="29" t="s">
        <v>49</v>
      </c>
      <c r="B183" s="174">
        <v>5.17</v>
      </c>
      <c r="C183" s="30">
        <f t="shared" si="2"/>
        <v>4.5599999999999996</v>
      </c>
      <c r="D183" s="157">
        <v>0.79258220502901355</v>
      </c>
      <c r="E183" s="14">
        <v>0.27554932301740814</v>
      </c>
      <c r="F183" s="38">
        <v>0.28608123791102513</v>
      </c>
      <c r="G183" s="38">
        <v>0.23427466150870407</v>
      </c>
    </row>
    <row r="184" spans="1:7">
      <c r="A184" s="29" t="s">
        <v>50</v>
      </c>
      <c r="B184" s="174">
        <v>5.97</v>
      </c>
      <c r="C184" s="30">
        <f t="shared" si="2"/>
        <v>5.17</v>
      </c>
      <c r="D184" s="157">
        <v>0.82037688442211054</v>
      </c>
      <c r="E184" s="14">
        <v>0.2922261306532663</v>
      </c>
      <c r="F184" s="38">
        <v>0.30134673366834169</v>
      </c>
      <c r="G184" s="38">
        <v>0.25648241206030148</v>
      </c>
    </row>
    <row r="185" spans="1:7">
      <c r="A185" s="29" t="s">
        <v>51</v>
      </c>
      <c r="B185" s="174">
        <v>6.53</v>
      </c>
      <c r="C185" s="30">
        <f t="shared" si="2"/>
        <v>5.97</v>
      </c>
      <c r="D185" s="157">
        <v>0.83578101071975497</v>
      </c>
      <c r="E185" s="14">
        <v>0.30146860643185297</v>
      </c>
      <c r="F185" s="38">
        <v>0.30980704441041351</v>
      </c>
      <c r="G185" s="38">
        <v>0.26879019908116386</v>
      </c>
    </row>
    <row r="186" spans="1:7">
      <c r="A186" s="29" t="s">
        <v>52</v>
      </c>
      <c r="B186" s="174">
        <v>7.21</v>
      </c>
      <c r="C186" s="30">
        <f t="shared" si="2"/>
        <v>6.53</v>
      </c>
      <c r="D186" s="157">
        <v>0.85126907073509017</v>
      </c>
      <c r="E186" s="14">
        <v>0.31076144244105403</v>
      </c>
      <c r="F186" s="38">
        <v>0.31831345353675455</v>
      </c>
      <c r="G186" s="38">
        <v>0.28116504854368934</v>
      </c>
    </row>
    <row r="187" spans="1:7">
      <c r="A187" s="29" t="s">
        <v>53</v>
      </c>
      <c r="B187" s="174">
        <v>8.69</v>
      </c>
      <c r="C187" s="30">
        <f>B186</f>
        <v>7.21</v>
      </c>
      <c r="D187" s="157">
        <v>0.87659953970080551</v>
      </c>
      <c r="E187" s="14">
        <v>0.32595972382048333</v>
      </c>
      <c r="F187" s="38">
        <v>0.33222554660529346</v>
      </c>
      <c r="G187" s="38">
        <v>0.30140391254315307</v>
      </c>
    </row>
    <row r="188" spans="1:7">
      <c r="A188" s="29" t="s">
        <v>53</v>
      </c>
      <c r="B188" s="29" t="s">
        <v>116</v>
      </c>
      <c r="C188" s="30">
        <f t="shared" si="2"/>
        <v>8.69</v>
      </c>
      <c r="D188" s="175"/>
      <c r="E188" s="11"/>
      <c r="F188" s="39"/>
      <c r="G188" s="39"/>
    </row>
    <row r="189" spans="1:7" ht="15.75" thickBot="1">
      <c r="A189" s="176"/>
      <c r="B189" s="29"/>
      <c r="C189" s="4"/>
      <c r="D189" s="58"/>
      <c r="E189" s="32">
        <v>8.5366838020930078E-2</v>
      </c>
      <c r="F189" s="40">
        <v>9.5059313595800207E-2</v>
      </c>
      <c r="G189" s="40">
        <v>5.8122226214134293E-2</v>
      </c>
    </row>
    <row r="190" spans="1:7" ht="16.5" customHeight="1" thickBot="1">
      <c r="A190" s="33" t="s">
        <v>55</v>
      </c>
      <c r="B190" s="29">
        <v>2.38</v>
      </c>
      <c r="C190" s="4"/>
      <c r="D190" s="58"/>
      <c r="E190" s="169">
        <v>1.7872500000000002</v>
      </c>
      <c r="F190" s="164">
        <v>1.6359999999999999</v>
      </c>
      <c r="G190" s="170">
        <v>2.38</v>
      </c>
    </row>
    <row r="191" spans="1:7" ht="25.5" customHeight="1" thickBot="1">
      <c r="A191" s="33" t="s">
        <v>56</v>
      </c>
      <c r="B191" s="29">
        <v>2.19</v>
      </c>
      <c r="C191" s="4"/>
      <c r="D191" s="11"/>
      <c r="E191" s="57"/>
      <c r="F191" s="167"/>
      <c r="G191" s="167"/>
    </row>
    <row r="192" spans="1:7" ht="37.5" customHeight="1" thickBot="1">
      <c r="A192" s="35" t="s">
        <v>57</v>
      </c>
      <c r="B192" s="57">
        <v>1.31</v>
      </c>
      <c r="C192" s="4"/>
      <c r="D192" s="11"/>
      <c r="E192" s="57">
        <v>1.0723500000000001</v>
      </c>
      <c r="F192" s="167">
        <v>0.98159999999999992</v>
      </c>
      <c r="G192" s="167">
        <v>1.4279999999999999</v>
      </c>
    </row>
    <row r="195" spans="1:7">
      <c r="A195" s="16" t="s">
        <v>64</v>
      </c>
      <c r="B195" s="17">
        <f>AVERAGE(B143:B182)</f>
        <v>1.7872500000000002</v>
      </c>
      <c r="C195" s="17"/>
    </row>
    <row r="196" spans="1:7">
      <c r="A196" s="16" t="s">
        <v>65</v>
      </c>
      <c r="B196" s="18">
        <f>AVERAGE(B148:B177)</f>
        <v>1.6359999999999999</v>
      </c>
      <c r="C196" s="18"/>
    </row>
    <row r="197" spans="1:7">
      <c r="A197" s="16" t="s">
        <v>66</v>
      </c>
      <c r="B197" s="18">
        <f>AVERAGE(B154:B172)</f>
        <v>1.5826315789473684</v>
      </c>
      <c r="C197" s="18"/>
    </row>
    <row r="200" spans="1:7" ht="15" customHeight="1">
      <c r="A200" s="470" t="s">
        <v>0</v>
      </c>
      <c r="B200" s="473" t="s">
        <v>3</v>
      </c>
      <c r="C200" s="473"/>
      <c r="D200" s="473"/>
      <c r="E200" s="40">
        <f>(1-E255)^(1/3)-1</f>
        <v>-2.85086789475828E-2</v>
      </c>
      <c r="F200" s="40">
        <f>(1-F255)^(1/3)-1</f>
        <v>-3.1979624038370291E-2</v>
      </c>
      <c r="G200" s="40"/>
    </row>
    <row r="201" spans="1:7" ht="46.5" customHeight="1">
      <c r="A201" s="471"/>
      <c r="B201" s="57" t="s">
        <v>4</v>
      </c>
      <c r="C201" s="11"/>
      <c r="D201" s="57" t="s">
        <v>80</v>
      </c>
      <c r="E201" s="11" t="s">
        <v>5</v>
      </c>
      <c r="F201" s="39" t="s">
        <v>5</v>
      </c>
      <c r="G201" s="39"/>
    </row>
    <row r="202" spans="1:7">
      <c r="A202" s="472"/>
      <c r="B202" s="11" t="s">
        <v>9</v>
      </c>
      <c r="C202" s="11"/>
      <c r="D202" s="11" t="s">
        <v>7</v>
      </c>
      <c r="E202" s="177" t="s">
        <v>65</v>
      </c>
      <c r="F202" s="178"/>
      <c r="G202" s="179"/>
    </row>
    <row r="203" spans="1:7">
      <c r="A203" s="50">
        <v>1</v>
      </c>
      <c r="B203" s="51">
        <v>2</v>
      </c>
      <c r="C203" s="51"/>
      <c r="D203" s="51">
        <v>3</v>
      </c>
      <c r="E203" s="51">
        <v>4</v>
      </c>
      <c r="F203" s="52">
        <v>5</v>
      </c>
      <c r="G203" s="52"/>
    </row>
    <row r="204" spans="1:7">
      <c r="A204" s="27" t="s">
        <v>10</v>
      </c>
      <c r="B204" s="180">
        <v>0.51</v>
      </c>
      <c r="C204" s="163">
        <v>0</v>
      </c>
      <c r="D204" s="14">
        <v>0</v>
      </c>
      <c r="E204" s="14">
        <v>0</v>
      </c>
      <c r="F204" s="38">
        <v>0</v>
      </c>
      <c r="G204" s="38">
        <v>0</v>
      </c>
    </row>
    <row r="205" spans="1:7">
      <c r="A205" s="27" t="s">
        <v>58</v>
      </c>
      <c r="B205" s="180">
        <v>0.6</v>
      </c>
      <c r="C205" s="30">
        <f>B204</f>
        <v>0.51</v>
      </c>
      <c r="D205" s="14">
        <v>0</v>
      </c>
      <c r="E205" s="14">
        <v>0</v>
      </c>
      <c r="F205" s="38">
        <v>0</v>
      </c>
      <c r="G205" s="38">
        <v>0</v>
      </c>
    </row>
    <row r="206" spans="1:7">
      <c r="A206" s="27" t="s">
        <v>59</v>
      </c>
      <c r="B206" s="180">
        <v>0.68</v>
      </c>
      <c r="C206" s="30">
        <f t="shared" ref="C206:C254" si="3">B205</f>
        <v>0.6</v>
      </c>
      <c r="D206" s="14">
        <v>0</v>
      </c>
      <c r="E206" s="14">
        <v>0</v>
      </c>
      <c r="F206" s="38">
        <v>0</v>
      </c>
      <c r="G206" s="38">
        <v>0</v>
      </c>
    </row>
    <row r="207" spans="1:7">
      <c r="A207" s="27" t="s">
        <v>60</v>
      </c>
      <c r="B207" s="180">
        <v>0.76</v>
      </c>
      <c r="C207" s="30">
        <f t="shared" si="3"/>
        <v>0.68</v>
      </c>
      <c r="D207" s="14">
        <v>0</v>
      </c>
      <c r="E207" s="14">
        <v>0</v>
      </c>
      <c r="F207" s="38">
        <v>0</v>
      </c>
      <c r="G207" s="38">
        <v>0</v>
      </c>
    </row>
    <row r="208" spans="1:7">
      <c r="A208" s="27" t="s">
        <v>61</v>
      </c>
      <c r="B208" s="180">
        <v>0.86</v>
      </c>
      <c r="C208" s="30">
        <f t="shared" si="3"/>
        <v>0.76</v>
      </c>
      <c r="D208" s="14">
        <v>0</v>
      </c>
      <c r="E208" s="14">
        <v>0</v>
      </c>
      <c r="F208" s="38">
        <v>0</v>
      </c>
      <c r="G208" s="38">
        <v>0</v>
      </c>
    </row>
    <row r="209" spans="1:7">
      <c r="A209" s="27" t="s">
        <v>62</v>
      </c>
      <c r="B209" s="180">
        <v>0.94</v>
      </c>
      <c r="C209" s="30">
        <f t="shared" si="3"/>
        <v>0.86</v>
      </c>
      <c r="D209" s="14">
        <v>0</v>
      </c>
      <c r="E209" s="14">
        <v>0</v>
      </c>
      <c r="F209" s="38">
        <v>0</v>
      </c>
      <c r="G209" s="38">
        <v>0</v>
      </c>
    </row>
    <row r="210" spans="1:7">
      <c r="A210" s="27" t="s">
        <v>63</v>
      </c>
      <c r="B210" s="180">
        <v>1.01</v>
      </c>
      <c r="C210" s="30">
        <f t="shared" si="3"/>
        <v>0.94</v>
      </c>
      <c r="D210" s="14">
        <v>0</v>
      </c>
      <c r="E210" s="14">
        <v>0</v>
      </c>
      <c r="F210" s="38">
        <v>0</v>
      </c>
      <c r="G210" s="38">
        <v>0</v>
      </c>
    </row>
    <row r="211" spans="1:7">
      <c r="A211" s="29" t="s">
        <v>11</v>
      </c>
      <c r="B211" s="180">
        <v>1.08</v>
      </c>
      <c r="C211" s="30">
        <f t="shared" si="3"/>
        <v>1.01</v>
      </c>
      <c r="D211" s="14">
        <v>0</v>
      </c>
      <c r="E211" s="14">
        <v>0</v>
      </c>
      <c r="F211" s="38">
        <v>0</v>
      </c>
      <c r="G211" s="38">
        <v>0</v>
      </c>
    </row>
    <row r="212" spans="1:7">
      <c r="A212" s="29" t="s">
        <v>12</v>
      </c>
      <c r="B212" s="180">
        <v>1.1599999999999999</v>
      </c>
      <c r="C212" s="30">
        <f t="shared" si="3"/>
        <v>1.08</v>
      </c>
      <c r="D212" s="14">
        <v>0</v>
      </c>
      <c r="E212" s="14">
        <v>0</v>
      </c>
      <c r="F212" s="38">
        <v>0</v>
      </c>
      <c r="G212" s="38">
        <v>0</v>
      </c>
    </row>
    <row r="213" spans="1:7">
      <c r="A213" s="29" t="s">
        <v>13</v>
      </c>
      <c r="B213" s="180">
        <v>1.22</v>
      </c>
      <c r="C213" s="30">
        <f t="shared" si="3"/>
        <v>1.1599999999999999</v>
      </c>
      <c r="D213" s="14">
        <v>0</v>
      </c>
      <c r="E213" s="14">
        <v>0</v>
      </c>
      <c r="F213" s="38">
        <v>0</v>
      </c>
      <c r="G213" s="38">
        <v>0</v>
      </c>
    </row>
    <row r="214" spans="1:7">
      <c r="A214" s="29" t="s">
        <v>14</v>
      </c>
      <c r="B214" s="180">
        <v>1.29</v>
      </c>
      <c r="C214" s="30">
        <f t="shared" si="3"/>
        <v>1.22</v>
      </c>
      <c r="D214" s="14">
        <v>0</v>
      </c>
      <c r="E214" s="14">
        <v>0</v>
      </c>
      <c r="F214" s="38">
        <v>0</v>
      </c>
      <c r="G214" s="38">
        <v>0</v>
      </c>
    </row>
    <row r="215" spans="1:7">
      <c r="A215" s="29" t="s">
        <v>15</v>
      </c>
      <c r="B215" s="180">
        <v>1.35</v>
      </c>
      <c r="C215" s="30">
        <f t="shared" si="3"/>
        <v>1.29</v>
      </c>
      <c r="D215" s="14">
        <v>0</v>
      </c>
      <c r="E215" s="14">
        <v>0</v>
      </c>
      <c r="F215" s="38">
        <v>0</v>
      </c>
      <c r="G215" s="38">
        <v>0</v>
      </c>
    </row>
    <row r="216" spans="1:7">
      <c r="A216" s="29" t="s">
        <v>16</v>
      </c>
      <c r="B216" s="180">
        <v>1.42</v>
      </c>
      <c r="C216" s="30">
        <f t="shared" si="3"/>
        <v>1.35</v>
      </c>
      <c r="D216" s="14">
        <v>0</v>
      </c>
      <c r="E216" s="14">
        <v>0</v>
      </c>
      <c r="F216" s="38">
        <v>0</v>
      </c>
      <c r="G216" s="38">
        <v>0</v>
      </c>
    </row>
    <row r="217" spans="1:7">
      <c r="A217" s="29" t="s">
        <v>17</v>
      </c>
      <c r="B217" s="180">
        <v>1.5</v>
      </c>
      <c r="C217" s="30">
        <f t="shared" si="3"/>
        <v>1.42</v>
      </c>
      <c r="D217" s="14">
        <v>0</v>
      </c>
      <c r="E217" s="14">
        <v>0</v>
      </c>
      <c r="F217" s="38">
        <v>2.2800000000000155E-3</v>
      </c>
      <c r="G217" s="38">
        <v>4.8000000000000048E-3</v>
      </c>
    </row>
    <row r="218" spans="1:7">
      <c r="A218" s="29" t="s">
        <v>18</v>
      </c>
      <c r="B218" s="180">
        <v>1.55</v>
      </c>
      <c r="C218" s="30">
        <f t="shared" si="3"/>
        <v>1.5</v>
      </c>
      <c r="D218" s="14">
        <v>0</v>
      </c>
      <c r="E218" s="14">
        <v>0</v>
      </c>
      <c r="F218" s="38">
        <v>5.4322580645161473E-3</v>
      </c>
      <c r="G218" s="38">
        <v>7.87096774193549E-3</v>
      </c>
    </row>
    <row r="219" spans="1:7">
      <c r="A219" s="29" t="s">
        <v>19</v>
      </c>
      <c r="B219" s="180">
        <v>1.61</v>
      </c>
      <c r="C219" s="30">
        <f t="shared" si="3"/>
        <v>1.55</v>
      </c>
      <c r="D219" s="14">
        <v>1.0000000000000139E-2</v>
      </c>
      <c r="E219" s="14"/>
      <c r="F219" s="38">
        <v>8.956521739130455E-3</v>
      </c>
      <c r="G219" s="38">
        <v>1.1304347826086967E-2</v>
      </c>
    </row>
    <row r="220" spans="1:7">
      <c r="A220" s="29" t="s">
        <v>20</v>
      </c>
      <c r="B220" s="180">
        <v>1.66</v>
      </c>
      <c r="C220" s="30">
        <f t="shared" si="3"/>
        <v>1.61</v>
      </c>
      <c r="D220" s="14">
        <v>3.9819277108433762E-2</v>
      </c>
      <c r="E220" s="14"/>
      <c r="F220" s="38">
        <v>1.1698795180722902E-2</v>
      </c>
      <c r="G220" s="38">
        <v>1.3975903614457831E-2</v>
      </c>
    </row>
    <row r="221" spans="1:7">
      <c r="A221" s="29" t="s">
        <v>21</v>
      </c>
      <c r="B221" s="180">
        <v>1.72</v>
      </c>
      <c r="C221" s="30">
        <f t="shared" si="3"/>
        <v>1.66</v>
      </c>
      <c r="D221" s="14">
        <v>7.3313953488372149E-2</v>
      </c>
      <c r="E221" s="14"/>
      <c r="F221" s="38">
        <v>1.4779069767441875E-2</v>
      </c>
      <c r="G221" s="38">
        <v>1.6976744186046513E-2</v>
      </c>
    </row>
    <row r="222" spans="1:7">
      <c r="A222" s="29" t="s">
        <v>22</v>
      </c>
      <c r="B222" s="180">
        <v>1.77</v>
      </c>
      <c r="C222" s="30">
        <f t="shared" si="3"/>
        <v>1.72</v>
      </c>
      <c r="D222" s="14">
        <v>9.9491525423728897E-2</v>
      </c>
      <c r="E222" s="14">
        <v>9.949152542372889E-3</v>
      </c>
      <c r="F222" s="38">
        <v>1.7186440677966118E-2</v>
      </c>
      <c r="G222" s="38">
        <v>1.9322033898305089E-2</v>
      </c>
    </row>
    <row r="223" spans="1:7">
      <c r="A223" s="29" t="s">
        <v>23</v>
      </c>
      <c r="B223" s="180">
        <v>1.85</v>
      </c>
      <c r="C223" s="30">
        <f t="shared" si="3"/>
        <v>1.77</v>
      </c>
      <c r="D223" s="14">
        <v>0.13843243243243256</v>
      </c>
      <c r="E223" s="14">
        <v>1.3843243243243254E-2</v>
      </c>
      <c r="F223" s="38">
        <v>2.0767567567567587E-2</v>
      </c>
      <c r="G223" s="38">
        <v>2.2810810810810819E-2</v>
      </c>
    </row>
    <row r="224" spans="1:7">
      <c r="A224" s="29" t="s">
        <v>24</v>
      </c>
      <c r="B224" s="180">
        <v>1.93</v>
      </c>
      <c r="C224" s="30">
        <f t="shared" si="3"/>
        <v>1.85</v>
      </c>
      <c r="D224" s="14">
        <v>0.17414507772020729</v>
      </c>
      <c r="E224" s="14">
        <v>1.7414507772020731E-2</v>
      </c>
      <c r="F224" s="38">
        <v>2.4051813471502599E-2</v>
      </c>
      <c r="G224" s="38">
        <v>2.6010362694300519E-2</v>
      </c>
    </row>
    <row r="225" spans="1:7">
      <c r="A225" s="29" t="s">
        <v>25</v>
      </c>
      <c r="B225" s="180">
        <v>1.99</v>
      </c>
      <c r="C225" s="30">
        <f t="shared" si="3"/>
        <v>1.93</v>
      </c>
      <c r="D225" s="14">
        <v>0.19904522613065331</v>
      </c>
      <c r="E225" s="14">
        <v>1.9904522613065332E-2</v>
      </c>
      <c r="F225" s="38">
        <v>2.6341708542713581E-2</v>
      </c>
      <c r="G225" s="38">
        <v>2.8241206030150758E-2</v>
      </c>
    </row>
    <row r="226" spans="1:7">
      <c r="A226" s="29" t="s">
        <v>26</v>
      </c>
      <c r="B226" s="180">
        <v>2.06</v>
      </c>
      <c r="C226" s="30">
        <f t="shared" si="3"/>
        <v>1.99</v>
      </c>
      <c r="D226" s="14">
        <v>0.22626213592233019</v>
      </c>
      <c r="E226" s="14">
        <v>2.2626213592233019E-2</v>
      </c>
      <c r="F226" s="38">
        <v>2.8844660194174771E-2</v>
      </c>
      <c r="G226" s="38">
        <v>3.0679611650485446E-2</v>
      </c>
    </row>
    <row r="227" spans="1:7">
      <c r="A227" s="29" t="s">
        <v>27</v>
      </c>
      <c r="B227" s="180">
        <v>2.14</v>
      </c>
      <c r="C227" s="30">
        <f t="shared" si="3"/>
        <v>2.06</v>
      </c>
      <c r="D227" s="14">
        <v>0.25518691588785058</v>
      </c>
      <c r="E227" s="14">
        <v>2.5518691588785058E-2</v>
      </c>
      <c r="F227" s="38">
        <v>3.1504672897196273E-2</v>
      </c>
      <c r="G227" s="38">
        <v>3.3271028037383188E-2</v>
      </c>
    </row>
    <row r="228" spans="1:7">
      <c r="A228" s="29" t="s">
        <v>28</v>
      </c>
      <c r="B228" s="180">
        <v>2.2200000000000002</v>
      </c>
      <c r="C228" s="30">
        <f t="shared" si="3"/>
        <v>2.14</v>
      </c>
      <c r="D228" s="14">
        <v>0.28202702702702714</v>
      </c>
      <c r="E228" s="14">
        <v>2.8202702702702719E-2</v>
      </c>
      <c r="F228" s="38">
        <v>3.3972972972972991E-2</v>
      </c>
      <c r="G228" s="38">
        <v>3.5675675675675686E-2</v>
      </c>
    </row>
    <row r="229" spans="1:7">
      <c r="A229" s="29" t="s">
        <v>29</v>
      </c>
      <c r="B229" s="180">
        <v>2.31</v>
      </c>
      <c r="C229" s="30">
        <f t="shared" si="3"/>
        <v>2.2200000000000002</v>
      </c>
      <c r="D229" s="14">
        <v>0.31000000000000005</v>
      </c>
      <c r="E229" s="14">
        <v>3.1000000000000007E-2</v>
      </c>
      <c r="F229" s="38">
        <v>3.6545454545454562E-2</v>
      </c>
      <c r="G229" s="38">
        <v>3.8181818181818185E-2</v>
      </c>
    </row>
    <row r="230" spans="1:7">
      <c r="A230" s="29" t="s">
        <v>30</v>
      </c>
      <c r="B230" s="180">
        <v>2.39</v>
      </c>
      <c r="C230" s="30">
        <f t="shared" si="3"/>
        <v>2.31</v>
      </c>
      <c r="D230" s="14">
        <v>0.33309623430962354</v>
      </c>
      <c r="E230" s="14">
        <v>3.3309623430962353E-2</v>
      </c>
      <c r="F230" s="38">
        <v>3.8669456066945621E-2</v>
      </c>
      <c r="G230" s="38">
        <v>4.1506276150627651E-2</v>
      </c>
    </row>
    <row r="231" spans="1:7">
      <c r="A231" s="29" t="s">
        <v>31</v>
      </c>
      <c r="B231" s="180">
        <v>2.5099999999999998</v>
      </c>
      <c r="C231" s="30">
        <f t="shared" si="3"/>
        <v>2.39</v>
      </c>
      <c r="D231" s="14">
        <v>0.36498007968127488</v>
      </c>
      <c r="E231" s="14">
        <v>3.6498007968127494E-2</v>
      </c>
      <c r="F231" s="38">
        <v>4.9609561752988078E-2</v>
      </c>
      <c r="G231" s="38">
        <v>5.8645418326693219E-2</v>
      </c>
    </row>
    <row r="232" spans="1:7">
      <c r="A232" s="29" t="s">
        <v>32</v>
      </c>
      <c r="B232" s="180">
        <v>2.62</v>
      </c>
      <c r="C232" s="30">
        <f t="shared" si="3"/>
        <v>2.5099999999999998</v>
      </c>
      <c r="D232" s="14">
        <v>0.39164122137404589</v>
      </c>
      <c r="E232" s="14">
        <v>3.916412213740459E-2</v>
      </c>
      <c r="F232" s="38">
        <v>6.4320610687022967E-2</v>
      </c>
      <c r="G232" s="38">
        <v>7.2977099236641252E-2</v>
      </c>
    </row>
    <row r="233" spans="1:7">
      <c r="A233" s="29" t="s">
        <v>33</v>
      </c>
      <c r="B233" s="180">
        <v>2.71</v>
      </c>
      <c r="C233" s="30">
        <f t="shared" si="3"/>
        <v>2.62</v>
      </c>
      <c r="D233" s="14">
        <v>0.41184501845018456</v>
      </c>
      <c r="E233" s="14">
        <v>4.710701107011072E-2</v>
      </c>
      <c r="F233" s="38">
        <v>7.5468634686346917E-2</v>
      </c>
      <c r="G233" s="38">
        <v>8.3837638376383777E-2</v>
      </c>
    </row>
    <row r="234" spans="1:7">
      <c r="A234" s="29" t="s">
        <v>34</v>
      </c>
      <c r="B234" s="180">
        <v>2.8</v>
      </c>
      <c r="C234" s="30">
        <f t="shared" si="3"/>
        <v>2.71</v>
      </c>
      <c r="D234" s="14">
        <v>0.43075000000000002</v>
      </c>
      <c r="E234" s="14">
        <v>5.8450000000000002E-2</v>
      </c>
      <c r="F234" s="38">
        <v>8.5900000000000032E-2</v>
      </c>
      <c r="G234" s="38">
        <v>9.4E-2</v>
      </c>
    </row>
    <row r="235" spans="1:7">
      <c r="A235" s="29" t="s">
        <v>35</v>
      </c>
      <c r="B235" s="180">
        <v>2.93</v>
      </c>
      <c r="C235" s="30">
        <f t="shared" si="3"/>
        <v>2.8</v>
      </c>
      <c r="D235" s="14">
        <v>0.45600682593856662</v>
      </c>
      <c r="E235" s="14">
        <v>7.3604095563139973E-2</v>
      </c>
      <c r="F235" s="38">
        <v>9.9836177474402807E-2</v>
      </c>
      <c r="G235" s="38">
        <v>0.10757679180887376</v>
      </c>
    </row>
    <row r="236" spans="1:7">
      <c r="A236" s="29" t="s">
        <v>36</v>
      </c>
      <c r="B236" s="180">
        <v>3.04</v>
      </c>
      <c r="C236" s="30">
        <f t="shared" si="3"/>
        <v>2.93</v>
      </c>
      <c r="D236" s="14">
        <v>0.47569078947368426</v>
      </c>
      <c r="E236" s="14">
        <v>8.5414473684210568E-2</v>
      </c>
      <c r="F236" s="38">
        <v>0.11069736842105268</v>
      </c>
      <c r="G236" s="38">
        <v>0.11815789473684213</v>
      </c>
    </row>
    <row r="237" spans="1:7">
      <c r="A237" s="29" t="s">
        <v>37</v>
      </c>
      <c r="B237" s="180">
        <v>3.14</v>
      </c>
      <c r="C237" s="30">
        <f t="shared" si="3"/>
        <v>3.04</v>
      </c>
      <c r="D237" s="14">
        <v>0.49238853503184721</v>
      </c>
      <c r="E237" s="14">
        <v>9.5433121019108322E-2</v>
      </c>
      <c r="F237" s="38">
        <v>0.11991082802547776</v>
      </c>
      <c r="G237" s="38">
        <v>0.12713375796178347</v>
      </c>
    </row>
    <row r="238" spans="1:7">
      <c r="A238" s="29" t="s">
        <v>38</v>
      </c>
      <c r="B238" s="180">
        <v>3.29</v>
      </c>
      <c r="C238" s="30">
        <f t="shared" si="3"/>
        <v>3.14</v>
      </c>
      <c r="D238" s="14">
        <v>0.51553191489361705</v>
      </c>
      <c r="E238" s="14">
        <v>0.10931914893617024</v>
      </c>
      <c r="F238" s="38">
        <v>0.13268085106382985</v>
      </c>
      <c r="G238" s="38">
        <v>0.1395744680851064</v>
      </c>
    </row>
    <row r="239" spans="1:7">
      <c r="A239" s="29" t="s">
        <v>39</v>
      </c>
      <c r="B239" s="180">
        <v>3.47</v>
      </c>
      <c r="C239" s="30">
        <f t="shared" si="3"/>
        <v>3.29</v>
      </c>
      <c r="D239" s="14">
        <v>0.5406628242074929</v>
      </c>
      <c r="E239" s="14">
        <v>0.12439769452449571</v>
      </c>
      <c r="F239" s="38">
        <v>0.14654755043227674</v>
      </c>
      <c r="G239" s="38">
        <v>0.15308357348703172</v>
      </c>
    </row>
    <row r="240" spans="1:7">
      <c r="A240" s="29" t="s">
        <v>40</v>
      </c>
      <c r="B240" s="180">
        <v>3.66</v>
      </c>
      <c r="C240" s="30">
        <f t="shared" si="3"/>
        <v>3.47</v>
      </c>
      <c r="D240" s="14">
        <v>0.56450819672131158</v>
      </c>
      <c r="E240" s="14">
        <v>0.13870491803278692</v>
      </c>
      <c r="F240" s="38">
        <v>0.15970491803278694</v>
      </c>
      <c r="G240" s="38">
        <v>0.16590163934426233</v>
      </c>
    </row>
    <row r="241" spans="1:7">
      <c r="A241" s="29" t="s">
        <v>41</v>
      </c>
      <c r="B241" s="180">
        <v>3.9</v>
      </c>
      <c r="C241" s="30">
        <f t="shared" si="3"/>
        <v>3.66</v>
      </c>
      <c r="D241" s="14">
        <v>0.59130769230769231</v>
      </c>
      <c r="E241" s="14">
        <v>0.15478461538461541</v>
      </c>
      <c r="F241" s="38">
        <v>0.17449230769230772</v>
      </c>
      <c r="G241" s="38">
        <v>0.18030769230769234</v>
      </c>
    </row>
    <row r="242" spans="1:7">
      <c r="A242" s="29" t="s">
        <v>42</v>
      </c>
      <c r="B242" s="180">
        <v>4.1100000000000003</v>
      </c>
      <c r="C242" s="30">
        <f t="shared" si="3"/>
        <v>3.9</v>
      </c>
      <c r="D242" s="14">
        <v>0.61218978102189792</v>
      </c>
      <c r="E242" s="14">
        <v>0.16731386861313874</v>
      </c>
      <c r="F242" s="38">
        <v>0.18601459854014604</v>
      </c>
      <c r="G242" s="38">
        <v>0.19153284671532847</v>
      </c>
    </row>
    <row r="243" spans="1:7">
      <c r="A243" s="29" t="s">
        <v>43</v>
      </c>
      <c r="B243" s="180">
        <v>4.3499999999999996</v>
      </c>
      <c r="C243" s="30">
        <f t="shared" si="3"/>
        <v>4.1100000000000003</v>
      </c>
      <c r="D243" s="14">
        <v>0.63358620689655176</v>
      </c>
      <c r="E243" s="14">
        <v>0.18015172413793104</v>
      </c>
      <c r="F243" s="38">
        <v>0.19782068965517244</v>
      </c>
      <c r="G243" s="38">
        <v>0.20303448275862071</v>
      </c>
    </row>
    <row r="244" spans="1:7">
      <c r="A244" s="29" t="s">
        <v>44</v>
      </c>
      <c r="B244" s="180">
        <v>4.66</v>
      </c>
      <c r="C244" s="30">
        <f t="shared" si="3"/>
        <v>4.3499999999999996</v>
      </c>
      <c r="D244" s="14">
        <v>0.65796137339055805</v>
      </c>
      <c r="E244" s="14">
        <v>0.1947768240343348</v>
      </c>
      <c r="F244" s="38">
        <v>0.21127038626609448</v>
      </c>
      <c r="G244" s="38">
        <v>0.21613733905579399</v>
      </c>
    </row>
    <row r="245" spans="1:7">
      <c r="A245" s="29" t="s">
        <v>45</v>
      </c>
      <c r="B245" s="180">
        <v>5.0599999999999996</v>
      </c>
      <c r="C245" s="30">
        <f t="shared" si="3"/>
        <v>4.66</v>
      </c>
      <c r="D245" s="14">
        <v>0.68500000000000005</v>
      </c>
      <c r="E245" s="14">
        <v>0.21099999999999999</v>
      </c>
      <c r="F245" s="38">
        <v>0.2261897233201581</v>
      </c>
      <c r="G245" s="38">
        <v>0.23067193675889325</v>
      </c>
    </row>
    <row r="246" spans="1:7">
      <c r="A246" s="29" t="s">
        <v>46</v>
      </c>
      <c r="B246" s="180">
        <v>5.52</v>
      </c>
      <c r="C246" s="30">
        <f t="shared" si="3"/>
        <v>5.0599999999999996</v>
      </c>
      <c r="D246" s="14">
        <v>0.71125000000000005</v>
      </c>
      <c r="E246" s="14">
        <v>0.22675000000000001</v>
      </c>
      <c r="F246" s="38">
        <v>0.24067391304347829</v>
      </c>
      <c r="G246" s="38">
        <v>0.24478260869565219</v>
      </c>
    </row>
    <row r="247" spans="1:7">
      <c r="A247" s="29" t="s">
        <v>47</v>
      </c>
      <c r="B247" s="180">
        <v>5.87</v>
      </c>
      <c r="C247" s="30">
        <f t="shared" si="3"/>
        <v>5.52</v>
      </c>
      <c r="D247" s="14">
        <v>0.72846678023850087</v>
      </c>
      <c r="E247" s="14">
        <v>0.23708006814310054</v>
      </c>
      <c r="F247" s="38">
        <v>0.25017376490630328</v>
      </c>
      <c r="G247" s="38">
        <v>0.25403747870528109</v>
      </c>
    </row>
    <row r="248" spans="1:7">
      <c r="A248" s="29" t="s">
        <v>48</v>
      </c>
      <c r="B248" s="180">
        <v>6.45</v>
      </c>
      <c r="C248" s="30">
        <f t="shared" si="3"/>
        <v>5.87</v>
      </c>
      <c r="D248" s="14">
        <v>0.75288372093023259</v>
      </c>
      <c r="E248" s="14">
        <v>0.25173023255813959</v>
      </c>
      <c r="F248" s="38">
        <v>0.26364651162790703</v>
      </c>
      <c r="G248" s="38">
        <v>0.2671627906976744</v>
      </c>
    </row>
    <row r="249" spans="1:7">
      <c r="A249" s="29" t="s">
        <v>49</v>
      </c>
      <c r="B249" s="180">
        <v>7.36</v>
      </c>
      <c r="C249" s="30">
        <f t="shared" si="3"/>
        <v>6.45</v>
      </c>
      <c r="D249" s="14">
        <v>0.78343750000000001</v>
      </c>
      <c r="E249" s="14">
        <v>0.27006250000000004</v>
      </c>
      <c r="F249" s="38">
        <v>0.28050543478260875</v>
      </c>
      <c r="G249" s="38">
        <v>0.28358695652173915</v>
      </c>
    </row>
    <row r="250" spans="1:7">
      <c r="A250" s="29" t="s">
        <v>50</v>
      </c>
      <c r="B250" s="180">
        <v>8.16</v>
      </c>
      <c r="C250" s="30">
        <f t="shared" si="3"/>
        <v>7.36</v>
      </c>
      <c r="D250" s="14">
        <v>0.80466911764705884</v>
      </c>
      <c r="E250" s="14">
        <v>0.28280147058823535</v>
      </c>
      <c r="F250" s="38">
        <v>0.29222058823529412</v>
      </c>
      <c r="G250" s="38">
        <v>0.29500000000000004</v>
      </c>
    </row>
    <row r="251" spans="1:7">
      <c r="A251" s="29" t="s">
        <v>51</v>
      </c>
      <c r="B251" s="180">
        <v>9.26</v>
      </c>
      <c r="C251" s="30">
        <f t="shared" si="3"/>
        <v>8.16</v>
      </c>
      <c r="D251" s="14">
        <v>0.82787257019438454</v>
      </c>
      <c r="E251" s="14">
        <v>0.29672354211663071</v>
      </c>
      <c r="F251" s="38">
        <v>0.30502375809935206</v>
      </c>
      <c r="G251" s="38">
        <v>0.30747300215982726</v>
      </c>
    </row>
    <row r="252" spans="1:7">
      <c r="A252" s="29" t="s">
        <v>52</v>
      </c>
      <c r="B252" s="180">
        <v>11.83</v>
      </c>
      <c r="C252" s="30">
        <f t="shared" si="3"/>
        <v>9.26</v>
      </c>
      <c r="D252" s="14">
        <v>0.86526627218934915</v>
      </c>
      <c r="E252" s="14">
        <v>0.31915976331360951</v>
      </c>
      <c r="F252" s="38">
        <v>0.32565680473372782</v>
      </c>
      <c r="G252" s="38">
        <v>0.3275739644970414</v>
      </c>
    </row>
    <row r="253" spans="1:7">
      <c r="A253" s="29" t="s">
        <v>53</v>
      </c>
      <c r="B253" s="181">
        <v>16.22</v>
      </c>
      <c r="C253" s="30">
        <f>B252</f>
        <v>11.83</v>
      </c>
      <c r="D253" s="14">
        <v>0.90173242909987672</v>
      </c>
      <c r="E253" s="14">
        <v>0.34103945745992603</v>
      </c>
      <c r="F253" s="38">
        <v>0.34577805178791615</v>
      </c>
      <c r="G253" s="38">
        <v>0.34717632552404443</v>
      </c>
    </row>
    <row r="254" spans="1:7">
      <c r="A254" s="29" t="s">
        <v>53</v>
      </c>
      <c r="B254" s="29" t="s">
        <v>117</v>
      </c>
      <c r="C254" s="30">
        <f t="shared" si="3"/>
        <v>16.22</v>
      </c>
      <c r="D254" s="58"/>
      <c r="E254" s="11"/>
      <c r="F254" s="39"/>
      <c r="G254" s="39"/>
    </row>
    <row r="255" spans="1:7">
      <c r="A255" s="29"/>
      <c r="B255" s="29"/>
      <c r="C255" s="29"/>
      <c r="D255" s="58"/>
      <c r="E255" s="32">
        <v>8.3110972796605675E-2</v>
      </c>
      <c r="F255" s="40">
        <v>9.2903488499099129E-2</v>
      </c>
      <c r="G255" s="40">
        <v>9.5999849845185808E-2</v>
      </c>
    </row>
    <row r="256" spans="1:7" ht="26.25" customHeight="1">
      <c r="A256" s="33" t="s">
        <v>55</v>
      </c>
      <c r="B256" s="57">
        <v>2.38</v>
      </c>
      <c r="C256" s="29"/>
      <c r="D256" s="58"/>
      <c r="E256" s="34">
        <v>2.6564999999999999</v>
      </c>
      <c r="F256" s="41">
        <v>2.4429999999999996</v>
      </c>
      <c r="G256" s="42">
        <v>2.38</v>
      </c>
    </row>
    <row r="257" spans="1:7" ht="27" customHeight="1">
      <c r="A257" s="33" t="s">
        <v>56</v>
      </c>
      <c r="B257" s="57">
        <v>2.19</v>
      </c>
      <c r="C257" s="29"/>
      <c r="D257" s="11"/>
      <c r="E257" s="11"/>
      <c r="F257" s="39"/>
      <c r="G257" s="39"/>
    </row>
    <row r="258" spans="1:7" ht="37.5" customHeight="1">
      <c r="A258" s="35" t="s">
        <v>57</v>
      </c>
      <c r="B258" s="57">
        <v>1.31</v>
      </c>
      <c r="C258" s="29"/>
      <c r="D258" s="11"/>
      <c r="E258" s="11">
        <v>1.5938999999999999</v>
      </c>
      <c r="F258" s="39">
        <v>1.4657999999999998</v>
      </c>
      <c r="G258" s="39">
        <v>1.4279999999999999</v>
      </c>
    </row>
    <row r="261" spans="1:7">
      <c r="A261" s="16" t="s">
        <v>64</v>
      </c>
      <c r="B261" s="17">
        <f>AVERAGE(B209:B248)</f>
        <v>2.6564999999999999</v>
      </c>
      <c r="C261" s="17"/>
    </row>
    <row r="262" spans="1:7">
      <c r="A262" s="16" t="s">
        <v>65</v>
      </c>
      <c r="B262" s="18">
        <f>AVERAGE(B214:B243)</f>
        <v>2.4429999999999996</v>
      </c>
      <c r="C262" s="18"/>
    </row>
    <row r="263" spans="1:7">
      <c r="A263" s="16" t="s">
        <v>66</v>
      </c>
      <c r="B263" s="18">
        <f>AVERAGE(B220:B238)</f>
        <v>2.3726315789473684</v>
      </c>
      <c r="C263" s="18"/>
    </row>
    <row r="265" spans="1:7" ht="15.75" thickBot="1"/>
    <row r="266" spans="1:7" ht="15" customHeight="1">
      <c r="A266" s="541" t="s">
        <v>0</v>
      </c>
      <c r="B266" s="530" t="s">
        <v>67</v>
      </c>
      <c r="C266" s="530"/>
      <c r="D266" s="530"/>
      <c r="E266" s="40">
        <f>(1-E321)^(1/3)-1</f>
        <v>-2.4072948334277866E-2</v>
      </c>
      <c r="F266" s="40">
        <f>(1-F321)^(1/3)-1</f>
        <v>-2.5132966724386696E-2</v>
      </c>
      <c r="G266" s="182"/>
    </row>
    <row r="267" spans="1:7" ht="48.75" thickBot="1">
      <c r="A267" s="541"/>
      <c r="B267" s="11" t="s">
        <v>4</v>
      </c>
      <c r="C267" s="65"/>
      <c r="D267" s="11" t="s">
        <v>80</v>
      </c>
      <c r="E267" s="11" t="s">
        <v>5</v>
      </c>
      <c r="F267" s="39" t="s">
        <v>5</v>
      </c>
      <c r="G267" s="183"/>
    </row>
    <row r="268" spans="1:7">
      <c r="A268" s="541"/>
      <c r="B268" s="57" t="s">
        <v>68</v>
      </c>
      <c r="D268" s="184" t="s">
        <v>7</v>
      </c>
      <c r="E268" s="184" t="s">
        <v>7</v>
      </c>
      <c r="F268" s="184" t="s">
        <v>7</v>
      </c>
      <c r="G268" s="185"/>
    </row>
    <row r="269" spans="1:7">
      <c r="A269" s="50">
        <v>1</v>
      </c>
      <c r="B269" s="158">
        <v>2</v>
      </c>
      <c r="D269" s="51">
        <v>3</v>
      </c>
      <c r="E269" s="51">
        <v>4</v>
      </c>
      <c r="F269" s="52">
        <v>5</v>
      </c>
      <c r="G269" s="52"/>
    </row>
    <row r="270" spans="1:7">
      <c r="A270" s="27" t="s">
        <v>10</v>
      </c>
      <c r="B270" s="174">
        <v>11.74</v>
      </c>
      <c r="C270">
        <v>0</v>
      </c>
      <c r="D270" s="157">
        <v>0</v>
      </c>
      <c r="E270" s="14">
        <v>0</v>
      </c>
      <c r="F270" s="38">
        <v>0</v>
      </c>
      <c r="G270" s="38">
        <v>0</v>
      </c>
    </row>
    <row r="271" spans="1:7">
      <c r="A271" s="27" t="s">
        <v>58</v>
      </c>
      <c r="B271" s="186">
        <v>13.07</v>
      </c>
      <c r="C271" s="30">
        <f>B270</f>
        <v>11.74</v>
      </c>
      <c r="D271" s="14">
        <v>0</v>
      </c>
      <c r="E271" s="14">
        <v>0</v>
      </c>
      <c r="F271" s="38">
        <v>0</v>
      </c>
      <c r="G271" s="38">
        <v>0</v>
      </c>
    </row>
    <row r="272" spans="1:7">
      <c r="A272" s="27" t="s">
        <v>59</v>
      </c>
      <c r="B272" s="186">
        <v>14.7</v>
      </c>
      <c r="C272" s="30">
        <f t="shared" ref="C272:C320" si="4">B271</f>
        <v>13.07</v>
      </c>
      <c r="D272" s="14">
        <v>0</v>
      </c>
      <c r="E272" s="14">
        <v>0</v>
      </c>
      <c r="F272" s="38">
        <v>0</v>
      </c>
      <c r="G272" s="38">
        <v>0</v>
      </c>
    </row>
    <row r="273" spans="1:7">
      <c r="A273" s="27" t="s">
        <v>60</v>
      </c>
      <c r="B273" s="186">
        <v>16.510000000000002</v>
      </c>
      <c r="C273" s="30">
        <f t="shared" si="4"/>
        <v>14.7</v>
      </c>
      <c r="D273" s="14">
        <v>0</v>
      </c>
      <c r="E273" s="14">
        <v>0</v>
      </c>
      <c r="F273" s="38">
        <v>0</v>
      </c>
      <c r="G273" s="38">
        <v>0</v>
      </c>
    </row>
    <row r="274" spans="1:7">
      <c r="A274" s="27" t="s">
        <v>61</v>
      </c>
      <c r="B274" s="186">
        <v>17.77</v>
      </c>
      <c r="C274" s="30">
        <f t="shared" si="4"/>
        <v>16.510000000000002</v>
      </c>
      <c r="D274" s="14">
        <v>0</v>
      </c>
      <c r="E274" s="14">
        <v>0</v>
      </c>
      <c r="F274" s="38">
        <v>0</v>
      </c>
      <c r="G274" s="38">
        <v>0</v>
      </c>
    </row>
    <row r="275" spans="1:7">
      <c r="A275" s="27" t="s">
        <v>62</v>
      </c>
      <c r="B275" s="186">
        <v>18.88</v>
      </c>
      <c r="C275" s="30">
        <f t="shared" si="4"/>
        <v>17.77</v>
      </c>
      <c r="D275" s="14">
        <v>0</v>
      </c>
      <c r="E275" s="14">
        <v>0</v>
      </c>
      <c r="F275" s="38">
        <v>0</v>
      </c>
      <c r="G275" s="38">
        <v>0</v>
      </c>
    </row>
    <row r="276" spans="1:7">
      <c r="A276" s="27" t="s">
        <v>63</v>
      </c>
      <c r="B276" s="186">
        <v>20.100000000000001</v>
      </c>
      <c r="C276" s="30">
        <f t="shared" si="4"/>
        <v>18.88</v>
      </c>
      <c r="D276" s="14">
        <v>0</v>
      </c>
      <c r="E276" s="14">
        <v>0</v>
      </c>
      <c r="F276" s="38">
        <v>0</v>
      </c>
      <c r="G276" s="38">
        <v>0</v>
      </c>
    </row>
    <row r="277" spans="1:7">
      <c r="A277" s="29" t="s">
        <v>11</v>
      </c>
      <c r="B277" s="186">
        <v>21.31</v>
      </c>
      <c r="C277" s="30">
        <f t="shared" si="4"/>
        <v>20.100000000000001</v>
      </c>
      <c r="D277" s="14">
        <v>1.1992022524636298E-2</v>
      </c>
      <c r="E277" s="14"/>
      <c r="F277" s="38">
        <v>3.1037071797278127E-3</v>
      </c>
      <c r="G277" s="38">
        <v>0</v>
      </c>
    </row>
    <row r="278" spans="1:7">
      <c r="A278" s="29" t="s">
        <v>12</v>
      </c>
      <c r="B278" s="186">
        <v>22.19</v>
      </c>
      <c r="C278" s="30">
        <f t="shared" si="4"/>
        <v>21.31</v>
      </c>
      <c r="D278" s="14">
        <v>5.1173952230734655E-2</v>
      </c>
      <c r="E278" s="14"/>
      <c r="F278" s="38">
        <v>6.9463722397476307E-3</v>
      </c>
      <c r="G278" s="38">
        <v>4.9571879224877421E-4</v>
      </c>
    </row>
    <row r="279" spans="1:7">
      <c r="A279" s="29" t="s">
        <v>13</v>
      </c>
      <c r="B279" s="186">
        <v>23.01</v>
      </c>
      <c r="C279" s="30">
        <f t="shared" si="4"/>
        <v>22.19</v>
      </c>
      <c r="D279" s="14">
        <v>8.4986962190352122E-2</v>
      </c>
      <c r="E279" s="14"/>
      <c r="F279" s="38">
        <v>1.0262494567579312E-2</v>
      </c>
      <c r="G279" s="38">
        <v>4.0417209908735477E-3</v>
      </c>
    </row>
    <row r="280" spans="1:7">
      <c r="A280" s="29" t="s">
        <v>14</v>
      </c>
      <c r="B280" s="186">
        <v>23.65</v>
      </c>
      <c r="C280" s="30">
        <f t="shared" si="4"/>
        <v>23.01</v>
      </c>
      <c r="D280" s="14">
        <v>0.10974841437632134</v>
      </c>
      <c r="E280" s="14">
        <v>1.0974841437632133E-2</v>
      </c>
      <c r="F280" s="38">
        <v>1.2690909090909079E-2</v>
      </c>
      <c r="G280" s="38">
        <v>6.6384778012685006E-3</v>
      </c>
    </row>
    <row r="281" spans="1:7">
      <c r="A281" s="29" t="s">
        <v>15</v>
      </c>
      <c r="B281" s="186">
        <v>24.36</v>
      </c>
      <c r="C281" s="30">
        <f t="shared" si="4"/>
        <v>23.65</v>
      </c>
      <c r="D281" s="14">
        <v>0.13569581280788179</v>
      </c>
      <c r="E281" s="14">
        <v>1.356958128078818E-2</v>
      </c>
      <c r="F281" s="38">
        <v>1.5235632183908039E-2</v>
      </c>
      <c r="G281" s="38">
        <v>9.3596059113300548E-3</v>
      </c>
    </row>
    <row r="282" spans="1:7">
      <c r="A282" s="29" t="s">
        <v>16</v>
      </c>
      <c r="B282" s="186">
        <v>25.19</v>
      </c>
      <c r="C282" s="30">
        <f t="shared" si="4"/>
        <v>24.36</v>
      </c>
      <c r="D282" s="14">
        <v>0.16417427550615332</v>
      </c>
      <c r="E282" s="14">
        <v>1.6417427550615333E-2</v>
      </c>
      <c r="F282" s="38">
        <v>1.8028582770940847E-2</v>
      </c>
      <c r="G282" s="38">
        <v>1.234616911472808E-2</v>
      </c>
    </row>
    <row r="283" spans="1:7">
      <c r="A283" s="29" t="s">
        <v>17</v>
      </c>
      <c r="B283" s="186">
        <v>25.92</v>
      </c>
      <c r="C283" s="30">
        <f t="shared" si="4"/>
        <v>25.19</v>
      </c>
      <c r="D283" s="14">
        <v>0.18771412037037044</v>
      </c>
      <c r="E283" s="14">
        <v>1.8771412037037048E-2</v>
      </c>
      <c r="F283" s="38">
        <v>2.0337191358024691E-2</v>
      </c>
      <c r="G283" s="38">
        <v>1.4814814814814828E-2</v>
      </c>
    </row>
    <row r="284" spans="1:7">
      <c r="A284" s="29" t="s">
        <v>18</v>
      </c>
      <c r="B284" s="186">
        <v>26.74</v>
      </c>
      <c r="C284" s="30">
        <f t="shared" si="4"/>
        <v>25.92</v>
      </c>
      <c r="D284" s="14">
        <v>0.21262341062079279</v>
      </c>
      <c r="E284" s="14">
        <v>2.126234106207928E-2</v>
      </c>
      <c r="F284" s="38">
        <v>2.2780104712041876E-2</v>
      </c>
      <c r="G284" s="38">
        <v>1.742707554225879E-2</v>
      </c>
    </row>
    <row r="285" spans="1:7">
      <c r="A285" s="29" t="s">
        <v>19</v>
      </c>
      <c r="B285" s="186">
        <v>27.27</v>
      </c>
      <c r="C285" s="30">
        <f t="shared" si="4"/>
        <v>26.74</v>
      </c>
      <c r="D285" s="14">
        <v>0.22792629262926295</v>
      </c>
      <c r="E285" s="14">
        <v>2.2792629262926297E-2</v>
      </c>
      <c r="F285" s="38">
        <v>2.4280894756142275E-2</v>
      </c>
      <c r="G285" s="38">
        <v>1.9031903190319038E-2</v>
      </c>
    </row>
    <row r="286" spans="1:7">
      <c r="A286" s="29" t="s">
        <v>20</v>
      </c>
      <c r="B286" s="186">
        <v>27.9</v>
      </c>
      <c r="C286" s="30">
        <f t="shared" si="4"/>
        <v>27.27</v>
      </c>
      <c r="D286" s="14">
        <v>0.24536021505376343</v>
      </c>
      <c r="E286" s="14">
        <v>2.4536021505376347E-2</v>
      </c>
      <c r="F286" s="38">
        <v>2.5990681003584218E-2</v>
      </c>
      <c r="G286" s="38">
        <v>2.0860215053763443E-2</v>
      </c>
    </row>
    <row r="287" spans="1:7">
      <c r="A287" s="29" t="s">
        <v>21</v>
      </c>
      <c r="B287" s="186">
        <v>28.71</v>
      </c>
      <c r="C287" s="30">
        <f t="shared" si="4"/>
        <v>27.9</v>
      </c>
      <c r="D287" s="14">
        <v>0.26665099268547549</v>
      </c>
      <c r="E287" s="14">
        <v>2.666509926854755E-2</v>
      </c>
      <c r="F287" s="38">
        <v>2.807871821664925E-2</v>
      </c>
      <c r="G287" s="38">
        <v>2.3092998955067928E-2</v>
      </c>
    </row>
    <row r="288" spans="1:7">
      <c r="A288" s="29" t="s">
        <v>22</v>
      </c>
      <c r="B288" s="186">
        <v>29.43</v>
      </c>
      <c r="C288" s="30">
        <f t="shared" si="4"/>
        <v>28.71</v>
      </c>
      <c r="D288" s="14">
        <v>0.284592252803262</v>
      </c>
      <c r="E288" s="14">
        <v>2.8459225280326201E-2</v>
      </c>
      <c r="F288" s="38">
        <v>2.9838260278627245E-2</v>
      </c>
      <c r="G288" s="38">
        <v>2.4974515800203882E-2</v>
      </c>
    </row>
    <row r="289" spans="1:7">
      <c r="A289" s="29" t="s">
        <v>23</v>
      </c>
      <c r="B289" s="186">
        <v>29.95</v>
      </c>
      <c r="C289" s="30">
        <f t="shared" si="4"/>
        <v>29.43</v>
      </c>
      <c r="D289" s="14">
        <v>0.29701335559265446</v>
      </c>
      <c r="E289" s="14">
        <v>2.9701335559265445E-2</v>
      </c>
      <c r="F289" s="38">
        <v>3.1056427378964933E-2</v>
      </c>
      <c r="G289" s="38">
        <v>2.6277128547579305E-2</v>
      </c>
    </row>
    <row r="290" spans="1:7">
      <c r="A290" s="29" t="s">
        <v>24</v>
      </c>
      <c r="B290" s="186">
        <v>30.5</v>
      </c>
      <c r="C290" s="30">
        <f t="shared" si="4"/>
        <v>29.95</v>
      </c>
      <c r="D290" s="14">
        <v>0.30969016393442628</v>
      </c>
      <c r="E290" s="14">
        <v>3.0969016393442628E-2</v>
      </c>
      <c r="F290" s="38">
        <v>3.2299672131147539E-2</v>
      </c>
      <c r="G290" s="38">
        <v>2.7606557377049187E-2</v>
      </c>
    </row>
    <row r="291" spans="1:7">
      <c r="A291" s="29" t="s">
        <v>25</v>
      </c>
      <c r="B291" s="186">
        <v>30.9</v>
      </c>
      <c r="C291" s="30">
        <f t="shared" si="4"/>
        <v>30.5</v>
      </c>
      <c r="D291" s="14">
        <v>0.31862621359223298</v>
      </c>
      <c r="E291" s="14">
        <v>3.1862621359223298E-2</v>
      </c>
      <c r="F291" s="38">
        <v>3.3176051779935267E-2</v>
      </c>
      <c r="G291" s="38">
        <v>2.8543689320388355E-2</v>
      </c>
    </row>
    <row r="292" spans="1:7">
      <c r="A292" s="29" t="s">
        <v>26</v>
      </c>
      <c r="B292" s="186">
        <v>31.62</v>
      </c>
      <c r="C292" s="30">
        <f t="shared" si="4"/>
        <v>30.9</v>
      </c>
      <c r="D292" s="14">
        <v>0.33414136622390894</v>
      </c>
      <c r="E292" s="14">
        <v>3.3414136622390893E-2</v>
      </c>
      <c r="F292" s="38">
        <v>3.4697659709044905E-2</v>
      </c>
      <c r="G292" s="38">
        <v>3.0170777988614807E-2</v>
      </c>
    </row>
    <row r="293" spans="1:7">
      <c r="A293" s="29" t="s">
        <v>27</v>
      </c>
      <c r="B293" s="186">
        <v>32.36</v>
      </c>
      <c r="C293" s="30">
        <f t="shared" si="4"/>
        <v>31.62</v>
      </c>
      <c r="D293" s="14">
        <v>0.34936804697156987</v>
      </c>
      <c r="E293" s="14">
        <v>3.4936804697156987E-2</v>
      </c>
      <c r="F293" s="38">
        <v>3.6190976514215073E-2</v>
      </c>
      <c r="G293" s="38">
        <v>3.1767614338689749E-2</v>
      </c>
    </row>
    <row r="294" spans="1:7">
      <c r="A294" s="29" t="s">
        <v>28</v>
      </c>
      <c r="B294" s="186">
        <v>33.24</v>
      </c>
      <c r="C294" s="30">
        <f t="shared" si="4"/>
        <v>32.36</v>
      </c>
      <c r="D294" s="14">
        <v>0.36659296028880872</v>
      </c>
      <c r="E294" s="14">
        <v>3.6659296028880871E-2</v>
      </c>
      <c r="F294" s="38">
        <v>3.7880264741275572E-2</v>
      </c>
      <c r="G294" s="38">
        <v>3.3574007220216612E-2</v>
      </c>
    </row>
    <row r="295" spans="1:7">
      <c r="A295" s="29" t="s">
        <v>29</v>
      </c>
      <c r="B295" s="186">
        <v>34.06</v>
      </c>
      <c r="C295" s="30">
        <f t="shared" si="4"/>
        <v>33.24</v>
      </c>
      <c r="D295" s="14">
        <v>0.38184233705226078</v>
      </c>
      <c r="E295" s="14">
        <v>3.8184233705226077E-2</v>
      </c>
      <c r="F295" s="38">
        <v>3.9375807398708162E-2</v>
      </c>
      <c r="G295" s="38">
        <v>3.5173223722842054E-2</v>
      </c>
    </row>
    <row r="296" spans="1:7">
      <c r="A296" s="29" t="s">
        <v>30</v>
      </c>
      <c r="B296" s="186">
        <v>34.799999999999997</v>
      </c>
      <c r="C296" s="30">
        <f t="shared" si="4"/>
        <v>34.06</v>
      </c>
      <c r="D296" s="14">
        <v>0.39498706896551722</v>
      </c>
      <c r="E296" s="14">
        <v>3.9498706896551723E-2</v>
      </c>
      <c r="F296" s="38">
        <v>4.3989655172413718E-2</v>
      </c>
      <c r="G296" s="38">
        <v>3.6551724137931035E-2</v>
      </c>
    </row>
    <row r="297" spans="1:7">
      <c r="A297" s="29" t="s">
        <v>31</v>
      </c>
      <c r="B297" s="186">
        <v>35.409999999999997</v>
      </c>
      <c r="C297" s="30">
        <f t="shared" si="4"/>
        <v>34.799999999999997</v>
      </c>
      <c r="D297" s="14">
        <v>0.40540948884495903</v>
      </c>
      <c r="E297" s="14">
        <v>4.3245693306975398E-2</v>
      </c>
      <c r="F297" s="38">
        <v>5.0122564247387667E-2</v>
      </c>
      <c r="G297" s="38">
        <v>3.7644733126235529E-2</v>
      </c>
    </row>
    <row r="298" spans="1:7">
      <c r="A298" s="29" t="s">
        <v>32</v>
      </c>
      <c r="B298" s="186">
        <v>36.21</v>
      </c>
      <c r="C298" s="30">
        <f t="shared" si="4"/>
        <v>35.409999999999997</v>
      </c>
      <c r="D298" s="14">
        <v>0.4185459817729909</v>
      </c>
      <c r="E298" s="14">
        <v>5.1127589063794547E-2</v>
      </c>
      <c r="F298" s="38">
        <v>5.7852526926263428E-2</v>
      </c>
      <c r="G298" s="38">
        <v>3.9022369511184762E-2</v>
      </c>
    </row>
    <row r="299" spans="1:7">
      <c r="A299" s="29" t="s">
        <v>33</v>
      </c>
      <c r="B299" s="186">
        <v>36.93</v>
      </c>
      <c r="C299" s="30">
        <f t="shared" si="4"/>
        <v>36.21</v>
      </c>
      <c r="D299" s="14">
        <v>0.42988220958570272</v>
      </c>
      <c r="E299" s="14">
        <v>5.7929325751421616E-2</v>
      </c>
      <c r="F299" s="38">
        <v>6.4523151909017001E-2</v>
      </c>
      <c r="G299" s="38">
        <v>4.1267262388302216E-2</v>
      </c>
    </row>
    <row r="300" spans="1:7">
      <c r="A300" s="29" t="s">
        <v>34</v>
      </c>
      <c r="B300" s="186">
        <v>37.81</v>
      </c>
      <c r="C300" s="30">
        <f t="shared" si="4"/>
        <v>36.93</v>
      </c>
      <c r="D300" s="14">
        <v>0.44315128272943671</v>
      </c>
      <c r="E300" s="14">
        <v>6.5890769637662022E-2</v>
      </c>
      <c r="F300" s="38">
        <v>7.233112933086483E-2</v>
      </c>
      <c r="G300" s="38">
        <v>4.9616503570484055E-2</v>
      </c>
    </row>
    <row r="301" spans="1:7">
      <c r="A301" s="29" t="s">
        <v>35</v>
      </c>
      <c r="B301" s="186">
        <v>38.799999999999997</v>
      </c>
      <c r="C301" s="30">
        <f t="shared" si="4"/>
        <v>37.81</v>
      </c>
      <c r="D301" s="14">
        <v>0.45735953608247421</v>
      </c>
      <c r="E301" s="14">
        <v>7.4415721649484512E-2</v>
      </c>
      <c r="F301" s="38">
        <v>8.0691752577319531E-2</v>
      </c>
      <c r="G301" s="38">
        <v>5.8556701030927846E-2</v>
      </c>
    </row>
    <row r="302" spans="1:7">
      <c r="A302" s="29" t="s">
        <v>36</v>
      </c>
      <c r="B302" s="186">
        <v>39.85</v>
      </c>
      <c r="C302" s="30">
        <f t="shared" si="4"/>
        <v>38.799999999999997</v>
      </c>
      <c r="D302" s="14">
        <v>0.47165746549560855</v>
      </c>
      <c r="E302" s="14">
        <v>8.2994479297365142E-2</v>
      </c>
      <c r="F302" s="38">
        <v>8.9105144291091565E-2</v>
      </c>
      <c r="G302" s="38">
        <v>6.7553324968632422E-2</v>
      </c>
    </row>
    <row r="303" spans="1:7">
      <c r="A303" s="29" t="s">
        <v>37</v>
      </c>
      <c r="B303" s="186">
        <v>40.67</v>
      </c>
      <c r="C303" s="30">
        <f t="shared" si="4"/>
        <v>39.85</v>
      </c>
      <c r="D303" s="14">
        <v>0.48231005655274162</v>
      </c>
      <c r="E303" s="14">
        <v>8.9386033931644973E-2</v>
      </c>
      <c r="F303" s="38">
        <v>9.5373493975903598E-2</v>
      </c>
      <c r="G303" s="38">
        <v>7.4256208507499422E-2</v>
      </c>
    </row>
    <row r="304" spans="1:7">
      <c r="A304" s="29" t="s">
        <v>38</v>
      </c>
      <c r="B304" s="186">
        <v>41.53</v>
      </c>
      <c r="C304" s="30">
        <f t="shared" si="4"/>
        <v>40.67</v>
      </c>
      <c r="D304" s="14">
        <v>0.49303033951360464</v>
      </c>
      <c r="E304" s="14">
        <v>9.5818203708162797E-2</v>
      </c>
      <c r="F304" s="38">
        <v>0.10168167589694194</v>
      </c>
      <c r="G304" s="38">
        <v>8.1001685528533623E-2</v>
      </c>
    </row>
    <row r="305" spans="1:7">
      <c r="A305" s="29" t="s">
        <v>39</v>
      </c>
      <c r="B305" s="186">
        <v>42.95</v>
      </c>
      <c r="C305" s="30">
        <f t="shared" si="4"/>
        <v>41.53</v>
      </c>
      <c r="D305" s="14">
        <v>0.50979161816065199</v>
      </c>
      <c r="E305" s="14">
        <v>0.10587497089639118</v>
      </c>
      <c r="F305" s="38">
        <v>0.11154458672875434</v>
      </c>
      <c r="G305" s="38">
        <v>9.1548311990686901E-2</v>
      </c>
    </row>
    <row r="306" spans="1:7">
      <c r="A306" s="29" t="s">
        <v>40</v>
      </c>
      <c r="B306" s="186">
        <v>44.57</v>
      </c>
      <c r="C306" s="30">
        <f t="shared" si="4"/>
        <v>42.95</v>
      </c>
      <c r="D306" s="14">
        <v>0.52760937850572132</v>
      </c>
      <c r="E306" s="14">
        <v>0.11656562710343281</v>
      </c>
      <c r="F306" s="38">
        <v>0.12202916760152567</v>
      </c>
      <c r="G306" s="38">
        <v>0.10275970383666147</v>
      </c>
    </row>
    <row r="307" spans="1:7">
      <c r="A307" s="29" t="s">
        <v>41</v>
      </c>
      <c r="B307" s="186">
        <v>45.7</v>
      </c>
      <c r="C307" s="30">
        <f t="shared" si="4"/>
        <v>44.57</v>
      </c>
      <c r="D307" s="14">
        <v>0.5392899343544858</v>
      </c>
      <c r="E307" s="14">
        <v>0.12357396061269151</v>
      </c>
      <c r="F307" s="38">
        <v>0.12890240700218816</v>
      </c>
      <c r="G307" s="38">
        <v>0.11010940919037203</v>
      </c>
    </row>
    <row r="308" spans="1:7">
      <c r="A308" s="29" t="s">
        <v>42</v>
      </c>
      <c r="B308" s="186">
        <v>47.16</v>
      </c>
      <c r="C308" s="30">
        <f t="shared" si="4"/>
        <v>45.7</v>
      </c>
      <c r="D308" s="14">
        <v>0.55355279898218823</v>
      </c>
      <c r="E308" s="14">
        <v>0.13213167938931297</v>
      </c>
      <c r="F308" s="38">
        <v>0.13729516539440201</v>
      </c>
      <c r="G308" s="38">
        <v>0.11908396946564885</v>
      </c>
    </row>
    <row r="309" spans="1:7">
      <c r="A309" s="29" t="s">
        <v>43</v>
      </c>
      <c r="B309" s="186">
        <v>48.24</v>
      </c>
      <c r="C309" s="30">
        <f t="shared" si="4"/>
        <v>47.16</v>
      </c>
      <c r="D309" s="14">
        <v>0.56354788557213931</v>
      </c>
      <c r="E309" s="14">
        <v>0.13812873134328363</v>
      </c>
      <c r="F309" s="38">
        <v>0.14317661691542288</v>
      </c>
      <c r="G309" s="38">
        <v>0.12537313432835825</v>
      </c>
    </row>
    <row r="310" spans="1:7">
      <c r="A310" s="29" t="s">
        <v>44</v>
      </c>
      <c r="B310" s="186">
        <v>49.88</v>
      </c>
      <c r="C310" s="30">
        <f t="shared" si="4"/>
        <v>48.24</v>
      </c>
      <c r="D310" s="14">
        <v>0.57789795509222142</v>
      </c>
      <c r="E310" s="14">
        <v>0.14673877305533281</v>
      </c>
      <c r="F310" s="38">
        <v>0.15162068965517239</v>
      </c>
      <c r="G310" s="38">
        <v>0.13440256615878113</v>
      </c>
    </row>
    <row r="311" spans="1:7">
      <c r="A311" s="29" t="s">
        <v>45</v>
      </c>
      <c r="B311" s="186">
        <v>51.25</v>
      </c>
      <c r="C311" s="30">
        <f t="shared" si="4"/>
        <v>49.88</v>
      </c>
      <c r="D311" s="14">
        <v>0.58918146341463418</v>
      </c>
      <c r="E311" s="14">
        <v>0.15350887804878049</v>
      </c>
      <c r="F311" s="38">
        <v>0.15826029268292682</v>
      </c>
      <c r="G311" s="38">
        <v>0.14150243902439025</v>
      </c>
    </row>
    <row r="312" spans="1:7">
      <c r="A312" s="29" t="s">
        <v>46</v>
      </c>
      <c r="B312" s="186">
        <v>52.57</v>
      </c>
      <c r="C312" s="30">
        <f t="shared" si="4"/>
        <v>51.25</v>
      </c>
      <c r="D312" s="14">
        <v>0.59949686132775348</v>
      </c>
      <c r="E312" s="14">
        <v>0.15969811679665211</v>
      </c>
      <c r="F312" s="38">
        <v>0.16433022636484684</v>
      </c>
      <c r="G312" s="38">
        <v>0.14799315198782578</v>
      </c>
    </row>
    <row r="313" spans="1:7">
      <c r="A313" s="29" t="s">
        <v>47</v>
      </c>
      <c r="B313" s="186">
        <v>54.73</v>
      </c>
      <c r="C313" s="30">
        <f t="shared" si="4"/>
        <v>52.57</v>
      </c>
      <c r="D313" s="14">
        <v>0.61530330714416226</v>
      </c>
      <c r="E313" s="14">
        <v>0.16918198428649733</v>
      </c>
      <c r="F313" s="38">
        <v>0.17363128083318105</v>
      </c>
      <c r="G313" s="38">
        <v>0.15793897314087338</v>
      </c>
    </row>
    <row r="314" spans="1:7">
      <c r="A314" s="29" t="s">
        <v>48</v>
      </c>
      <c r="B314" s="186">
        <v>57.28</v>
      </c>
      <c r="C314" s="30">
        <f t="shared" si="4"/>
        <v>54.73</v>
      </c>
      <c r="D314" s="14">
        <v>0.63242929469273734</v>
      </c>
      <c r="E314" s="14">
        <v>0.17945757681564245</v>
      </c>
      <c r="F314" s="38">
        <v>0.18370879888268155</v>
      </c>
      <c r="G314" s="38">
        <v>0.1687150837988827</v>
      </c>
    </row>
    <row r="315" spans="1:7">
      <c r="A315" s="29" t="s">
        <v>49</v>
      </c>
      <c r="B315" s="186">
        <v>59.16</v>
      </c>
      <c r="C315" s="30">
        <f t="shared" si="4"/>
        <v>57.28</v>
      </c>
      <c r="D315" s="14">
        <v>0.64411004056795129</v>
      </c>
      <c r="E315" s="14">
        <v>0.18646602434077078</v>
      </c>
      <c r="F315" s="38">
        <v>0.19058215010141985</v>
      </c>
      <c r="G315" s="38">
        <v>0.17606490872210956</v>
      </c>
    </row>
    <row r="316" spans="1:7">
      <c r="A316" s="29" t="s">
        <v>50</v>
      </c>
      <c r="B316" s="186">
        <v>61.51</v>
      </c>
      <c r="C316" s="30">
        <f t="shared" si="4"/>
        <v>59.16</v>
      </c>
      <c r="D316" s="14">
        <v>0.6577068769305805</v>
      </c>
      <c r="E316" s="14">
        <v>0.19462412615834823</v>
      </c>
      <c r="F316" s="38">
        <v>0.19858299463501869</v>
      </c>
      <c r="G316" s="38">
        <v>0.18462038692895463</v>
      </c>
    </row>
    <row r="317" spans="1:7">
      <c r="A317" s="29" t="s">
        <v>51</v>
      </c>
      <c r="B317" s="186">
        <v>67.42</v>
      </c>
      <c r="C317" s="30">
        <f t="shared" si="4"/>
        <v>61.51</v>
      </c>
      <c r="D317" s="14">
        <v>0.68771210323346188</v>
      </c>
      <c r="E317" s="14">
        <v>0.21262726194007714</v>
      </c>
      <c r="F317" s="38">
        <v>0.21623909819044793</v>
      </c>
      <c r="G317" s="38">
        <v>0.20350044497181849</v>
      </c>
    </row>
    <row r="318" spans="1:7">
      <c r="A318" s="29" t="s">
        <v>52</v>
      </c>
      <c r="B318" s="186">
        <v>72.55</v>
      </c>
      <c r="C318" s="30">
        <f t="shared" si="4"/>
        <v>67.42</v>
      </c>
      <c r="D318" s="14">
        <v>0.70979393521709166</v>
      </c>
      <c r="E318" s="14">
        <v>0.225876361130255</v>
      </c>
      <c r="F318" s="38">
        <v>0.22923280496209511</v>
      </c>
      <c r="G318" s="38">
        <v>0.21739490006891801</v>
      </c>
    </row>
    <row r="319" spans="1:7">
      <c r="A319" s="29" t="s">
        <v>53</v>
      </c>
      <c r="B319" s="186">
        <v>82.01</v>
      </c>
      <c r="C319" s="30">
        <f>B318</f>
        <v>72.55</v>
      </c>
      <c r="D319" s="14">
        <v>0.74326972320448725</v>
      </c>
      <c r="E319" s="14">
        <v>0.24596183392269236</v>
      </c>
      <c r="F319" s="38">
        <v>0.24893110596268747</v>
      </c>
      <c r="G319" s="38">
        <v>0.23845872454578715</v>
      </c>
    </row>
    <row r="320" spans="1:7">
      <c r="A320" s="29" t="s">
        <v>53</v>
      </c>
      <c r="B320" s="187" t="s">
        <v>118</v>
      </c>
      <c r="C320" s="30">
        <f t="shared" si="4"/>
        <v>82.01</v>
      </c>
      <c r="D320" s="58"/>
      <c r="E320" s="11"/>
      <c r="F320" s="39"/>
      <c r="G320" s="39"/>
    </row>
    <row r="321" spans="1:7">
      <c r="A321" s="29"/>
      <c r="B321" s="29">
        <v>36.799999999999997</v>
      </c>
      <c r="D321" s="29"/>
      <c r="E321" s="32">
        <v>7.0494274916574215E-2</v>
      </c>
      <c r="F321" s="40">
        <v>7.351977776502297E-2</v>
      </c>
      <c r="G321" s="40">
        <v>6.3422656708241126E-2</v>
      </c>
    </row>
    <row r="322" spans="1:7" ht="24">
      <c r="A322" s="33" t="s">
        <v>55</v>
      </c>
      <c r="B322" s="57">
        <v>36.799999999999997</v>
      </c>
      <c r="D322" s="29"/>
      <c r="E322" s="34">
        <v>35.09075</v>
      </c>
      <c r="F322" s="41">
        <v>34.414333333333339</v>
      </c>
      <c r="G322" s="42">
        <v>36.799999999999997</v>
      </c>
    </row>
    <row r="323" spans="1:7" ht="24">
      <c r="A323" s="33" t="s">
        <v>56</v>
      </c>
      <c r="B323" s="57">
        <v>36.799999999999997</v>
      </c>
      <c r="D323" s="11"/>
      <c r="E323" s="11"/>
      <c r="F323" s="39"/>
      <c r="G323" s="39"/>
    </row>
    <row r="324" spans="1:7" ht="36.75">
      <c r="A324" s="35" t="s">
        <v>57</v>
      </c>
      <c r="B324" s="57">
        <v>22.1</v>
      </c>
      <c r="D324" s="11"/>
      <c r="E324" s="11">
        <v>21.054449999999999</v>
      </c>
      <c r="F324" s="39">
        <v>20.648600000000002</v>
      </c>
      <c r="G324" s="39">
        <v>22.08</v>
      </c>
    </row>
    <row r="327" spans="1:7">
      <c r="A327" s="16" t="s">
        <v>64</v>
      </c>
      <c r="B327" s="17">
        <f>AVERAGE(B275:B314)</f>
        <v>35.09075</v>
      </c>
    </row>
    <row r="328" spans="1:7">
      <c r="A328" s="16" t="s">
        <v>65</v>
      </c>
      <c r="B328" s="18">
        <f>AVERAGE(B280:B309)</f>
        <v>34.414333333333339</v>
      </c>
    </row>
    <row r="329" spans="1:7">
      <c r="A329" s="16" t="s">
        <v>66</v>
      </c>
      <c r="B329" s="18">
        <f>AVERAGE(B286:B304)</f>
        <v>34.246315789473684</v>
      </c>
    </row>
    <row r="333" spans="1:7" ht="15" customHeight="1">
      <c r="A333" s="530" t="s">
        <v>0</v>
      </c>
      <c r="B333" s="530" t="s">
        <v>70</v>
      </c>
      <c r="C333" s="530"/>
      <c r="D333" s="530"/>
      <c r="E333" s="188">
        <f>(1-E388)^(1/3)-1</f>
        <v>-2.447696626158713E-2</v>
      </c>
      <c r="F333" s="188">
        <f>(1-F388)^(1/3)-1</f>
        <v>-2.550931835267134E-2</v>
      </c>
      <c r="G333" s="188"/>
    </row>
    <row r="334" spans="1:7" ht="48.75">
      <c r="A334" s="530"/>
      <c r="B334" s="29" t="s">
        <v>4</v>
      </c>
      <c r="D334" s="29" t="s">
        <v>80</v>
      </c>
      <c r="E334" s="29" t="s">
        <v>5</v>
      </c>
      <c r="F334" s="189" t="s">
        <v>5</v>
      </c>
      <c r="G334" s="189"/>
    </row>
    <row r="335" spans="1:7">
      <c r="A335" s="530"/>
      <c r="B335" s="29" t="s">
        <v>72</v>
      </c>
      <c r="D335" s="184" t="s">
        <v>7</v>
      </c>
      <c r="E335" s="184" t="s">
        <v>7</v>
      </c>
      <c r="F335" s="184" t="s">
        <v>7</v>
      </c>
      <c r="G335" s="184"/>
    </row>
    <row r="336" spans="1:7" ht="15.75" thickBot="1">
      <c r="A336" s="50">
        <v>1</v>
      </c>
      <c r="B336" s="51">
        <v>2</v>
      </c>
      <c r="C336" s="117"/>
      <c r="D336" s="51">
        <v>3</v>
      </c>
      <c r="E336" s="51">
        <v>4</v>
      </c>
      <c r="F336" s="52">
        <v>5</v>
      </c>
      <c r="G336" s="52"/>
    </row>
    <row r="337" spans="1:7">
      <c r="A337" s="27" t="s">
        <v>10</v>
      </c>
      <c r="B337" s="190">
        <v>63.58</v>
      </c>
      <c r="C337">
        <v>0</v>
      </c>
      <c r="D337" s="191">
        <v>0</v>
      </c>
      <c r="E337" s="191">
        <v>0</v>
      </c>
      <c r="F337" s="192">
        <v>0</v>
      </c>
      <c r="G337" s="192">
        <v>0</v>
      </c>
    </row>
    <row r="338" spans="1:7">
      <c r="A338" s="27" t="s">
        <v>58</v>
      </c>
      <c r="B338" s="190">
        <v>68.86</v>
      </c>
      <c r="C338" s="30">
        <f>B337</f>
        <v>63.58</v>
      </c>
      <c r="D338" s="191">
        <v>0</v>
      </c>
      <c r="E338" s="191">
        <v>0</v>
      </c>
      <c r="F338" s="192">
        <v>0</v>
      </c>
      <c r="G338" s="192">
        <v>0</v>
      </c>
    </row>
    <row r="339" spans="1:7">
      <c r="A339" s="27" t="s">
        <v>59</v>
      </c>
      <c r="B339" s="190">
        <v>72.540000000000006</v>
      </c>
      <c r="C339" s="30">
        <f t="shared" ref="C339:C387" si="5">B338</f>
        <v>68.86</v>
      </c>
      <c r="D339" s="191">
        <v>0</v>
      </c>
      <c r="E339" s="191">
        <v>0</v>
      </c>
      <c r="F339" s="192">
        <v>0</v>
      </c>
      <c r="G339" s="192">
        <v>0</v>
      </c>
    </row>
    <row r="340" spans="1:7">
      <c r="A340" s="27" t="s">
        <v>60</v>
      </c>
      <c r="B340" s="190">
        <v>76.67</v>
      </c>
      <c r="C340" s="30">
        <f t="shared" si="5"/>
        <v>72.540000000000006</v>
      </c>
      <c r="D340" s="191">
        <v>0</v>
      </c>
      <c r="E340" s="191">
        <v>0</v>
      </c>
      <c r="F340" s="192">
        <v>0</v>
      </c>
      <c r="G340" s="192">
        <v>0</v>
      </c>
    </row>
    <row r="341" spans="1:7">
      <c r="A341" s="27" t="s">
        <v>61</v>
      </c>
      <c r="B341" s="190">
        <v>81.37</v>
      </c>
      <c r="C341" s="30">
        <f t="shared" si="5"/>
        <v>76.67</v>
      </c>
      <c r="D341" s="191">
        <v>0</v>
      </c>
      <c r="E341" s="191">
        <v>0</v>
      </c>
      <c r="F341" s="192">
        <v>0</v>
      </c>
      <c r="G341" s="192">
        <v>0</v>
      </c>
    </row>
    <row r="342" spans="1:7">
      <c r="A342" s="27" t="s">
        <v>62</v>
      </c>
      <c r="B342" s="190">
        <v>85.9</v>
      </c>
      <c r="C342" s="30">
        <f t="shared" si="5"/>
        <v>81.37</v>
      </c>
      <c r="D342" s="191">
        <v>0</v>
      </c>
      <c r="E342" s="191">
        <v>0</v>
      </c>
      <c r="F342" s="192">
        <v>0</v>
      </c>
      <c r="G342" s="192">
        <v>0</v>
      </c>
    </row>
    <row r="343" spans="1:7">
      <c r="A343" s="27" t="s">
        <v>63</v>
      </c>
      <c r="B343" s="190">
        <v>89.78</v>
      </c>
      <c r="C343" s="30">
        <f t="shared" si="5"/>
        <v>85.9</v>
      </c>
      <c r="D343" s="191">
        <v>0</v>
      </c>
      <c r="E343" s="191">
        <v>0</v>
      </c>
      <c r="F343" s="192">
        <v>0</v>
      </c>
      <c r="G343" s="192">
        <v>0</v>
      </c>
    </row>
    <row r="344" spans="1:7">
      <c r="A344" s="29" t="s">
        <v>11</v>
      </c>
      <c r="B344" s="190">
        <v>92.37</v>
      </c>
      <c r="C344" s="30">
        <f t="shared" si="5"/>
        <v>89.78</v>
      </c>
      <c r="D344" s="191">
        <v>0</v>
      </c>
      <c r="E344" s="191">
        <v>0</v>
      </c>
      <c r="F344" s="192">
        <v>0</v>
      </c>
      <c r="G344" s="192">
        <v>0</v>
      </c>
    </row>
    <row r="345" spans="1:7">
      <c r="A345" s="29" t="s">
        <v>12</v>
      </c>
      <c r="B345" s="190">
        <v>95</v>
      </c>
      <c r="C345" s="30">
        <f t="shared" si="5"/>
        <v>92.37</v>
      </c>
      <c r="D345" s="191">
        <v>0</v>
      </c>
      <c r="E345" s="191">
        <v>0</v>
      </c>
      <c r="F345" s="192">
        <v>1.5357894736842289E-3</v>
      </c>
      <c r="G345" s="192">
        <v>0</v>
      </c>
    </row>
    <row r="346" spans="1:7">
      <c r="A346" s="29" t="s">
        <v>13</v>
      </c>
      <c r="B346" s="190">
        <v>97.74</v>
      </c>
      <c r="C346" s="30">
        <f t="shared" si="5"/>
        <v>95</v>
      </c>
      <c r="D346" s="191">
        <v>2.4548802946592858E-2</v>
      </c>
      <c r="E346" s="191"/>
      <c r="F346" s="192">
        <v>4.2960916717822931E-3</v>
      </c>
      <c r="G346" s="192">
        <v>2.4554941682012986E-4</v>
      </c>
    </row>
    <row r="347" spans="1:7">
      <c r="A347" s="29" t="s">
        <v>14</v>
      </c>
      <c r="B347" s="190">
        <v>101</v>
      </c>
      <c r="C347" s="30">
        <f t="shared" si="5"/>
        <v>97.74</v>
      </c>
      <c r="D347" s="191">
        <v>5.6033663366336542E-2</v>
      </c>
      <c r="E347" s="191"/>
      <c r="F347" s="192">
        <v>7.3851485148515028E-3</v>
      </c>
      <c r="G347" s="192">
        <v>3.4653465346534658E-3</v>
      </c>
    </row>
    <row r="348" spans="1:7">
      <c r="A348" s="29" t="s">
        <v>15</v>
      </c>
      <c r="B348" s="190">
        <v>104.27</v>
      </c>
      <c r="C348" s="30">
        <f t="shared" si="5"/>
        <v>101</v>
      </c>
      <c r="D348" s="191">
        <v>8.5637287810491874E-2</v>
      </c>
      <c r="E348" s="191"/>
      <c r="F348" s="192">
        <v>1.028963268437711E-2</v>
      </c>
      <c r="G348" s="192">
        <v>6.4927591828905689E-3</v>
      </c>
    </row>
    <row r="349" spans="1:7">
      <c r="A349" s="29" t="s">
        <v>16</v>
      </c>
      <c r="B349" s="190">
        <v>107.73</v>
      </c>
      <c r="C349" s="30">
        <f t="shared" si="5"/>
        <v>104.27</v>
      </c>
      <c r="D349" s="191">
        <v>0.11500417710944022</v>
      </c>
      <c r="E349" s="191">
        <v>1.1500417710944021E-2</v>
      </c>
      <c r="F349" s="192">
        <v>1.3170890188434068E-2</v>
      </c>
      <c r="G349" s="192">
        <v>9.4959621275410785E-3</v>
      </c>
    </row>
    <row r="350" spans="1:7">
      <c r="A350" s="29" t="s">
        <v>17</v>
      </c>
      <c r="B350" s="190">
        <v>110.32</v>
      </c>
      <c r="C350" s="30">
        <f t="shared" si="5"/>
        <v>107.73</v>
      </c>
      <c r="D350" s="191">
        <v>0.13578136330674387</v>
      </c>
      <c r="E350" s="191">
        <v>1.3578136330674388E-2</v>
      </c>
      <c r="F350" s="192">
        <v>1.5209390862944172E-2</v>
      </c>
      <c r="G350" s="192">
        <v>1.1620739666424941E-2</v>
      </c>
    </row>
    <row r="351" spans="1:7">
      <c r="A351" s="29" t="s">
        <v>18</v>
      </c>
      <c r="B351" s="190">
        <v>114.49</v>
      </c>
      <c r="C351" s="30">
        <f t="shared" si="5"/>
        <v>110.32</v>
      </c>
      <c r="D351" s="191">
        <v>0.16725827583195027</v>
      </c>
      <c r="E351" s="191">
        <v>1.6725827583195029E-2</v>
      </c>
      <c r="F351" s="192">
        <v>1.8297667918595523E-2</v>
      </c>
      <c r="G351" s="192">
        <v>1.4839723993361862E-2</v>
      </c>
    </row>
    <row r="352" spans="1:7">
      <c r="A352" s="29" t="s">
        <v>19</v>
      </c>
      <c r="B352" s="190">
        <v>119.63</v>
      </c>
      <c r="C352" s="30">
        <f t="shared" si="5"/>
        <v>114.49</v>
      </c>
      <c r="D352" s="191">
        <v>0.20303769957368542</v>
      </c>
      <c r="E352" s="191">
        <v>2.0303769957368545E-2</v>
      </c>
      <c r="F352" s="192">
        <v>2.1808074897600949E-2</v>
      </c>
      <c r="G352" s="192">
        <v>1.8498704338376658E-2</v>
      </c>
    </row>
    <row r="353" spans="1:7">
      <c r="A353" s="29" t="s">
        <v>20</v>
      </c>
      <c r="B353" s="190">
        <v>122.54</v>
      </c>
      <c r="C353" s="30">
        <f t="shared" si="5"/>
        <v>119.63</v>
      </c>
      <c r="D353" s="191">
        <v>0.22196344050922145</v>
      </c>
      <c r="E353" s="191">
        <v>2.2196344050922145E-2</v>
      </c>
      <c r="F353" s="192">
        <v>2.3664925738534376E-2</v>
      </c>
      <c r="G353" s="192">
        <v>2.0434143952994945E-2</v>
      </c>
    </row>
    <row r="354" spans="1:7">
      <c r="A354" s="29" t="s">
        <v>21</v>
      </c>
      <c r="B354" s="190">
        <v>126.52</v>
      </c>
      <c r="C354" s="30">
        <f t="shared" si="5"/>
        <v>122.54</v>
      </c>
      <c r="D354" s="191">
        <v>0.24643850774581083</v>
      </c>
      <c r="E354" s="191">
        <v>2.4643850774581089E-2</v>
      </c>
      <c r="F354" s="192">
        <v>2.6066234587417022E-2</v>
      </c>
      <c r="G354" s="192">
        <v>2.2937085045842551E-2</v>
      </c>
    </row>
    <row r="355" spans="1:7">
      <c r="A355" s="29" t="s">
        <v>22</v>
      </c>
      <c r="B355" s="190">
        <v>130.30000000000001</v>
      </c>
      <c r="C355" s="30">
        <f t="shared" si="5"/>
        <v>126.52</v>
      </c>
      <c r="D355" s="191">
        <v>0.26829930928626244</v>
      </c>
      <c r="E355" s="191">
        <v>2.6829930928626247E-2</v>
      </c>
      <c r="F355" s="192">
        <v>2.821105141980048E-2</v>
      </c>
      <c r="G355" s="192">
        <v>2.5172678434382201E-2</v>
      </c>
    </row>
    <row r="356" spans="1:7">
      <c r="A356" s="29" t="s">
        <v>23</v>
      </c>
      <c r="B356" s="190">
        <v>133.85</v>
      </c>
      <c r="C356" s="30">
        <f t="shared" si="5"/>
        <v>130.30000000000001</v>
      </c>
      <c r="D356" s="191">
        <v>0.2877056406425102</v>
      </c>
      <c r="E356" s="191">
        <v>2.877056406425102E-2</v>
      </c>
      <c r="F356" s="192">
        <v>3.0115054165110212E-2</v>
      </c>
      <c r="G356" s="192">
        <v>2.7157265595816212E-2</v>
      </c>
    </row>
    <row r="357" spans="1:7">
      <c r="A357" s="29" t="s">
        <v>24</v>
      </c>
      <c r="B357" s="190">
        <v>135.97</v>
      </c>
      <c r="C357" s="30">
        <f t="shared" si="5"/>
        <v>133.85</v>
      </c>
      <c r="D357" s="191">
        <v>0.29881150253732436</v>
      </c>
      <c r="E357" s="191">
        <v>2.9881150253732437E-2</v>
      </c>
      <c r="F357" s="192">
        <v>3.1204677502390244E-2</v>
      </c>
      <c r="G357" s="192">
        <v>2.829300581010517E-2</v>
      </c>
    </row>
    <row r="358" spans="1:7">
      <c r="A358" s="29" t="s">
        <v>25</v>
      </c>
      <c r="B358" s="190">
        <v>138.97</v>
      </c>
      <c r="C358" s="30">
        <f t="shared" si="5"/>
        <v>135.97</v>
      </c>
      <c r="D358" s="191">
        <v>0.31394833417284301</v>
      </c>
      <c r="E358" s="191">
        <v>3.1394833417284301E-2</v>
      </c>
      <c r="F358" s="192">
        <v>3.268978916312875E-2</v>
      </c>
      <c r="G358" s="192">
        <v>2.9840972871842845E-2</v>
      </c>
    </row>
    <row r="359" spans="1:7">
      <c r="A359" s="29" t="s">
        <v>26</v>
      </c>
      <c r="B359" s="190">
        <v>142.84</v>
      </c>
      <c r="C359" s="30">
        <f t="shared" si="5"/>
        <v>138.97</v>
      </c>
      <c r="D359" s="191">
        <v>0.33253570428451407</v>
      </c>
      <c r="E359" s="191">
        <v>3.3253570428451409E-2</v>
      </c>
      <c r="F359" s="192">
        <v>3.4513441612993578E-2</v>
      </c>
      <c r="G359" s="192">
        <v>3.1741809017082054E-2</v>
      </c>
    </row>
    <row r="360" spans="1:7">
      <c r="A360" s="29" t="s">
        <v>27</v>
      </c>
      <c r="B360" s="190">
        <v>146.62</v>
      </c>
      <c r="C360" s="30">
        <f t="shared" si="5"/>
        <v>142.84</v>
      </c>
      <c r="D360" s="191">
        <v>0.34974355476742597</v>
      </c>
      <c r="E360" s="191">
        <v>3.4974355476742595E-2</v>
      </c>
      <c r="F360" s="192">
        <v>3.6201746010094141E-2</v>
      </c>
      <c r="G360" s="192">
        <v>3.3501568680943943E-2</v>
      </c>
    </row>
    <row r="361" spans="1:7">
      <c r="A361" s="29" t="s">
        <v>28</v>
      </c>
      <c r="B361" s="190">
        <v>150.33000000000001</v>
      </c>
      <c r="C361" s="30">
        <f t="shared" si="5"/>
        <v>146.62</v>
      </c>
      <c r="D361" s="191">
        <v>0.36579125922969469</v>
      </c>
      <c r="E361" s="191">
        <v>3.6579125922969469E-2</v>
      </c>
      <c r="F361" s="192">
        <v>3.7776225636932101E-2</v>
      </c>
      <c r="G361" s="192">
        <v>3.5142686090600686E-2</v>
      </c>
    </row>
    <row r="362" spans="1:7">
      <c r="A362" s="29" t="s">
        <v>29</v>
      </c>
      <c r="B362" s="190">
        <v>154.4</v>
      </c>
      <c r="C362" s="30">
        <f t="shared" si="5"/>
        <v>150.33000000000001</v>
      </c>
      <c r="D362" s="191">
        <v>0.38250906735751294</v>
      </c>
      <c r="E362" s="191">
        <v>3.8250906735751294E-2</v>
      </c>
      <c r="F362" s="192">
        <v>3.9416450777202086E-2</v>
      </c>
      <c r="G362" s="192">
        <v>3.6852331606217627E-2</v>
      </c>
    </row>
    <row r="363" spans="1:7">
      <c r="A363" s="29" t="s">
        <v>30</v>
      </c>
      <c r="B363" s="190">
        <v>159.38999999999999</v>
      </c>
      <c r="C363" s="30">
        <f t="shared" si="5"/>
        <v>154.4</v>
      </c>
      <c r="D363" s="191">
        <v>0.40184076792772433</v>
      </c>
      <c r="E363" s="191">
        <v>4.1104460756634612E-2</v>
      </c>
      <c r="F363" s="192">
        <v>4.787878787878791E-2</v>
      </c>
      <c r="G363" s="192">
        <v>3.8829286655373607E-2</v>
      </c>
    </row>
    <row r="364" spans="1:7">
      <c r="A364" s="29" t="s">
        <v>31</v>
      </c>
      <c r="B364" s="190">
        <v>163.91</v>
      </c>
      <c r="C364" s="30">
        <f t="shared" si="5"/>
        <v>159.38999999999999</v>
      </c>
      <c r="D364" s="191">
        <v>0.41833567201513017</v>
      </c>
      <c r="E364" s="191">
        <v>5.1001403209078124E-2</v>
      </c>
      <c r="F364" s="192">
        <v>5.7588920749191683E-2</v>
      </c>
      <c r="G364" s="192">
        <v>4.3096821426392526E-2</v>
      </c>
    </row>
    <row r="365" spans="1:7">
      <c r="A365" s="29" t="s">
        <v>32</v>
      </c>
      <c r="B365" s="190">
        <v>167.59</v>
      </c>
      <c r="C365" s="30">
        <f t="shared" si="5"/>
        <v>163.91</v>
      </c>
      <c r="D365" s="191">
        <v>0.43110806134017537</v>
      </c>
      <c r="E365" s="191">
        <v>5.8664836804105239E-2</v>
      </c>
      <c r="F365" s="192">
        <v>6.5107703323587396E-2</v>
      </c>
      <c r="G365" s="192">
        <v>5.0933826600632504E-2</v>
      </c>
    </row>
    <row r="366" spans="1:7">
      <c r="A366" s="29" t="s">
        <v>33</v>
      </c>
      <c r="B366" s="190">
        <v>171.89</v>
      </c>
      <c r="C366" s="30">
        <f t="shared" si="5"/>
        <v>167.59</v>
      </c>
      <c r="D366" s="191">
        <v>0.44533946128337881</v>
      </c>
      <c r="E366" s="191">
        <v>6.7203676770027296E-2</v>
      </c>
      <c r="F366" s="192">
        <v>7.3485368549653873E-2</v>
      </c>
      <c r="G366" s="192">
        <v>5.9666065507010271E-2</v>
      </c>
    </row>
    <row r="367" spans="1:7">
      <c r="A367" s="29" t="s">
        <v>34</v>
      </c>
      <c r="B367" s="190">
        <v>176.79</v>
      </c>
      <c r="C367" s="30">
        <f t="shared" si="5"/>
        <v>171.89</v>
      </c>
      <c r="D367" s="191">
        <v>0.46071270999490915</v>
      </c>
      <c r="E367" s="191">
        <v>7.6427625996945497E-2</v>
      </c>
      <c r="F367" s="192">
        <v>8.2535211267605671E-2</v>
      </c>
      <c r="G367" s="192">
        <v>6.909893093500763E-2</v>
      </c>
    </row>
    <row r="368" spans="1:7">
      <c r="A368" s="29" t="s">
        <v>35</v>
      </c>
      <c r="B368" s="190">
        <v>180.83</v>
      </c>
      <c r="C368" s="30">
        <f t="shared" si="5"/>
        <v>176.79</v>
      </c>
      <c r="D368" s="191">
        <v>0.47276115688768455</v>
      </c>
      <c r="E368" s="191">
        <v>8.3656694132610745E-2</v>
      </c>
      <c r="F368" s="192">
        <v>8.9627827241055211E-2</v>
      </c>
      <c r="G368" s="192">
        <v>7.6491732566498938E-2</v>
      </c>
    </row>
    <row r="369" spans="1:7">
      <c r="A369" s="29" t="s">
        <v>36</v>
      </c>
      <c r="B369" s="190">
        <v>185.29</v>
      </c>
      <c r="C369" s="30">
        <f t="shared" si="5"/>
        <v>180.83</v>
      </c>
      <c r="D369" s="191">
        <v>0.48545199417129897</v>
      </c>
      <c r="E369" s="191">
        <v>9.1271196502779386E-2</v>
      </c>
      <c r="F369" s="192">
        <v>9.7098602191159844E-2</v>
      </c>
      <c r="G369" s="192">
        <v>8.4278698256786647E-2</v>
      </c>
    </row>
    <row r="370" spans="1:7">
      <c r="A370" s="29" t="s">
        <v>37</v>
      </c>
      <c r="B370" s="190">
        <v>188.18</v>
      </c>
      <c r="C370" s="30">
        <f t="shared" si="5"/>
        <v>185.29</v>
      </c>
      <c r="D370" s="191">
        <v>0.49335423530662131</v>
      </c>
      <c r="E370" s="191">
        <v>9.6012541183972774E-2</v>
      </c>
      <c r="F370" s="192">
        <v>0.10175045169518553</v>
      </c>
      <c r="G370" s="192">
        <v>8.912743118291E-2</v>
      </c>
    </row>
    <row r="371" spans="1:7">
      <c r="A371" s="29" t="s">
        <v>38</v>
      </c>
      <c r="B371" s="190">
        <v>190.71</v>
      </c>
      <c r="C371" s="30">
        <f t="shared" si="5"/>
        <v>188.18</v>
      </c>
      <c r="D371" s="191">
        <v>0.50007550731477113</v>
      </c>
      <c r="E371" s="191">
        <v>0.10004530438886265</v>
      </c>
      <c r="F371" s="192">
        <v>0.10570709454145043</v>
      </c>
      <c r="G371" s="192">
        <v>9.3251533742331319E-2</v>
      </c>
    </row>
    <row r="372" spans="1:7">
      <c r="A372" s="29" t="s">
        <v>39</v>
      </c>
      <c r="B372" s="190">
        <v>196.45</v>
      </c>
      <c r="C372" s="30">
        <f t="shared" si="5"/>
        <v>190.71</v>
      </c>
      <c r="D372" s="191">
        <v>0.51468261644184266</v>
      </c>
      <c r="E372" s="191">
        <v>0.10880956986510558</v>
      </c>
      <c r="F372" s="192">
        <v>0.11430593026215324</v>
      </c>
      <c r="G372" s="192">
        <v>0.10221430389412064</v>
      </c>
    </row>
    <row r="373" spans="1:7">
      <c r="A373" s="29" t="s">
        <v>40</v>
      </c>
      <c r="B373" s="190">
        <v>202.31</v>
      </c>
      <c r="C373" s="30">
        <f t="shared" si="5"/>
        <v>196.45</v>
      </c>
      <c r="D373" s="191">
        <v>0.52874005239483957</v>
      </c>
      <c r="E373" s="191">
        <v>0.11724403143690375</v>
      </c>
      <c r="F373" s="192">
        <v>0.12258118728683708</v>
      </c>
      <c r="G373" s="192">
        <v>0.11083980030646037</v>
      </c>
    </row>
    <row r="374" spans="1:7">
      <c r="A374" s="29" t="s">
        <v>41</v>
      </c>
      <c r="B374" s="190">
        <v>210.34</v>
      </c>
      <c r="C374" s="30">
        <f t="shared" si="5"/>
        <v>202.31</v>
      </c>
      <c r="D374" s="191">
        <v>0.54673100694114285</v>
      </c>
      <c r="E374" s="191">
        <v>0.12803860416468574</v>
      </c>
      <c r="F374" s="192">
        <v>0.13317200722639541</v>
      </c>
      <c r="G374" s="192">
        <v>0.12187886279357232</v>
      </c>
    </row>
    <row r="375" spans="1:7">
      <c r="A375" s="29" t="s">
        <v>42</v>
      </c>
      <c r="B375" s="190">
        <v>218.87</v>
      </c>
      <c r="C375" s="30">
        <f t="shared" si="5"/>
        <v>210.34</v>
      </c>
      <c r="D375" s="191">
        <v>0.56439621693242559</v>
      </c>
      <c r="E375" s="191">
        <v>0.13863773015945538</v>
      </c>
      <c r="F375" s="192">
        <v>0.14357106958468502</v>
      </c>
      <c r="G375" s="192">
        <v>0.13271805181157764</v>
      </c>
    </row>
    <row r="376" spans="1:7">
      <c r="A376" s="29" t="s">
        <v>43</v>
      </c>
      <c r="B376" s="190">
        <v>224.72</v>
      </c>
      <c r="C376" s="30">
        <f t="shared" si="5"/>
        <v>218.87</v>
      </c>
      <c r="D376" s="191">
        <v>0.57573602705589166</v>
      </c>
      <c r="E376" s="191">
        <v>0.14544161623353505</v>
      </c>
      <c r="F376" s="192">
        <v>0.15024652901388399</v>
      </c>
      <c r="G376" s="192">
        <v>0.13967604129583483</v>
      </c>
    </row>
    <row r="377" spans="1:7">
      <c r="A377" s="29" t="s">
        <v>44</v>
      </c>
      <c r="B377" s="190">
        <v>230.18</v>
      </c>
      <c r="C377" s="30">
        <f t="shared" si="5"/>
        <v>224.72</v>
      </c>
      <c r="D377" s="191">
        <v>0.58579980884525162</v>
      </c>
      <c r="E377" s="191">
        <v>0.15147988530715092</v>
      </c>
      <c r="F377" s="192">
        <v>0.15617082283430364</v>
      </c>
      <c r="G377" s="192">
        <v>0.14585107307324705</v>
      </c>
    </row>
    <row r="378" spans="1:7">
      <c r="A378" s="29" t="s">
        <v>45</v>
      </c>
      <c r="B378" s="190">
        <v>234.74</v>
      </c>
      <c r="C378" s="30">
        <f t="shared" si="5"/>
        <v>230.18</v>
      </c>
      <c r="D378" s="191">
        <v>0.59384595722927502</v>
      </c>
      <c r="E378" s="191">
        <v>0.15630757433756495</v>
      </c>
      <c r="F378" s="192">
        <v>0.16090738689614045</v>
      </c>
      <c r="G378" s="192">
        <v>0.15078810598960551</v>
      </c>
    </row>
    <row r="379" spans="1:7">
      <c r="A379" s="29" t="s">
        <v>46</v>
      </c>
      <c r="B379" s="190">
        <v>240.89</v>
      </c>
      <c r="C379" s="30">
        <f t="shared" si="5"/>
        <v>234.74</v>
      </c>
      <c r="D379" s="191">
        <v>0.60421520195940059</v>
      </c>
      <c r="E379" s="191">
        <v>0.16252912117564031</v>
      </c>
      <c r="F379" s="192">
        <v>0.16701149902445103</v>
      </c>
      <c r="G379" s="192">
        <v>0.1571505666486778</v>
      </c>
    </row>
    <row r="380" spans="1:7">
      <c r="A380" s="29" t="s">
        <v>47</v>
      </c>
      <c r="B380" s="190">
        <v>250.99</v>
      </c>
      <c r="C380" s="30">
        <f t="shared" si="5"/>
        <v>240.89</v>
      </c>
      <c r="D380" s="191">
        <v>0.62014183832025183</v>
      </c>
      <c r="E380" s="191">
        <v>0.17208510299215107</v>
      </c>
      <c r="F380" s="192">
        <v>0.17638710705605806</v>
      </c>
      <c r="G380" s="192">
        <v>0.16692298497948127</v>
      </c>
    </row>
    <row r="381" spans="1:7">
      <c r="A381" s="29" t="s">
        <v>48</v>
      </c>
      <c r="B381" s="190">
        <v>261.39999999999998</v>
      </c>
      <c r="C381" s="30">
        <f t="shared" si="5"/>
        <v>250.99</v>
      </c>
      <c r="D381" s="191">
        <v>0.63526931905126238</v>
      </c>
      <c r="E381" s="191">
        <v>0.18116159143075741</v>
      </c>
      <c r="F381" s="192">
        <v>0.18529227237949505</v>
      </c>
      <c r="G381" s="192">
        <v>0.17620504973221116</v>
      </c>
    </row>
    <row r="382" spans="1:7">
      <c r="A382" s="29" t="s">
        <v>49</v>
      </c>
      <c r="B382" s="190">
        <v>272.56</v>
      </c>
      <c r="C382" s="30">
        <f t="shared" si="5"/>
        <v>261.39999999999998</v>
      </c>
      <c r="D382" s="191">
        <v>0.65020325799823897</v>
      </c>
      <c r="E382" s="191">
        <v>0.19012195479894334</v>
      </c>
      <c r="F382" s="192">
        <v>0.19408350454945705</v>
      </c>
      <c r="G382" s="192">
        <v>0.18536835926034634</v>
      </c>
    </row>
    <row r="383" spans="1:7">
      <c r="A383" s="29" t="s">
        <v>50</v>
      </c>
      <c r="B383" s="190">
        <v>289.91000000000003</v>
      </c>
      <c r="C383" s="30">
        <f t="shared" si="5"/>
        <v>272.56</v>
      </c>
      <c r="D383" s="191">
        <v>0.67113724949122144</v>
      </c>
      <c r="E383" s="191">
        <v>0.20268234969473287</v>
      </c>
      <c r="F383" s="192">
        <v>0.20640681590838542</v>
      </c>
      <c r="G383" s="192">
        <v>0.19821323859128698</v>
      </c>
    </row>
    <row r="384" spans="1:7">
      <c r="A384" s="29" t="s">
        <v>51</v>
      </c>
      <c r="B384" s="190">
        <v>310.74</v>
      </c>
      <c r="C384" s="30">
        <f t="shared" si="5"/>
        <v>289.91000000000003</v>
      </c>
      <c r="D384" s="191">
        <v>0.69318208148291183</v>
      </c>
      <c r="E384" s="191">
        <v>0.21590924888974708</v>
      </c>
      <c r="F384" s="192">
        <v>0.21938405097509173</v>
      </c>
      <c r="G384" s="192">
        <v>0.21173971809229583</v>
      </c>
    </row>
    <row r="385" spans="1:7">
      <c r="A385" s="29" t="s">
        <v>52</v>
      </c>
      <c r="B385" s="190">
        <v>328.32</v>
      </c>
      <c r="C385" s="30">
        <f t="shared" si="5"/>
        <v>310.74</v>
      </c>
      <c r="D385" s="191">
        <v>0.70961074561403514</v>
      </c>
      <c r="E385" s="191">
        <v>0.22576644736842105</v>
      </c>
      <c r="F385" s="192">
        <v>0.22905519005847957</v>
      </c>
      <c r="G385" s="192">
        <v>0.2218201754385965</v>
      </c>
    </row>
    <row r="386" spans="1:7">
      <c r="A386" s="29" t="s">
        <v>53</v>
      </c>
      <c r="B386" s="190">
        <v>347.33</v>
      </c>
      <c r="C386" s="30">
        <f>B385</f>
        <v>328.32</v>
      </c>
      <c r="D386" s="191">
        <v>0.7255042754728932</v>
      </c>
      <c r="E386" s="191">
        <v>0.23530256528373589</v>
      </c>
      <c r="F386" s="192">
        <v>0.23841130912964617</v>
      </c>
      <c r="G386" s="192">
        <v>0.2315722799642991</v>
      </c>
    </row>
    <row r="387" spans="1:7">
      <c r="A387" s="29" t="s">
        <v>53</v>
      </c>
      <c r="B387" s="29" t="s">
        <v>119</v>
      </c>
      <c r="C387" s="30">
        <f t="shared" si="5"/>
        <v>347.33</v>
      </c>
      <c r="D387" s="58" t="s">
        <v>69</v>
      </c>
      <c r="E387" s="29"/>
      <c r="F387" s="189"/>
      <c r="G387" s="189"/>
    </row>
    <row r="388" spans="1:7">
      <c r="A388" s="29"/>
      <c r="B388" s="29"/>
      <c r="D388" s="29" t="s">
        <v>69</v>
      </c>
      <c r="E388" s="193">
        <v>7.164819783862765E-2</v>
      </c>
      <c r="F388" s="188">
        <v>7.4592378648980245E-2</v>
      </c>
      <c r="G388" s="188">
        <v>6.8269305422209076E-2</v>
      </c>
    </row>
    <row r="389" spans="1:7" ht="24.75">
      <c r="A389" s="35" t="s">
        <v>55</v>
      </c>
      <c r="B389" s="29"/>
      <c r="D389" s="29" t="s">
        <v>69</v>
      </c>
      <c r="E389" s="163">
        <v>158.90100000000001</v>
      </c>
      <c r="F389" s="194">
        <v>155.90166666666664</v>
      </c>
      <c r="G389" s="165">
        <v>162.5</v>
      </c>
    </row>
    <row r="390" spans="1:7" ht="24.75">
      <c r="A390" s="35" t="s">
        <v>56</v>
      </c>
      <c r="B390" s="57">
        <v>162.5</v>
      </c>
      <c r="D390" s="29"/>
      <c r="E390" s="163"/>
      <c r="F390" s="194"/>
      <c r="G390" s="194"/>
    </row>
    <row r="391" spans="1:7" ht="36.75">
      <c r="A391" s="35" t="s">
        <v>57</v>
      </c>
      <c r="B391" s="57">
        <v>97.5</v>
      </c>
      <c r="D391" s="29"/>
      <c r="E391" s="163">
        <v>95.340600000000009</v>
      </c>
      <c r="F391" s="194">
        <v>93.540999999999983</v>
      </c>
      <c r="G391" s="194">
        <v>97.5</v>
      </c>
    </row>
    <row r="394" spans="1:7">
      <c r="A394" s="16" t="s">
        <v>64</v>
      </c>
      <c r="B394" s="17">
        <f>AVERAGE(B342:B381)</f>
        <v>158.90100000000001</v>
      </c>
    </row>
    <row r="395" spans="1:7">
      <c r="A395" s="16" t="s">
        <v>65</v>
      </c>
      <c r="B395" s="18">
        <f>AVERAGE(B347:B376)</f>
        <v>155.90166666666664</v>
      </c>
    </row>
    <row r="396" spans="1:7">
      <c r="A396" s="16" t="s">
        <v>66</v>
      </c>
      <c r="B396" s="18">
        <f>AVERAGE(B353:B371)</f>
        <v>156.15368421052631</v>
      </c>
    </row>
    <row r="402" spans="3:3">
      <c r="C402">
        <v>0</v>
      </c>
    </row>
    <row r="403" spans="3:3">
      <c r="C403" s="30">
        <f>B402</f>
        <v>0</v>
      </c>
    </row>
    <row r="404" spans="3:3">
      <c r="C404" s="30">
        <f t="shared" ref="C404:C452" si="6">B403</f>
        <v>0</v>
      </c>
    </row>
    <row r="405" spans="3:3">
      <c r="C405" s="30">
        <f t="shared" si="6"/>
        <v>0</v>
      </c>
    </row>
    <row r="406" spans="3:3">
      <c r="C406" s="30">
        <f t="shared" si="6"/>
        <v>0</v>
      </c>
    </row>
    <row r="407" spans="3:3">
      <c r="C407" s="30">
        <f t="shared" si="6"/>
        <v>0</v>
      </c>
    </row>
    <row r="408" spans="3:3">
      <c r="C408" s="30">
        <f t="shared" si="6"/>
        <v>0</v>
      </c>
    </row>
    <row r="409" spans="3:3">
      <c r="C409" s="30">
        <f t="shared" si="6"/>
        <v>0</v>
      </c>
    </row>
    <row r="410" spans="3:3">
      <c r="C410" s="30">
        <f t="shared" si="6"/>
        <v>0</v>
      </c>
    </row>
    <row r="411" spans="3:3">
      <c r="C411" s="30">
        <f t="shared" si="6"/>
        <v>0</v>
      </c>
    </row>
    <row r="412" spans="3:3">
      <c r="C412" s="30">
        <f t="shared" si="6"/>
        <v>0</v>
      </c>
    </row>
    <row r="413" spans="3:3">
      <c r="C413" s="30">
        <f t="shared" si="6"/>
        <v>0</v>
      </c>
    </row>
    <row r="414" spans="3:3">
      <c r="C414" s="30">
        <f t="shared" si="6"/>
        <v>0</v>
      </c>
    </row>
    <row r="415" spans="3:3">
      <c r="C415" s="30">
        <f t="shared" si="6"/>
        <v>0</v>
      </c>
    </row>
    <row r="416" spans="3:3">
      <c r="C416" s="30">
        <f t="shared" si="6"/>
        <v>0</v>
      </c>
    </row>
    <row r="417" spans="3:3">
      <c r="C417" s="30">
        <f t="shared" si="6"/>
        <v>0</v>
      </c>
    </row>
    <row r="418" spans="3:3">
      <c r="C418" s="30">
        <f t="shared" si="6"/>
        <v>0</v>
      </c>
    </row>
    <row r="419" spans="3:3">
      <c r="C419" s="30">
        <f t="shared" si="6"/>
        <v>0</v>
      </c>
    </row>
    <row r="420" spans="3:3">
      <c r="C420" s="30">
        <f t="shared" si="6"/>
        <v>0</v>
      </c>
    </row>
    <row r="421" spans="3:3">
      <c r="C421" s="30">
        <f t="shared" si="6"/>
        <v>0</v>
      </c>
    </row>
    <row r="422" spans="3:3">
      <c r="C422" s="30">
        <f t="shared" si="6"/>
        <v>0</v>
      </c>
    </row>
    <row r="423" spans="3:3">
      <c r="C423" s="30">
        <f t="shared" si="6"/>
        <v>0</v>
      </c>
    </row>
    <row r="424" spans="3:3">
      <c r="C424" s="30">
        <f t="shared" si="6"/>
        <v>0</v>
      </c>
    </row>
    <row r="425" spans="3:3">
      <c r="C425" s="30">
        <f t="shared" si="6"/>
        <v>0</v>
      </c>
    </row>
    <row r="426" spans="3:3">
      <c r="C426" s="30">
        <f t="shared" si="6"/>
        <v>0</v>
      </c>
    </row>
    <row r="427" spans="3:3">
      <c r="C427" s="30">
        <f t="shared" si="6"/>
        <v>0</v>
      </c>
    </row>
    <row r="428" spans="3:3">
      <c r="C428" s="30">
        <f t="shared" si="6"/>
        <v>0</v>
      </c>
    </row>
    <row r="429" spans="3:3">
      <c r="C429" s="30">
        <f t="shared" si="6"/>
        <v>0</v>
      </c>
    </row>
    <row r="430" spans="3:3">
      <c r="C430" s="30">
        <f t="shared" si="6"/>
        <v>0</v>
      </c>
    </row>
    <row r="431" spans="3:3">
      <c r="C431" s="30">
        <f t="shared" si="6"/>
        <v>0</v>
      </c>
    </row>
    <row r="432" spans="3:3">
      <c r="C432" s="30">
        <f t="shared" si="6"/>
        <v>0</v>
      </c>
    </row>
    <row r="433" spans="3:3">
      <c r="C433" s="30">
        <f t="shared" si="6"/>
        <v>0</v>
      </c>
    </row>
    <row r="434" spans="3:3">
      <c r="C434" s="30">
        <f t="shared" si="6"/>
        <v>0</v>
      </c>
    </row>
    <row r="435" spans="3:3">
      <c r="C435" s="30">
        <f t="shared" si="6"/>
        <v>0</v>
      </c>
    </row>
    <row r="436" spans="3:3">
      <c r="C436" s="30">
        <f t="shared" si="6"/>
        <v>0</v>
      </c>
    </row>
    <row r="437" spans="3:3">
      <c r="C437" s="30">
        <f t="shared" si="6"/>
        <v>0</v>
      </c>
    </row>
    <row r="438" spans="3:3">
      <c r="C438" s="30">
        <f t="shared" si="6"/>
        <v>0</v>
      </c>
    </row>
    <row r="439" spans="3:3">
      <c r="C439" s="30">
        <f t="shared" si="6"/>
        <v>0</v>
      </c>
    </row>
    <row r="440" spans="3:3">
      <c r="C440" s="30">
        <f t="shared" si="6"/>
        <v>0</v>
      </c>
    </row>
    <row r="441" spans="3:3">
      <c r="C441" s="30">
        <f t="shared" si="6"/>
        <v>0</v>
      </c>
    </row>
    <row r="442" spans="3:3">
      <c r="C442" s="30">
        <f t="shared" si="6"/>
        <v>0</v>
      </c>
    </row>
    <row r="443" spans="3:3">
      <c r="C443" s="30">
        <f t="shared" si="6"/>
        <v>0</v>
      </c>
    </row>
    <row r="444" spans="3:3">
      <c r="C444" s="30">
        <f t="shared" si="6"/>
        <v>0</v>
      </c>
    </row>
    <row r="445" spans="3:3">
      <c r="C445" s="30">
        <f t="shared" si="6"/>
        <v>0</v>
      </c>
    </row>
    <row r="446" spans="3:3">
      <c r="C446" s="30">
        <f t="shared" si="6"/>
        <v>0</v>
      </c>
    </row>
    <row r="447" spans="3:3">
      <c r="C447" s="30">
        <f t="shared" si="6"/>
        <v>0</v>
      </c>
    </row>
    <row r="448" spans="3:3">
      <c r="C448" s="30">
        <f t="shared" si="6"/>
        <v>0</v>
      </c>
    </row>
    <row r="449" spans="3:3">
      <c r="C449" s="30">
        <f t="shared" si="6"/>
        <v>0</v>
      </c>
    </row>
    <row r="450" spans="3:3">
      <c r="C450" s="30">
        <f t="shared" si="6"/>
        <v>0</v>
      </c>
    </row>
    <row r="451" spans="3:3">
      <c r="C451" s="30">
        <f>B450</f>
        <v>0</v>
      </c>
    </row>
    <row r="452" spans="3:3">
      <c r="C452" s="30">
        <f t="shared" si="6"/>
        <v>0</v>
      </c>
    </row>
  </sheetData>
  <mergeCells count="12">
    <mergeCell ref="A200:A202"/>
    <mergeCell ref="B200:D200"/>
    <mergeCell ref="A266:A268"/>
    <mergeCell ref="B266:D266"/>
    <mergeCell ref="A333:A335"/>
    <mergeCell ref="B333:D333"/>
    <mergeCell ref="A2:A4"/>
    <mergeCell ref="B2:D2"/>
    <mergeCell ref="A69:A71"/>
    <mergeCell ref="B69:D69"/>
    <mergeCell ref="A134:A136"/>
    <mergeCell ref="B134:D134"/>
  </mergeCells>
  <pageMargins left="0.7" right="0.7" top="0.75" bottom="0.75" header="0.3" footer="0.3"/>
  <pageSetup paperSize="9" orientation="portrait" horizontalDpi="4294967295" verticalDpi="4294967295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1">
    <tabColor rgb="FFF3E7FF"/>
  </sheetPr>
  <dimension ref="A1:AA34"/>
  <sheetViews>
    <sheetView topLeftCell="E1" zoomScale="110" zoomScaleNormal="110" workbookViewId="0">
      <selection activeCell="D33" sqref="D33"/>
    </sheetView>
  </sheetViews>
  <sheetFormatPr defaultColWidth="0" defaultRowHeight="14.25" zeroHeight="1"/>
  <cols>
    <col min="1" max="1" width="2.42578125" style="318" customWidth="1"/>
    <col min="2" max="2" width="32.140625" style="318" customWidth="1"/>
    <col min="3" max="3" width="42.42578125" style="318" customWidth="1"/>
    <col min="4" max="4" width="51.7109375" style="318" customWidth="1"/>
    <col min="5" max="5" width="16.42578125" style="357" customWidth="1"/>
    <col min="6" max="6" width="51.140625" style="318" customWidth="1"/>
    <col min="7" max="8" width="9.140625" style="318" hidden="1" customWidth="1"/>
    <col min="9" max="27" width="0" style="318" hidden="1" customWidth="1"/>
    <col min="28" max="16384" width="9.140625" style="318" hidden="1"/>
  </cols>
  <sheetData>
    <row r="1" spans="1:26" s="413" customFormat="1" ht="30" customHeight="1">
      <c r="A1" s="405" t="s">
        <v>914</v>
      </c>
      <c r="B1" s="407"/>
      <c r="C1" s="408"/>
      <c r="D1" s="409" t="s">
        <v>872</v>
      </c>
      <c r="E1" s="410"/>
      <c r="F1" s="408"/>
      <c r="G1" s="411"/>
      <c r="H1" s="411"/>
      <c r="I1" s="412"/>
      <c r="J1" s="412"/>
      <c r="K1" s="412"/>
      <c r="L1" s="412"/>
      <c r="M1" s="412"/>
      <c r="N1" s="412"/>
      <c r="O1" s="412"/>
      <c r="P1" s="412"/>
      <c r="Q1" s="412"/>
      <c r="R1" s="412"/>
      <c r="S1" s="412"/>
      <c r="T1" s="412"/>
      <c r="U1" s="412"/>
      <c r="V1" s="412"/>
      <c r="W1" s="412"/>
      <c r="X1" s="412"/>
      <c r="Y1" s="412"/>
      <c r="Z1" s="412"/>
    </row>
    <row r="2" spans="1:26" s="413" customFormat="1" ht="19.899999999999999" customHeight="1">
      <c r="A2" s="372"/>
      <c r="B2" s="372"/>
      <c r="C2" s="379"/>
      <c r="D2" s="372" t="s">
        <v>1016</v>
      </c>
      <c r="E2" s="414"/>
      <c r="F2" s="372"/>
      <c r="G2" s="372"/>
      <c r="H2" s="372"/>
    </row>
    <row r="3" spans="1:26">
      <c r="A3" s="319"/>
      <c r="B3" s="319"/>
      <c r="C3" s="319"/>
      <c r="D3" s="319"/>
      <c r="E3" s="329"/>
      <c r="F3" s="319"/>
      <c r="G3" s="319"/>
      <c r="H3" s="319"/>
    </row>
    <row r="4" spans="1:26" s="415" customFormat="1" ht="64.150000000000006" customHeight="1">
      <c r="A4" s="379"/>
      <c r="B4" s="330" t="s">
        <v>167</v>
      </c>
      <c r="C4" s="331" t="s">
        <v>166</v>
      </c>
      <c r="D4" s="330" t="s">
        <v>777</v>
      </c>
      <c r="E4" s="418" t="s">
        <v>953</v>
      </c>
      <c r="F4" s="330" t="s">
        <v>839</v>
      </c>
      <c r="G4" s="379"/>
      <c r="H4" s="379"/>
    </row>
    <row r="5" spans="1:26">
      <c r="A5" s="319"/>
      <c r="B5" s="334" t="s">
        <v>927</v>
      </c>
      <c r="C5" s="340">
        <v>2025</v>
      </c>
      <c r="D5" s="335" t="s">
        <v>929</v>
      </c>
      <c r="E5" s="332"/>
      <c r="F5" s="333"/>
      <c r="G5" s="319">
        <f>IF(C5="",0,1)</f>
        <v>1</v>
      </c>
      <c r="H5" s="319"/>
    </row>
    <row r="6" spans="1:26" ht="89.25">
      <c r="A6" s="319"/>
      <c r="B6" s="334" t="s">
        <v>820</v>
      </c>
      <c r="C6" s="336" t="s">
        <v>792</v>
      </c>
      <c r="D6" s="335" t="s">
        <v>972</v>
      </c>
      <c r="E6" s="337" t="s">
        <v>950</v>
      </c>
      <c r="F6" s="338" t="s">
        <v>840</v>
      </c>
      <c r="G6" s="339">
        <f>IF(C6="Пожалуйста, выберите…",0,1)</f>
        <v>1</v>
      </c>
      <c r="H6" s="339"/>
    </row>
    <row r="7" spans="1:26" ht="25.5">
      <c r="A7" s="319"/>
      <c r="B7" s="334" t="s">
        <v>165</v>
      </c>
      <c r="C7" s="340" t="s">
        <v>423</v>
      </c>
      <c r="D7" s="335" t="s">
        <v>908</v>
      </c>
      <c r="E7" s="337" t="s">
        <v>951</v>
      </c>
      <c r="F7" s="338" t="s">
        <v>840</v>
      </c>
      <c r="G7" s="339">
        <f>IF(C7="Пожалуйста, выберите…",0,1)</f>
        <v>1</v>
      </c>
      <c r="H7" s="339"/>
    </row>
    <row r="8" spans="1:26" ht="25.5">
      <c r="A8" s="319"/>
      <c r="B8" s="334" t="s">
        <v>910</v>
      </c>
      <c r="C8" s="340">
        <v>2015</v>
      </c>
      <c r="D8" s="335" t="s">
        <v>909</v>
      </c>
      <c r="E8" s="337" t="s">
        <v>952</v>
      </c>
      <c r="F8" s="338" t="s">
        <v>840</v>
      </c>
      <c r="G8" s="339">
        <f t="shared" ref="G8:G16" si="0">IF(C8="",0,1)</f>
        <v>1</v>
      </c>
      <c r="H8" s="339"/>
    </row>
    <row r="9" spans="1:26" ht="114.75">
      <c r="A9" s="319"/>
      <c r="B9" s="334" t="s">
        <v>949</v>
      </c>
      <c r="C9" s="340" t="s">
        <v>162</v>
      </c>
      <c r="D9" s="335" t="s">
        <v>1025</v>
      </c>
      <c r="E9" s="337"/>
      <c r="F9" s="338" t="s">
        <v>69</v>
      </c>
      <c r="G9" s="339">
        <f t="shared" si="0"/>
        <v>1</v>
      </c>
      <c r="H9" s="339"/>
    </row>
    <row r="10" spans="1:26" ht="25.5">
      <c r="A10" s="319"/>
      <c r="B10" s="334" t="s">
        <v>911</v>
      </c>
      <c r="C10" s="340">
        <v>2</v>
      </c>
      <c r="D10" s="335" t="s">
        <v>912</v>
      </c>
      <c r="E10" s="337" t="s">
        <v>954</v>
      </c>
      <c r="F10" s="338" t="s">
        <v>840</v>
      </c>
      <c r="G10" s="339">
        <f t="shared" si="0"/>
        <v>1</v>
      </c>
      <c r="H10" s="339"/>
    </row>
    <row r="11" spans="1:26" ht="25.5">
      <c r="A11" s="319"/>
      <c r="B11" s="334" t="s">
        <v>956</v>
      </c>
      <c r="C11" s="340">
        <v>161.9</v>
      </c>
      <c r="D11" s="335" t="s">
        <v>1000</v>
      </c>
      <c r="E11" s="337" t="s">
        <v>989</v>
      </c>
      <c r="F11" s="338" t="s">
        <v>840</v>
      </c>
      <c r="G11" s="339">
        <f t="shared" si="0"/>
        <v>1</v>
      </c>
      <c r="H11" s="339"/>
    </row>
    <row r="12" spans="1:26" ht="38.25">
      <c r="A12" s="319"/>
      <c r="B12" s="334" t="s">
        <v>1019</v>
      </c>
      <c r="C12" s="340">
        <v>161.9</v>
      </c>
      <c r="D12" s="335" t="s">
        <v>1021</v>
      </c>
      <c r="E12" s="337" t="s">
        <v>834</v>
      </c>
      <c r="F12" s="338"/>
      <c r="G12" s="339"/>
      <c r="H12" s="339"/>
    </row>
    <row r="13" spans="1:26" ht="63.75">
      <c r="A13" s="319"/>
      <c r="B13" s="334" t="s">
        <v>1020</v>
      </c>
      <c r="C13" s="340">
        <v>161.9</v>
      </c>
      <c r="D13" s="335" t="s">
        <v>1023</v>
      </c>
      <c r="E13" s="337" t="s">
        <v>834</v>
      </c>
      <c r="F13" s="338"/>
      <c r="G13" s="339"/>
      <c r="H13" s="339"/>
    </row>
    <row r="14" spans="1:26" ht="38.25">
      <c r="A14" s="319"/>
      <c r="B14" s="334" t="s">
        <v>1017</v>
      </c>
      <c r="C14" s="340">
        <v>0</v>
      </c>
      <c r="D14" s="335" t="s">
        <v>1022</v>
      </c>
      <c r="E14" s="337" t="s">
        <v>834</v>
      </c>
      <c r="F14" s="338"/>
      <c r="G14" s="339"/>
      <c r="H14" s="339"/>
    </row>
    <row r="15" spans="1:26" ht="25.5">
      <c r="A15" s="319"/>
      <c r="B15" s="334" t="s">
        <v>1018</v>
      </c>
      <c r="C15" s="427">
        <f>C12+C13*C14/365</f>
        <v>161.9</v>
      </c>
      <c r="D15" s="335" t="s">
        <v>947</v>
      </c>
      <c r="E15" s="337" t="s">
        <v>834</v>
      </c>
      <c r="F15" s="338"/>
      <c r="G15" s="339">
        <f t="shared" si="0"/>
        <v>1</v>
      </c>
      <c r="H15" s="339"/>
    </row>
    <row r="16" spans="1:26" ht="38.25">
      <c r="A16" s="319"/>
      <c r="B16" s="334" t="s">
        <v>816</v>
      </c>
      <c r="C16" s="340">
        <v>9</v>
      </c>
      <c r="D16" s="335" t="s">
        <v>948</v>
      </c>
      <c r="E16" s="337" t="s">
        <v>955</v>
      </c>
      <c r="F16" s="338" t="s">
        <v>840</v>
      </c>
      <c r="G16" s="339">
        <f t="shared" si="0"/>
        <v>1</v>
      </c>
      <c r="H16" s="339"/>
    </row>
    <row r="17" spans="1:10" ht="25.5">
      <c r="A17" s="319"/>
      <c r="B17" s="334" t="s">
        <v>992</v>
      </c>
      <c r="C17" s="341">
        <f>IFERROR(VLOOKUP(C6,'Экспресс потенциал'!B6:O27,14,0),"")</f>
        <v>20</v>
      </c>
      <c r="D17" s="335" t="s">
        <v>913</v>
      </c>
      <c r="E17" s="337" t="s">
        <v>834</v>
      </c>
      <c r="F17" s="463" t="s">
        <v>69</v>
      </c>
      <c r="G17" s="463"/>
      <c r="H17" s="463"/>
    </row>
    <row r="18" spans="1:10" ht="63.75">
      <c r="A18" s="319"/>
      <c r="B18" s="334" t="s">
        <v>999</v>
      </c>
      <c r="C18" s="342" t="s">
        <v>833</v>
      </c>
      <c r="D18" s="335" t="s">
        <v>928</v>
      </c>
      <c r="E18" s="337" t="s">
        <v>834</v>
      </c>
      <c r="F18" s="463" t="s">
        <v>69</v>
      </c>
      <c r="G18" s="463"/>
      <c r="H18" s="463"/>
    </row>
    <row r="19" spans="1:10" ht="0.75" customHeight="1">
      <c r="A19" s="319"/>
      <c r="B19" s="334" t="s">
        <v>882</v>
      </c>
      <c r="C19" s="343">
        <f>IFERROR(VLOOKUP(C5,списки!A576:B582,2,0),"")</f>
        <v>1851</v>
      </c>
      <c r="D19" s="335" t="s">
        <v>870</v>
      </c>
      <c r="E19" s="337"/>
      <c r="F19" s="344"/>
      <c r="G19" s="339"/>
      <c r="H19" s="339"/>
    </row>
    <row r="20" spans="1:10" s="345" customFormat="1" ht="17.25" customHeight="1">
      <c r="B20" s="346" t="s">
        <v>919</v>
      </c>
      <c r="C20" s="342" t="s">
        <v>834</v>
      </c>
      <c r="D20" s="335" t="s">
        <v>928</v>
      </c>
      <c r="E20" s="337" t="s">
        <v>834</v>
      </c>
      <c r="F20" s="463" t="s">
        <v>69</v>
      </c>
      <c r="G20" s="463"/>
      <c r="H20" s="463"/>
      <c r="I20" s="319"/>
      <c r="J20" s="319"/>
    </row>
    <row r="21" spans="1:10" s="345" customFormat="1" ht="25.5">
      <c r="B21" s="346" t="s">
        <v>1012</v>
      </c>
      <c r="C21" s="347">
        <v>0</v>
      </c>
      <c r="D21" s="425" t="s">
        <v>1014</v>
      </c>
      <c r="E21" s="337" t="s">
        <v>834</v>
      </c>
      <c r="F21" s="463" t="s">
        <v>69</v>
      </c>
      <c r="G21" s="463"/>
      <c r="H21" s="463"/>
      <c r="I21" s="319"/>
      <c r="J21" s="319"/>
    </row>
    <row r="22" spans="1:10" s="345" customFormat="1" ht="46.9" customHeight="1">
      <c r="B22" s="346" t="s">
        <v>1013</v>
      </c>
      <c r="C22" s="348">
        <v>0</v>
      </c>
      <c r="D22" s="381" t="s">
        <v>1015</v>
      </c>
      <c r="E22" s="337" t="s">
        <v>834</v>
      </c>
      <c r="F22" s="463" t="s">
        <v>69</v>
      </c>
      <c r="G22" s="463"/>
      <c r="H22" s="463"/>
      <c r="I22" s="319"/>
      <c r="J22" s="319"/>
    </row>
    <row r="23" spans="1:10">
      <c r="A23" s="319"/>
      <c r="B23" s="319"/>
      <c r="C23" s="319"/>
      <c r="D23" s="349" t="s">
        <v>873</v>
      </c>
      <c r="E23" s="329"/>
      <c r="F23" s="319"/>
      <c r="G23" s="319"/>
      <c r="H23" s="319"/>
    </row>
    <row r="24" spans="1:10" ht="15">
      <c r="A24" s="319"/>
      <c r="B24" s="319"/>
      <c r="C24" s="350" t="s">
        <v>815</v>
      </c>
      <c r="D24" s="351"/>
      <c r="E24" s="329"/>
      <c r="F24" s="319"/>
      <c r="G24" s="319"/>
      <c r="H24" s="319"/>
    </row>
    <row r="25" spans="1:10">
      <c r="A25" s="319"/>
      <c r="B25" s="319"/>
      <c r="C25" s="352" t="s">
        <v>874</v>
      </c>
      <c r="D25" s="353"/>
      <c r="E25" s="329"/>
      <c r="F25" s="319"/>
      <c r="G25" s="319"/>
      <c r="H25" s="319"/>
    </row>
    <row r="26" spans="1:10">
      <c r="A26" s="319"/>
      <c r="B26" s="319"/>
      <c r="C26" s="352" t="s">
        <v>875</v>
      </c>
      <c r="D26" s="353"/>
      <c r="E26" s="329"/>
      <c r="F26" s="319"/>
      <c r="G26" s="319"/>
      <c r="H26" s="319"/>
    </row>
    <row r="27" spans="1:10">
      <c r="A27" s="319"/>
      <c r="B27" s="319"/>
      <c r="C27" s="352" t="s">
        <v>876</v>
      </c>
      <c r="D27" s="353"/>
      <c r="E27" s="329"/>
      <c r="F27" s="319"/>
      <c r="G27" s="319"/>
      <c r="H27" s="319"/>
    </row>
    <row r="28" spans="1:10">
      <c r="A28" s="319"/>
      <c r="B28" s="319"/>
      <c r="C28" s="352" t="s">
        <v>877</v>
      </c>
      <c r="D28" s="353"/>
      <c r="E28" s="329"/>
      <c r="F28" s="319"/>
      <c r="G28" s="319"/>
      <c r="H28" s="319"/>
    </row>
    <row r="29" spans="1:10">
      <c r="A29" s="319"/>
      <c r="B29" s="319"/>
      <c r="C29" s="352" t="s">
        <v>878</v>
      </c>
      <c r="D29" s="353"/>
      <c r="E29" s="329"/>
      <c r="F29" s="319"/>
      <c r="G29" s="319"/>
      <c r="H29" s="319"/>
    </row>
    <row r="30" spans="1:10">
      <c r="A30" s="319"/>
      <c r="B30" s="319"/>
      <c r="C30" s="352" t="s">
        <v>879</v>
      </c>
      <c r="D30" s="353"/>
      <c r="E30" s="329"/>
      <c r="F30" s="319"/>
      <c r="G30" s="319"/>
      <c r="H30" s="319"/>
    </row>
    <row r="31" spans="1:10">
      <c r="A31" s="319"/>
      <c r="B31" s="319"/>
      <c r="C31" s="354" t="s">
        <v>880</v>
      </c>
      <c r="D31" s="355"/>
      <c r="E31" s="329"/>
      <c r="F31" s="319"/>
      <c r="G31" s="319"/>
      <c r="H31" s="319"/>
    </row>
    <row r="32" spans="1:10">
      <c r="A32" s="319"/>
      <c r="B32" s="319"/>
      <c r="C32" s="319"/>
      <c r="D32" s="319"/>
      <c r="E32" s="329"/>
      <c r="F32" s="319"/>
      <c r="G32" s="319"/>
      <c r="H32" s="319"/>
    </row>
    <row r="33" spans="1:8">
      <c r="A33" s="319"/>
      <c r="B33" s="356" t="s">
        <v>884</v>
      </c>
      <c r="C33" s="447" t="str">
        <f>IF(PRODUCT(G5:G19)=1,"Готово","Заполните данные")</f>
        <v>Готово</v>
      </c>
      <c r="D33" s="319"/>
      <c r="E33" s="329"/>
      <c r="F33" s="319"/>
      <c r="G33" s="319"/>
      <c r="H33" s="319"/>
    </row>
    <row r="34" spans="1:8">
      <c r="A34" s="319"/>
      <c r="B34" s="319"/>
      <c r="C34" s="319"/>
      <c r="D34" s="319"/>
      <c r="E34" s="329"/>
      <c r="F34" s="319"/>
      <c r="G34" s="319"/>
      <c r="H34" s="319"/>
    </row>
  </sheetData>
  <sheetProtection algorithmName="SHA-512" hashValue="uWLW/sGAuZ6Lzb9lVPM5Ac7VXrRuts26iTfe4LpEylIVl4gv82VKa/vvwLLIIKVVDFoRpUCcTe7gtltfCyGHEA==" saltValue="gJTjkd7B8wriIplbYCCROg==" spinCount="100000" sheet="1" objects="1" scenarios="1"/>
  <mergeCells count="5">
    <mergeCell ref="F17:H17"/>
    <mergeCell ref="F18:H18"/>
    <mergeCell ref="F20:H20"/>
    <mergeCell ref="F21:H21"/>
    <mergeCell ref="F22:H22"/>
  </mergeCells>
  <conditionalFormatting sqref="C5:C9">
    <cfRule type="containsBlanks" dxfId="71" priority="1">
      <formula>LEN(TRIM(C5))=0</formula>
    </cfRule>
  </conditionalFormatting>
  <conditionalFormatting sqref="C6:C7">
    <cfRule type="cellIs" dxfId="70" priority="11" operator="equal">
      <formula>"Пожалуйста, выберите…"</formula>
    </cfRule>
  </conditionalFormatting>
  <conditionalFormatting sqref="C9:C14">
    <cfRule type="containsBlanks" dxfId="69" priority="2">
      <formula>LEN(TRIM(C9))=0</formula>
    </cfRule>
  </conditionalFormatting>
  <conditionalFormatting sqref="C16">
    <cfRule type="containsBlanks" dxfId="68" priority="13">
      <formula>LEN(TRIM(C16))=0</formula>
    </cfRule>
  </conditionalFormatting>
  <conditionalFormatting sqref="C18">
    <cfRule type="cellIs" dxfId="67" priority="12" operator="equal">
      <formula>"Пожалуйста, выберите…"</formula>
    </cfRule>
  </conditionalFormatting>
  <conditionalFormatting sqref="C20">
    <cfRule type="cellIs" dxfId="66" priority="8" operator="equal">
      <formula>"Пожалуйста, выберите…"</formula>
    </cfRule>
  </conditionalFormatting>
  <conditionalFormatting sqref="C21:C22">
    <cfRule type="expression" dxfId="65" priority="3">
      <formula>$C$20="нет"</formula>
    </cfRule>
    <cfRule type="expression" dxfId="64" priority="4">
      <formula>$C$20="Пожалуйста, выберите…"</formula>
    </cfRule>
  </conditionalFormatting>
  <conditionalFormatting sqref="C33">
    <cfRule type="containsText" dxfId="63" priority="9" operator="containsText" text="Готово">
      <formula>NOT(ISERROR(SEARCH("Готово",C33)))</formula>
    </cfRule>
    <cfRule type="containsText" dxfId="62" priority="10" operator="containsText" text="Заполните данные">
      <formula>NOT(ISERROR(SEARCH("Заполните данные",C33)))</formula>
    </cfRule>
  </conditionalFormatting>
  <dataValidations count="15">
    <dataValidation type="list" allowBlank="1" showInputMessage="1" showErrorMessage="1" sqref="C9" xr:uid="{00000000-0002-0000-0200-000000000000}">
      <formula1>Smeny</formula1>
    </dataValidation>
    <dataValidation type="list" allowBlank="1" showInputMessage="1" showErrorMessage="1" sqref="C7" xr:uid="{00000000-0002-0000-0200-000001000000}">
      <formula1>СпискиРегионы</formula1>
    </dataValidation>
    <dataValidation type="list" allowBlank="1" showInputMessage="1" showErrorMessage="1" sqref="C6" xr:uid="{00000000-0002-0000-0200-000002000000}">
      <formula1>TipyExpress</formula1>
    </dataValidation>
    <dataValidation type="decimal" allowBlank="1" showInputMessage="1" showErrorMessage="1" sqref="C16" xr:uid="{00000000-0002-0000-0200-000003000000}">
      <formula1>0</formula1>
      <formula2>1000000</formula2>
    </dataValidation>
    <dataValidation type="whole" allowBlank="1" showInputMessage="1" showErrorMessage="1" sqref="C10" xr:uid="{00000000-0002-0000-0200-000004000000}">
      <formula1>1</formula1>
      <formula2>100</formula2>
    </dataValidation>
    <dataValidation type="list" allowBlank="1" showInputMessage="1" showErrorMessage="1" sqref="C18" xr:uid="{00000000-0002-0000-0200-000005000000}">
      <formula1>danet</formula1>
    </dataValidation>
    <dataValidation type="whole" allowBlank="1" showInputMessage="1" showErrorMessage="1" sqref="C8" xr:uid="{00000000-0002-0000-0200-000006000000}">
      <formula1>1700</formula1>
      <formula2>2020</formula2>
    </dataValidation>
    <dataValidation type="whole" allowBlank="1" showInputMessage="1" showErrorMessage="1" sqref="C21" xr:uid="{00000000-0002-0000-0200-000007000000}">
      <formula1>0</formula1>
      <formula2>365</formula2>
    </dataValidation>
    <dataValidation type="decimal" allowBlank="1" showInputMessage="1" showErrorMessage="1" sqref="C22" xr:uid="{00000000-0002-0000-0200-000008000000}">
      <formula1>0</formula1>
      <formula2>1</formula2>
    </dataValidation>
    <dataValidation type="decimal" allowBlank="1" showInputMessage="1" showErrorMessage="1" error="Методические Рекомендации не распространяются на учреждения общей площадью менее 100м2" sqref="C11" xr:uid="{00000000-0002-0000-0200-000009000000}">
      <formula1>10</formula1>
      <formula2>100000000</formula2>
    </dataValidation>
    <dataValidation type="decimal" allowBlank="1" showInputMessage="1" showErrorMessage="1" error="Выбытие площади не может быть больше исходной площади" sqref="C13" xr:uid="{00000000-0002-0000-0200-00000A000000}">
      <formula1>-C12+1</formula1>
      <formula2>100000000</formula2>
    </dataValidation>
    <dataValidation type="decimal" allowBlank="1" showInputMessage="1" showErrorMessage="1" error="Число дней может быть от 0 до 365" sqref="C14" xr:uid="{00000000-0002-0000-0200-00000B000000}">
      <formula1>0</formula1>
      <formula2>365</formula2>
    </dataValidation>
    <dataValidation type="decimal" allowBlank="1" showInputMessage="1" showErrorMessage="1" sqref="C12" xr:uid="{00000000-0002-0000-0200-00000C000000}">
      <formula1>0</formula1>
      <formula2>100000000</formula2>
    </dataValidation>
    <dataValidation type="whole" allowBlank="1" showInputMessage="1" showErrorMessage="1" error="Могут быть введены 2019-2025 гг." sqref="C5" xr:uid="{00000000-0002-0000-0200-00000D000000}">
      <formula1>2019</formula1>
      <formula2>2025</formula2>
    </dataValidation>
    <dataValidation type="list" errorStyle="warning" showInputMessage="1" showErrorMessage="1" error="Пожалуйста, выберите значение" sqref="C20" xr:uid="{46B89E2E-780C-4486-B54E-68E5918B53E4}">
      <formula1>danet</formula1>
    </dataValidation>
  </dataValidations>
  <hyperlinks>
    <hyperlink ref="C25" location="'2.УР ТЭ на нужды ОиВ'!A1" display="Определение УР теплоэнергии на нужды отопления и вентиляции" xr:uid="{00000000-0004-0000-0200-000000000000}"/>
    <hyperlink ref="C26" location="'5.УР ЭЭ'!A1" display="Определение УР электроэнергии" xr:uid="{00000000-0004-0000-0200-000001000000}"/>
    <hyperlink ref="C27" location="'3.УР горячей воды'!A1" display="Определение УР горячей воды" xr:uid="{00000000-0004-0000-0200-000002000000}"/>
    <hyperlink ref="C28" location="'4.УР холодной воды'!A1" display="Определение УР холодной воды" xr:uid="{00000000-0004-0000-0200-000003000000}"/>
    <hyperlink ref="C29" location="'6.УР природного газа на цели ПП'!A1" display="Определение УР природного газа" xr:uid="{00000000-0004-0000-0200-000004000000}"/>
    <hyperlink ref="C30" location="'7.УР топлива на отопл. и вент.'!A1" display="Определение УР твердого топлива" xr:uid="{00000000-0004-0000-0200-000005000000}"/>
    <hyperlink ref="C31" location="'8.УР моторного топлива'!A1" display="Определение УР моторного топлива" xr:uid="{00000000-0004-0000-0200-000006000000}"/>
    <hyperlink ref="D1" location="'0.Результаты расчета'!A1" display="Перейти к результатам расчета потенциала и ЦУС" xr:uid="{00000000-0004-0000-0200-000007000000}"/>
  </hyperlinks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Лист21">
    <tabColor rgb="FF92D050"/>
  </sheetPr>
  <dimension ref="A1:G452"/>
  <sheetViews>
    <sheetView topLeftCell="A235" workbookViewId="0">
      <selection activeCell="E166" sqref="E166"/>
    </sheetView>
  </sheetViews>
  <sheetFormatPr defaultColWidth="8.7109375" defaultRowHeight="15"/>
  <cols>
    <col min="1" max="1" width="19.7109375" customWidth="1"/>
    <col min="2" max="2" width="17.28515625" customWidth="1"/>
    <col min="3" max="3" width="9.140625"/>
    <col min="4" max="4" width="16.28515625" customWidth="1"/>
    <col min="5" max="5" width="15" customWidth="1"/>
    <col min="6" max="6" width="16.42578125" style="36" customWidth="1"/>
    <col min="7" max="7" width="17.140625" style="36" customWidth="1"/>
  </cols>
  <sheetData>
    <row r="1" spans="1:7" ht="15.75" thickBot="1">
      <c r="D1" s="13">
        <v>0.1</v>
      </c>
      <c r="E1" s="13">
        <v>0.4</v>
      </c>
    </row>
    <row r="2" spans="1:7" ht="23.25" customHeight="1" thickBot="1">
      <c r="A2" s="464" t="s">
        <v>0</v>
      </c>
      <c r="B2" s="467" t="s">
        <v>1</v>
      </c>
      <c r="C2" s="468"/>
      <c r="D2" s="469"/>
      <c r="E2" s="19">
        <f>(1-E57)^(1/3)-1</f>
        <v>-3.0259960998014757E-2</v>
      </c>
      <c r="F2" s="19">
        <f>(1-F57)^(1/3)-1</f>
        <v>-3.4215783776181286E-2</v>
      </c>
      <c r="G2" s="19"/>
    </row>
    <row r="3" spans="1:7" ht="47.25" customHeight="1" thickBot="1">
      <c r="A3" s="465"/>
      <c r="B3" s="1" t="s">
        <v>4</v>
      </c>
      <c r="C3" s="1"/>
      <c r="D3" s="1" t="s">
        <v>80</v>
      </c>
      <c r="E3" s="1" t="s">
        <v>5</v>
      </c>
      <c r="F3" s="37" t="s">
        <v>5</v>
      </c>
      <c r="G3" s="37"/>
    </row>
    <row r="4" spans="1:7" ht="16.149999999999999" customHeight="1" thickBot="1">
      <c r="A4" s="466"/>
      <c r="B4" s="1" t="s">
        <v>6</v>
      </c>
      <c r="C4" s="1"/>
      <c r="D4" s="1" t="s">
        <v>7</v>
      </c>
      <c r="E4" s="1" t="s">
        <v>7</v>
      </c>
      <c r="F4" s="37" t="s">
        <v>7</v>
      </c>
      <c r="G4" s="37"/>
    </row>
    <row r="5" spans="1:7">
      <c r="A5" s="50">
        <v>1</v>
      </c>
      <c r="B5" s="51">
        <v>2</v>
      </c>
      <c r="C5" s="51"/>
      <c r="D5" s="51">
        <v>3</v>
      </c>
      <c r="E5" s="51">
        <v>4</v>
      </c>
      <c r="F5" s="52">
        <v>5</v>
      </c>
      <c r="G5" s="52"/>
    </row>
    <row r="6" spans="1:7">
      <c r="A6" s="27" t="s">
        <v>10</v>
      </c>
      <c r="B6" s="30">
        <v>5.55</v>
      </c>
      <c r="C6" s="30">
        <v>0</v>
      </c>
      <c r="D6" s="14">
        <v>0</v>
      </c>
      <c r="E6" s="14">
        <v>0</v>
      </c>
      <c r="F6" s="38">
        <v>0</v>
      </c>
      <c r="G6" s="38">
        <v>0</v>
      </c>
    </row>
    <row r="7" spans="1:7">
      <c r="A7" s="27" t="s">
        <v>58</v>
      </c>
      <c r="B7" s="30">
        <v>6.55</v>
      </c>
      <c r="C7" s="30">
        <f>B6</f>
        <v>5.55</v>
      </c>
      <c r="D7" s="14">
        <v>0</v>
      </c>
      <c r="E7" s="14">
        <v>0</v>
      </c>
      <c r="F7" s="38">
        <v>0</v>
      </c>
      <c r="G7" s="38">
        <v>8.3969465648854949E-3</v>
      </c>
    </row>
    <row r="8" spans="1:7">
      <c r="A8" s="27" t="s">
        <v>59</v>
      </c>
      <c r="B8" s="30">
        <v>7.46</v>
      </c>
      <c r="C8" s="30">
        <f t="shared" ref="C8:C56" si="0">B7</f>
        <v>6.55</v>
      </c>
      <c r="D8" s="14">
        <v>0</v>
      </c>
      <c r="E8" s="14">
        <v>0</v>
      </c>
      <c r="F8" s="38">
        <v>0</v>
      </c>
      <c r="G8" s="38">
        <v>1.9571045576407507E-2</v>
      </c>
    </row>
    <row r="9" spans="1:7">
      <c r="A9" s="27" t="s">
        <v>60</v>
      </c>
      <c r="B9" s="30">
        <v>8.3000000000000007</v>
      </c>
      <c r="C9" s="30">
        <f t="shared" si="0"/>
        <v>7.46</v>
      </c>
      <c r="D9" s="14">
        <v>0</v>
      </c>
      <c r="E9" s="14">
        <v>0</v>
      </c>
      <c r="F9" s="38">
        <v>0</v>
      </c>
      <c r="G9" s="38">
        <v>2.7710843373493985E-2</v>
      </c>
    </row>
    <row r="10" spans="1:7">
      <c r="A10" s="27" t="s">
        <v>61</v>
      </c>
      <c r="B10" s="30">
        <v>9.98</v>
      </c>
      <c r="C10" s="30">
        <f t="shared" si="0"/>
        <v>8.3000000000000007</v>
      </c>
      <c r="D10" s="14">
        <v>0</v>
      </c>
      <c r="E10" s="14">
        <v>0</v>
      </c>
      <c r="F10" s="38">
        <v>0</v>
      </c>
      <c r="G10" s="38">
        <v>3.9879759519038084E-2</v>
      </c>
    </row>
    <row r="11" spans="1:7">
      <c r="A11" s="27" t="s">
        <v>62</v>
      </c>
      <c r="B11" s="30">
        <v>10.66</v>
      </c>
      <c r="C11" s="30">
        <f t="shared" si="0"/>
        <v>9.98</v>
      </c>
      <c r="D11" s="14">
        <v>0</v>
      </c>
      <c r="E11" s="14">
        <v>0</v>
      </c>
      <c r="F11" s="38">
        <v>0</v>
      </c>
      <c r="G11" s="38">
        <v>6.2288930581613521E-2</v>
      </c>
    </row>
    <row r="12" spans="1:7">
      <c r="A12" s="27" t="s">
        <v>63</v>
      </c>
      <c r="B12" s="30">
        <v>11.34</v>
      </c>
      <c r="C12" s="30">
        <f t="shared" si="0"/>
        <v>10.66</v>
      </c>
      <c r="D12" s="14">
        <v>0</v>
      </c>
      <c r="E12" s="14">
        <v>0</v>
      </c>
      <c r="F12" s="38">
        <v>0</v>
      </c>
      <c r="G12" s="38">
        <v>8.2539682539682538E-2</v>
      </c>
    </row>
    <row r="13" spans="1:7">
      <c r="A13" s="29" t="s">
        <v>11</v>
      </c>
      <c r="B13" s="30">
        <v>12.47</v>
      </c>
      <c r="C13" s="30">
        <f t="shared" si="0"/>
        <v>11.34</v>
      </c>
      <c r="D13" s="14">
        <v>0</v>
      </c>
      <c r="E13" s="14">
        <v>0</v>
      </c>
      <c r="F13" s="38">
        <v>0</v>
      </c>
      <c r="G13" s="38">
        <v>0.11130713712910989</v>
      </c>
    </row>
    <row r="14" spans="1:7">
      <c r="A14" s="29" t="s">
        <v>12</v>
      </c>
      <c r="B14" s="30">
        <v>13.19</v>
      </c>
      <c r="C14" s="30">
        <f t="shared" si="0"/>
        <v>12.47</v>
      </c>
      <c r="D14" s="14">
        <v>0</v>
      </c>
      <c r="E14" s="14">
        <v>0</v>
      </c>
      <c r="F14" s="38">
        <v>0</v>
      </c>
      <c r="G14" s="38">
        <v>0.12706595905989385</v>
      </c>
    </row>
    <row r="15" spans="1:7">
      <c r="A15" s="29" t="s">
        <v>13</v>
      </c>
      <c r="B15" s="30">
        <v>13.87</v>
      </c>
      <c r="C15" s="30">
        <f t="shared" si="0"/>
        <v>13.19</v>
      </c>
      <c r="D15" s="14">
        <v>0</v>
      </c>
      <c r="E15" s="14">
        <v>0</v>
      </c>
      <c r="F15" s="38">
        <v>0</v>
      </c>
      <c r="G15" s="38">
        <v>0.14044700793078588</v>
      </c>
    </row>
    <row r="16" spans="1:7">
      <c r="A16" s="29" t="s">
        <v>14</v>
      </c>
      <c r="B16" s="30">
        <v>15.12</v>
      </c>
      <c r="C16" s="30">
        <f t="shared" si="0"/>
        <v>13.87</v>
      </c>
      <c r="D16" s="14">
        <v>0</v>
      </c>
      <c r="E16" s="14">
        <v>0</v>
      </c>
      <c r="F16" s="38">
        <v>0</v>
      </c>
      <c r="G16" s="38">
        <v>0.16190476190476188</v>
      </c>
    </row>
    <row r="17" spans="1:7">
      <c r="A17" s="29" t="s">
        <v>15</v>
      </c>
      <c r="B17" s="30">
        <v>15.6</v>
      </c>
      <c r="C17" s="30">
        <f t="shared" si="0"/>
        <v>15.12</v>
      </c>
      <c r="D17" s="14">
        <v>0</v>
      </c>
      <c r="E17" s="14">
        <v>0</v>
      </c>
      <c r="F17" s="38">
        <v>0</v>
      </c>
      <c r="G17" s="38">
        <v>0.16923076923076921</v>
      </c>
    </row>
    <row r="18" spans="1:7">
      <c r="A18" s="29" t="s">
        <v>16</v>
      </c>
      <c r="B18" s="30">
        <v>16.399999999999999</v>
      </c>
      <c r="C18" s="30">
        <f t="shared" si="0"/>
        <v>15.6</v>
      </c>
      <c r="D18" s="14">
        <v>0</v>
      </c>
      <c r="E18" s="14">
        <v>0</v>
      </c>
      <c r="F18" s="38">
        <v>0</v>
      </c>
      <c r="G18" s="38">
        <v>0.18048780487804877</v>
      </c>
    </row>
    <row r="19" spans="1:7">
      <c r="A19" s="29" t="s">
        <v>17</v>
      </c>
      <c r="B19" s="30">
        <v>17.13</v>
      </c>
      <c r="C19" s="30">
        <f t="shared" si="0"/>
        <v>16.399999999999999</v>
      </c>
      <c r="D19" s="14">
        <v>0</v>
      </c>
      <c r="E19" s="14">
        <v>0</v>
      </c>
      <c r="F19" s="38">
        <v>0</v>
      </c>
      <c r="G19" s="38">
        <v>0.18984238178633975</v>
      </c>
    </row>
    <row r="20" spans="1:7">
      <c r="A20" s="29" t="s">
        <v>18</v>
      </c>
      <c r="B20" s="30">
        <v>17.66</v>
      </c>
      <c r="C20" s="30">
        <f t="shared" si="0"/>
        <v>17.13</v>
      </c>
      <c r="D20" s="14">
        <v>0</v>
      </c>
      <c r="E20" s="14">
        <v>0</v>
      </c>
      <c r="F20" s="38">
        <v>0</v>
      </c>
      <c r="G20" s="38">
        <v>0.19614949037372592</v>
      </c>
    </row>
    <row r="21" spans="1:7">
      <c r="A21" s="29" t="s">
        <v>19</v>
      </c>
      <c r="B21" s="30">
        <v>18.66</v>
      </c>
      <c r="C21" s="30">
        <f t="shared" si="0"/>
        <v>17.66</v>
      </c>
      <c r="D21" s="14">
        <v>0</v>
      </c>
      <c r="E21" s="14">
        <v>0</v>
      </c>
      <c r="F21" s="38">
        <v>0</v>
      </c>
      <c r="G21" s="38">
        <v>0.20707395498392284</v>
      </c>
    </row>
    <row r="22" spans="1:7">
      <c r="A22" s="29" t="s">
        <v>20</v>
      </c>
      <c r="B22" s="30">
        <v>19.37</v>
      </c>
      <c r="C22" s="30">
        <f t="shared" si="0"/>
        <v>18.66</v>
      </c>
      <c r="D22" s="14">
        <v>0</v>
      </c>
      <c r="E22" s="14">
        <v>0</v>
      </c>
      <c r="F22" s="38">
        <v>0</v>
      </c>
      <c r="G22" s="38">
        <v>0.2141455859576665</v>
      </c>
    </row>
    <row r="23" spans="1:7">
      <c r="A23" s="29" t="s">
        <v>21</v>
      </c>
      <c r="B23" s="30">
        <v>20.420000000000002</v>
      </c>
      <c r="C23" s="30">
        <f t="shared" si="0"/>
        <v>19.37</v>
      </c>
      <c r="D23" s="14">
        <v>0</v>
      </c>
      <c r="E23" s="14">
        <v>0</v>
      </c>
      <c r="F23" s="38">
        <v>0</v>
      </c>
      <c r="G23" s="38">
        <v>0.22370225269343785</v>
      </c>
    </row>
    <row r="24" spans="1:7">
      <c r="A24" s="29" t="s">
        <v>22</v>
      </c>
      <c r="B24" s="30">
        <v>21.75</v>
      </c>
      <c r="C24" s="30">
        <f t="shared" si="0"/>
        <v>20.420000000000002</v>
      </c>
      <c r="D24" s="14">
        <v>0</v>
      </c>
      <c r="E24" s="14">
        <v>0</v>
      </c>
      <c r="F24" s="38">
        <v>0</v>
      </c>
      <c r="G24" s="38">
        <v>0.23448275862068968</v>
      </c>
    </row>
    <row r="25" spans="1:7">
      <c r="A25" s="29" t="s">
        <v>23</v>
      </c>
      <c r="B25" s="30">
        <v>22.35</v>
      </c>
      <c r="C25" s="30">
        <f t="shared" si="0"/>
        <v>21.75</v>
      </c>
      <c r="D25" s="14">
        <v>0</v>
      </c>
      <c r="E25" s="14">
        <v>0</v>
      </c>
      <c r="F25" s="38">
        <v>0</v>
      </c>
      <c r="G25" s="38">
        <v>0.23892617449664436</v>
      </c>
    </row>
    <row r="26" spans="1:7">
      <c r="A26" s="29" t="s">
        <v>24</v>
      </c>
      <c r="B26" s="30">
        <v>22.96</v>
      </c>
      <c r="C26" s="30">
        <f t="shared" si="0"/>
        <v>22.35</v>
      </c>
      <c r="D26" s="14">
        <v>0</v>
      </c>
      <c r="E26" s="14">
        <v>0</v>
      </c>
      <c r="F26" s="38">
        <v>2.4250871080139331E-3</v>
      </c>
      <c r="G26" s="38">
        <v>0.24320557491289205</v>
      </c>
    </row>
    <row r="27" spans="1:7">
      <c r="A27" s="29" t="s">
        <v>25</v>
      </c>
      <c r="B27" s="30">
        <v>24.58</v>
      </c>
      <c r="C27" s="30">
        <f t="shared" si="0"/>
        <v>22.96</v>
      </c>
      <c r="D27" s="14">
        <v>0</v>
      </c>
      <c r="E27" s="14">
        <v>0</v>
      </c>
      <c r="F27" s="38">
        <v>8.8559804719283829E-3</v>
      </c>
      <c r="G27" s="38">
        <v>0.25353946297803093</v>
      </c>
    </row>
    <row r="28" spans="1:7">
      <c r="A28" s="29" t="s">
        <v>26</v>
      </c>
      <c r="B28" s="30">
        <v>26.62</v>
      </c>
      <c r="C28" s="30">
        <f t="shared" si="0"/>
        <v>24.58</v>
      </c>
      <c r="D28" s="14">
        <v>5.8138617580766508E-2</v>
      </c>
      <c r="E28" s="14"/>
      <c r="F28" s="38">
        <v>1.5840721262208864E-2</v>
      </c>
      <c r="G28" s="38">
        <v>0.26476333583771605</v>
      </c>
    </row>
    <row r="29" spans="1:7">
      <c r="A29" s="29" t="s">
        <v>27</v>
      </c>
      <c r="B29" s="30">
        <v>28.75</v>
      </c>
      <c r="C29" s="30">
        <f t="shared" si="0"/>
        <v>26.62</v>
      </c>
      <c r="D29" s="14">
        <v>0.12791826086956534</v>
      </c>
      <c r="E29" s="14"/>
      <c r="F29" s="38">
        <v>2.2075826086956518E-2</v>
      </c>
      <c r="G29" s="38">
        <v>0.27478260869565219</v>
      </c>
    </row>
    <row r="30" spans="1:7">
      <c r="A30" s="29" t="s">
        <v>28</v>
      </c>
      <c r="B30" s="30">
        <v>31.96</v>
      </c>
      <c r="C30" s="30">
        <f t="shared" si="0"/>
        <v>28.75</v>
      </c>
      <c r="D30" s="14">
        <v>0.21550844806007521</v>
      </c>
      <c r="E30" s="14">
        <v>2.1550844806007524E-2</v>
      </c>
      <c r="F30" s="38">
        <v>2.9902377972465581E-2</v>
      </c>
      <c r="G30" s="38">
        <v>0.28735919899874846</v>
      </c>
    </row>
    <row r="31" spans="1:7">
      <c r="A31" s="29" t="s">
        <v>29</v>
      </c>
      <c r="B31" s="30">
        <v>35.6</v>
      </c>
      <c r="C31" s="30">
        <f t="shared" si="0"/>
        <v>31.96</v>
      </c>
      <c r="D31" s="14">
        <v>0.29572050561797764</v>
      </c>
      <c r="E31" s="14">
        <v>2.9572050561797771E-2</v>
      </c>
      <c r="F31" s="38">
        <v>3.7069662921348313E-2</v>
      </c>
      <c r="G31" s="38">
        <v>0.29887640449438208</v>
      </c>
    </row>
    <row r="32" spans="1:7">
      <c r="A32" s="29" t="s">
        <v>30</v>
      </c>
      <c r="B32" s="30">
        <v>37.11</v>
      </c>
      <c r="C32" s="30">
        <f t="shared" si="0"/>
        <v>35.6</v>
      </c>
      <c r="D32" s="14">
        <v>0.32437752627324179</v>
      </c>
      <c r="E32" s="14">
        <v>3.2437752627324186E-2</v>
      </c>
      <c r="F32" s="38">
        <v>3.963028833198598E-2</v>
      </c>
      <c r="G32" s="38">
        <v>0.3029911075181892</v>
      </c>
    </row>
    <row r="33" spans="1:7">
      <c r="A33" s="29" t="s">
        <v>31</v>
      </c>
      <c r="B33" s="30">
        <v>38.96</v>
      </c>
      <c r="C33" s="30">
        <f t="shared" si="0"/>
        <v>37.11</v>
      </c>
      <c r="D33" s="14">
        <v>0.35645918891170442</v>
      </c>
      <c r="E33" s="14">
        <v>3.5645918891170442E-2</v>
      </c>
      <c r="F33" s="38">
        <v>5.4981519507186855E-2</v>
      </c>
      <c r="G33" s="38">
        <v>0.30759753593429162</v>
      </c>
    </row>
    <row r="34" spans="1:7">
      <c r="A34" s="29" t="s">
        <v>32</v>
      </c>
      <c r="B34" s="30">
        <v>42.18</v>
      </c>
      <c r="C34" s="30">
        <f t="shared" si="0"/>
        <v>38.96</v>
      </c>
      <c r="D34" s="14">
        <v>0.40558677098150792</v>
      </c>
      <c r="E34" s="14">
        <v>4.3352062588904748E-2</v>
      </c>
      <c r="F34" s="38">
        <v>8.1320056899004248E-2</v>
      </c>
      <c r="G34" s="38">
        <v>0.31465149359886202</v>
      </c>
    </row>
    <row r="35" spans="1:7">
      <c r="A35" s="29" t="s">
        <v>33</v>
      </c>
      <c r="B35" s="30">
        <v>43.51</v>
      </c>
      <c r="C35" s="30">
        <f t="shared" si="0"/>
        <v>42.18</v>
      </c>
      <c r="D35" s="14">
        <v>0.42375660767639628</v>
      </c>
      <c r="E35" s="14">
        <v>5.4253964605837784E-2</v>
      </c>
      <c r="F35" s="38">
        <v>9.1061365203401481E-2</v>
      </c>
      <c r="G35" s="38">
        <v>0.31726039990806715</v>
      </c>
    </row>
    <row r="36" spans="1:7">
      <c r="A36" s="29" t="s">
        <v>34</v>
      </c>
      <c r="B36" s="30">
        <v>45.69</v>
      </c>
      <c r="C36" s="30">
        <f t="shared" si="0"/>
        <v>43.51</v>
      </c>
      <c r="D36" s="14">
        <v>0.45125082074852269</v>
      </c>
      <c r="E36" s="14">
        <v>7.0750492449113633E-2</v>
      </c>
      <c r="F36" s="38">
        <v>0.10580170715692709</v>
      </c>
      <c r="G36" s="38">
        <v>0.32120814182534474</v>
      </c>
    </row>
    <row r="37" spans="1:7">
      <c r="A37" s="29" t="s">
        <v>35</v>
      </c>
      <c r="B37" s="30">
        <v>47.62</v>
      </c>
      <c r="C37" s="30">
        <f t="shared" si="0"/>
        <v>45.69</v>
      </c>
      <c r="D37" s="14">
        <v>0.47349118017639652</v>
      </c>
      <c r="E37" s="14">
        <v>8.4094708105837912E-2</v>
      </c>
      <c r="F37" s="38">
        <v>0.1177253254934901</v>
      </c>
      <c r="G37" s="38">
        <v>0.32440151196976064</v>
      </c>
    </row>
    <row r="38" spans="1:7">
      <c r="A38" s="29" t="s">
        <v>36</v>
      </c>
      <c r="B38" s="30">
        <v>50.79</v>
      </c>
      <c r="C38" s="30">
        <f t="shared" si="0"/>
        <v>47.62</v>
      </c>
      <c r="D38" s="14">
        <v>0.50635262847017137</v>
      </c>
      <c r="E38" s="14">
        <v>0.10381157708210281</v>
      </c>
      <c r="F38" s="38">
        <v>0.13534317779090371</v>
      </c>
      <c r="G38" s="38">
        <v>0.3291199054932073</v>
      </c>
    </row>
    <row r="39" spans="1:7">
      <c r="A39" s="29" t="s">
        <v>37</v>
      </c>
      <c r="B39" s="30">
        <v>55.55</v>
      </c>
      <c r="C39" s="30">
        <f t="shared" si="0"/>
        <v>50.79</v>
      </c>
      <c r="D39" s="14">
        <v>0.54865256525652573</v>
      </c>
      <c r="E39" s="14">
        <v>0.12919153915391543</v>
      </c>
      <c r="F39" s="38">
        <v>0.15802124212421242</v>
      </c>
      <c r="G39" s="38">
        <v>0.33519351935193514</v>
      </c>
    </row>
    <row r="40" spans="1:7">
      <c r="A40" s="29" t="s">
        <v>38</v>
      </c>
      <c r="B40" s="30">
        <v>58.26</v>
      </c>
      <c r="C40" s="30">
        <f t="shared" si="0"/>
        <v>55.55</v>
      </c>
      <c r="D40" s="14">
        <v>0.56964727085478895</v>
      </c>
      <c r="E40" s="14">
        <v>0.14178836251287338</v>
      </c>
      <c r="F40" s="38">
        <v>0.16927703398558186</v>
      </c>
      <c r="G40" s="38">
        <v>0.33820803295571578</v>
      </c>
    </row>
    <row r="41" spans="1:7">
      <c r="A41" s="29" t="s">
        <v>39</v>
      </c>
      <c r="B41" s="30">
        <v>61.27</v>
      </c>
      <c r="C41" s="30">
        <f t="shared" si="0"/>
        <v>58.26</v>
      </c>
      <c r="D41" s="14">
        <v>0.59078913007997402</v>
      </c>
      <c r="E41" s="14">
        <v>0.15447347804798439</v>
      </c>
      <c r="F41" s="38">
        <v>0.18061171862249062</v>
      </c>
      <c r="G41" s="38">
        <v>0.34124367553451934</v>
      </c>
    </row>
    <row r="42" spans="1:7">
      <c r="A42" s="29" t="s">
        <v>40</v>
      </c>
      <c r="B42" s="30">
        <v>64.86</v>
      </c>
      <c r="C42" s="30">
        <f t="shared" si="0"/>
        <v>61.27</v>
      </c>
      <c r="D42" s="14">
        <v>0.6134389454209066</v>
      </c>
      <c r="E42" s="14">
        <v>0.16806336725254398</v>
      </c>
      <c r="F42" s="38">
        <v>0.19275485661424607</v>
      </c>
      <c r="G42" s="38">
        <v>0.34449583718778909</v>
      </c>
    </row>
    <row r="43" spans="1:7">
      <c r="A43" s="29" t="s">
        <v>41</v>
      </c>
      <c r="B43" s="30">
        <v>67.48</v>
      </c>
      <c r="C43" s="30">
        <f t="shared" si="0"/>
        <v>64.86</v>
      </c>
      <c r="D43" s="14">
        <v>0.62844768820391228</v>
      </c>
      <c r="E43" s="14">
        <v>0.17706861292234743</v>
      </c>
      <c r="F43" s="38">
        <v>0.20080142264374631</v>
      </c>
      <c r="G43" s="38">
        <v>0.3466508595139301</v>
      </c>
    </row>
    <row r="44" spans="1:7">
      <c r="A44" s="29" t="s">
        <v>42</v>
      </c>
      <c r="B44" s="30">
        <v>73.56</v>
      </c>
      <c r="C44" s="30">
        <f t="shared" si="0"/>
        <v>67.48</v>
      </c>
      <c r="D44" s="14">
        <v>0.65915783034257747</v>
      </c>
      <c r="E44" s="14">
        <v>0.19549469820554655</v>
      </c>
      <c r="F44" s="38">
        <v>0.21726590538336055</v>
      </c>
      <c r="G44" s="38">
        <v>0.35106035889070147</v>
      </c>
    </row>
    <row r="45" spans="1:7">
      <c r="A45" s="29" t="s">
        <v>43</v>
      </c>
      <c r="B45" s="30">
        <v>78.39</v>
      </c>
      <c r="C45" s="30">
        <f t="shared" si="0"/>
        <v>73.56</v>
      </c>
      <c r="D45" s="14">
        <v>0.68015882127822425</v>
      </c>
      <c r="E45" s="14">
        <v>0.20809529276693461</v>
      </c>
      <c r="F45" s="38">
        <v>0.22852506697282818</v>
      </c>
      <c r="G45" s="38">
        <v>0.35407577497129739</v>
      </c>
    </row>
    <row r="46" spans="1:7">
      <c r="A46" s="29" t="s">
        <v>44</v>
      </c>
      <c r="B46" s="30">
        <v>83.8</v>
      </c>
      <c r="C46" s="30">
        <f t="shared" si="0"/>
        <v>78.39</v>
      </c>
      <c r="D46" s="14">
        <v>0.70080727923627684</v>
      </c>
      <c r="E46" s="14">
        <v>0.22048436754176615</v>
      </c>
      <c r="F46" s="38">
        <v>0.23959522673031028</v>
      </c>
      <c r="G46" s="38">
        <v>0.35704057279236273</v>
      </c>
    </row>
    <row r="47" spans="1:7">
      <c r="A47" s="29" t="s">
        <v>45</v>
      </c>
      <c r="B47" s="30">
        <v>89.4</v>
      </c>
      <c r="C47" s="30">
        <f t="shared" si="0"/>
        <v>83.8</v>
      </c>
      <c r="D47" s="14">
        <v>0.71954865771812082</v>
      </c>
      <c r="E47" s="14">
        <v>0.23172919463087252</v>
      </c>
      <c r="F47" s="38">
        <v>0.24964295302013423</v>
      </c>
      <c r="G47" s="38">
        <v>0.3597315436241611</v>
      </c>
    </row>
    <row r="48" spans="1:7">
      <c r="A48" s="29" t="s">
        <v>46</v>
      </c>
      <c r="B48" s="30">
        <v>96.32</v>
      </c>
      <c r="C48" s="30">
        <f t="shared" si="0"/>
        <v>89.4</v>
      </c>
      <c r="D48" s="14">
        <v>0.73969736295681066</v>
      </c>
      <c r="E48" s="14">
        <v>0.24381841777408642</v>
      </c>
      <c r="F48" s="38">
        <v>0.26044518272425249</v>
      </c>
      <c r="G48" s="38">
        <v>0.36262458471760795</v>
      </c>
    </row>
    <row r="49" spans="1:7">
      <c r="A49" s="29" t="s">
        <v>47</v>
      </c>
      <c r="B49" s="30">
        <v>106.03</v>
      </c>
      <c r="C49" s="30">
        <f t="shared" si="0"/>
        <v>96.32</v>
      </c>
      <c r="D49" s="14">
        <v>0.76353532019239834</v>
      </c>
      <c r="E49" s="14">
        <v>0.25812119211543905</v>
      </c>
      <c r="F49" s="38">
        <v>0.27322531359049329</v>
      </c>
      <c r="G49" s="38">
        <v>0.366047345091012</v>
      </c>
    </row>
    <row r="50" spans="1:7">
      <c r="A50" s="29" t="s">
        <v>48</v>
      </c>
      <c r="B50" s="30">
        <v>114.25</v>
      </c>
      <c r="C50" s="30">
        <f t="shared" si="0"/>
        <v>106.03</v>
      </c>
      <c r="D50" s="14">
        <v>0.78054835886214446</v>
      </c>
      <c r="E50" s="14">
        <v>0.26832901531728665</v>
      </c>
      <c r="F50" s="38">
        <v>0.28234643326039388</v>
      </c>
      <c r="G50" s="38">
        <v>0.36849015317286654</v>
      </c>
    </row>
    <row r="51" spans="1:7">
      <c r="A51" s="29" t="s">
        <v>49</v>
      </c>
      <c r="B51" s="30">
        <v>128.19999999999999</v>
      </c>
      <c r="C51" s="30">
        <f t="shared" si="0"/>
        <v>114.25</v>
      </c>
      <c r="D51" s="14">
        <v>0.80442784711388449</v>
      </c>
      <c r="E51" s="14">
        <v>0.28265670826833073</v>
      </c>
      <c r="F51" s="38">
        <v>0.29514882995319813</v>
      </c>
      <c r="G51" s="38">
        <v>0.37191887675507024</v>
      </c>
    </row>
    <row r="52" spans="1:7">
      <c r="A52" s="29" t="s">
        <v>50</v>
      </c>
      <c r="B52" s="30">
        <v>140.07</v>
      </c>
      <c r="C52" s="30">
        <f t="shared" si="0"/>
        <v>128.19999999999999</v>
      </c>
      <c r="D52" s="14">
        <v>0.82100128507174985</v>
      </c>
      <c r="E52" s="14">
        <v>0.29260077104304988</v>
      </c>
      <c r="F52" s="38">
        <v>0.30403426857999577</v>
      </c>
      <c r="G52" s="38">
        <v>0.37429856500321268</v>
      </c>
    </row>
    <row r="53" spans="1:7">
      <c r="A53" s="29" t="s">
        <v>51</v>
      </c>
      <c r="B53" s="30">
        <v>144.58000000000001</v>
      </c>
      <c r="C53" s="30">
        <f t="shared" si="0"/>
        <v>140.07</v>
      </c>
      <c r="D53" s="14">
        <v>0.82658493567575042</v>
      </c>
      <c r="E53" s="14">
        <v>0.2959509614054503</v>
      </c>
      <c r="F53" s="38">
        <v>0.30702780467561214</v>
      </c>
      <c r="G53" s="38">
        <v>0.37510029049661087</v>
      </c>
    </row>
    <row r="54" spans="1:7">
      <c r="A54" s="29" t="s">
        <v>52</v>
      </c>
      <c r="B54" s="30">
        <v>178.8</v>
      </c>
      <c r="C54" s="30">
        <f t="shared" si="0"/>
        <v>144.58000000000001</v>
      </c>
      <c r="D54" s="14">
        <v>0.85977432885906047</v>
      </c>
      <c r="E54" s="14">
        <v>0.31586459731543626</v>
      </c>
      <c r="F54" s="38">
        <v>0.32482147651006715</v>
      </c>
      <c r="G54" s="38">
        <v>0.37986577181208059</v>
      </c>
    </row>
    <row r="55" spans="1:7">
      <c r="A55" s="29" t="s">
        <v>53</v>
      </c>
      <c r="B55" s="30">
        <v>201.18</v>
      </c>
      <c r="C55" s="30">
        <f>B54</f>
        <v>178.8</v>
      </c>
      <c r="D55" s="14">
        <v>0.875373546078139</v>
      </c>
      <c r="E55" s="14">
        <v>0.32522412764688347</v>
      </c>
      <c r="F55" s="38">
        <v>0.33318461079630179</v>
      </c>
      <c r="G55" s="38">
        <v>0.38210557709513876</v>
      </c>
    </row>
    <row r="56" spans="1:7">
      <c r="A56" s="29" t="s">
        <v>53</v>
      </c>
      <c r="B56" s="31" t="s">
        <v>203</v>
      </c>
      <c r="C56" s="30">
        <f t="shared" si="0"/>
        <v>201.18</v>
      </c>
      <c r="D56" s="11"/>
      <c r="E56" s="11"/>
      <c r="F56" s="39"/>
      <c r="G56" s="39"/>
    </row>
    <row r="57" spans="1:7">
      <c r="A57" s="29"/>
      <c r="B57" s="31"/>
      <c r="C57" s="31"/>
      <c r="D57" s="11"/>
      <c r="E57" s="32">
        <v>8.8060595269677563E-2</v>
      </c>
      <c r="F57" s="40">
        <v>9.9175248847860914E-2</v>
      </c>
      <c r="G57" s="40">
        <v>0.25166122536664148</v>
      </c>
    </row>
    <row r="58" spans="1:7" ht="25.5" customHeight="1">
      <c r="A58" s="33" t="s">
        <v>114</v>
      </c>
      <c r="B58" s="263">
        <v>10</v>
      </c>
      <c r="C58" s="31"/>
      <c r="D58" s="11"/>
      <c r="E58" s="163">
        <v>41.787249999999993</v>
      </c>
      <c r="F58" s="164">
        <v>37.338666666666668</v>
      </c>
      <c r="G58" s="165">
        <v>10</v>
      </c>
    </row>
    <row r="59" spans="1:7" ht="24">
      <c r="A59" s="33" t="s">
        <v>56</v>
      </c>
      <c r="B59" s="162">
        <v>51.2</v>
      </c>
      <c r="C59" s="31"/>
      <c r="D59" s="11"/>
      <c r="E59" s="11"/>
      <c r="F59" s="39"/>
      <c r="G59" s="39"/>
    </row>
    <row r="60" spans="1:7" ht="36">
      <c r="A60" s="166" t="s">
        <v>57</v>
      </c>
      <c r="B60" s="57">
        <v>30.7</v>
      </c>
      <c r="C60" s="29"/>
      <c r="D60" s="11"/>
      <c r="E60" s="57">
        <v>25.072349999999997</v>
      </c>
      <c r="F60" s="167">
        <v>22.403200000000002</v>
      </c>
      <c r="G60" s="167">
        <v>6</v>
      </c>
    </row>
    <row r="62" spans="1:7" ht="26.25" customHeight="1">
      <c r="A62" s="33" t="s">
        <v>56</v>
      </c>
      <c r="B62">
        <f>B59</f>
        <v>51.2</v>
      </c>
    </row>
    <row r="63" spans="1:7">
      <c r="A63" s="16" t="s">
        <v>64</v>
      </c>
      <c r="B63" s="264">
        <f>AVERAGE(B11:B50)</f>
        <v>41.787249999999993</v>
      </c>
      <c r="C63" s="17"/>
    </row>
    <row r="64" spans="1:7">
      <c r="A64" s="16" t="s">
        <v>65</v>
      </c>
      <c r="B64" s="264">
        <f>AVERAGE(B16:B45)</f>
        <v>37.338666666666668</v>
      </c>
      <c r="C64" s="18"/>
    </row>
    <row r="65" spans="1:7">
      <c r="A65" s="16" t="s">
        <v>66</v>
      </c>
      <c r="B65" s="264">
        <f>AVERAGE(B22:B40)</f>
        <v>35.475263157894737</v>
      </c>
      <c r="C65" s="18"/>
    </row>
    <row r="69" spans="1:7" ht="18" customHeight="1">
      <c r="A69" s="470" t="s">
        <v>0</v>
      </c>
      <c r="B69" s="473" t="s">
        <v>2</v>
      </c>
      <c r="C69" s="473"/>
      <c r="D69" s="473"/>
      <c r="E69" s="49">
        <f>(1-E124)^(1/3)-1</f>
        <v>-2.3899154575910631E-2</v>
      </c>
      <c r="F69" s="49">
        <f>(1-F124)^(1/3)-1</f>
        <v>-2.4183475589835135E-2</v>
      </c>
      <c r="G69" s="49"/>
    </row>
    <row r="70" spans="1:7" ht="48">
      <c r="A70" s="471"/>
      <c r="B70" s="57" t="s">
        <v>4</v>
      </c>
      <c r="C70" s="11"/>
      <c r="D70" s="57" t="s">
        <v>80</v>
      </c>
      <c r="E70" s="11" t="s">
        <v>5</v>
      </c>
      <c r="F70" s="39" t="s">
        <v>5</v>
      </c>
      <c r="G70" s="39"/>
    </row>
    <row r="71" spans="1:7">
      <c r="A71" s="472"/>
      <c r="B71" s="11" t="s">
        <v>8</v>
      </c>
      <c r="C71" s="11"/>
      <c r="D71" s="11" t="s">
        <v>7</v>
      </c>
      <c r="E71" s="11" t="s">
        <v>7</v>
      </c>
      <c r="F71" s="39" t="s">
        <v>7</v>
      </c>
      <c r="G71" s="39"/>
    </row>
    <row r="72" spans="1:7">
      <c r="A72" s="50">
        <v>1</v>
      </c>
      <c r="B72" s="51">
        <v>2</v>
      </c>
      <c r="C72" s="51"/>
      <c r="D72" s="51">
        <v>3</v>
      </c>
      <c r="E72" s="51">
        <v>4</v>
      </c>
      <c r="F72" s="52">
        <v>5</v>
      </c>
      <c r="G72" s="52"/>
    </row>
    <row r="73" spans="1:7">
      <c r="A73" s="27" t="s">
        <v>10</v>
      </c>
      <c r="B73" s="153">
        <v>22.31</v>
      </c>
      <c r="C73" s="253">
        <v>0</v>
      </c>
      <c r="D73" s="14">
        <v>0</v>
      </c>
      <c r="E73" s="14">
        <v>0</v>
      </c>
      <c r="F73" s="38">
        <v>0</v>
      </c>
      <c r="G73" s="38">
        <v>2.2545943523083811E-2</v>
      </c>
    </row>
    <row r="74" spans="1:7">
      <c r="A74" s="27" t="s">
        <v>58</v>
      </c>
      <c r="B74" s="153">
        <v>24.56</v>
      </c>
      <c r="C74" s="30">
        <f>B73</f>
        <v>22.31</v>
      </c>
      <c r="D74" s="14">
        <v>0</v>
      </c>
      <c r="E74" s="14">
        <v>0</v>
      </c>
      <c r="F74" s="38">
        <v>0</v>
      </c>
      <c r="G74" s="38">
        <v>2.9641693811074909E-2</v>
      </c>
    </row>
    <row r="75" spans="1:7">
      <c r="A75" s="27" t="s">
        <v>59</v>
      </c>
      <c r="B75" s="153">
        <v>26.14</v>
      </c>
      <c r="C75" s="30">
        <f t="shared" ref="C75:C123" si="1">B74</f>
        <v>24.56</v>
      </c>
      <c r="D75" s="14">
        <v>0</v>
      </c>
      <c r="E75" s="14">
        <v>0</v>
      </c>
      <c r="F75" s="38">
        <v>0</v>
      </c>
      <c r="G75" s="38">
        <v>3.3894414690130069E-2</v>
      </c>
    </row>
    <row r="76" spans="1:7">
      <c r="A76" s="27" t="s">
        <v>60</v>
      </c>
      <c r="B76" s="153">
        <v>28.32</v>
      </c>
      <c r="C76" s="30">
        <f t="shared" si="1"/>
        <v>26.14</v>
      </c>
      <c r="D76" s="14">
        <v>0</v>
      </c>
      <c r="E76" s="14">
        <v>0</v>
      </c>
      <c r="F76" s="38">
        <v>0</v>
      </c>
      <c r="G76" s="38">
        <v>3.8983050847457623E-2</v>
      </c>
    </row>
    <row r="77" spans="1:7">
      <c r="A77" s="27" t="s">
        <v>61</v>
      </c>
      <c r="B77" s="153">
        <v>29.44</v>
      </c>
      <c r="C77" s="30">
        <f t="shared" si="1"/>
        <v>28.32</v>
      </c>
      <c r="D77" s="14">
        <v>0</v>
      </c>
      <c r="E77" s="14">
        <v>0</v>
      </c>
      <c r="F77" s="38">
        <v>0</v>
      </c>
      <c r="G77" s="38">
        <v>4.7826086956521741E-2</v>
      </c>
    </row>
    <row r="78" spans="1:7">
      <c r="A78" s="27" t="s">
        <v>62</v>
      </c>
      <c r="B78" s="153">
        <v>30.07</v>
      </c>
      <c r="C78" s="30">
        <f t="shared" si="1"/>
        <v>29.44</v>
      </c>
      <c r="D78" s="14">
        <v>0</v>
      </c>
      <c r="E78" s="14">
        <v>0</v>
      </c>
      <c r="F78" s="38">
        <v>0</v>
      </c>
      <c r="G78" s="38">
        <v>5.5204522780179573E-2</v>
      </c>
    </row>
    <row r="79" spans="1:7">
      <c r="A79" s="27" t="s">
        <v>63</v>
      </c>
      <c r="B79" s="153">
        <v>32.65</v>
      </c>
      <c r="C79" s="30">
        <f t="shared" si="1"/>
        <v>30.07</v>
      </c>
      <c r="D79" s="14">
        <v>0</v>
      </c>
      <c r="E79" s="14">
        <v>0</v>
      </c>
      <c r="F79" s="38">
        <v>0</v>
      </c>
      <c r="G79" s="38">
        <v>8.2450229709035205E-2</v>
      </c>
    </row>
    <row r="80" spans="1:7">
      <c r="A80" s="29" t="s">
        <v>11</v>
      </c>
      <c r="B80" s="153">
        <v>33.99</v>
      </c>
      <c r="C80" s="30">
        <f t="shared" si="1"/>
        <v>32.65</v>
      </c>
      <c r="D80" s="14">
        <v>0</v>
      </c>
      <c r="E80" s="14">
        <v>0</v>
      </c>
      <c r="F80" s="38">
        <v>0</v>
      </c>
      <c r="G80" s="38">
        <v>9.4969108561341581E-2</v>
      </c>
    </row>
    <row r="81" spans="1:7">
      <c r="A81" s="29" t="s">
        <v>12</v>
      </c>
      <c r="B81" s="153">
        <v>37.03</v>
      </c>
      <c r="C81" s="30">
        <f t="shared" si="1"/>
        <v>33.99</v>
      </c>
      <c r="D81" s="14">
        <v>3.7063192006481248E-2</v>
      </c>
      <c r="E81" s="14"/>
      <c r="F81" s="38">
        <v>4.2014582770726573E-3</v>
      </c>
      <c r="G81" s="38">
        <v>0.12001080205238995</v>
      </c>
    </row>
    <row r="82" spans="1:7">
      <c r="A82" s="29" t="s">
        <v>13</v>
      </c>
      <c r="B82" s="153">
        <v>40.01</v>
      </c>
      <c r="C82" s="30">
        <f t="shared" si="1"/>
        <v>37.03</v>
      </c>
      <c r="D82" s="14">
        <v>0.10878405398650332</v>
      </c>
      <c r="E82" s="14">
        <v>1.0878405398650332E-2</v>
      </c>
      <c r="F82" s="38">
        <v>1.133666583354162E-2</v>
      </c>
      <c r="G82" s="38">
        <v>0.14086478380404899</v>
      </c>
    </row>
    <row r="83" spans="1:7">
      <c r="A83" s="29" t="s">
        <v>14</v>
      </c>
      <c r="B83" s="153">
        <v>41.37</v>
      </c>
      <c r="C83" s="30">
        <f t="shared" si="1"/>
        <v>40.01</v>
      </c>
      <c r="D83" s="14">
        <v>0.13808194343727331</v>
      </c>
      <c r="E83" s="14">
        <v>1.3808194343727332E-2</v>
      </c>
      <c r="F83" s="38">
        <v>1.425138989605995E-2</v>
      </c>
      <c r="G83" s="38">
        <v>0.14938361131254529</v>
      </c>
    </row>
    <row r="84" spans="1:7">
      <c r="A84" s="29" t="s">
        <v>15</v>
      </c>
      <c r="B84" s="153">
        <v>43.79</v>
      </c>
      <c r="C84" s="30">
        <f t="shared" si="1"/>
        <v>41.37</v>
      </c>
      <c r="D84" s="14">
        <v>0.18571477506279971</v>
      </c>
      <c r="E84" s="14">
        <v>1.8571477506279969E-2</v>
      </c>
      <c r="F84" s="38">
        <v>1.8990180406485507E-2</v>
      </c>
      <c r="G84" s="38">
        <v>0.16323361498058916</v>
      </c>
    </row>
    <row r="85" spans="1:7">
      <c r="A85" s="29" t="s">
        <v>16</v>
      </c>
      <c r="B85" s="153">
        <v>44.8</v>
      </c>
      <c r="C85" s="30">
        <f t="shared" si="1"/>
        <v>43.79</v>
      </c>
      <c r="D85" s="14">
        <v>0.20407254464285707</v>
      </c>
      <c r="E85" s="14">
        <v>2.040725446428571E-2</v>
      </c>
      <c r="F85" s="38">
        <v>2.0816517857142863E-2</v>
      </c>
      <c r="G85" s="38">
        <v>0.16857142857142857</v>
      </c>
    </row>
    <row r="86" spans="1:7">
      <c r="A86" s="29" t="s">
        <v>17</v>
      </c>
      <c r="B86" s="153">
        <v>45.9</v>
      </c>
      <c r="C86" s="30">
        <f t="shared" si="1"/>
        <v>44.8</v>
      </c>
      <c r="D86" s="14">
        <v>0.22314705882352937</v>
      </c>
      <c r="E86" s="14">
        <v>2.2314705882352938E-2</v>
      </c>
      <c r="F86" s="38">
        <v>2.2714161220043581E-2</v>
      </c>
      <c r="G86" s="38">
        <v>0.17411764705882354</v>
      </c>
    </row>
    <row r="87" spans="1:7">
      <c r="A87" s="29" t="s">
        <v>18</v>
      </c>
      <c r="B87" s="153">
        <v>46.71</v>
      </c>
      <c r="C87" s="30">
        <f t="shared" si="1"/>
        <v>45.9</v>
      </c>
      <c r="D87" s="14">
        <v>0.2366184971098266</v>
      </c>
      <c r="E87" s="14">
        <v>2.366184971098266E-2</v>
      </c>
      <c r="F87" s="38">
        <v>2.4054378077499473E-2</v>
      </c>
      <c r="G87" s="38">
        <v>0.17803468208092488</v>
      </c>
    </row>
    <row r="88" spans="1:7">
      <c r="A88" s="29" t="s">
        <v>19</v>
      </c>
      <c r="B88" s="153">
        <v>47.3</v>
      </c>
      <c r="C88" s="30">
        <f t="shared" si="1"/>
        <v>46.71</v>
      </c>
      <c r="D88" s="14">
        <v>0.2461405919661733</v>
      </c>
      <c r="E88" s="14">
        <v>2.4614059196617331E-2</v>
      </c>
      <c r="F88" s="38">
        <v>2.5001691331923894E-2</v>
      </c>
      <c r="G88" s="38">
        <v>0.18080338266384774</v>
      </c>
    </row>
    <row r="89" spans="1:7">
      <c r="A89" s="29" t="s">
        <v>20</v>
      </c>
      <c r="B89" s="153">
        <v>48.09</v>
      </c>
      <c r="C89" s="30">
        <f t="shared" si="1"/>
        <v>47.3</v>
      </c>
      <c r="D89" s="14">
        <v>0.25852464129756708</v>
      </c>
      <c r="E89" s="14">
        <v>2.5852464129756711E-2</v>
      </c>
      <c r="F89" s="38">
        <v>2.6233728425868179E-2</v>
      </c>
      <c r="G89" s="38">
        <v>0.18440424204616343</v>
      </c>
    </row>
    <row r="90" spans="1:7">
      <c r="A90" s="29" t="s">
        <v>21</v>
      </c>
      <c r="B90" s="153">
        <v>49.41</v>
      </c>
      <c r="C90" s="30">
        <f t="shared" si="1"/>
        <v>48.09</v>
      </c>
      <c r="D90" s="14">
        <v>0.27833333333333327</v>
      </c>
      <c r="E90" s="14">
        <v>2.7833333333333328E-2</v>
      </c>
      <c r="F90" s="38">
        <v>2.8204412062335562E-2</v>
      </c>
      <c r="G90" s="38">
        <v>0.19016393442622948</v>
      </c>
    </row>
    <row r="91" spans="1:7">
      <c r="A91" s="29" t="s">
        <v>22</v>
      </c>
      <c r="B91" s="153">
        <v>51.48</v>
      </c>
      <c r="C91" s="30">
        <f t="shared" si="1"/>
        <v>49.41</v>
      </c>
      <c r="D91" s="14">
        <v>0.30735139860139854</v>
      </c>
      <c r="E91" s="14">
        <v>3.0735139860139857E-2</v>
      </c>
      <c r="F91" s="38">
        <v>3.1091297591297595E-2</v>
      </c>
      <c r="G91" s="38">
        <v>0.19860139860139858</v>
      </c>
    </row>
    <row r="92" spans="1:7">
      <c r="A92" s="29" t="s">
        <v>23</v>
      </c>
      <c r="B92" s="153">
        <v>52.62</v>
      </c>
      <c r="C92" s="30">
        <f t="shared" si="1"/>
        <v>51.48</v>
      </c>
      <c r="D92" s="14">
        <v>0.32235746864310144</v>
      </c>
      <c r="E92" s="14">
        <v>3.2235746864310147E-2</v>
      </c>
      <c r="F92" s="38">
        <v>3.2584188521474731E-2</v>
      </c>
      <c r="G92" s="38">
        <v>0.20296465222348914</v>
      </c>
    </row>
    <row r="93" spans="1:7">
      <c r="A93" s="29" t="s">
        <v>24</v>
      </c>
      <c r="B93" s="153">
        <v>53.39</v>
      </c>
      <c r="C93" s="30">
        <f t="shared" si="1"/>
        <v>52.62</v>
      </c>
      <c r="D93" s="14">
        <v>0.33213054879190862</v>
      </c>
      <c r="E93" s="14">
        <v>3.3213054879190865E-2</v>
      </c>
      <c r="F93" s="38">
        <v>3.3556471249297636E-2</v>
      </c>
      <c r="G93" s="38">
        <v>0.20580633077355309</v>
      </c>
    </row>
    <row r="94" spans="1:7">
      <c r="A94" s="29" t="s">
        <v>25</v>
      </c>
      <c r="B94" s="153">
        <v>54.04</v>
      </c>
      <c r="C94" s="30">
        <f t="shared" si="1"/>
        <v>53.39</v>
      </c>
      <c r="D94" s="14">
        <v>0.34016376757957068</v>
      </c>
      <c r="E94" s="14">
        <v>3.4016376757957066E-2</v>
      </c>
      <c r="F94" s="38">
        <v>3.4355662472242789E-2</v>
      </c>
      <c r="G94" s="38">
        <v>0.2081421169504071</v>
      </c>
    </row>
    <row r="95" spans="1:7">
      <c r="A95" s="29" t="s">
        <v>26</v>
      </c>
      <c r="B95" s="153">
        <v>54.61</v>
      </c>
      <c r="C95" s="30">
        <f t="shared" si="1"/>
        <v>54.04</v>
      </c>
      <c r="D95" s="14">
        <v>0.34705090642739422</v>
      </c>
      <c r="E95" s="14">
        <v>3.4705090642739425E-2</v>
      </c>
      <c r="F95" s="38">
        <v>3.5040835011902589E-2</v>
      </c>
      <c r="G95" s="38">
        <v>0.21014466214978941</v>
      </c>
    </row>
    <row r="96" spans="1:7">
      <c r="A96" s="29" t="s">
        <v>27</v>
      </c>
      <c r="B96" s="153">
        <v>55.05</v>
      </c>
      <c r="C96" s="30">
        <f t="shared" si="1"/>
        <v>54.61</v>
      </c>
      <c r="D96" s="14">
        <v>0.35226975476839234</v>
      </c>
      <c r="E96" s="14">
        <v>3.5226975476839235E-2</v>
      </c>
      <c r="F96" s="38">
        <v>3.5560036330608544E-2</v>
      </c>
      <c r="G96" s="38">
        <v>0.21166212534059944</v>
      </c>
    </row>
    <row r="97" spans="1:7">
      <c r="A97" s="29" t="s">
        <v>28</v>
      </c>
      <c r="B97" s="153">
        <v>56.06</v>
      </c>
      <c r="C97" s="30">
        <f t="shared" si="1"/>
        <v>55.05</v>
      </c>
      <c r="D97" s="14">
        <v>0.36393952907599003</v>
      </c>
      <c r="E97" s="14">
        <v>3.6393952907599003E-2</v>
      </c>
      <c r="F97" s="38">
        <v>3.6721013200142712E-2</v>
      </c>
      <c r="G97" s="38">
        <v>0.21505529789511238</v>
      </c>
    </row>
    <row r="98" spans="1:7">
      <c r="A98" s="29" t="s">
        <v>29</v>
      </c>
      <c r="B98" s="153">
        <v>58.38</v>
      </c>
      <c r="C98" s="30">
        <f t="shared" si="1"/>
        <v>56.06</v>
      </c>
      <c r="D98" s="14">
        <v>0.38921634121274412</v>
      </c>
      <c r="E98" s="14">
        <v>3.8921634121274411E-2</v>
      </c>
      <c r="F98" s="38">
        <v>3.923569715656048E-2</v>
      </c>
      <c r="G98" s="38">
        <v>0.22240493319630009</v>
      </c>
    </row>
    <row r="99" spans="1:7">
      <c r="A99" s="29" t="s">
        <v>30</v>
      </c>
      <c r="B99" s="153">
        <v>61</v>
      </c>
      <c r="C99" s="30">
        <f t="shared" si="1"/>
        <v>58.38</v>
      </c>
      <c r="D99" s="14">
        <v>0.41544999999999999</v>
      </c>
      <c r="E99" s="14">
        <v>4.926999999999998E-2</v>
      </c>
      <c r="F99" s="38">
        <v>5.107344262295084E-2</v>
      </c>
      <c r="G99" s="38">
        <v>0.23003278688524592</v>
      </c>
    </row>
    <row r="100" spans="1:7">
      <c r="A100" s="29" t="s">
        <v>31</v>
      </c>
      <c r="B100" s="153">
        <v>61.85</v>
      </c>
      <c r="C100" s="30">
        <f t="shared" si="1"/>
        <v>61</v>
      </c>
      <c r="D100" s="14">
        <v>0.42348342764753438</v>
      </c>
      <c r="E100" s="14">
        <v>5.4090056588520612E-2</v>
      </c>
      <c r="F100" s="38">
        <v>5.5868714632174639E-2</v>
      </c>
      <c r="G100" s="38">
        <v>0.23236863379143086</v>
      </c>
    </row>
    <row r="101" spans="1:7">
      <c r="A101" s="29" t="s">
        <v>32</v>
      </c>
      <c r="B101" s="153">
        <v>63.42</v>
      </c>
      <c r="C101" s="30">
        <f t="shared" si="1"/>
        <v>61.85</v>
      </c>
      <c r="D101" s="14">
        <v>0.43775543992431409</v>
      </c>
      <c r="E101" s="14">
        <v>6.2653263954588451E-2</v>
      </c>
      <c r="F101" s="38">
        <v>6.438789025543995E-2</v>
      </c>
      <c r="G101" s="38">
        <v>0.23651844843897826</v>
      </c>
    </row>
    <row r="102" spans="1:7">
      <c r="A102" s="29" t="s">
        <v>33</v>
      </c>
      <c r="B102" s="153">
        <v>64.930000000000007</v>
      </c>
      <c r="C102" s="30">
        <f t="shared" si="1"/>
        <v>63.42</v>
      </c>
      <c r="D102" s="14">
        <v>0.45083089480979521</v>
      </c>
      <c r="E102" s="14">
        <v>7.0498536885877122E-2</v>
      </c>
      <c r="F102" s="38">
        <v>7.2192823040197196E-2</v>
      </c>
      <c r="G102" s="38">
        <v>0.24032034498690902</v>
      </c>
    </row>
    <row r="103" spans="1:7">
      <c r="A103" s="29" t="s">
        <v>34</v>
      </c>
      <c r="B103" s="153">
        <v>66.44</v>
      </c>
      <c r="C103" s="30">
        <f t="shared" si="1"/>
        <v>64.930000000000007</v>
      </c>
      <c r="D103" s="14">
        <v>0.46331201083684526</v>
      </c>
      <c r="E103" s="14">
        <v>7.7987206502107137E-2</v>
      </c>
      <c r="F103" s="38">
        <v>7.9642986152919926E-2</v>
      </c>
      <c r="G103" s="38">
        <v>0.24394942805538836</v>
      </c>
    </row>
    <row r="104" spans="1:7">
      <c r="A104" s="29" t="s">
        <v>35</v>
      </c>
      <c r="B104" s="153">
        <v>67.069999999999993</v>
      </c>
      <c r="C104" s="30">
        <f t="shared" si="1"/>
        <v>66.44</v>
      </c>
      <c r="D104" s="14">
        <v>0.46835321306098099</v>
      </c>
      <c r="E104" s="14">
        <v>8.1011927836588588E-2</v>
      </c>
      <c r="F104" s="38">
        <v>8.265215446548381E-2</v>
      </c>
      <c r="G104" s="38">
        <v>0.24541523781124203</v>
      </c>
    </row>
    <row r="105" spans="1:7">
      <c r="A105" s="29" t="s">
        <v>36</v>
      </c>
      <c r="B105" s="153">
        <v>68.489999999999995</v>
      </c>
      <c r="C105" s="30">
        <f t="shared" si="1"/>
        <v>67.069999999999993</v>
      </c>
      <c r="D105" s="14">
        <v>0.47937582128777917</v>
      </c>
      <c r="E105" s="14">
        <v>8.7625492772667513E-2</v>
      </c>
      <c r="F105" s="38">
        <v>8.9231712658782283E-2</v>
      </c>
      <c r="G105" s="38">
        <v>0.24862023653088042</v>
      </c>
    </row>
    <row r="106" spans="1:7">
      <c r="A106" s="29" t="s">
        <v>37</v>
      </c>
      <c r="B106" s="153">
        <v>69.44</v>
      </c>
      <c r="C106" s="30">
        <f t="shared" si="1"/>
        <v>68.489999999999995</v>
      </c>
      <c r="D106" s="14">
        <v>0.48649841589861748</v>
      </c>
      <c r="E106" s="14">
        <v>9.1899049539170483E-2</v>
      </c>
      <c r="F106" s="38">
        <v>9.3483294930875593E-2</v>
      </c>
      <c r="G106" s="38">
        <v>0.25069124423963135</v>
      </c>
    </row>
    <row r="107" spans="1:7">
      <c r="A107" s="29" t="s">
        <v>38</v>
      </c>
      <c r="B107" s="153">
        <v>69.97</v>
      </c>
      <c r="C107" s="30">
        <f t="shared" si="1"/>
        <v>69.44</v>
      </c>
      <c r="D107" s="14">
        <v>0.49038802343861654</v>
      </c>
      <c r="E107" s="14">
        <v>9.4232814063169912E-2</v>
      </c>
      <c r="F107" s="38">
        <v>9.5805059311133353E-2</v>
      </c>
      <c r="G107" s="38">
        <v>0.25182220951836504</v>
      </c>
    </row>
    <row r="108" spans="1:7">
      <c r="A108" s="29" t="s">
        <v>39</v>
      </c>
      <c r="B108" s="153">
        <v>70.900000000000006</v>
      </c>
      <c r="C108" s="30">
        <f t="shared" si="1"/>
        <v>69.97</v>
      </c>
      <c r="D108" s="14">
        <v>0.49707263751763048</v>
      </c>
      <c r="E108" s="14">
        <v>9.8243582510578298E-2</v>
      </c>
      <c r="F108" s="38">
        <v>9.979520451339921E-2</v>
      </c>
      <c r="G108" s="38">
        <v>0.25376586741889989</v>
      </c>
    </row>
    <row r="109" spans="1:7">
      <c r="A109" s="29" t="s">
        <v>40</v>
      </c>
      <c r="B109" s="153">
        <v>73.2</v>
      </c>
      <c r="C109" s="30">
        <f t="shared" si="1"/>
        <v>70.900000000000006</v>
      </c>
      <c r="D109" s="14">
        <v>0.51287499999999997</v>
      </c>
      <c r="E109" s="14">
        <v>0.107725</v>
      </c>
      <c r="F109" s="38">
        <v>0.10922786885245904</v>
      </c>
      <c r="G109" s="38">
        <v>0.25836065573770495</v>
      </c>
    </row>
    <row r="110" spans="1:7">
      <c r="A110" s="29" t="s">
        <v>41</v>
      </c>
      <c r="B110" s="153">
        <v>76.06</v>
      </c>
      <c r="C110" s="30">
        <f t="shared" si="1"/>
        <v>73.2</v>
      </c>
      <c r="D110" s="14">
        <v>0.53119182224559558</v>
      </c>
      <c r="E110" s="14">
        <v>0.11871509334735734</v>
      </c>
      <c r="F110" s="38">
        <v>0.12016145148566924</v>
      </c>
      <c r="G110" s="38">
        <v>0.26368656323954776</v>
      </c>
    </row>
    <row r="111" spans="1:7">
      <c r="A111" s="29" t="s">
        <v>42</v>
      </c>
      <c r="B111" s="153">
        <v>78.069999999999993</v>
      </c>
      <c r="C111" s="30">
        <f t="shared" si="1"/>
        <v>76.06</v>
      </c>
      <c r="D111" s="14">
        <v>0.54326181631868831</v>
      </c>
      <c r="E111" s="14">
        <v>0.12595708979121298</v>
      </c>
      <c r="F111" s="38">
        <v>0.12736620981170743</v>
      </c>
      <c r="G111" s="38">
        <v>0.26719610605866534</v>
      </c>
    </row>
    <row r="112" spans="1:7">
      <c r="A112" s="29" t="s">
        <v>43</v>
      </c>
      <c r="B112" s="153">
        <v>79.87</v>
      </c>
      <c r="C112" s="30">
        <f t="shared" si="1"/>
        <v>78.069999999999993</v>
      </c>
      <c r="D112" s="14">
        <v>0.55355515212219863</v>
      </c>
      <c r="E112" s="14">
        <v>0.13213309127331915</v>
      </c>
      <c r="F112" s="38">
        <v>0.13351045448854393</v>
      </c>
      <c r="G112" s="38">
        <v>0.27018905721797926</v>
      </c>
    </row>
    <row r="113" spans="1:7">
      <c r="A113" s="29" t="s">
        <v>44</v>
      </c>
      <c r="B113" s="153">
        <v>81.819999999999993</v>
      </c>
      <c r="C113" s="30">
        <f t="shared" si="1"/>
        <v>79.87</v>
      </c>
      <c r="D113" s="14">
        <v>0.56419518455145434</v>
      </c>
      <c r="E113" s="14">
        <v>0.13851711073087264</v>
      </c>
      <c r="F113" s="38">
        <v>0.139861647518944</v>
      </c>
      <c r="G113" s="38">
        <v>0.27328281593742365</v>
      </c>
    </row>
    <row r="114" spans="1:7">
      <c r="A114" s="29" t="s">
        <v>45</v>
      </c>
      <c r="B114" s="153">
        <v>84.52</v>
      </c>
      <c r="C114" s="30">
        <f t="shared" si="1"/>
        <v>81.819999999999993</v>
      </c>
      <c r="D114" s="14">
        <v>0.57811701372456226</v>
      </c>
      <c r="E114" s="14">
        <v>0.14687020823473732</v>
      </c>
      <c r="F114" s="38">
        <v>0.14817179365830571</v>
      </c>
      <c r="G114" s="38">
        <v>0.27733080927591103</v>
      </c>
    </row>
    <row r="115" spans="1:7">
      <c r="A115" s="29" t="s">
        <v>46</v>
      </c>
      <c r="B115" s="153">
        <v>86.73</v>
      </c>
      <c r="C115" s="30">
        <f t="shared" si="1"/>
        <v>84.52</v>
      </c>
      <c r="D115" s="14">
        <v>0.5888671739882394</v>
      </c>
      <c r="E115" s="14">
        <v>0.15332030439294361</v>
      </c>
      <c r="F115" s="38">
        <v>0.15458872362504328</v>
      </c>
      <c r="G115" s="38">
        <v>0.28045658941542723</v>
      </c>
    </row>
    <row r="116" spans="1:7">
      <c r="A116" s="29" t="s">
        <v>47</v>
      </c>
      <c r="B116" s="153">
        <v>87.69</v>
      </c>
      <c r="C116" s="30">
        <f t="shared" si="1"/>
        <v>86.73</v>
      </c>
      <c r="D116" s="14">
        <v>0.59336811495039343</v>
      </c>
      <c r="E116" s="14">
        <v>0.15602086897023604</v>
      </c>
      <c r="F116" s="38">
        <v>0.15727540198426274</v>
      </c>
      <c r="G116" s="38">
        <v>0.2817653096134109</v>
      </c>
    </row>
    <row r="117" spans="1:7">
      <c r="A117" s="29" t="s">
        <v>48</v>
      </c>
      <c r="B117" s="153">
        <v>88.95</v>
      </c>
      <c r="C117" s="30">
        <f t="shared" si="1"/>
        <v>87.69</v>
      </c>
      <c r="D117" s="14">
        <v>0.59912816188870155</v>
      </c>
      <c r="E117" s="14">
        <v>0.15947689713322094</v>
      </c>
      <c r="F117" s="38">
        <v>0.16071365935919057</v>
      </c>
      <c r="G117" s="38">
        <v>0.28344013490725128</v>
      </c>
    </row>
    <row r="118" spans="1:7">
      <c r="A118" s="29" t="s">
        <v>49</v>
      </c>
      <c r="B118" s="153">
        <v>95.98</v>
      </c>
      <c r="C118" s="30">
        <f t="shared" si="1"/>
        <v>88.95</v>
      </c>
      <c r="D118" s="14">
        <v>0.62848978953948742</v>
      </c>
      <c r="E118" s="14">
        <v>0.17709387372369242</v>
      </c>
      <c r="F118" s="38">
        <v>0.17824005001041884</v>
      </c>
      <c r="G118" s="38">
        <v>0.29197749531152328</v>
      </c>
    </row>
    <row r="119" spans="1:7">
      <c r="A119" s="29" t="s">
        <v>50</v>
      </c>
      <c r="B119" s="153">
        <v>104.47</v>
      </c>
      <c r="C119" s="30">
        <f t="shared" si="1"/>
        <v>95.98</v>
      </c>
      <c r="D119" s="14">
        <v>0.65868143964774573</v>
      </c>
      <c r="E119" s="14">
        <v>0.19520886378864744</v>
      </c>
      <c r="F119" s="38">
        <v>0.19626189336651673</v>
      </c>
      <c r="G119" s="38">
        <v>0.30075619795156505</v>
      </c>
    </row>
    <row r="120" spans="1:7">
      <c r="A120" s="29" t="s">
        <v>51</v>
      </c>
      <c r="B120" s="153">
        <v>110.33</v>
      </c>
      <c r="C120" s="30">
        <f t="shared" si="1"/>
        <v>104.47</v>
      </c>
      <c r="D120" s="14">
        <v>0.67681002447203842</v>
      </c>
      <c r="E120" s="14">
        <v>0.20608601468322305</v>
      </c>
      <c r="F120" s="38">
        <v>0.20708311429348322</v>
      </c>
      <c r="G120" s="38">
        <v>0.30602737242817007</v>
      </c>
    </row>
    <row r="121" spans="1:7">
      <c r="A121" s="29" t="s">
        <v>52</v>
      </c>
      <c r="B121" s="153">
        <v>119.1</v>
      </c>
      <c r="C121" s="30">
        <f t="shared" si="1"/>
        <v>110.33</v>
      </c>
      <c r="D121" s="14">
        <v>0.70060831234256926</v>
      </c>
      <c r="E121" s="14">
        <v>0.22036498740554156</v>
      </c>
      <c r="F121" s="38">
        <v>0.22128866498740554</v>
      </c>
      <c r="G121" s="38">
        <v>0.31294710327455921</v>
      </c>
    </row>
    <row r="122" spans="1:7">
      <c r="A122" s="29" t="s">
        <v>53</v>
      </c>
      <c r="B122" s="153">
        <v>124.23</v>
      </c>
      <c r="C122" s="30">
        <f>B121</f>
        <v>119.1</v>
      </c>
      <c r="D122" s="14">
        <v>0.71297150446751989</v>
      </c>
      <c r="E122" s="14">
        <v>0.22778290268051193</v>
      </c>
      <c r="F122" s="38">
        <v>0.2286684375754649</v>
      </c>
      <c r="G122" s="38">
        <v>0.31654189809224831</v>
      </c>
    </row>
    <row r="123" spans="1:7">
      <c r="A123" s="29" t="s">
        <v>53</v>
      </c>
      <c r="B123" s="29" t="s">
        <v>204</v>
      </c>
      <c r="C123" s="30">
        <f t="shared" si="1"/>
        <v>124.23</v>
      </c>
      <c r="D123" s="11" t="s">
        <v>81</v>
      </c>
      <c r="E123" s="11"/>
      <c r="F123" s="39"/>
      <c r="G123" s="39"/>
    </row>
    <row r="124" spans="1:7">
      <c r="A124" s="29"/>
      <c r="B124" s="29"/>
      <c r="C124" s="29"/>
      <c r="D124" s="11"/>
      <c r="E124" s="32">
        <v>6.9997605429709384E-2</v>
      </c>
      <c r="F124" s="40">
        <v>7.0810048770445444E-2</v>
      </c>
      <c r="G124" s="40">
        <v>0.20294694486289638</v>
      </c>
    </row>
    <row r="125" spans="1:7" ht="26.25" customHeight="1">
      <c r="A125" s="33" t="s">
        <v>55</v>
      </c>
      <c r="B125" s="57">
        <v>28.8</v>
      </c>
      <c r="C125" s="29"/>
      <c r="D125" s="11"/>
      <c r="E125" s="195">
        <v>59.429250000000003</v>
      </c>
      <c r="F125" s="196">
        <v>59.123666666666665</v>
      </c>
      <c r="G125" s="197">
        <v>28.8</v>
      </c>
    </row>
    <row r="126" spans="1:7" ht="27.75" customHeight="1">
      <c r="A126" s="33" t="s">
        <v>56</v>
      </c>
      <c r="B126" s="57">
        <v>61.8</v>
      </c>
      <c r="C126" s="29"/>
      <c r="D126" s="11"/>
      <c r="E126" s="57"/>
      <c r="F126" s="167"/>
      <c r="G126" s="167"/>
    </row>
    <row r="127" spans="1:7" ht="37.5" customHeight="1">
      <c r="A127" s="35" t="s">
        <v>57</v>
      </c>
      <c r="B127" s="163">
        <v>37.1</v>
      </c>
      <c r="C127" s="29"/>
      <c r="D127" s="11"/>
      <c r="E127" s="195">
        <v>35.657550000000001</v>
      </c>
      <c r="F127" s="196">
        <v>35.474199999999996</v>
      </c>
      <c r="G127" s="196">
        <v>17.28</v>
      </c>
    </row>
    <row r="129" spans="1:7" ht="29.65" customHeight="1">
      <c r="A129" s="33" t="s">
        <v>56</v>
      </c>
      <c r="B129" s="265">
        <f>B126</f>
        <v>61.8</v>
      </c>
    </row>
    <row r="130" spans="1:7">
      <c r="A130" s="16" t="s">
        <v>64</v>
      </c>
      <c r="B130" s="17">
        <f>AVERAGE(B78:B117)</f>
        <v>59.429250000000003</v>
      </c>
      <c r="C130" s="17"/>
    </row>
    <row r="131" spans="1:7">
      <c r="A131" s="16" t="s">
        <v>65</v>
      </c>
      <c r="B131" s="18">
        <f>AVERAGE(B83:B112)</f>
        <v>59.123666666666665</v>
      </c>
      <c r="C131" s="18"/>
    </row>
    <row r="132" spans="1:7">
      <c r="A132" s="16" t="s">
        <v>66</v>
      </c>
      <c r="B132" s="18">
        <f>AVERAGE(B89:B107)</f>
        <v>59.249473684210535</v>
      </c>
      <c r="C132" s="18"/>
    </row>
    <row r="134" spans="1:7" ht="15" customHeight="1">
      <c r="A134" s="470" t="s">
        <v>0</v>
      </c>
      <c r="B134" s="473" t="s">
        <v>3</v>
      </c>
      <c r="C134" s="473"/>
      <c r="D134" s="473"/>
      <c r="E134" s="40">
        <f>(1-E189)^(1/3)-1</f>
        <v>-3.3710265658596694E-2</v>
      </c>
      <c r="F134" s="40">
        <f>(1-F189)^(1/3)-1</f>
        <v>-4.0123340784737782E-2</v>
      </c>
      <c r="G134" s="40"/>
    </row>
    <row r="135" spans="1:7" ht="46.15" customHeight="1">
      <c r="A135" s="471"/>
      <c r="B135" s="57" t="s">
        <v>4</v>
      </c>
      <c r="C135" s="254"/>
      <c r="D135" s="57" t="s">
        <v>80</v>
      </c>
      <c r="E135" s="11" t="s">
        <v>5</v>
      </c>
      <c r="F135" s="39" t="s">
        <v>5</v>
      </c>
      <c r="G135" s="39"/>
    </row>
    <row r="136" spans="1:7">
      <c r="A136" s="472"/>
      <c r="B136" s="11" t="s">
        <v>9</v>
      </c>
      <c r="C136" s="254"/>
      <c r="D136" s="11" t="s">
        <v>7</v>
      </c>
      <c r="E136" s="177" t="s">
        <v>65</v>
      </c>
      <c r="F136" s="178"/>
      <c r="G136" s="179"/>
    </row>
    <row r="137" spans="1:7">
      <c r="A137" s="50">
        <v>1</v>
      </c>
      <c r="B137" s="51">
        <v>2</v>
      </c>
      <c r="C137" s="51"/>
      <c r="D137" s="51">
        <v>3</v>
      </c>
      <c r="E137" s="51">
        <v>4</v>
      </c>
      <c r="F137" s="52">
        <v>5</v>
      </c>
      <c r="G137" s="52"/>
    </row>
    <row r="138" spans="1:7">
      <c r="A138" s="27" t="s">
        <v>10</v>
      </c>
      <c r="B138" s="199">
        <v>0.02</v>
      </c>
      <c r="C138" s="255">
        <v>0</v>
      </c>
      <c r="D138" s="14">
        <v>0</v>
      </c>
      <c r="E138" s="14">
        <v>0</v>
      </c>
      <c r="F138" s="38">
        <v>0</v>
      </c>
      <c r="G138" s="38">
        <v>0</v>
      </c>
    </row>
    <row r="139" spans="1:7">
      <c r="A139" s="27" t="s">
        <v>58</v>
      </c>
      <c r="B139" s="199">
        <v>0.02</v>
      </c>
      <c r="C139" s="30">
        <f>B138</f>
        <v>0.02</v>
      </c>
      <c r="D139" s="14">
        <v>0</v>
      </c>
      <c r="E139" s="14">
        <v>0</v>
      </c>
      <c r="F139" s="38">
        <v>0</v>
      </c>
      <c r="G139" s="38">
        <v>0</v>
      </c>
    </row>
    <row r="140" spans="1:7">
      <c r="A140" s="27" t="s">
        <v>59</v>
      </c>
      <c r="B140" s="199">
        <v>0.02</v>
      </c>
      <c r="C140" s="30">
        <f t="shared" ref="C140:C188" si="2">B139</f>
        <v>0.02</v>
      </c>
      <c r="D140" s="14">
        <v>0</v>
      </c>
      <c r="E140" s="14">
        <v>0</v>
      </c>
      <c r="F140" s="38">
        <v>0</v>
      </c>
      <c r="G140" s="38">
        <v>0</v>
      </c>
    </row>
    <row r="141" spans="1:7">
      <c r="A141" s="27" t="s">
        <v>60</v>
      </c>
      <c r="B141" s="199">
        <v>0.02</v>
      </c>
      <c r="C141" s="30">
        <f t="shared" si="2"/>
        <v>0.02</v>
      </c>
      <c r="D141" s="14">
        <v>0</v>
      </c>
      <c r="E141" s="14">
        <v>0</v>
      </c>
      <c r="F141" s="38">
        <v>0</v>
      </c>
      <c r="G141" s="38">
        <v>0</v>
      </c>
    </row>
    <row r="142" spans="1:7">
      <c r="A142" s="27" t="s">
        <v>61</v>
      </c>
      <c r="B142" s="199">
        <v>0.02</v>
      </c>
      <c r="C142" s="30">
        <f t="shared" si="2"/>
        <v>0.02</v>
      </c>
      <c r="D142" s="14">
        <v>0</v>
      </c>
      <c r="E142" s="14">
        <v>0</v>
      </c>
      <c r="F142" s="38">
        <v>0</v>
      </c>
      <c r="G142" s="38">
        <v>0</v>
      </c>
    </row>
    <row r="143" spans="1:7">
      <c r="A143" s="27" t="s">
        <v>62</v>
      </c>
      <c r="B143" s="199">
        <v>0.03</v>
      </c>
      <c r="C143" s="30">
        <f t="shared" si="2"/>
        <v>0.02</v>
      </c>
      <c r="D143" s="14">
        <v>0</v>
      </c>
      <c r="E143" s="14">
        <v>0</v>
      </c>
      <c r="F143" s="38">
        <v>0</v>
      </c>
      <c r="G143" s="38">
        <v>0</v>
      </c>
    </row>
    <row r="144" spans="1:7">
      <c r="A144" s="27" t="s">
        <v>63</v>
      </c>
      <c r="B144" s="199">
        <v>0.03</v>
      </c>
      <c r="C144" s="30">
        <f t="shared" si="2"/>
        <v>0.03</v>
      </c>
      <c r="D144" s="14">
        <v>0</v>
      </c>
      <c r="E144" s="14">
        <v>0</v>
      </c>
      <c r="F144" s="38">
        <v>0</v>
      </c>
      <c r="G144" s="38">
        <v>0</v>
      </c>
    </row>
    <row r="145" spans="1:7">
      <c r="A145" s="29" t="s">
        <v>11</v>
      </c>
      <c r="B145" s="199">
        <v>0.04</v>
      </c>
      <c r="C145" s="30">
        <f t="shared" si="2"/>
        <v>0.03</v>
      </c>
      <c r="D145" s="14">
        <v>0</v>
      </c>
      <c r="E145" s="14">
        <v>0</v>
      </c>
      <c r="F145" s="38">
        <v>0</v>
      </c>
      <c r="G145" s="38">
        <v>0</v>
      </c>
    </row>
    <row r="146" spans="1:7">
      <c r="A146" s="29" t="s">
        <v>12</v>
      </c>
      <c r="B146" s="199">
        <v>0.05</v>
      </c>
      <c r="C146" s="30">
        <f t="shared" si="2"/>
        <v>0.04</v>
      </c>
      <c r="D146" s="14">
        <v>0</v>
      </c>
      <c r="E146" s="14">
        <v>0</v>
      </c>
      <c r="F146" s="38">
        <v>0</v>
      </c>
      <c r="G146" s="38">
        <v>0</v>
      </c>
    </row>
    <row r="147" spans="1:7">
      <c r="A147" s="29" t="s">
        <v>13</v>
      </c>
      <c r="B147" s="199">
        <v>0.06</v>
      </c>
      <c r="C147" s="30">
        <f t="shared" si="2"/>
        <v>0.05</v>
      </c>
      <c r="D147" s="14">
        <v>0</v>
      </c>
      <c r="E147" s="14">
        <v>0</v>
      </c>
      <c r="F147" s="38">
        <v>0</v>
      </c>
      <c r="G147" s="38">
        <v>0</v>
      </c>
    </row>
    <row r="148" spans="1:7">
      <c r="A148" s="29" t="s">
        <v>14</v>
      </c>
      <c r="B148" s="199">
        <v>7.0000000000000007E-2</v>
      </c>
      <c r="C148" s="30">
        <f t="shared" si="2"/>
        <v>0.06</v>
      </c>
      <c r="D148" s="14">
        <v>0</v>
      </c>
      <c r="E148" s="14">
        <v>0</v>
      </c>
      <c r="F148" s="38">
        <v>0</v>
      </c>
      <c r="G148" s="38">
        <v>0</v>
      </c>
    </row>
    <row r="149" spans="1:7">
      <c r="A149" s="29" t="s">
        <v>15</v>
      </c>
      <c r="B149" s="199">
        <v>0.11</v>
      </c>
      <c r="C149" s="30">
        <f t="shared" si="2"/>
        <v>7.0000000000000007E-2</v>
      </c>
      <c r="D149" s="14">
        <v>0</v>
      </c>
      <c r="E149" s="14">
        <v>0</v>
      </c>
      <c r="F149" s="38">
        <v>0</v>
      </c>
      <c r="G149" s="38">
        <v>0</v>
      </c>
    </row>
    <row r="150" spans="1:7">
      <c r="A150" s="29" t="s">
        <v>16</v>
      </c>
      <c r="B150" s="199">
        <v>0.14000000000000001</v>
      </c>
      <c r="C150" s="30">
        <f t="shared" si="2"/>
        <v>0.11</v>
      </c>
      <c r="D150" s="14">
        <v>0</v>
      </c>
      <c r="E150" s="14">
        <v>0</v>
      </c>
      <c r="F150" s="38">
        <v>0</v>
      </c>
      <c r="G150" s="38">
        <v>0</v>
      </c>
    </row>
    <row r="151" spans="1:7">
      <c r="A151" s="29" t="s">
        <v>17</v>
      </c>
      <c r="B151" s="199">
        <v>0.21</v>
      </c>
      <c r="C151" s="30">
        <f t="shared" si="2"/>
        <v>0.14000000000000001</v>
      </c>
      <c r="D151" s="14">
        <v>0</v>
      </c>
      <c r="E151" s="14">
        <v>0</v>
      </c>
      <c r="F151" s="38">
        <v>0</v>
      </c>
      <c r="G151" s="38">
        <v>0</v>
      </c>
    </row>
    <row r="152" spans="1:7">
      <c r="A152" s="29" t="s">
        <v>18</v>
      </c>
      <c r="B152" s="199">
        <v>0.26</v>
      </c>
      <c r="C152" s="30">
        <f t="shared" si="2"/>
        <v>0.21</v>
      </c>
      <c r="D152" s="14">
        <v>0</v>
      </c>
      <c r="E152" s="14">
        <v>0</v>
      </c>
      <c r="F152" s="38">
        <v>0</v>
      </c>
      <c r="G152" s="38">
        <v>0</v>
      </c>
    </row>
    <row r="153" spans="1:7">
      <c r="A153" s="29" t="s">
        <v>19</v>
      </c>
      <c r="B153" s="199">
        <v>0.28999999999999998</v>
      </c>
      <c r="C153" s="30">
        <f t="shared" si="2"/>
        <v>0.26</v>
      </c>
      <c r="D153" s="14">
        <v>0</v>
      </c>
      <c r="E153" s="14">
        <v>0</v>
      </c>
      <c r="F153" s="38">
        <v>0</v>
      </c>
      <c r="G153" s="38">
        <v>0</v>
      </c>
    </row>
    <row r="154" spans="1:7">
      <c r="A154" s="29" t="s">
        <v>20</v>
      </c>
      <c r="B154" s="199">
        <v>0.31</v>
      </c>
      <c r="C154" s="30">
        <f t="shared" si="2"/>
        <v>0.28999999999999998</v>
      </c>
      <c r="D154" s="14">
        <v>0</v>
      </c>
      <c r="E154" s="14">
        <v>0</v>
      </c>
      <c r="F154" s="38">
        <v>0</v>
      </c>
      <c r="G154" s="38">
        <v>0</v>
      </c>
    </row>
    <row r="155" spans="1:7">
      <c r="A155" s="29" t="s">
        <v>21</v>
      </c>
      <c r="B155" s="199">
        <v>0.4</v>
      </c>
      <c r="C155" s="30">
        <f t="shared" si="2"/>
        <v>0.31</v>
      </c>
      <c r="D155" s="14">
        <v>0</v>
      </c>
      <c r="E155" s="14">
        <v>0</v>
      </c>
      <c r="F155" s="38">
        <v>0</v>
      </c>
      <c r="G155" s="38">
        <v>0</v>
      </c>
    </row>
    <row r="156" spans="1:7">
      <c r="A156" s="29" t="s">
        <v>22</v>
      </c>
      <c r="B156" s="199">
        <v>0.47</v>
      </c>
      <c r="C156" s="30">
        <f t="shared" si="2"/>
        <v>0.4</v>
      </c>
      <c r="D156" s="14">
        <v>0</v>
      </c>
      <c r="E156" s="14">
        <v>0</v>
      </c>
      <c r="F156" s="38">
        <v>0</v>
      </c>
      <c r="G156" s="38">
        <v>1.7021276595744698E-3</v>
      </c>
    </row>
    <row r="157" spans="1:7">
      <c r="A157" s="29" t="s">
        <v>23</v>
      </c>
      <c r="B157" s="199">
        <v>0.56999999999999995</v>
      </c>
      <c r="C157" s="30">
        <f t="shared" si="2"/>
        <v>0.47</v>
      </c>
      <c r="D157" s="14">
        <v>0</v>
      </c>
      <c r="E157" s="14">
        <v>0</v>
      </c>
      <c r="F157" s="38">
        <v>0</v>
      </c>
      <c r="G157" s="38">
        <v>1.8947368421052633E-2</v>
      </c>
    </row>
    <row r="158" spans="1:7">
      <c r="A158" s="29" t="s">
        <v>24</v>
      </c>
      <c r="B158" s="199">
        <v>0.68</v>
      </c>
      <c r="C158" s="30">
        <f t="shared" si="2"/>
        <v>0.56999999999999995</v>
      </c>
      <c r="D158" s="14">
        <v>0</v>
      </c>
      <c r="E158" s="14">
        <v>0</v>
      </c>
      <c r="F158" s="38">
        <v>0</v>
      </c>
      <c r="G158" s="38">
        <v>3.2058823529411778E-2</v>
      </c>
    </row>
    <row r="159" spans="1:7">
      <c r="A159" s="29" t="s">
        <v>25</v>
      </c>
      <c r="B159" s="199">
        <v>0.73</v>
      </c>
      <c r="C159" s="30">
        <f t="shared" si="2"/>
        <v>0.68</v>
      </c>
      <c r="D159" s="14">
        <v>0</v>
      </c>
      <c r="E159" s="14">
        <v>0</v>
      </c>
      <c r="F159" s="38">
        <v>0</v>
      </c>
      <c r="G159" s="38">
        <v>3.6712328767123298E-2</v>
      </c>
    </row>
    <row r="160" spans="1:7">
      <c r="A160" s="29" t="s">
        <v>26</v>
      </c>
      <c r="B160" s="199">
        <v>0.79</v>
      </c>
      <c r="C160" s="30">
        <f t="shared" si="2"/>
        <v>0.73</v>
      </c>
      <c r="D160" s="14">
        <v>0</v>
      </c>
      <c r="E160" s="14">
        <v>0</v>
      </c>
      <c r="F160" s="38">
        <v>0</v>
      </c>
      <c r="G160" s="38">
        <v>4.9113924050632932E-2</v>
      </c>
    </row>
    <row r="161" spans="1:7">
      <c r="A161" s="29" t="s">
        <v>27</v>
      </c>
      <c r="B161" s="199">
        <v>0.87</v>
      </c>
      <c r="C161" s="30">
        <f t="shared" si="2"/>
        <v>0.79</v>
      </c>
      <c r="D161" s="14">
        <v>0</v>
      </c>
      <c r="E161" s="14">
        <v>0</v>
      </c>
      <c r="F161" s="38">
        <v>0</v>
      </c>
      <c r="G161" s="38">
        <v>8.1379310344827593E-2</v>
      </c>
    </row>
    <row r="162" spans="1:7">
      <c r="A162" s="29" t="s">
        <v>28</v>
      </c>
      <c r="B162" s="199">
        <v>0.93</v>
      </c>
      <c r="C162" s="30">
        <f t="shared" si="2"/>
        <v>0.87</v>
      </c>
      <c r="D162" s="14">
        <v>0</v>
      </c>
      <c r="E162" s="14">
        <v>0</v>
      </c>
      <c r="F162" s="38">
        <v>0</v>
      </c>
      <c r="G162" s="38">
        <v>0.10193548387096776</v>
      </c>
    </row>
    <row r="163" spans="1:7">
      <c r="A163" s="29" t="s">
        <v>29</v>
      </c>
      <c r="B163" s="199">
        <v>1.02</v>
      </c>
      <c r="C163" s="30">
        <f t="shared" si="2"/>
        <v>0.93</v>
      </c>
      <c r="D163" s="14">
        <v>0</v>
      </c>
      <c r="E163" s="14">
        <v>0</v>
      </c>
      <c r="F163" s="38">
        <v>4.0588235294117527E-3</v>
      </c>
      <c r="G163" s="38">
        <v>0.12823529411764709</v>
      </c>
    </row>
    <row r="164" spans="1:7">
      <c r="A164" s="29" t="s">
        <v>30</v>
      </c>
      <c r="B164" s="199">
        <v>1.08</v>
      </c>
      <c r="C164" s="30">
        <f t="shared" si="2"/>
        <v>1.02</v>
      </c>
      <c r="D164" s="14">
        <v>0</v>
      </c>
      <c r="E164" s="14">
        <v>0</v>
      </c>
      <c r="F164" s="38">
        <v>9.3888888888888824E-3</v>
      </c>
      <c r="G164" s="38">
        <v>0.14333333333333337</v>
      </c>
    </row>
    <row r="165" spans="1:7">
      <c r="A165" s="29" t="s">
        <v>31</v>
      </c>
      <c r="B165" s="199">
        <v>1.22</v>
      </c>
      <c r="C165" s="30">
        <f t="shared" si="2"/>
        <v>1.08</v>
      </c>
      <c r="D165" s="14">
        <v>0</v>
      </c>
      <c r="E165" s="14">
        <v>0</v>
      </c>
      <c r="F165" s="38">
        <v>1.9786885245901626E-2</v>
      </c>
      <c r="G165" s="38">
        <v>0.17278688524590163</v>
      </c>
    </row>
    <row r="166" spans="1:7">
      <c r="A166" s="29" t="s">
        <v>32</v>
      </c>
      <c r="B166" s="199">
        <v>1.46</v>
      </c>
      <c r="C166" s="30">
        <f t="shared" si="2"/>
        <v>1.22</v>
      </c>
      <c r="D166" s="14">
        <v>0.10246575342465751</v>
      </c>
      <c r="E166" s="14">
        <v>1.0246575342465751E-2</v>
      </c>
      <c r="F166" s="38">
        <v>3.297260273972602E-2</v>
      </c>
      <c r="G166" s="38">
        <v>0.21013698630136984</v>
      </c>
    </row>
    <row r="167" spans="1:7">
      <c r="A167" s="29" t="s">
        <v>33</v>
      </c>
      <c r="B167" s="199">
        <v>1.75</v>
      </c>
      <c r="C167" s="30">
        <f t="shared" si="2"/>
        <v>1.46</v>
      </c>
      <c r="D167" s="14">
        <v>0.25119999999999998</v>
      </c>
      <c r="E167" s="14">
        <v>2.512E-2</v>
      </c>
      <c r="F167" s="38">
        <v>6.4479999999999954E-2</v>
      </c>
      <c r="G167" s="38">
        <v>0.24160000000000001</v>
      </c>
    </row>
    <row r="168" spans="1:7">
      <c r="A168" s="29" t="s">
        <v>34</v>
      </c>
      <c r="B168" s="199">
        <v>2.2200000000000002</v>
      </c>
      <c r="C168" s="30">
        <f t="shared" si="2"/>
        <v>1.75</v>
      </c>
      <c r="D168" s="14">
        <v>0.40972972972972976</v>
      </c>
      <c r="E168" s="14">
        <v>4.5837837837837847E-2</v>
      </c>
      <c r="F168" s="38">
        <v>0.13551351351351351</v>
      </c>
      <c r="G168" s="38">
        <v>0.27513513513513516</v>
      </c>
    </row>
    <row r="169" spans="1:7">
      <c r="A169" s="29" t="s">
        <v>35</v>
      </c>
      <c r="B169" s="199">
        <v>2.48</v>
      </c>
      <c r="C169" s="30">
        <f t="shared" si="2"/>
        <v>2.2200000000000002</v>
      </c>
      <c r="D169" s="14">
        <v>0.47161290322580646</v>
      </c>
      <c r="E169" s="14">
        <v>8.2967741935483855E-2</v>
      </c>
      <c r="F169" s="38">
        <v>0.16324193548387095</v>
      </c>
      <c r="G169" s="38">
        <v>0.28822580645161294</v>
      </c>
    </row>
    <row r="170" spans="1:7">
      <c r="A170" s="29" t="s">
        <v>36</v>
      </c>
      <c r="B170" s="199">
        <v>2.78</v>
      </c>
      <c r="C170" s="30">
        <f t="shared" si="2"/>
        <v>2.48</v>
      </c>
      <c r="D170" s="14">
        <v>0.52863309352517984</v>
      </c>
      <c r="E170" s="14">
        <v>0.11717985611510788</v>
      </c>
      <c r="F170" s="38">
        <v>0.18879136690647477</v>
      </c>
      <c r="G170" s="38">
        <v>0.30028776978417265</v>
      </c>
    </row>
    <row r="171" spans="1:7">
      <c r="A171" s="29" t="s">
        <v>37</v>
      </c>
      <c r="B171" s="199">
        <v>2.97</v>
      </c>
      <c r="C171" s="30">
        <f t="shared" si="2"/>
        <v>2.78</v>
      </c>
      <c r="D171" s="14">
        <v>0.55878787878787883</v>
      </c>
      <c r="E171" s="14">
        <v>0.13527272727272727</v>
      </c>
      <c r="F171" s="38">
        <v>0.20230303030303026</v>
      </c>
      <c r="G171" s="38">
        <v>0.3066666666666667</v>
      </c>
    </row>
    <row r="172" spans="1:7">
      <c r="A172" s="29" t="s">
        <v>38</v>
      </c>
      <c r="B172" s="199">
        <v>3.19</v>
      </c>
      <c r="C172" s="30">
        <f t="shared" si="2"/>
        <v>2.97</v>
      </c>
      <c r="D172" s="14">
        <v>0.58921630094043886</v>
      </c>
      <c r="E172" s="14">
        <v>0.15352978056426331</v>
      </c>
      <c r="F172" s="38">
        <v>0.21593730407523509</v>
      </c>
      <c r="G172" s="38">
        <v>0.31310344827586206</v>
      </c>
    </row>
    <row r="173" spans="1:7">
      <c r="A173" s="29" t="s">
        <v>39</v>
      </c>
      <c r="B173" s="199">
        <v>3.52</v>
      </c>
      <c r="C173" s="30">
        <f t="shared" si="2"/>
        <v>3.19</v>
      </c>
      <c r="D173" s="14">
        <v>0.62772727272727269</v>
      </c>
      <c r="E173" s="14">
        <v>0.17663636363636362</v>
      </c>
      <c r="F173" s="38">
        <v>0.2331931818181818</v>
      </c>
      <c r="G173" s="38">
        <v>0.32124999999999998</v>
      </c>
    </row>
    <row r="174" spans="1:7">
      <c r="A174" s="29" t="s">
        <v>40</v>
      </c>
      <c r="B174" s="199">
        <v>3.91</v>
      </c>
      <c r="C174" s="30">
        <f t="shared" si="2"/>
        <v>3.52</v>
      </c>
      <c r="D174" s="14">
        <v>0.66485933503836314</v>
      </c>
      <c r="E174" s="14">
        <v>0.19891560102301789</v>
      </c>
      <c r="F174" s="38">
        <v>0.24983120204603579</v>
      </c>
      <c r="G174" s="38">
        <v>0.32910485933503841</v>
      </c>
    </row>
    <row r="175" spans="1:7">
      <c r="A175" s="29" t="s">
        <v>41</v>
      </c>
      <c r="B175" s="199">
        <v>4.41</v>
      </c>
      <c r="C175" s="30">
        <f t="shared" si="2"/>
        <v>3.91</v>
      </c>
      <c r="D175" s="14">
        <v>0.70285714285714285</v>
      </c>
      <c r="E175" s="14">
        <v>0.22171428571428572</v>
      </c>
      <c r="F175" s="38">
        <v>0.26685714285714285</v>
      </c>
      <c r="G175" s="38">
        <v>0.33714285714285713</v>
      </c>
    </row>
    <row r="176" spans="1:7">
      <c r="A176" s="29" t="s">
        <v>42</v>
      </c>
      <c r="B176" s="199">
        <v>4.9800000000000004</v>
      </c>
      <c r="C176" s="30">
        <f t="shared" si="2"/>
        <v>4.41</v>
      </c>
      <c r="D176" s="14">
        <v>0.73686746987951812</v>
      </c>
      <c r="E176" s="14">
        <v>0.24212048192771085</v>
      </c>
      <c r="F176" s="38">
        <v>0.28209638554216865</v>
      </c>
      <c r="G176" s="38">
        <v>0.34433734939759042</v>
      </c>
    </row>
    <row r="177" spans="1:7">
      <c r="A177" s="29" t="s">
        <v>43</v>
      </c>
      <c r="B177" s="199">
        <v>5.1100000000000003</v>
      </c>
      <c r="C177" s="30">
        <f t="shared" si="2"/>
        <v>4.9800000000000004</v>
      </c>
      <c r="D177" s="14">
        <v>0.7435616438356164</v>
      </c>
      <c r="E177" s="14">
        <v>0.24613698630136988</v>
      </c>
      <c r="F177" s="38">
        <v>0.2850958904109589</v>
      </c>
      <c r="G177" s="38">
        <v>0.34575342465753423</v>
      </c>
    </row>
    <row r="178" spans="1:7">
      <c r="A178" s="29" t="s">
        <v>44</v>
      </c>
      <c r="B178" s="199">
        <v>5.87</v>
      </c>
      <c r="C178" s="30">
        <f t="shared" si="2"/>
        <v>5.1100000000000003</v>
      </c>
      <c r="D178" s="14">
        <v>0.77676320272572397</v>
      </c>
      <c r="E178" s="14">
        <v>0.26605792163543446</v>
      </c>
      <c r="F178" s="38">
        <v>0.29997274275979557</v>
      </c>
      <c r="G178" s="38">
        <v>0.35277683134582627</v>
      </c>
    </row>
    <row r="179" spans="1:7">
      <c r="A179" s="29" t="s">
        <v>45</v>
      </c>
      <c r="B179" s="199">
        <v>6.46</v>
      </c>
      <c r="C179" s="30">
        <f t="shared" si="2"/>
        <v>5.87</v>
      </c>
      <c r="D179" s="14">
        <v>0.79715170278637759</v>
      </c>
      <c r="E179" s="14">
        <v>0.27829102167182662</v>
      </c>
      <c r="F179" s="38">
        <v>0.30910835913312695</v>
      </c>
      <c r="G179" s="38">
        <v>0.35708978328173374</v>
      </c>
    </row>
    <row r="180" spans="1:7">
      <c r="A180" s="29" t="s">
        <v>46</v>
      </c>
      <c r="B180" s="199">
        <v>7.21</v>
      </c>
      <c r="C180" s="30">
        <f t="shared" si="2"/>
        <v>6.46</v>
      </c>
      <c r="D180" s="14">
        <v>0.818252427184466</v>
      </c>
      <c r="E180" s="14">
        <v>0.29095145631067965</v>
      </c>
      <c r="F180" s="38">
        <v>0.31856310679611649</v>
      </c>
      <c r="G180" s="38">
        <v>0.36155339805825248</v>
      </c>
    </row>
    <row r="181" spans="1:7">
      <c r="A181" s="29" t="s">
        <v>47</v>
      </c>
      <c r="B181" s="199">
        <v>8.2799999999999994</v>
      </c>
      <c r="C181" s="30">
        <f t="shared" si="2"/>
        <v>7.21</v>
      </c>
      <c r="D181" s="14">
        <v>0.84173913043478266</v>
      </c>
      <c r="E181" s="14">
        <v>0.30504347826086953</v>
      </c>
      <c r="F181" s="38">
        <v>0.32908695652173914</v>
      </c>
      <c r="G181" s="38">
        <v>0.36652173913043484</v>
      </c>
    </row>
    <row r="182" spans="1:7">
      <c r="A182" s="29" t="s">
        <v>48</v>
      </c>
      <c r="B182" s="199">
        <v>10.4</v>
      </c>
      <c r="C182" s="30">
        <f t="shared" si="2"/>
        <v>8.2799999999999994</v>
      </c>
      <c r="D182" s="14">
        <v>0.874</v>
      </c>
      <c r="E182" s="14">
        <v>0.32440000000000002</v>
      </c>
      <c r="F182" s="38">
        <v>0.3435423076923077</v>
      </c>
      <c r="G182" s="38">
        <v>0.37334615384615388</v>
      </c>
    </row>
    <row r="183" spans="1:7">
      <c r="A183" s="29" t="s">
        <v>49</v>
      </c>
      <c r="B183" s="199">
        <v>12.3</v>
      </c>
      <c r="C183" s="30">
        <f t="shared" si="2"/>
        <v>10.4</v>
      </c>
      <c r="D183" s="14">
        <v>0.89346341463414636</v>
      </c>
      <c r="E183" s="14">
        <v>0.3360780487804878</v>
      </c>
      <c r="F183" s="38">
        <v>0.3522634146341464</v>
      </c>
      <c r="G183" s="38">
        <v>0.3774634146341464</v>
      </c>
    </row>
    <row r="184" spans="1:7">
      <c r="A184" s="29" t="s">
        <v>50</v>
      </c>
      <c r="B184" s="199">
        <v>15.7</v>
      </c>
      <c r="C184" s="30">
        <f t="shared" si="2"/>
        <v>12.3</v>
      </c>
      <c r="D184" s="14">
        <v>0.91653503184713381</v>
      </c>
      <c r="E184" s="14">
        <v>0.34992101910828027</v>
      </c>
      <c r="F184" s="38">
        <v>0.36260127388535035</v>
      </c>
      <c r="G184" s="38">
        <v>0.38234394904458602</v>
      </c>
    </row>
    <row r="185" spans="1:7">
      <c r="A185" s="29" t="s">
        <v>51</v>
      </c>
      <c r="B185" s="199">
        <v>17.73</v>
      </c>
      <c r="C185" s="30">
        <f t="shared" si="2"/>
        <v>15.7</v>
      </c>
      <c r="D185" s="14">
        <v>0.92609137055837554</v>
      </c>
      <c r="E185" s="14">
        <v>0.35565482233502538</v>
      </c>
      <c r="F185" s="38">
        <v>0.36688324873096451</v>
      </c>
      <c r="G185" s="38">
        <v>0.38436548223350259</v>
      </c>
    </row>
    <row r="186" spans="1:7">
      <c r="A186" s="29" t="s">
        <v>52</v>
      </c>
      <c r="B186" s="199">
        <v>19.649999999999999</v>
      </c>
      <c r="C186" s="30">
        <f t="shared" si="2"/>
        <v>17.73</v>
      </c>
      <c r="D186" s="14">
        <v>0.93331297709923655</v>
      </c>
      <c r="E186" s="14">
        <v>0.35998778625954203</v>
      </c>
      <c r="F186" s="38">
        <v>0.37011908396946563</v>
      </c>
      <c r="G186" s="38">
        <v>0.38589312977099238</v>
      </c>
    </row>
    <row r="187" spans="1:7">
      <c r="A187" s="29" t="s">
        <v>53</v>
      </c>
      <c r="B187" s="190">
        <v>23.08</v>
      </c>
      <c r="C187" s="30">
        <f>B186</f>
        <v>19.649999999999999</v>
      </c>
      <c r="D187" s="14">
        <v>0.94322357019064118</v>
      </c>
      <c r="E187" s="14">
        <v>0.3659341421143848</v>
      </c>
      <c r="F187" s="38">
        <v>0.3745597920277296</v>
      </c>
      <c r="G187" s="38">
        <v>0.38798960138648175</v>
      </c>
    </row>
    <row r="188" spans="1:7">
      <c r="A188" s="29" t="s">
        <v>53</v>
      </c>
      <c r="B188" s="29" t="s">
        <v>205</v>
      </c>
      <c r="C188" s="30">
        <f t="shared" si="2"/>
        <v>23.08</v>
      </c>
      <c r="D188" s="58"/>
      <c r="E188" s="11"/>
      <c r="F188" s="39"/>
      <c r="G188" s="39"/>
    </row>
    <row r="189" spans="1:7" ht="15.75" thickBot="1">
      <c r="A189" s="29"/>
      <c r="B189" s="29"/>
      <c r="C189" s="4"/>
      <c r="D189" s="58"/>
      <c r="E189" s="32">
        <v>9.7759958682943293E-2</v>
      </c>
      <c r="F189" s="40">
        <v>0.11560496879022568</v>
      </c>
      <c r="G189" s="40">
        <v>0.16216585330440847</v>
      </c>
    </row>
    <row r="190" spans="1:7" ht="26.25" customHeight="1" thickBot="1">
      <c r="A190" s="33" t="s">
        <v>55</v>
      </c>
      <c r="B190" s="57">
        <v>0.77</v>
      </c>
      <c r="C190" s="4"/>
      <c r="D190" s="58"/>
      <c r="E190" s="169">
        <v>2.1840000000000002</v>
      </c>
      <c r="F190" s="164">
        <v>1.6310000000000002</v>
      </c>
      <c r="G190" s="170">
        <v>0.77</v>
      </c>
    </row>
    <row r="191" spans="1:7" ht="26.65" customHeight="1" thickBot="1">
      <c r="A191" s="33" t="s">
        <v>56</v>
      </c>
      <c r="B191" s="57">
        <v>3.68</v>
      </c>
      <c r="C191" s="4"/>
      <c r="D191" s="11"/>
      <c r="E191" s="11"/>
      <c r="F191" s="39"/>
      <c r="G191" s="39"/>
    </row>
    <row r="192" spans="1:7" ht="37.15" customHeight="1" thickBot="1">
      <c r="A192" s="35" t="s">
        <v>57</v>
      </c>
      <c r="B192" s="57">
        <v>2.2000000000000002</v>
      </c>
      <c r="C192" s="4"/>
      <c r="D192" s="11"/>
      <c r="E192" s="57">
        <v>1.3104</v>
      </c>
      <c r="F192" s="167">
        <v>0.97860000000000014</v>
      </c>
      <c r="G192" s="167">
        <v>0.46199999999999997</v>
      </c>
    </row>
    <row r="195" spans="1:3">
      <c r="A195" s="16" t="s">
        <v>64</v>
      </c>
      <c r="B195" s="17">
        <f>AVERAGE(B143:B182)</f>
        <v>2.1840000000000002</v>
      </c>
      <c r="C195" s="17"/>
    </row>
    <row r="196" spans="1:3">
      <c r="A196" s="16" t="s">
        <v>65</v>
      </c>
      <c r="B196" s="18">
        <f>AVERAGE(B148:B177)</f>
        <v>1.6310000000000002</v>
      </c>
      <c r="C196" s="18"/>
    </row>
    <row r="197" spans="1:3">
      <c r="A197" s="16" t="s">
        <v>66</v>
      </c>
      <c r="B197" s="18">
        <f>AVERAGE(B154:B172)</f>
        <v>1.3642105263157895</v>
      </c>
      <c r="C197" s="18"/>
    </row>
    <row r="201" spans="1:3">
      <c r="C201" s="11"/>
    </row>
    <row r="202" spans="1:3">
      <c r="C202" s="11"/>
    </row>
    <row r="203" spans="1:3">
      <c r="C203" s="51"/>
    </row>
    <row r="204" spans="1:3">
      <c r="C204" s="163">
        <v>0</v>
      </c>
    </row>
    <row r="205" spans="1:3">
      <c r="C205" s="30">
        <f>B204</f>
        <v>0</v>
      </c>
    </row>
    <row r="206" spans="1:3">
      <c r="C206" s="30">
        <f t="shared" ref="C206:C254" si="3">B205</f>
        <v>0</v>
      </c>
    </row>
    <row r="207" spans="1:3">
      <c r="C207" s="30">
        <f t="shared" si="3"/>
        <v>0</v>
      </c>
    </row>
    <row r="208" spans="1:3">
      <c r="C208" s="30">
        <f t="shared" si="3"/>
        <v>0</v>
      </c>
    </row>
    <row r="209" spans="3:3">
      <c r="C209" s="30">
        <f t="shared" si="3"/>
        <v>0</v>
      </c>
    </row>
    <row r="210" spans="3:3">
      <c r="C210" s="30">
        <f t="shared" si="3"/>
        <v>0</v>
      </c>
    </row>
    <row r="211" spans="3:3">
      <c r="C211" s="30">
        <f t="shared" si="3"/>
        <v>0</v>
      </c>
    </row>
    <row r="212" spans="3:3">
      <c r="C212" s="30">
        <f t="shared" si="3"/>
        <v>0</v>
      </c>
    </row>
    <row r="213" spans="3:3">
      <c r="C213" s="30">
        <f t="shared" si="3"/>
        <v>0</v>
      </c>
    </row>
    <row r="214" spans="3:3">
      <c r="C214" s="30">
        <f t="shared" si="3"/>
        <v>0</v>
      </c>
    </row>
    <row r="215" spans="3:3">
      <c r="C215" s="30">
        <f t="shared" si="3"/>
        <v>0</v>
      </c>
    </row>
    <row r="216" spans="3:3">
      <c r="C216" s="30">
        <f t="shared" si="3"/>
        <v>0</v>
      </c>
    </row>
    <row r="217" spans="3:3">
      <c r="C217" s="30">
        <f t="shared" si="3"/>
        <v>0</v>
      </c>
    </row>
    <row r="218" spans="3:3">
      <c r="C218" s="30">
        <f t="shared" si="3"/>
        <v>0</v>
      </c>
    </row>
    <row r="219" spans="3:3">
      <c r="C219" s="30">
        <f t="shared" si="3"/>
        <v>0</v>
      </c>
    </row>
    <row r="220" spans="3:3">
      <c r="C220" s="30">
        <f t="shared" si="3"/>
        <v>0</v>
      </c>
    </row>
    <row r="221" spans="3:3">
      <c r="C221" s="30">
        <f t="shared" si="3"/>
        <v>0</v>
      </c>
    </row>
    <row r="222" spans="3:3">
      <c r="C222" s="30">
        <f t="shared" si="3"/>
        <v>0</v>
      </c>
    </row>
    <row r="223" spans="3:3">
      <c r="C223" s="30">
        <f t="shared" si="3"/>
        <v>0</v>
      </c>
    </row>
    <row r="224" spans="3:3">
      <c r="C224" s="30">
        <f t="shared" si="3"/>
        <v>0</v>
      </c>
    </row>
    <row r="225" spans="3:3">
      <c r="C225" s="30">
        <f t="shared" si="3"/>
        <v>0</v>
      </c>
    </row>
    <row r="226" spans="3:3">
      <c r="C226" s="30">
        <f t="shared" si="3"/>
        <v>0</v>
      </c>
    </row>
    <row r="227" spans="3:3">
      <c r="C227" s="30">
        <f t="shared" si="3"/>
        <v>0</v>
      </c>
    </row>
    <row r="228" spans="3:3">
      <c r="C228" s="30">
        <f t="shared" si="3"/>
        <v>0</v>
      </c>
    </row>
    <row r="229" spans="3:3">
      <c r="C229" s="30">
        <f t="shared" si="3"/>
        <v>0</v>
      </c>
    </row>
    <row r="230" spans="3:3">
      <c r="C230" s="30">
        <f t="shared" si="3"/>
        <v>0</v>
      </c>
    </row>
    <row r="231" spans="3:3">
      <c r="C231" s="30">
        <f t="shared" si="3"/>
        <v>0</v>
      </c>
    </row>
    <row r="232" spans="3:3">
      <c r="C232" s="30">
        <f t="shared" si="3"/>
        <v>0</v>
      </c>
    </row>
    <row r="233" spans="3:3">
      <c r="C233" s="30">
        <f t="shared" si="3"/>
        <v>0</v>
      </c>
    </row>
    <row r="234" spans="3:3">
      <c r="C234" s="30">
        <f t="shared" si="3"/>
        <v>0</v>
      </c>
    </row>
    <row r="235" spans="3:3">
      <c r="C235" s="30">
        <f t="shared" si="3"/>
        <v>0</v>
      </c>
    </row>
    <row r="236" spans="3:3">
      <c r="C236" s="30">
        <f t="shared" si="3"/>
        <v>0</v>
      </c>
    </row>
    <row r="237" spans="3:3">
      <c r="C237" s="30">
        <f t="shared" si="3"/>
        <v>0</v>
      </c>
    </row>
    <row r="238" spans="3:3">
      <c r="C238" s="30">
        <f t="shared" si="3"/>
        <v>0</v>
      </c>
    </row>
    <row r="239" spans="3:3">
      <c r="C239" s="30">
        <f t="shared" si="3"/>
        <v>0</v>
      </c>
    </row>
    <row r="240" spans="3:3">
      <c r="C240" s="30">
        <f t="shared" si="3"/>
        <v>0</v>
      </c>
    </row>
    <row r="241" spans="3:3">
      <c r="C241" s="30">
        <f t="shared" si="3"/>
        <v>0</v>
      </c>
    </row>
    <row r="242" spans="3:3">
      <c r="C242" s="30">
        <f t="shared" si="3"/>
        <v>0</v>
      </c>
    </row>
    <row r="243" spans="3:3">
      <c r="C243" s="30">
        <f t="shared" si="3"/>
        <v>0</v>
      </c>
    </row>
    <row r="244" spans="3:3">
      <c r="C244" s="30">
        <f t="shared" si="3"/>
        <v>0</v>
      </c>
    </row>
    <row r="245" spans="3:3">
      <c r="C245" s="30">
        <f t="shared" si="3"/>
        <v>0</v>
      </c>
    </row>
    <row r="246" spans="3:3">
      <c r="C246" s="30">
        <f t="shared" si="3"/>
        <v>0</v>
      </c>
    </row>
    <row r="247" spans="3:3">
      <c r="C247" s="30">
        <f t="shared" si="3"/>
        <v>0</v>
      </c>
    </row>
    <row r="248" spans="3:3">
      <c r="C248" s="30">
        <f t="shared" si="3"/>
        <v>0</v>
      </c>
    </row>
    <row r="249" spans="3:3">
      <c r="C249" s="30">
        <f t="shared" si="3"/>
        <v>0</v>
      </c>
    </row>
    <row r="250" spans="3:3">
      <c r="C250" s="30">
        <f t="shared" si="3"/>
        <v>0</v>
      </c>
    </row>
    <row r="251" spans="3:3">
      <c r="C251" s="30">
        <f t="shared" si="3"/>
        <v>0</v>
      </c>
    </row>
    <row r="252" spans="3:3">
      <c r="C252" s="30">
        <f t="shared" si="3"/>
        <v>0</v>
      </c>
    </row>
    <row r="253" spans="3:3">
      <c r="C253" s="30">
        <f>B252</f>
        <v>0</v>
      </c>
    </row>
    <row r="254" spans="3:3">
      <c r="C254" s="30">
        <f t="shared" si="3"/>
        <v>0</v>
      </c>
    </row>
    <row r="255" spans="3:3">
      <c r="C255" s="29"/>
    </row>
    <row r="256" spans="3:3">
      <c r="C256" s="29"/>
    </row>
    <row r="257" spans="3:3">
      <c r="C257" s="29"/>
    </row>
    <row r="258" spans="3:3">
      <c r="C258" s="29"/>
    </row>
    <row r="261" spans="3:3">
      <c r="C261" s="17"/>
    </row>
    <row r="262" spans="3:3">
      <c r="C262" s="18"/>
    </row>
    <row r="263" spans="3:3">
      <c r="C263" s="18"/>
    </row>
    <row r="267" spans="3:3" ht="15.75" thickBot="1">
      <c r="C267" s="65"/>
    </row>
    <row r="270" spans="3:3">
      <c r="C270">
        <v>0</v>
      </c>
    </row>
    <row r="271" spans="3:3">
      <c r="C271" s="30">
        <f>B270</f>
        <v>0</v>
      </c>
    </row>
    <row r="272" spans="3:3">
      <c r="C272" s="30">
        <f t="shared" ref="C272:C320" si="4">B271</f>
        <v>0</v>
      </c>
    </row>
    <row r="273" spans="3:3">
      <c r="C273" s="30">
        <f t="shared" si="4"/>
        <v>0</v>
      </c>
    </row>
    <row r="274" spans="3:3">
      <c r="C274" s="30">
        <f t="shared" si="4"/>
        <v>0</v>
      </c>
    </row>
    <row r="275" spans="3:3">
      <c r="C275" s="30">
        <f t="shared" si="4"/>
        <v>0</v>
      </c>
    </row>
    <row r="276" spans="3:3">
      <c r="C276" s="30">
        <f t="shared" si="4"/>
        <v>0</v>
      </c>
    </row>
    <row r="277" spans="3:3">
      <c r="C277" s="30">
        <f t="shared" si="4"/>
        <v>0</v>
      </c>
    </row>
    <row r="278" spans="3:3">
      <c r="C278" s="30">
        <f t="shared" si="4"/>
        <v>0</v>
      </c>
    </row>
    <row r="279" spans="3:3">
      <c r="C279" s="30">
        <f t="shared" si="4"/>
        <v>0</v>
      </c>
    </row>
    <row r="280" spans="3:3">
      <c r="C280" s="30">
        <f t="shared" si="4"/>
        <v>0</v>
      </c>
    </row>
    <row r="281" spans="3:3">
      <c r="C281" s="30">
        <f t="shared" si="4"/>
        <v>0</v>
      </c>
    </row>
    <row r="282" spans="3:3">
      <c r="C282" s="30">
        <f t="shared" si="4"/>
        <v>0</v>
      </c>
    </row>
    <row r="283" spans="3:3">
      <c r="C283" s="30">
        <f t="shared" si="4"/>
        <v>0</v>
      </c>
    </row>
    <row r="284" spans="3:3">
      <c r="C284" s="30">
        <f t="shared" si="4"/>
        <v>0</v>
      </c>
    </row>
    <row r="285" spans="3:3">
      <c r="C285" s="30">
        <f t="shared" si="4"/>
        <v>0</v>
      </c>
    </row>
    <row r="286" spans="3:3">
      <c r="C286" s="30">
        <f t="shared" si="4"/>
        <v>0</v>
      </c>
    </row>
    <row r="287" spans="3:3">
      <c r="C287" s="30">
        <f t="shared" si="4"/>
        <v>0</v>
      </c>
    </row>
    <row r="288" spans="3:3">
      <c r="C288" s="30">
        <f t="shared" si="4"/>
        <v>0</v>
      </c>
    </row>
    <row r="289" spans="3:3">
      <c r="C289" s="30">
        <f t="shared" si="4"/>
        <v>0</v>
      </c>
    </row>
    <row r="290" spans="3:3">
      <c r="C290" s="30">
        <f t="shared" si="4"/>
        <v>0</v>
      </c>
    </row>
    <row r="291" spans="3:3">
      <c r="C291" s="30">
        <f t="shared" si="4"/>
        <v>0</v>
      </c>
    </row>
    <row r="292" spans="3:3">
      <c r="C292" s="30">
        <f t="shared" si="4"/>
        <v>0</v>
      </c>
    </row>
    <row r="293" spans="3:3">
      <c r="C293" s="30">
        <f t="shared" si="4"/>
        <v>0</v>
      </c>
    </row>
    <row r="294" spans="3:3">
      <c r="C294" s="30">
        <f t="shared" si="4"/>
        <v>0</v>
      </c>
    </row>
    <row r="295" spans="3:3">
      <c r="C295" s="30">
        <f t="shared" si="4"/>
        <v>0</v>
      </c>
    </row>
    <row r="296" spans="3:3">
      <c r="C296" s="30">
        <f t="shared" si="4"/>
        <v>0</v>
      </c>
    </row>
    <row r="297" spans="3:3">
      <c r="C297" s="30">
        <f t="shared" si="4"/>
        <v>0</v>
      </c>
    </row>
    <row r="298" spans="3:3">
      <c r="C298" s="30">
        <f t="shared" si="4"/>
        <v>0</v>
      </c>
    </row>
    <row r="299" spans="3:3">
      <c r="C299" s="30">
        <f t="shared" si="4"/>
        <v>0</v>
      </c>
    </row>
    <row r="300" spans="3:3">
      <c r="C300" s="30">
        <f t="shared" si="4"/>
        <v>0</v>
      </c>
    </row>
    <row r="301" spans="3:3">
      <c r="C301" s="30">
        <f t="shared" si="4"/>
        <v>0</v>
      </c>
    </row>
    <row r="302" spans="3:3">
      <c r="C302" s="30">
        <f t="shared" si="4"/>
        <v>0</v>
      </c>
    </row>
    <row r="303" spans="3:3">
      <c r="C303" s="30">
        <f t="shared" si="4"/>
        <v>0</v>
      </c>
    </row>
    <row r="304" spans="3:3">
      <c r="C304" s="30">
        <f t="shared" si="4"/>
        <v>0</v>
      </c>
    </row>
    <row r="305" spans="3:3">
      <c r="C305" s="30">
        <f t="shared" si="4"/>
        <v>0</v>
      </c>
    </row>
    <row r="306" spans="3:3">
      <c r="C306" s="30">
        <f t="shared" si="4"/>
        <v>0</v>
      </c>
    </row>
    <row r="307" spans="3:3">
      <c r="C307" s="30">
        <f t="shared" si="4"/>
        <v>0</v>
      </c>
    </row>
    <row r="308" spans="3:3">
      <c r="C308" s="30">
        <f t="shared" si="4"/>
        <v>0</v>
      </c>
    </row>
    <row r="309" spans="3:3">
      <c r="C309" s="30">
        <f t="shared" si="4"/>
        <v>0</v>
      </c>
    </row>
    <row r="310" spans="3:3">
      <c r="C310" s="30">
        <f t="shared" si="4"/>
        <v>0</v>
      </c>
    </row>
    <row r="311" spans="3:3">
      <c r="C311" s="30">
        <f t="shared" si="4"/>
        <v>0</v>
      </c>
    </row>
    <row r="312" spans="3:3">
      <c r="C312" s="30">
        <f t="shared" si="4"/>
        <v>0</v>
      </c>
    </row>
    <row r="313" spans="3:3">
      <c r="C313" s="30">
        <f t="shared" si="4"/>
        <v>0</v>
      </c>
    </row>
    <row r="314" spans="3:3">
      <c r="C314" s="30">
        <f t="shared" si="4"/>
        <v>0</v>
      </c>
    </row>
    <row r="315" spans="3:3">
      <c r="C315" s="30">
        <f t="shared" si="4"/>
        <v>0</v>
      </c>
    </row>
    <row r="316" spans="3:3">
      <c r="C316" s="30">
        <f t="shared" si="4"/>
        <v>0</v>
      </c>
    </row>
    <row r="317" spans="3:3">
      <c r="C317" s="30">
        <f t="shared" si="4"/>
        <v>0</v>
      </c>
    </row>
    <row r="318" spans="3:3">
      <c r="C318" s="30">
        <f t="shared" si="4"/>
        <v>0</v>
      </c>
    </row>
    <row r="319" spans="3:3">
      <c r="C319" s="30">
        <f>B318</f>
        <v>0</v>
      </c>
    </row>
    <row r="320" spans="3:3">
      <c r="C320" s="30">
        <f t="shared" si="4"/>
        <v>0</v>
      </c>
    </row>
    <row r="336" spans="3:3" ht="15.75" thickBot="1">
      <c r="C336" s="117"/>
    </row>
    <row r="337" spans="3:3">
      <c r="C337">
        <v>0</v>
      </c>
    </row>
    <row r="338" spans="3:3">
      <c r="C338" s="30">
        <f>B337</f>
        <v>0</v>
      </c>
    </row>
    <row r="339" spans="3:3">
      <c r="C339" s="30">
        <f t="shared" ref="C339:C387" si="5">B338</f>
        <v>0</v>
      </c>
    </row>
    <row r="340" spans="3:3">
      <c r="C340" s="30">
        <f t="shared" si="5"/>
        <v>0</v>
      </c>
    </row>
    <row r="341" spans="3:3">
      <c r="C341" s="30">
        <f t="shared" si="5"/>
        <v>0</v>
      </c>
    </row>
    <row r="342" spans="3:3">
      <c r="C342" s="30">
        <f t="shared" si="5"/>
        <v>0</v>
      </c>
    </row>
    <row r="343" spans="3:3">
      <c r="C343" s="30">
        <f t="shared" si="5"/>
        <v>0</v>
      </c>
    </row>
    <row r="344" spans="3:3">
      <c r="C344" s="30">
        <f t="shared" si="5"/>
        <v>0</v>
      </c>
    </row>
    <row r="345" spans="3:3">
      <c r="C345" s="30">
        <f t="shared" si="5"/>
        <v>0</v>
      </c>
    </row>
    <row r="346" spans="3:3">
      <c r="C346" s="30">
        <f t="shared" si="5"/>
        <v>0</v>
      </c>
    </row>
    <row r="347" spans="3:3">
      <c r="C347" s="30">
        <f t="shared" si="5"/>
        <v>0</v>
      </c>
    </row>
    <row r="348" spans="3:3">
      <c r="C348" s="30">
        <f t="shared" si="5"/>
        <v>0</v>
      </c>
    </row>
    <row r="349" spans="3:3">
      <c r="C349" s="30">
        <f t="shared" si="5"/>
        <v>0</v>
      </c>
    </row>
    <row r="350" spans="3:3">
      <c r="C350" s="30">
        <f t="shared" si="5"/>
        <v>0</v>
      </c>
    </row>
    <row r="351" spans="3:3">
      <c r="C351" s="30">
        <f t="shared" si="5"/>
        <v>0</v>
      </c>
    </row>
    <row r="352" spans="3:3">
      <c r="C352" s="30">
        <f t="shared" si="5"/>
        <v>0</v>
      </c>
    </row>
    <row r="353" spans="3:3">
      <c r="C353" s="30">
        <f t="shared" si="5"/>
        <v>0</v>
      </c>
    </row>
    <row r="354" spans="3:3">
      <c r="C354" s="30">
        <f t="shared" si="5"/>
        <v>0</v>
      </c>
    </row>
    <row r="355" spans="3:3">
      <c r="C355" s="30">
        <f t="shared" si="5"/>
        <v>0</v>
      </c>
    </row>
    <row r="356" spans="3:3">
      <c r="C356" s="30">
        <f t="shared" si="5"/>
        <v>0</v>
      </c>
    </row>
    <row r="357" spans="3:3">
      <c r="C357" s="30">
        <f t="shared" si="5"/>
        <v>0</v>
      </c>
    </row>
    <row r="358" spans="3:3">
      <c r="C358" s="30">
        <f t="shared" si="5"/>
        <v>0</v>
      </c>
    </row>
    <row r="359" spans="3:3">
      <c r="C359" s="30">
        <f t="shared" si="5"/>
        <v>0</v>
      </c>
    </row>
    <row r="360" spans="3:3">
      <c r="C360" s="30">
        <f t="shared" si="5"/>
        <v>0</v>
      </c>
    </row>
    <row r="361" spans="3:3">
      <c r="C361" s="30">
        <f t="shared" si="5"/>
        <v>0</v>
      </c>
    </row>
    <row r="362" spans="3:3">
      <c r="C362" s="30">
        <f t="shared" si="5"/>
        <v>0</v>
      </c>
    </row>
    <row r="363" spans="3:3">
      <c r="C363" s="30">
        <f t="shared" si="5"/>
        <v>0</v>
      </c>
    </row>
    <row r="364" spans="3:3">
      <c r="C364" s="30">
        <f t="shared" si="5"/>
        <v>0</v>
      </c>
    </row>
    <row r="365" spans="3:3">
      <c r="C365" s="30">
        <f t="shared" si="5"/>
        <v>0</v>
      </c>
    </row>
    <row r="366" spans="3:3">
      <c r="C366" s="30">
        <f t="shared" si="5"/>
        <v>0</v>
      </c>
    </row>
    <row r="367" spans="3:3">
      <c r="C367" s="30">
        <f t="shared" si="5"/>
        <v>0</v>
      </c>
    </row>
    <row r="368" spans="3:3">
      <c r="C368" s="30">
        <f t="shared" si="5"/>
        <v>0</v>
      </c>
    </row>
    <row r="369" spans="3:3">
      <c r="C369" s="30">
        <f t="shared" si="5"/>
        <v>0</v>
      </c>
    </row>
    <row r="370" spans="3:3">
      <c r="C370" s="30">
        <f t="shared" si="5"/>
        <v>0</v>
      </c>
    </row>
    <row r="371" spans="3:3">
      <c r="C371" s="30">
        <f t="shared" si="5"/>
        <v>0</v>
      </c>
    </row>
    <row r="372" spans="3:3">
      <c r="C372" s="30">
        <f t="shared" si="5"/>
        <v>0</v>
      </c>
    </row>
    <row r="373" spans="3:3">
      <c r="C373" s="30">
        <f t="shared" si="5"/>
        <v>0</v>
      </c>
    </row>
    <row r="374" spans="3:3">
      <c r="C374" s="30">
        <f t="shared" si="5"/>
        <v>0</v>
      </c>
    </row>
    <row r="375" spans="3:3">
      <c r="C375" s="30">
        <f t="shared" si="5"/>
        <v>0</v>
      </c>
    </row>
    <row r="376" spans="3:3">
      <c r="C376" s="30">
        <f t="shared" si="5"/>
        <v>0</v>
      </c>
    </row>
    <row r="377" spans="3:3">
      <c r="C377" s="30">
        <f t="shared" si="5"/>
        <v>0</v>
      </c>
    </row>
    <row r="378" spans="3:3">
      <c r="C378" s="30">
        <f t="shared" si="5"/>
        <v>0</v>
      </c>
    </row>
    <row r="379" spans="3:3">
      <c r="C379" s="30">
        <f t="shared" si="5"/>
        <v>0</v>
      </c>
    </row>
    <row r="380" spans="3:3">
      <c r="C380" s="30">
        <f t="shared" si="5"/>
        <v>0</v>
      </c>
    </row>
    <row r="381" spans="3:3">
      <c r="C381" s="30">
        <f t="shared" si="5"/>
        <v>0</v>
      </c>
    </row>
    <row r="382" spans="3:3">
      <c r="C382" s="30">
        <f t="shared" si="5"/>
        <v>0</v>
      </c>
    </row>
    <row r="383" spans="3:3">
      <c r="C383" s="30">
        <f t="shared" si="5"/>
        <v>0</v>
      </c>
    </row>
    <row r="384" spans="3:3">
      <c r="C384" s="30">
        <f t="shared" si="5"/>
        <v>0</v>
      </c>
    </row>
    <row r="385" spans="3:3">
      <c r="C385" s="30">
        <f t="shared" si="5"/>
        <v>0</v>
      </c>
    </row>
    <row r="386" spans="3:3">
      <c r="C386" s="30">
        <f>B385</f>
        <v>0</v>
      </c>
    </row>
    <row r="387" spans="3:3">
      <c r="C387" s="30">
        <f t="shared" si="5"/>
        <v>0</v>
      </c>
    </row>
    <row r="402" spans="3:3">
      <c r="C402">
        <v>0</v>
      </c>
    </row>
    <row r="403" spans="3:3">
      <c r="C403" s="30">
        <f>B402</f>
        <v>0</v>
      </c>
    </row>
    <row r="404" spans="3:3">
      <c r="C404" s="30">
        <f t="shared" ref="C404:C452" si="6">B403</f>
        <v>0</v>
      </c>
    </row>
    <row r="405" spans="3:3">
      <c r="C405" s="30">
        <f t="shared" si="6"/>
        <v>0</v>
      </c>
    </row>
    <row r="406" spans="3:3">
      <c r="C406" s="30">
        <f t="shared" si="6"/>
        <v>0</v>
      </c>
    </row>
    <row r="407" spans="3:3">
      <c r="C407" s="30">
        <f t="shared" si="6"/>
        <v>0</v>
      </c>
    </row>
    <row r="408" spans="3:3">
      <c r="C408" s="30">
        <f t="shared" si="6"/>
        <v>0</v>
      </c>
    </row>
    <row r="409" spans="3:3">
      <c r="C409" s="30">
        <f t="shared" si="6"/>
        <v>0</v>
      </c>
    </row>
    <row r="410" spans="3:3">
      <c r="C410" s="30">
        <f t="shared" si="6"/>
        <v>0</v>
      </c>
    </row>
    <row r="411" spans="3:3">
      <c r="C411" s="30">
        <f t="shared" si="6"/>
        <v>0</v>
      </c>
    </row>
    <row r="412" spans="3:3">
      <c r="C412" s="30">
        <f t="shared" si="6"/>
        <v>0</v>
      </c>
    </row>
    <row r="413" spans="3:3">
      <c r="C413" s="30">
        <f t="shared" si="6"/>
        <v>0</v>
      </c>
    </row>
    <row r="414" spans="3:3">
      <c r="C414" s="30">
        <f t="shared" si="6"/>
        <v>0</v>
      </c>
    </row>
    <row r="415" spans="3:3">
      <c r="C415" s="30">
        <f t="shared" si="6"/>
        <v>0</v>
      </c>
    </row>
    <row r="416" spans="3:3">
      <c r="C416" s="30">
        <f t="shared" si="6"/>
        <v>0</v>
      </c>
    </row>
    <row r="417" spans="3:3">
      <c r="C417" s="30">
        <f t="shared" si="6"/>
        <v>0</v>
      </c>
    </row>
    <row r="418" spans="3:3">
      <c r="C418" s="30">
        <f t="shared" si="6"/>
        <v>0</v>
      </c>
    </row>
    <row r="419" spans="3:3">
      <c r="C419" s="30">
        <f t="shared" si="6"/>
        <v>0</v>
      </c>
    </row>
    <row r="420" spans="3:3">
      <c r="C420" s="30">
        <f t="shared" si="6"/>
        <v>0</v>
      </c>
    </row>
    <row r="421" spans="3:3">
      <c r="C421" s="30">
        <f t="shared" si="6"/>
        <v>0</v>
      </c>
    </row>
    <row r="422" spans="3:3">
      <c r="C422" s="30">
        <f t="shared" si="6"/>
        <v>0</v>
      </c>
    </row>
    <row r="423" spans="3:3">
      <c r="C423" s="30">
        <f t="shared" si="6"/>
        <v>0</v>
      </c>
    </row>
    <row r="424" spans="3:3">
      <c r="C424" s="30">
        <f t="shared" si="6"/>
        <v>0</v>
      </c>
    </row>
    <row r="425" spans="3:3">
      <c r="C425" s="30">
        <f t="shared" si="6"/>
        <v>0</v>
      </c>
    </row>
    <row r="426" spans="3:3">
      <c r="C426" s="30">
        <f t="shared" si="6"/>
        <v>0</v>
      </c>
    </row>
    <row r="427" spans="3:3">
      <c r="C427" s="30">
        <f t="shared" si="6"/>
        <v>0</v>
      </c>
    </row>
    <row r="428" spans="3:3">
      <c r="C428" s="30">
        <f t="shared" si="6"/>
        <v>0</v>
      </c>
    </row>
    <row r="429" spans="3:3">
      <c r="C429" s="30">
        <f t="shared" si="6"/>
        <v>0</v>
      </c>
    </row>
    <row r="430" spans="3:3">
      <c r="C430" s="30">
        <f t="shared" si="6"/>
        <v>0</v>
      </c>
    </row>
    <row r="431" spans="3:3">
      <c r="C431" s="30">
        <f t="shared" si="6"/>
        <v>0</v>
      </c>
    </row>
    <row r="432" spans="3:3">
      <c r="C432" s="30">
        <f t="shared" si="6"/>
        <v>0</v>
      </c>
    </row>
    <row r="433" spans="3:3">
      <c r="C433" s="30">
        <f t="shared" si="6"/>
        <v>0</v>
      </c>
    </row>
    <row r="434" spans="3:3">
      <c r="C434" s="30">
        <f t="shared" si="6"/>
        <v>0</v>
      </c>
    </row>
    <row r="435" spans="3:3">
      <c r="C435" s="30">
        <f t="shared" si="6"/>
        <v>0</v>
      </c>
    </row>
    <row r="436" spans="3:3">
      <c r="C436" s="30">
        <f t="shared" si="6"/>
        <v>0</v>
      </c>
    </row>
    <row r="437" spans="3:3">
      <c r="C437" s="30">
        <f t="shared" si="6"/>
        <v>0</v>
      </c>
    </row>
    <row r="438" spans="3:3">
      <c r="C438" s="30">
        <f t="shared" si="6"/>
        <v>0</v>
      </c>
    </row>
    <row r="439" spans="3:3">
      <c r="C439" s="30">
        <f t="shared" si="6"/>
        <v>0</v>
      </c>
    </row>
    <row r="440" spans="3:3">
      <c r="C440" s="30">
        <f t="shared" si="6"/>
        <v>0</v>
      </c>
    </row>
    <row r="441" spans="3:3">
      <c r="C441" s="30">
        <f t="shared" si="6"/>
        <v>0</v>
      </c>
    </row>
    <row r="442" spans="3:3">
      <c r="C442" s="30">
        <f t="shared" si="6"/>
        <v>0</v>
      </c>
    </row>
    <row r="443" spans="3:3">
      <c r="C443" s="30">
        <f t="shared" si="6"/>
        <v>0</v>
      </c>
    </row>
    <row r="444" spans="3:3">
      <c r="C444" s="30">
        <f t="shared" si="6"/>
        <v>0</v>
      </c>
    </row>
    <row r="445" spans="3:3">
      <c r="C445" s="30">
        <f t="shared" si="6"/>
        <v>0</v>
      </c>
    </row>
    <row r="446" spans="3:3">
      <c r="C446" s="30">
        <f t="shared" si="6"/>
        <v>0</v>
      </c>
    </row>
    <row r="447" spans="3:3">
      <c r="C447" s="30">
        <f t="shared" si="6"/>
        <v>0</v>
      </c>
    </row>
    <row r="448" spans="3:3">
      <c r="C448" s="30">
        <f t="shared" si="6"/>
        <v>0</v>
      </c>
    </row>
    <row r="449" spans="3:3">
      <c r="C449" s="30">
        <f t="shared" si="6"/>
        <v>0</v>
      </c>
    </row>
    <row r="450" spans="3:3">
      <c r="C450" s="30">
        <f t="shared" si="6"/>
        <v>0</v>
      </c>
    </row>
    <row r="451" spans="3:3">
      <c r="C451" s="30">
        <f>B450</f>
        <v>0</v>
      </c>
    </row>
    <row r="452" spans="3:3">
      <c r="C452" s="30">
        <f t="shared" si="6"/>
        <v>0</v>
      </c>
    </row>
  </sheetData>
  <mergeCells count="6">
    <mergeCell ref="A2:A4"/>
    <mergeCell ref="B2:D2"/>
    <mergeCell ref="A69:A71"/>
    <mergeCell ref="B69:D69"/>
    <mergeCell ref="A134:A136"/>
    <mergeCell ref="B134:D134"/>
  </mergeCells>
  <pageMargins left="0.7" right="0.7" top="0.75" bottom="0.75" header="0.3" footer="0.3"/>
  <pageSetup paperSize="9" orientation="portrait" horizontalDpi="4294967295" verticalDpi="4294967295" r:id="rId1"/>
  <legacy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Лист23"/>
  <dimension ref="A1:G452"/>
  <sheetViews>
    <sheetView topLeftCell="A277" workbookViewId="0">
      <selection activeCell="E228" sqref="E228"/>
    </sheetView>
  </sheetViews>
  <sheetFormatPr defaultColWidth="8.7109375" defaultRowHeight="15"/>
  <cols>
    <col min="1" max="1" width="19.7109375" customWidth="1"/>
    <col min="2" max="2" width="17.140625" customWidth="1"/>
    <col min="3" max="3" width="9.140625"/>
    <col min="4" max="4" width="16.140625" customWidth="1"/>
    <col min="5" max="5" width="15" customWidth="1"/>
    <col min="6" max="6" width="16.42578125" style="36" customWidth="1"/>
    <col min="7" max="7" width="17.140625" style="36" customWidth="1"/>
  </cols>
  <sheetData>
    <row r="1" spans="1:7" ht="15.75" thickBot="1">
      <c r="D1" s="13">
        <v>0.1</v>
      </c>
      <c r="E1" s="13">
        <v>0.4</v>
      </c>
    </row>
    <row r="2" spans="1:7" ht="23.25" customHeight="1" thickBot="1">
      <c r="A2" s="464" t="s">
        <v>0</v>
      </c>
      <c r="B2" s="467" t="s">
        <v>1</v>
      </c>
      <c r="C2" s="468"/>
      <c r="D2" s="469"/>
      <c r="E2" s="19">
        <f>(1-E57)^(1/3)-1</f>
        <v>-2.8587260202745157E-2</v>
      </c>
      <c r="F2" s="19">
        <f>(1-F57)^(1/3)-1</f>
        <v>-3.1337216240459931E-2</v>
      </c>
      <c r="G2" s="19"/>
    </row>
    <row r="3" spans="1:7" ht="47.25" customHeight="1" thickBot="1">
      <c r="A3" s="465"/>
      <c r="B3" s="1" t="s">
        <v>4</v>
      </c>
      <c r="C3" s="1"/>
      <c r="D3" s="1" t="s">
        <v>80</v>
      </c>
      <c r="E3" s="1" t="s">
        <v>5</v>
      </c>
      <c r="F3" s="37" t="s">
        <v>5</v>
      </c>
      <c r="G3" s="37"/>
    </row>
    <row r="4" spans="1:7" ht="16.149999999999999" customHeight="1" thickBot="1">
      <c r="A4" s="466"/>
      <c r="B4" s="1" t="s">
        <v>6</v>
      </c>
      <c r="C4" s="1"/>
      <c r="D4" s="1" t="s">
        <v>7</v>
      </c>
      <c r="E4" s="1" t="s">
        <v>7</v>
      </c>
      <c r="F4" s="37" t="s">
        <v>7</v>
      </c>
      <c r="G4" s="37"/>
    </row>
    <row r="5" spans="1:7">
      <c r="A5" s="50">
        <v>1</v>
      </c>
      <c r="B5" s="51">
        <v>2</v>
      </c>
      <c r="C5" s="51"/>
      <c r="D5" s="51">
        <v>3</v>
      </c>
      <c r="E5" s="51">
        <v>4</v>
      </c>
      <c r="F5" s="52">
        <v>5</v>
      </c>
      <c r="G5" s="52"/>
    </row>
    <row r="6" spans="1:7">
      <c r="A6" s="27" t="s">
        <v>10</v>
      </c>
      <c r="B6" s="30">
        <v>6.14</v>
      </c>
      <c r="C6" s="30">
        <v>0</v>
      </c>
      <c r="D6" s="14">
        <v>0</v>
      </c>
      <c r="E6" s="14">
        <v>0</v>
      </c>
      <c r="F6" s="38">
        <v>0</v>
      </c>
      <c r="G6" s="38">
        <v>2.2801302931596042E-3</v>
      </c>
    </row>
    <row r="7" spans="1:7">
      <c r="A7" s="27" t="s">
        <v>58</v>
      </c>
      <c r="B7" s="30">
        <v>6.93</v>
      </c>
      <c r="C7" s="30">
        <f>B6</f>
        <v>6.14</v>
      </c>
      <c r="D7" s="14">
        <v>0</v>
      </c>
      <c r="E7" s="14">
        <v>0</v>
      </c>
      <c r="F7" s="38">
        <v>0</v>
      </c>
      <c r="G7" s="38">
        <v>1.3419913419913417E-2</v>
      </c>
    </row>
    <row r="8" spans="1:7">
      <c r="A8" s="27" t="s">
        <v>59</v>
      </c>
      <c r="B8" s="30">
        <v>7.56</v>
      </c>
      <c r="C8" s="30">
        <f t="shared" ref="C8:C56" si="0">B7</f>
        <v>6.93</v>
      </c>
      <c r="D8" s="14">
        <v>0</v>
      </c>
      <c r="E8" s="14">
        <v>0</v>
      </c>
      <c r="F8" s="38">
        <v>0</v>
      </c>
      <c r="G8" s="38">
        <v>2.0634920634920631E-2</v>
      </c>
    </row>
    <row r="9" spans="1:7">
      <c r="A9" s="27" t="s">
        <v>60</v>
      </c>
      <c r="B9" s="30">
        <v>8.33</v>
      </c>
      <c r="C9" s="30">
        <f t="shared" si="0"/>
        <v>7.56</v>
      </c>
      <c r="D9" s="14">
        <v>0</v>
      </c>
      <c r="E9" s="14">
        <v>0</v>
      </c>
      <c r="F9" s="38">
        <v>0</v>
      </c>
      <c r="G9" s="38">
        <v>2.7971188475390159E-2</v>
      </c>
    </row>
    <row r="10" spans="1:7">
      <c r="A10" s="27" t="s">
        <v>61</v>
      </c>
      <c r="B10" s="30">
        <v>8.82</v>
      </c>
      <c r="C10" s="30">
        <f t="shared" si="0"/>
        <v>8.33</v>
      </c>
      <c r="D10" s="14">
        <v>0</v>
      </c>
      <c r="E10" s="14">
        <v>0</v>
      </c>
      <c r="F10" s="38">
        <v>0</v>
      </c>
      <c r="G10" s="38">
        <v>3.1972789115646258E-2</v>
      </c>
    </row>
    <row r="11" spans="1:7">
      <c r="A11" s="27" t="s">
        <v>62</v>
      </c>
      <c r="B11" s="30">
        <v>9.67</v>
      </c>
      <c r="C11" s="30">
        <f t="shared" si="0"/>
        <v>8.82</v>
      </c>
      <c r="D11" s="14">
        <v>0</v>
      </c>
      <c r="E11" s="14">
        <v>0</v>
      </c>
      <c r="F11" s="38">
        <v>0</v>
      </c>
      <c r="G11" s="38">
        <v>3.795243019648397E-2</v>
      </c>
    </row>
    <row r="12" spans="1:7">
      <c r="A12" s="27" t="s">
        <v>63</v>
      </c>
      <c r="B12" s="30">
        <v>10.41</v>
      </c>
      <c r="C12" s="30">
        <f t="shared" si="0"/>
        <v>9.67</v>
      </c>
      <c r="D12" s="14">
        <v>0</v>
      </c>
      <c r="E12" s="14">
        <v>0</v>
      </c>
      <c r="F12" s="38">
        <v>0</v>
      </c>
      <c r="G12" s="38">
        <v>5.4178674351585021E-2</v>
      </c>
    </row>
    <row r="13" spans="1:7">
      <c r="A13" s="29" t="s">
        <v>11</v>
      </c>
      <c r="B13" s="30">
        <v>11</v>
      </c>
      <c r="C13" s="30">
        <f t="shared" si="0"/>
        <v>10.41</v>
      </c>
      <c r="D13" s="14">
        <v>0</v>
      </c>
      <c r="E13" s="14">
        <v>0</v>
      </c>
      <c r="F13" s="38">
        <v>0</v>
      </c>
      <c r="G13" s="38">
        <v>7.2727272727272738E-2</v>
      </c>
    </row>
    <row r="14" spans="1:7">
      <c r="A14" s="29" t="s">
        <v>12</v>
      </c>
      <c r="B14" s="30">
        <v>11.78</v>
      </c>
      <c r="C14" s="30">
        <f t="shared" si="0"/>
        <v>11</v>
      </c>
      <c r="D14" s="14">
        <v>0</v>
      </c>
      <c r="E14" s="14">
        <v>0</v>
      </c>
      <c r="F14" s="38">
        <v>0</v>
      </c>
      <c r="G14" s="38">
        <v>9.4397283531409137E-2</v>
      </c>
    </row>
    <row r="15" spans="1:7">
      <c r="A15" s="29" t="s">
        <v>13</v>
      </c>
      <c r="B15" s="30">
        <v>12.38</v>
      </c>
      <c r="C15" s="30">
        <f t="shared" si="0"/>
        <v>11.78</v>
      </c>
      <c r="D15" s="14">
        <v>0</v>
      </c>
      <c r="E15" s="14">
        <v>0</v>
      </c>
      <c r="F15" s="38">
        <v>0</v>
      </c>
      <c r="G15" s="38">
        <v>0.10920840064620357</v>
      </c>
    </row>
    <row r="16" spans="1:7">
      <c r="A16" s="29" t="s">
        <v>14</v>
      </c>
      <c r="B16" s="30">
        <v>12.88</v>
      </c>
      <c r="C16" s="30">
        <f t="shared" si="0"/>
        <v>12.38</v>
      </c>
      <c r="D16" s="14">
        <v>0</v>
      </c>
      <c r="E16" s="14">
        <v>0</v>
      </c>
      <c r="F16" s="38">
        <v>0</v>
      </c>
      <c r="G16" s="38">
        <v>0.12049689440993792</v>
      </c>
    </row>
    <row r="17" spans="1:7">
      <c r="A17" s="29" t="s">
        <v>15</v>
      </c>
      <c r="B17" s="30">
        <v>13.57</v>
      </c>
      <c r="C17" s="30">
        <f t="shared" si="0"/>
        <v>12.88</v>
      </c>
      <c r="D17" s="14">
        <v>0</v>
      </c>
      <c r="E17" s="14">
        <v>0</v>
      </c>
      <c r="F17" s="38">
        <v>0</v>
      </c>
      <c r="G17" s="38">
        <v>0.13470891672807667</v>
      </c>
    </row>
    <row r="18" spans="1:7">
      <c r="A18" s="29" t="s">
        <v>16</v>
      </c>
      <c r="B18" s="30">
        <v>14.55</v>
      </c>
      <c r="C18" s="30">
        <f t="shared" si="0"/>
        <v>13.57</v>
      </c>
      <c r="D18" s="14">
        <v>0</v>
      </c>
      <c r="E18" s="14">
        <v>0</v>
      </c>
      <c r="F18" s="38">
        <v>0</v>
      </c>
      <c r="G18" s="38">
        <v>0.15257731958762888</v>
      </c>
    </row>
    <row r="19" spans="1:7">
      <c r="A19" s="29" t="s">
        <v>17</v>
      </c>
      <c r="B19" s="30">
        <v>15.25</v>
      </c>
      <c r="C19" s="30">
        <f t="shared" si="0"/>
        <v>14.55</v>
      </c>
      <c r="D19" s="14">
        <v>0</v>
      </c>
      <c r="E19" s="14">
        <v>0</v>
      </c>
      <c r="F19" s="38">
        <v>0</v>
      </c>
      <c r="G19" s="38">
        <v>0.16393442622950818</v>
      </c>
    </row>
    <row r="20" spans="1:7">
      <c r="A20" s="29" t="s">
        <v>18</v>
      </c>
      <c r="B20" s="30">
        <v>16.21</v>
      </c>
      <c r="C20" s="30">
        <f t="shared" si="0"/>
        <v>15.25</v>
      </c>
      <c r="D20" s="14">
        <v>0</v>
      </c>
      <c r="E20" s="14">
        <v>0</v>
      </c>
      <c r="F20" s="38">
        <v>0</v>
      </c>
      <c r="G20" s="38">
        <v>0.17791486736582357</v>
      </c>
    </row>
    <row r="21" spans="1:7">
      <c r="A21" s="29" t="s">
        <v>19</v>
      </c>
      <c r="B21" s="30">
        <v>17.059999999999999</v>
      </c>
      <c r="C21" s="30">
        <f t="shared" si="0"/>
        <v>16.21</v>
      </c>
      <c r="D21" s="14">
        <v>0</v>
      </c>
      <c r="E21" s="14">
        <v>0</v>
      </c>
      <c r="F21" s="38">
        <v>4.3962485345837808E-4</v>
      </c>
      <c r="G21" s="38">
        <v>0.18898007033997655</v>
      </c>
    </row>
    <row r="22" spans="1:7">
      <c r="A22" s="29" t="s">
        <v>20</v>
      </c>
      <c r="B22" s="30">
        <v>17.760000000000002</v>
      </c>
      <c r="C22" s="30">
        <f t="shared" si="0"/>
        <v>17.059999999999999</v>
      </c>
      <c r="D22" s="14">
        <v>0</v>
      </c>
      <c r="E22" s="14">
        <v>0</v>
      </c>
      <c r="F22" s="38">
        <v>4.3637387387387505E-3</v>
      </c>
      <c r="G22" s="38">
        <v>0.19729729729729734</v>
      </c>
    </row>
    <row r="23" spans="1:7">
      <c r="A23" s="29" t="s">
        <v>21</v>
      </c>
      <c r="B23" s="30">
        <v>18.88</v>
      </c>
      <c r="C23" s="30">
        <f t="shared" si="0"/>
        <v>17.760000000000002</v>
      </c>
      <c r="D23" s="14">
        <v>3.816472457627134E-2</v>
      </c>
      <c r="E23" s="14"/>
      <c r="F23" s="38">
        <v>1.003707627118644E-2</v>
      </c>
      <c r="G23" s="38">
        <v>0.20932203389830506</v>
      </c>
    </row>
    <row r="24" spans="1:7">
      <c r="A24" s="29" t="s">
        <v>22</v>
      </c>
      <c r="B24" s="30">
        <v>19.77</v>
      </c>
      <c r="C24" s="30">
        <f t="shared" si="0"/>
        <v>18.88</v>
      </c>
      <c r="D24" s="14">
        <v>8.1464339908953132E-2</v>
      </c>
      <c r="E24" s="14"/>
      <c r="F24" s="38">
        <v>1.4087000505816896E-2</v>
      </c>
      <c r="G24" s="38">
        <v>0.21790591805766313</v>
      </c>
    </row>
    <row r="25" spans="1:7">
      <c r="A25" s="29" t="s">
        <v>23</v>
      </c>
      <c r="B25" s="30">
        <v>20.61</v>
      </c>
      <c r="C25" s="30">
        <f t="shared" si="0"/>
        <v>19.77</v>
      </c>
      <c r="D25" s="14">
        <v>0.11890101892285315</v>
      </c>
      <c r="E25" s="14">
        <v>1.1890101892285315E-2</v>
      </c>
      <c r="F25" s="38">
        <v>1.7588549247937898E-2</v>
      </c>
      <c r="G25" s="38">
        <v>0.22532751091703057</v>
      </c>
    </row>
    <row r="26" spans="1:7">
      <c r="A26" s="29" t="s">
        <v>24</v>
      </c>
      <c r="B26" s="30">
        <v>21.55</v>
      </c>
      <c r="C26" s="30">
        <f t="shared" si="0"/>
        <v>20.61</v>
      </c>
      <c r="D26" s="14">
        <v>0.15733410672853848</v>
      </c>
      <c r="E26" s="14">
        <v>1.5733410672853852E-2</v>
      </c>
      <c r="F26" s="38">
        <v>2.1183294663573091E-2</v>
      </c>
      <c r="G26" s="38">
        <v>0.23294663573085847</v>
      </c>
    </row>
    <row r="27" spans="1:7">
      <c r="A27" s="29" t="s">
        <v>25</v>
      </c>
      <c r="B27" s="30">
        <v>22.59</v>
      </c>
      <c r="C27" s="30">
        <f t="shared" si="0"/>
        <v>21.55</v>
      </c>
      <c r="D27" s="14">
        <v>0.19612881806108914</v>
      </c>
      <c r="E27" s="14">
        <v>1.9612881806108918E-2</v>
      </c>
      <c r="F27" s="38">
        <v>2.4811863656485175E-2</v>
      </c>
      <c r="G27" s="38">
        <v>0.24063745019920321</v>
      </c>
    </row>
    <row r="28" spans="1:7">
      <c r="A28" s="29" t="s">
        <v>26</v>
      </c>
      <c r="B28" s="30">
        <v>23.67</v>
      </c>
      <c r="C28" s="30">
        <f t="shared" si="0"/>
        <v>22.59</v>
      </c>
      <c r="D28" s="14">
        <v>0.23280735107731326</v>
      </c>
      <c r="E28" s="14">
        <v>2.3280735107731331E-2</v>
      </c>
      <c r="F28" s="38">
        <v>2.8242501056189282E-2</v>
      </c>
      <c r="G28" s="38">
        <v>0.24790874524714832</v>
      </c>
    </row>
    <row r="29" spans="1:7">
      <c r="A29" s="29" t="s">
        <v>27</v>
      </c>
      <c r="B29" s="30">
        <v>24.96</v>
      </c>
      <c r="C29" s="30">
        <f t="shared" si="0"/>
        <v>23.67</v>
      </c>
      <c r="D29" s="14">
        <v>0.27245793269230789</v>
      </c>
      <c r="E29" s="14">
        <v>2.7245793269230788E-2</v>
      </c>
      <c r="F29" s="38">
        <v>3.1951121794871799E-2</v>
      </c>
      <c r="G29" s="38">
        <v>0.2557692307692308</v>
      </c>
    </row>
    <row r="30" spans="1:7">
      <c r="A30" s="29" t="s">
        <v>28</v>
      </c>
      <c r="B30" s="30">
        <v>25.67</v>
      </c>
      <c r="C30" s="30">
        <f t="shared" si="0"/>
        <v>24.96</v>
      </c>
      <c r="D30" s="14">
        <v>0.29258083365796672</v>
      </c>
      <c r="E30" s="14">
        <v>2.9258083365796671E-2</v>
      </c>
      <c r="F30" s="38">
        <v>3.3833268406700437E-2</v>
      </c>
      <c r="G30" s="38">
        <v>0.25975847292559412</v>
      </c>
    </row>
    <row r="31" spans="1:7">
      <c r="A31" s="29" t="s">
        <v>29</v>
      </c>
      <c r="B31" s="30">
        <v>27.01</v>
      </c>
      <c r="C31" s="30">
        <f t="shared" si="0"/>
        <v>25.67</v>
      </c>
      <c r="D31" s="14">
        <v>0.3276767863754167</v>
      </c>
      <c r="E31" s="14">
        <v>3.2767678637541674E-2</v>
      </c>
      <c r="F31" s="38">
        <v>3.7115883006293968E-2</v>
      </c>
      <c r="G31" s="38">
        <v>0.2667160310995928</v>
      </c>
    </row>
    <row r="32" spans="1:7">
      <c r="A32" s="29" t="s">
        <v>30</v>
      </c>
      <c r="B32" s="30">
        <v>28.33</v>
      </c>
      <c r="C32" s="30">
        <f t="shared" si="0"/>
        <v>27.01</v>
      </c>
      <c r="D32" s="14">
        <v>0.3590028238616309</v>
      </c>
      <c r="E32" s="14">
        <v>3.5900282386163086E-2</v>
      </c>
      <c r="F32" s="38">
        <v>4.0275326509001036E-2</v>
      </c>
      <c r="G32" s="38">
        <v>0.27292622661489591</v>
      </c>
    </row>
    <row r="33" spans="1:7">
      <c r="A33" s="29" t="s">
        <v>31</v>
      </c>
      <c r="B33" s="30">
        <v>29.52</v>
      </c>
      <c r="C33" s="30">
        <f t="shared" si="0"/>
        <v>28.33</v>
      </c>
      <c r="D33" s="14">
        <v>0.38484247967479684</v>
      </c>
      <c r="E33" s="14">
        <v>3.8484247967479693E-2</v>
      </c>
      <c r="F33" s="38">
        <v>5.4776422764227638E-2</v>
      </c>
      <c r="G33" s="38">
        <v>0.2780487804878049</v>
      </c>
    </row>
    <row r="34" spans="1:7">
      <c r="A34" s="29" t="s">
        <v>32</v>
      </c>
      <c r="B34" s="30">
        <v>30.8</v>
      </c>
      <c r="C34" s="30">
        <f t="shared" si="0"/>
        <v>29.52</v>
      </c>
      <c r="D34" s="14">
        <v>0.41040746753246765</v>
      </c>
      <c r="E34" s="14">
        <v>4.6244480519480574E-2</v>
      </c>
      <c r="F34" s="38">
        <v>6.9123376623376642E-2</v>
      </c>
      <c r="G34" s="38">
        <v>0.28311688311688316</v>
      </c>
    </row>
    <row r="35" spans="1:7">
      <c r="A35" s="29" t="s">
        <v>33</v>
      </c>
      <c r="B35" s="30">
        <v>32.200000000000003</v>
      </c>
      <c r="C35" s="30">
        <f t="shared" si="0"/>
        <v>30.8</v>
      </c>
      <c r="D35" s="14">
        <v>0.4360419254658387</v>
      </c>
      <c r="E35" s="14">
        <v>6.1625155279503178E-2</v>
      </c>
      <c r="F35" s="38">
        <v>8.3509316770186359E-2</v>
      </c>
      <c r="G35" s="38">
        <v>0.28819875776397519</v>
      </c>
    </row>
    <row r="36" spans="1:7">
      <c r="A36" s="29" t="s">
        <v>34</v>
      </c>
      <c r="B36" s="30">
        <v>33.78</v>
      </c>
      <c r="C36" s="30">
        <f t="shared" si="0"/>
        <v>32.200000000000003</v>
      </c>
      <c r="D36" s="14">
        <v>0.46242007104795751</v>
      </c>
      <c r="E36" s="14">
        <v>7.7452042628774476E-2</v>
      </c>
      <c r="F36" s="38">
        <v>9.831261101243341E-2</v>
      </c>
      <c r="G36" s="38">
        <v>0.29342806394316162</v>
      </c>
    </row>
    <row r="37" spans="1:7">
      <c r="A37" s="29" t="s">
        <v>35</v>
      </c>
      <c r="B37" s="30">
        <v>35.270000000000003</v>
      </c>
      <c r="C37" s="30">
        <f t="shared" si="0"/>
        <v>33.78</v>
      </c>
      <c r="D37" s="14">
        <v>0.48513042245534466</v>
      </c>
      <c r="E37" s="14">
        <v>9.1078253473206763E-2</v>
      </c>
      <c r="F37" s="38">
        <v>0.11105755599659771</v>
      </c>
      <c r="G37" s="38">
        <v>0.29793025233909842</v>
      </c>
    </row>
    <row r="38" spans="1:7">
      <c r="A38" s="29" t="s">
        <v>36</v>
      </c>
      <c r="B38" s="30">
        <v>36.75</v>
      </c>
      <c r="C38" s="30">
        <f t="shared" si="0"/>
        <v>35.270000000000003</v>
      </c>
      <c r="D38" s="14">
        <v>0.50586530612244907</v>
      </c>
      <c r="E38" s="14">
        <v>0.10351918367346943</v>
      </c>
      <c r="F38" s="38">
        <v>0.12269387755102042</v>
      </c>
      <c r="G38" s="38">
        <v>0.30204081632653063</v>
      </c>
    </row>
    <row r="39" spans="1:7">
      <c r="A39" s="29" t="s">
        <v>37</v>
      </c>
      <c r="B39" s="30">
        <v>37.979999999999997</v>
      </c>
      <c r="C39" s="30">
        <f t="shared" si="0"/>
        <v>36.75</v>
      </c>
      <c r="D39" s="14">
        <v>0.52186808846761457</v>
      </c>
      <c r="E39" s="14">
        <v>0.11312085308056874</v>
      </c>
      <c r="F39" s="38">
        <v>0.13167456556082149</v>
      </c>
      <c r="G39" s="38">
        <v>0.30521327014218014</v>
      </c>
    </row>
    <row r="40" spans="1:7">
      <c r="A40" s="29" t="s">
        <v>38</v>
      </c>
      <c r="B40" s="30">
        <v>39.64</v>
      </c>
      <c r="C40" s="30">
        <f t="shared" si="0"/>
        <v>37.979999999999997</v>
      </c>
      <c r="D40" s="14">
        <v>0.54189076690211913</v>
      </c>
      <c r="E40" s="14">
        <v>0.1251344601412715</v>
      </c>
      <c r="F40" s="38">
        <v>0.14291120080726538</v>
      </c>
      <c r="G40" s="38">
        <v>0.30918264379414739</v>
      </c>
    </row>
    <row r="41" spans="1:7">
      <c r="A41" s="29" t="s">
        <v>39</v>
      </c>
      <c r="B41" s="30">
        <v>41.64</v>
      </c>
      <c r="C41" s="30">
        <f t="shared" si="0"/>
        <v>39.64</v>
      </c>
      <c r="D41" s="14">
        <v>0.56389409221902032</v>
      </c>
      <c r="E41" s="14">
        <v>0.13833645533141214</v>
      </c>
      <c r="F41" s="38">
        <v>0.15525936599423631</v>
      </c>
      <c r="G41" s="38">
        <v>0.31354466858789626</v>
      </c>
    </row>
    <row r="42" spans="1:7">
      <c r="A42" s="29" t="s">
        <v>40</v>
      </c>
      <c r="B42" s="30">
        <v>43.97</v>
      </c>
      <c r="C42" s="30">
        <f t="shared" si="0"/>
        <v>41.64</v>
      </c>
      <c r="D42" s="14">
        <v>0.58700363884466689</v>
      </c>
      <c r="E42" s="14">
        <v>0.1522021833068001</v>
      </c>
      <c r="F42" s="38">
        <v>0.16822833750284286</v>
      </c>
      <c r="G42" s="38">
        <v>0.31812599499658861</v>
      </c>
    </row>
    <row r="43" spans="1:7">
      <c r="A43" s="29" t="s">
        <v>41</v>
      </c>
      <c r="B43" s="30">
        <v>46.38</v>
      </c>
      <c r="C43" s="30">
        <f t="shared" si="0"/>
        <v>43.97</v>
      </c>
      <c r="D43" s="14">
        <v>0.60846377749029767</v>
      </c>
      <c r="E43" s="14">
        <v>0.16507826649417856</v>
      </c>
      <c r="F43" s="38">
        <v>0.18027166882276843</v>
      </c>
      <c r="G43" s="38">
        <v>0.32238033635187585</v>
      </c>
    </row>
    <row r="44" spans="1:7">
      <c r="A44" s="29" t="s">
        <v>42</v>
      </c>
      <c r="B44" s="30">
        <v>49.15</v>
      </c>
      <c r="C44" s="30">
        <f t="shared" si="0"/>
        <v>46.38</v>
      </c>
      <c r="D44" s="14">
        <v>0.63053001017294008</v>
      </c>
      <c r="E44" s="14">
        <v>0.17831800610376403</v>
      </c>
      <c r="F44" s="38">
        <v>0.19265513733468972</v>
      </c>
      <c r="G44" s="38">
        <v>0.32675483214649031</v>
      </c>
    </row>
    <row r="45" spans="1:7">
      <c r="A45" s="29" t="s">
        <v>43</v>
      </c>
      <c r="B45" s="30">
        <v>51.85</v>
      </c>
      <c r="C45" s="30">
        <f t="shared" si="0"/>
        <v>49.15</v>
      </c>
      <c r="D45" s="14">
        <v>0.64976952748312444</v>
      </c>
      <c r="E45" s="14">
        <v>0.18986171648987468</v>
      </c>
      <c r="F45" s="38">
        <v>0.20345226615236262</v>
      </c>
      <c r="G45" s="38">
        <v>0.33056894889103183</v>
      </c>
    </row>
    <row r="46" spans="1:7">
      <c r="A46" s="29" t="s">
        <v>44</v>
      </c>
      <c r="B46" s="30">
        <v>55</v>
      </c>
      <c r="C46" s="30">
        <f t="shared" si="0"/>
        <v>51.85</v>
      </c>
      <c r="D46" s="14">
        <v>0.66982818181818193</v>
      </c>
      <c r="E46" s="14">
        <v>0.20189690909090913</v>
      </c>
      <c r="F46" s="38">
        <v>0.21470909090909093</v>
      </c>
      <c r="G46" s="38">
        <v>0.33454545454545453</v>
      </c>
    </row>
    <row r="47" spans="1:7">
      <c r="A47" s="29" t="s">
        <v>45</v>
      </c>
      <c r="B47" s="30">
        <v>58.51</v>
      </c>
      <c r="C47" s="30">
        <f t="shared" si="0"/>
        <v>55</v>
      </c>
      <c r="D47" s="14">
        <v>0.68963510511023751</v>
      </c>
      <c r="E47" s="14">
        <v>0.21378106306614256</v>
      </c>
      <c r="F47" s="38">
        <v>0.22582464535976757</v>
      </c>
      <c r="G47" s="38">
        <v>0.33847205605879338</v>
      </c>
    </row>
    <row r="48" spans="1:7">
      <c r="A48" s="29" t="s">
        <v>46</v>
      </c>
      <c r="B48" s="30">
        <v>60.68</v>
      </c>
      <c r="C48" s="30">
        <f t="shared" si="0"/>
        <v>58.51</v>
      </c>
      <c r="D48" s="14">
        <v>0.70073417930125248</v>
      </c>
      <c r="E48" s="14">
        <v>0.22044050758075151</v>
      </c>
      <c r="F48" s="38">
        <v>0.23205339485827292</v>
      </c>
      <c r="G48" s="38">
        <v>0.34067237969676994</v>
      </c>
    </row>
    <row r="49" spans="1:7">
      <c r="A49" s="29" t="s">
        <v>47</v>
      </c>
      <c r="B49" s="30">
        <v>63.42</v>
      </c>
      <c r="C49" s="30">
        <f t="shared" si="0"/>
        <v>60.68</v>
      </c>
      <c r="D49" s="14">
        <v>0.71366367076631987</v>
      </c>
      <c r="E49" s="14">
        <v>0.22819820245979192</v>
      </c>
      <c r="F49" s="38">
        <v>0.23930936613055817</v>
      </c>
      <c r="G49" s="38">
        <v>0.34323557237464525</v>
      </c>
    </row>
    <row r="50" spans="1:7">
      <c r="A50" s="29" t="s">
        <v>48</v>
      </c>
      <c r="B50" s="30">
        <v>68.53</v>
      </c>
      <c r="C50" s="30">
        <f t="shared" si="0"/>
        <v>63.42</v>
      </c>
      <c r="D50" s="14">
        <v>0.73501459214942377</v>
      </c>
      <c r="E50" s="14">
        <v>0.24100875528965421</v>
      </c>
      <c r="F50" s="38">
        <v>0.25129140522398946</v>
      </c>
      <c r="G50" s="38">
        <v>0.34746826207500364</v>
      </c>
    </row>
    <row r="51" spans="1:7">
      <c r="A51" s="29" t="s">
        <v>49</v>
      </c>
      <c r="B51" s="30">
        <v>73.17</v>
      </c>
      <c r="C51" s="30">
        <f t="shared" si="0"/>
        <v>68.53</v>
      </c>
      <c r="D51" s="14">
        <v>0.75181836818368197</v>
      </c>
      <c r="E51" s="14">
        <v>0.25109102091020918</v>
      </c>
      <c r="F51" s="38">
        <v>0.26072160721607213</v>
      </c>
      <c r="G51" s="38">
        <v>0.35079950799507992</v>
      </c>
    </row>
    <row r="52" spans="1:7">
      <c r="A52" s="29" t="s">
        <v>50</v>
      </c>
      <c r="B52" s="30">
        <v>79.930000000000007</v>
      </c>
      <c r="C52" s="30">
        <f t="shared" si="0"/>
        <v>73.17</v>
      </c>
      <c r="D52" s="14">
        <v>0.77280808207181295</v>
      </c>
      <c r="E52" s="14">
        <v>0.26368484924308777</v>
      </c>
      <c r="F52" s="38">
        <v>0.27250093832103095</v>
      </c>
      <c r="G52" s="38">
        <v>0.35496059051670215</v>
      </c>
    </row>
    <row r="53" spans="1:7">
      <c r="A53" s="29" t="s">
        <v>51</v>
      </c>
      <c r="B53" s="30">
        <v>87.36</v>
      </c>
      <c r="C53" s="30">
        <f t="shared" si="0"/>
        <v>79.930000000000007</v>
      </c>
      <c r="D53" s="14">
        <v>0.79213083791208805</v>
      </c>
      <c r="E53" s="14">
        <v>0.27527850274725274</v>
      </c>
      <c r="F53" s="38">
        <v>0.28334478021978021</v>
      </c>
      <c r="G53" s="38">
        <v>0.35879120879120879</v>
      </c>
    </row>
    <row r="54" spans="1:7">
      <c r="A54" s="29" t="s">
        <v>52</v>
      </c>
      <c r="B54" s="30">
        <v>95.49</v>
      </c>
      <c r="C54" s="30">
        <f t="shared" si="0"/>
        <v>87.36</v>
      </c>
      <c r="D54" s="14">
        <v>0.80982877788250085</v>
      </c>
      <c r="E54" s="14">
        <v>0.2858972667295005</v>
      </c>
      <c r="F54" s="38">
        <v>0.29327678290920511</v>
      </c>
      <c r="G54" s="38">
        <v>0.36229971724787935</v>
      </c>
    </row>
    <row r="55" spans="1:7">
      <c r="A55" s="29" t="s">
        <v>53</v>
      </c>
      <c r="B55" s="30">
        <v>106.08</v>
      </c>
      <c r="C55" s="30">
        <f>B54</f>
        <v>95.49</v>
      </c>
      <c r="D55" s="14">
        <v>0.82881363122171947</v>
      </c>
      <c r="E55" s="14">
        <v>0.29728817873303165</v>
      </c>
      <c r="F55" s="38">
        <v>0.3039309954751131</v>
      </c>
      <c r="G55" s="38">
        <v>0.36606334841628962</v>
      </c>
    </row>
    <row r="56" spans="1:7">
      <c r="A56" s="29" t="s">
        <v>53</v>
      </c>
      <c r="B56" s="31" t="s">
        <v>120</v>
      </c>
      <c r="C56" s="30">
        <f t="shared" si="0"/>
        <v>106.08</v>
      </c>
      <c r="D56" s="11"/>
      <c r="E56" s="11"/>
      <c r="F56" s="39"/>
      <c r="G56" s="39"/>
    </row>
    <row r="57" spans="1:7">
      <c r="A57" s="29"/>
      <c r="B57" s="31"/>
      <c r="C57" s="31"/>
      <c r="D57" s="11"/>
      <c r="E57" s="32">
        <v>8.3333448678527003E-2</v>
      </c>
      <c r="F57" s="40">
        <v>9.1096359164519261E-2</v>
      </c>
      <c r="G57" s="40">
        <v>0.22991426794830491</v>
      </c>
    </row>
    <row r="58" spans="1:7" ht="25.5" customHeight="1">
      <c r="A58" s="33" t="s">
        <v>114</v>
      </c>
      <c r="B58" s="162">
        <v>10</v>
      </c>
      <c r="C58" s="31"/>
      <c r="D58" s="11"/>
      <c r="E58" s="163">
        <v>30.265749999999997</v>
      </c>
      <c r="F58" s="164">
        <v>28.308333333333334</v>
      </c>
      <c r="G58" s="165">
        <v>10</v>
      </c>
    </row>
    <row r="59" spans="1:7" ht="24">
      <c r="A59" s="33" t="s">
        <v>56</v>
      </c>
      <c r="B59" s="162">
        <v>34.299999999999997</v>
      </c>
      <c r="C59" s="31"/>
      <c r="D59" s="11"/>
      <c r="E59" s="11"/>
      <c r="F59" s="39"/>
      <c r="G59" s="39"/>
    </row>
    <row r="60" spans="1:7" ht="36">
      <c r="A60" s="166" t="s">
        <v>57</v>
      </c>
      <c r="B60" s="57">
        <v>20.6</v>
      </c>
      <c r="C60" s="29"/>
      <c r="D60" s="11"/>
      <c r="E60" s="57">
        <v>18.159449999999996</v>
      </c>
      <c r="F60" s="167">
        <v>16.984999999999999</v>
      </c>
      <c r="G60" s="167">
        <v>6</v>
      </c>
    </row>
    <row r="62" spans="1:7" ht="26.25" customHeight="1">
      <c r="A62" s="33" t="s">
        <v>56</v>
      </c>
      <c r="B62">
        <f>B59</f>
        <v>34.299999999999997</v>
      </c>
    </row>
    <row r="63" spans="1:7">
      <c r="A63" s="16" t="s">
        <v>64</v>
      </c>
      <c r="B63" s="17">
        <f>AVERAGE(B11:B50)</f>
        <v>30.265749999999997</v>
      </c>
      <c r="C63" s="17"/>
    </row>
    <row r="64" spans="1:7">
      <c r="A64" s="16" t="s">
        <v>65</v>
      </c>
      <c r="B64" s="18">
        <f>AVERAGE(B16:B45)</f>
        <v>28.308333333333334</v>
      </c>
      <c r="C64" s="18"/>
    </row>
    <row r="65" spans="1:7">
      <c r="A65" s="16" t="s">
        <v>66</v>
      </c>
      <c r="B65" s="18">
        <f>AVERAGE(B22:B40)</f>
        <v>27.723157894736836</v>
      </c>
      <c r="C65" s="18"/>
    </row>
    <row r="69" spans="1:7" ht="18" customHeight="1">
      <c r="A69" s="470" t="s">
        <v>0</v>
      </c>
      <c r="B69" s="473" t="s">
        <v>2</v>
      </c>
      <c r="C69" s="473"/>
      <c r="D69" s="473"/>
      <c r="E69" s="49">
        <f>(1-E124)^(1/3)-1</f>
        <v>-2.3618420463528578E-2</v>
      </c>
      <c r="F69" s="49">
        <f>(1-F124)^(1/3)-1</f>
        <v>-2.4797237151033102E-2</v>
      </c>
      <c r="G69" s="49"/>
    </row>
    <row r="70" spans="1:7" ht="48">
      <c r="A70" s="471"/>
      <c r="B70" s="57" t="s">
        <v>4</v>
      </c>
      <c r="C70" s="11"/>
      <c r="D70" s="57" t="s">
        <v>80</v>
      </c>
      <c r="E70" s="11" t="s">
        <v>5</v>
      </c>
      <c r="F70" s="39" t="s">
        <v>5</v>
      </c>
      <c r="G70" s="39"/>
    </row>
    <row r="71" spans="1:7">
      <c r="A71" s="472"/>
      <c r="B71" s="11" t="s">
        <v>8</v>
      </c>
      <c r="C71" s="11"/>
      <c r="D71" s="11" t="s">
        <v>7</v>
      </c>
      <c r="E71" s="11" t="s">
        <v>7</v>
      </c>
      <c r="F71" s="39" t="s">
        <v>7</v>
      </c>
      <c r="G71" s="39"/>
    </row>
    <row r="72" spans="1:7">
      <c r="A72" s="50">
        <v>1</v>
      </c>
      <c r="B72" s="51">
        <v>2</v>
      </c>
      <c r="C72" s="51"/>
      <c r="D72" s="51">
        <v>3</v>
      </c>
      <c r="E72" s="51">
        <v>4</v>
      </c>
      <c r="F72" s="52">
        <v>5</v>
      </c>
      <c r="G72" s="52"/>
    </row>
    <row r="73" spans="1:7">
      <c r="A73" s="27" t="s">
        <v>10</v>
      </c>
      <c r="B73" s="153">
        <v>25.07</v>
      </c>
      <c r="C73" s="253">
        <v>0</v>
      </c>
      <c r="D73" s="14">
        <v>0</v>
      </c>
      <c r="E73" s="14">
        <v>0</v>
      </c>
      <c r="F73" s="38">
        <v>0</v>
      </c>
      <c r="G73" s="38">
        <v>3.8492221779018759E-2</v>
      </c>
    </row>
    <row r="74" spans="1:7">
      <c r="A74" s="27" t="s">
        <v>58</v>
      </c>
      <c r="B74" s="153">
        <v>26.87</v>
      </c>
      <c r="C74" s="30">
        <f>B73</f>
        <v>25.07</v>
      </c>
      <c r="D74" s="14">
        <v>0</v>
      </c>
      <c r="E74" s="14">
        <v>0</v>
      </c>
      <c r="F74" s="38">
        <v>0</v>
      </c>
      <c r="G74" s="38">
        <v>5.567547450688503E-2</v>
      </c>
    </row>
    <row r="75" spans="1:7">
      <c r="A75" s="27" t="s">
        <v>59</v>
      </c>
      <c r="B75" s="153">
        <v>28.05</v>
      </c>
      <c r="C75" s="30">
        <f t="shared" ref="C75:C123" si="1">B74</f>
        <v>26.87</v>
      </c>
      <c r="D75" s="14">
        <v>0</v>
      </c>
      <c r="E75" s="14">
        <v>0</v>
      </c>
      <c r="F75" s="38">
        <v>0</v>
      </c>
      <c r="G75" s="38">
        <v>7.0160427807486658E-2</v>
      </c>
    </row>
    <row r="76" spans="1:7">
      <c r="A76" s="27" t="s">
        <v>60</v>
      </c>
      <c r="B76" s="153">
        <v>29.18</v>
      </c>
      <c r="C76" s="30">
        <f t="shared" si="1"/>
        <v>28.05</v>
      </c>
      <c r="D76" s="14">
        <v>0</v>
      </c>
      <c r="E76" s="14">
        <v>0</v>
      </c>
      <c r="F76" s="38">
        <v>0</v>
      </c>
      <c r="G76" s="38">
        <v>8.2933516106922581E-2</v>
      </c>
    </row>
    <row r="77" spans="1:7">
      <c r="A77" s="27" t="s">
        <v>61</v>
      </c>
      <c r="B77" s="153">
        <v>30.9</v>
      </c>
      <c r="C77" s="30">
        <f t="shared" si="1"/>
        <v>29.18</v>
      </c>
      <c r="D77" s="14">
        <v>0</v>
      </c>
      <c r="E77" s="14">
        <v>0</v>
      </c>
      <c r="F77" s="38">
        <v>0</v>
      </c>
      <c r="G77" s="38">
        <v>0.10058252427184465</v>
      </c>
    </row>
    <row r="78" spans="1:7">
      <c r="A78" s="27" t="s">
        <v>62</v>
      </c>
      <c r="B78" s="153">
        <v>32.19</v>
      </c>
      <c r="C78" s="30">
        <f t="shared" si="1"/>
        <v>30.9</v>
      </c>
      <c r="D78" s="14">
        <v>0</v>
      </c>
      <c r="E78" s="14">
        <v>0</v>
      </c>
      <c r="F78" s="38">
        <v>0</v>
      </c>
      <c r="G78" s="38">
        <v>0.11258154706430568</v>
      </c>
    </row>
    <row r="79" spans="1:7">
      <c r="A79" s="27" t="s">
        <v>63</v>
      </c>
      <c r="B79" s="153">
        <v>33.229999999999997</v>
      </c>
      <c r="C79" s="30">
        <f t="shared" si="1"/>
        <v>32.19</v>
      </c>
      <c r="D79" s="14">
        <v>0</v>
      </c>
      <c r="E79" s="14">
        <v>0</v>
      </c>
      <c r="F79" s="38">
        <v>1.9891664158892823E-3</v>
      </c>
      <c r="G79" s="38">
        <v>0.12157688835389707</v>
      </c>
    </row>
    <row r="80" spans="1:7">
      <c r="A80" s="29" t="s">
        <v>11</v>
      </c>
      <c r="B80" s="153">
        <v>34.42</v>
      </c>
      <c r="C80" s="30">
        <f t="shared" si="1"/>
        <v>33.229999999999997</v>
      </c>
      <c r="D80" s="14">
        <v>3.2783265543288968E-2</v>
      </c>
      <c r="E80" s="14"/>
      <c r="F80" s="38">
        <v>5.3776873910517534E-3</v>
      </c>
      <c r="G80" s="38">
        <v>0.13120278907611857</v>
      </c>
    </row>
    <row r="81" spans="1:7">
      <c r="A81" s="29" t="s">
        <v>12</v>
      </c>
      <c r="B81" s="153">
        <v>35.79</v>
      </c>
      <c r="C81" s="30">
        <f t="shared" si="1"/>
        <v>34.42</v>
      </c>
      <c r="D81" s="14">
        <v>6.980720871751897E-2</v>
      </c>
      <c r="E81" s="14"/>
      <c r="F81" s="38">
        <v>8.9997205923442614E-3</v>
      </c>
      <c r="G81" s="38">
        <v>0.14149203688181058</v>
      </c>
    </row>
    <row r="82" spans="1:7">
      <c r="A82" s="29" t="s">
        <v>13</v>
      </c>
      <c r="B82" s="153">
        <v>36.729999999999997</v>
      </c>
      <c r="C82" s="30">
        <f t="shared" si="1"/>
        <v>35.79</v>
      </c>
      <c r="D82" s="14">
        <v>9.3612850530901223E-2</v>
      </c>
      <c r="E82" s="14"/>
      <c r="F82" s="38">
        <v>1.1328614211815979E-2</v>
      </c>
      <c r="G82" s="38">
        <v>0.14810781377620474</v>
      </c>
    </row>
    <row r="83" spans="1:7">
      <c r="A83" s="29" t="s">
        <v>14</v>
      </c>
      <c r="B83" s="153">
        <v>37.65</v>
      </c>
      <c r="C83" s="30">
        <f t="shared" si="1"/>
        <v>36.729999999999997</v>
      </c>
      <c r="D83" s="14">
        <v>0.1157609561752989</v>
      </c>
      <c r="E83" s="14">
        <v>1.157609561752989E-2</v>
      </c>
      <c r="F83" s="38">
        <v>1.3495351925630837E-2</v>
      </c>
      <c r="G83" s="38">
        <v>0.15426294820717135</v>
      </c>
    </row>
    <row r="84" spans="1:7">
      <c r="A84" s="29" t="s">
        <v>15</v>
      </c>
      <c r="B84" s="153">
        <v>38.78</v>
      </c>
      <c r="C84" s="30">
        <f t="shared" si="1"/>
        <v>37.65</v>
      </c>
      <c r="D84" s="14">
        <v>0.14152656008251691</v>
      </c>
      <c r="E84" s="14">
        <v>1.4152656008251691E-2</v>
      </c>
      <c r="F84" s="38">
        <v>1.601598762248585E-2</v>
      </c>
      <c r="G84" s="38">
        <v>0.1614234141309954</v>
      </c>
    </row>
    <row r="85" spans="1:7">
      <c r="A85" s="29" t="s">
        <v>16</v>
      </c>
      <c r="B85" s="153">
        <v>39.909999999999997</v>
      </c>
      <c r="C85" s="30">
        <f t="shared" si="1"/>
        <v>38.78</v>
      </c>
      <c r="D85" s="14">
        <v>0.16583312453019297</v>
      </c>
      <c r="E85" s="14">
        <v>1.6583312453019299E-2</v>
      </c>
      <c r="F85" s="38">
        <v>1.8393886244049133E-2</v>
      </c>
      <c r="G85" s="38">
        <v>0.16817840140315712</v>
      </c>
    </row>
    <row r="86" spans="1:7">
      <c r="A86" s="29" t="s">
        <v>17</v>
      </c>
      <c r="B86" s="153">
        <v>40.950000000000003</v>
      </c>
      <c r="C86" s="30">
        <f t="shared" si="1"/>
        <v>39.909999999999997</v>
      </c>
      <c r="D86" s="14">
        <v>0.18701831501831517</v>
      </c>
      <c r="E86" s="14">
        <v>1.8701831501831519E-2</v>
      </c>
      <c r="F86" s="38">
        <v>2.0466422466422503E-2</v>
      </c>
      <c r="G86" s="38">
        <v>0.1740659340659341</v>
      </c>
    </row>
    <row r="87" spans="1:7">
      <c r="A87" s="29" t="s">
        <v>18</v>
      </c>
      <c r="B87" s="153">
        <v>41.65</v>
      </c>
      <c r="C87" s="30">
        <f t="shared" si="1"/>
        <v>40.950000000000003</v>
      </c>
      <c r="D87" s="14">
        <v>0.20068187274909971</v>
      </c>
      <c r="E87" s="14">
        <v>2.0068187274909974E-2</v>
      </c>
      <c r="F87" s="38">
        <v>2.1803121248499424E-2</v>
      </c>
      <c r="G87" s="38">
        <v>0.17786314525810326</v>
      </c>
    </row>
    <row r="88" spans="1:7">
      <c r="A88" s="29" t="s">
        <v>19</v>
      </c>
      <c r="B88" s="153">
        <v>43.07</v>
      </c>
      <c r="C88" s="30">
        <f t="shared" si="1"/>
        <v>41.65</v>
      </c>
      <c r="D88" s="14">
        <v>0.22703505920594391</v>
      </c>
      <c r="E88" s="14">
        <v>2.2703505920594391E-2</v>
      </c>
      <c r="F88" s="38">
        <v>2.438123984211751E-2</v>
      </c>
      <c r="G88" s="38">
        <v>0.18518690503830976</v>
      </c>
    </row>
    <row r="89" spans="1:7">
      <c r="A89" s="29" t="s">
        <v>20</v>
      </c>
      <c r="B89" s="153">
        <v>44.32</v>
      </c>
      <c r="C89" s="30">
        <f t="shared" si="1"/>
        <v>43.07</v>
      </c>
      <c r="D89" s="14">
        <v>0.24883574007220227</v>
      </c>
      <c r="E89" s="14">
        <v>2.4883574007220226E-2</v>
      </c>
      <c r="F89" s="38">
        <v>2.6513989169675116E-2</v>
      </c>
      <c r="G89" s="38">
        <v>0.19124548736462096</v>
      </c>
    </row>
    <row r="90" spans="1:7">
      <c r="A90" s="29" t="s">
        <v>21</v>
      </c>
      <c r="B90" s="153">
        <v>45.44</v>
      </c>
      <c r="C90" s="30">
        <f t="shared" si="1"/>
        <v>44.32</v>
      </c>
      <c r="D90" s="14">
        <v>0.2673503521126761</v>
      </c>
      <c r="E90" s="14">
        <v>2.6735035211267615E-2</v>
      </c>
      <c r="F90" s="38">
        <v>2.8325264084507067E-2</v>
      </c>
      <c r="G90" s="38">
        <v>0.19639084507042254</v>
      </c>
    </row>
    <row r="91" spans="1:7">
      <c r="A91" s="29" t="s">
        <v>22</v>
      </c>
      <c r="B91" s="153">
        <v>46.61</v>
      </c>
      <c r="C91" s="30">
        <f t="shared" si="1"/>
        <v>45.44</v>
      </c>
      <c r="D91" s="14">
        <v>0.28574125724093552</v>
      </c>
      <c r="E91" s="14">
        <v>2.8574125724093555E-2</v>
      </c>
      <c r="F91" s="38">
        <v>3.0124436816133904E-2</v>
      </c>
      <c r="G91" s="38">
        <v>0.2015018236429951</v>
      </c>
    </row>
    <row r="92" spans="1:7">
      <c r="A92" s="29" t="s">
        <v>23</v>
      </c>
      <c r="B92" s="153">
        <v>47.23</v>
      </c>
      <c r="C92" s="30">
        <f t="shared" si="1"/>
        <v>46.61</v>
      </c>
      <c r="D92" s="14">
        <v>0.29511751005716713</v>
      </c>
      <c r="E92" s="14">
        <v>2.9511751005716711E-2</v>
      </c>
      <c r="F92" s="38">
        <v>3.1041710777048506E-2</v>
      </c>
      <c r="G92" s="38">
        <v>0.20410755875502862</v>
      </c>
    </row>
    <row r="93" spans="1:7">
      <c r="A93" s="29" t="s">
        <v>24</v>
      </c>
      <c r="B93" s="153">
        <v>48.02</v>
      </c>
      <c r="C93" s="30">
        <f t="shared" si="1"/>
        <v>47.23</v>
      </c>
      <c r="D93" s="14">
        <v>0.30671386922115801</v>
      </c>
      <c r="E93" s="14">
        <v>3.0671386922115799E-2</v>
      </c>
      <c r="F93" s="38">
        <v>3.2176176593086241E-2</v>
      </c>
      <c r="G93" s="38">
        <v>0.20733027905039572</v>
      </c>
    </row>
    <row r="94" spans="1:7">
      <c r="A94" s="29" t="s">
        <v>25</v>
      </c>
      <c r="B94" s="153">
        <v>48.84</v>
      </c>
      <c r="C94" s="30">
        <f t="shared" si="1"/>
        <v>48.02</v>
      </c>
      <c r="D94" s="14">
        <v>0.3183538083538085</v>
      </c>
      <c r="E94" s="14">
        <v>3.1835380835380851E-2</v>
      </c>
      <c r="F94" s="38">
        <v>3.3314905814905843E-2</v>
      </c>
      <c r="G94" s="38">
        <v>0.2105651105651106</v>
      </c>
    </row>
    <row r="95" spans="1:7">
      <c r="A95" s="29" t="s">
        <v>26</v>
      </c>
      <c r="B95" s="153">
        <v>49.91</v>
      </c>
      <c r="C95" s="30">
        <f t="shared" si="1"/>
        <v>48.84</v>
      </c>
      <c r="D95" s="14">
        <v>0.33296734121418559</v>
      </c>
      <c r="E95" s="14">
        <v>3.3296734121418557E-2</v>
      </c>
      <c r="F95" s="38">
        <v>3.4744540172310177E-2</v>
      </c>
      <c r="G95" s="38">
        <v>0.21462632738930076</v>
      </c>
    </row>
    <row r="96" spans="1:7">
      <c r="A96" s="29" t="s">
        <v>27</v>
      </c>
      <c r="B96" s="153">
        <v>51.03</v>
      </c>
      <c r="C96" s="30">
        <f t="shared" si="1"/>
        <v>49.91</v>
      </c>
      <c r="D96" s="14">
        <v>0.34760728982951217</v>
      </c>
      <c r="E96" s="14">
        <v>3.4760728982951218E-2</v>
      </c>
      <c r="F96" s="38">
        <v>3.6176758769351391E-2</v>
      </c>
      <c r="G96" s="38">
        <v>0.21869488536155207</v>
      </c>
    </row>
    <row r="97" spans="1:7">
      <c r="A97" s="29" t="s">
        <v>28</v>
      </c>
      <c r="B97" s="153">
        <v>52.47</v>
      </c>
      <c r="C97" s="30">
        <f t="shared" si="1"/>
        <v>51.03</v>
      </c>
      <c r="D97" s="14">
        <v>0.36551172098341916</v>
      </c>
      <c r="E97" s="14">
        <v>3.6551172098341918E-2</v>
      </c>
      <c r="F97" s="38">
        <v>3.7928340003811727E-2</v>
      </c>
      <c r="G97" s="38">
        <v>0.22367066895368784</v>
      </c>
    </row>
    <row r="98" spans="1:7">
      <c r="A98" s="29" t="s">
        <v>29</v>
      </c>
      <c r="B98" s="153">
        <v>53.55</v>
      </c>
      <c r="C98" s="30">
        <f t="shared" si="1"/>
        <v>52.47</v>
      </c>
      <c r="D98" s="14">
        <v>0.3783081232492998</v>
      </c>
      <c r="E98" s="14">
        <v>3.7830812324929977E-2</v>
      </c>
      <c r="F98" s="38">
        <v>3.9180205415499554E-2</v>
      </c>
      <c r="G98" s="38">
        <v>0.22722689075630256</v>
      </c>
    </row>
    <row r="99" spans="1:7">
      <c r="A99" s="29" t="s">
        <v>30</v>
      </c>
      <c r="B99" s="153">
        <v>54.09</v>
      </c>
      <c r="C99" s="30">
        <f t="shared" si="1"/>
        <v>53.55</v>
      </c>
      <c r="D99" s="14">
        <v>0.38451469772601232</v>
      </c>
      <c r="E99" s="14">
        <v>3.8451469772601235E-2</v>
      </c>
      <c r="F99" s="38">
        <v>3.9787391384729184E-2</v>
      </c>
      <c r="G99" s="38">
        <v>0.22895174708818639</v>
      </c>
    </row>
    <row r="100" spans="1:7">
      <c r="A100" s="29" t="s">
        <v>31</v>
      </c>
      <c r="B100" s="153">
        <v>55.18</v>
      </c>
      <c r="C100" s="30">
        <f t="shared" si="1"/>
        <v>54.09</v>
      </c>
      <c r="D100" s="14">
        <v>0.39667270750271844</v>
      </c>
      <c r="E100" s="14">
        <v>3.9667270750271842E-2</v>
      </c>
      <c r="F100" s="38">
        <v>4.5860819137368711E-2</v>
      </c>
      <c r="G100" s="38">
        <v>0.2323305545487496</v>
      </c>
    </row>
    <row r="101" spans="1:7">
      <c r="A101" s="29" t="s">
        <v>32</v>
      </c>
      <c r="B101" s="153">
        <v>57.1</v>
      </c>
      <c r="C101" s="30">
        <f t="shared" si="1"/>
        <v>55.18</v>
      </c>
      <c r="D101" s="14">
        <v>0.41695971978984248</v>
      </c>
      <c r="E101" s="14">
        <v>5.0175831873905501E-2</v>
      </c>
      <c r="F101" s="38">
        <v>5.7768826619965082E-2</v>
      </c>
      <c r="G101" s="38">
        <v>0.23796847635726801</v>
      </c>
    </row>
    <row r="102" spans="1:7">
      <c r="A102" s="29" t="s">
        <v>33</v>
      </c>
      <c r="B102" s="153">
        <v>57.99</v>
      </c>
      <c r="C102" s="30">
        <f t="shared" si="1"/>
        <v>57.1</v>
      </c>
      <c r="D102" s="14">
        <v>0.42590791515778592</v>
      </c>
      <c r="E102" s="14">
        <v>5.5544749094671574E-2</v>
      </c>
      <c r="F102" s="38">
        <v>6.302121055354383E-2</v>
      </c>
      <c r="G102" s="38">
        <v>0.24045525090532857</v>
      </c>
    </row>
    <row r="103" spans="1:7">
      <c r="A103" s="29" t="s">
        <v>34</v>
      </c>
      <c r="B103" s="153">
        <v>59.42</v>
      </c>
      <c r="C103" s="30">
        <f t="shared" si="1"/>
        <v>57.99</v>
      </c>
      <c r="D103" s="14">
        <v>0.43972399865365208</v>
      </c>
      <c r="E103" s="14">
        <v>6.3834399192191249E-2</v>
      </c>
      <c r="F103" s="38">
        <v>7.1130932346011547E-2</v>
      </c>
      <c r="G103" s="38">
        <v>0.24429485021878156</v>
      </c>
    </row>
    <row r="104" spans="1:7">
      <c r="A104" s="29" t="s">
        <v>35</v>
      </c>
      <c r="B104" s="153">
        <v>61.93</v>
      </c>
      <c r="C104" s="30">
        <f t="shared" si="1"/>
        <v>59.42</v>
      </c>
      <c r="D104" s="14">
        <v>0.46243177781366068</v>
      </c>
      <c r="E104" s="14">
        <v>7.745906668819641E-2</v>
      </c>
      <c r="F104" s="38">
        <v>8.4459874051348402E-2</v>
      </c>
      <c r="G104" s="38">
        <v>0.25060552236395939</v>
      </c>
    </row>
    <row r="105" spans="1:7">
      <c r="A105" s="29" t="s">
        <v>36</v>
      </c>
      <c r="B105" s="153">
        <v>63.5</v>
      </c>
      <c r="C105" s="30">
        <f t="shared" si="1"/>
        <v>61.93</v>
      </c>
      <c r="D105" s="14">
        <v>0.47572283464566939</v>
      </c>
      <c r="E105" s="14">
        <v>8.5433700787401631E-2</v>
      </c>
      <c r="F105" s="38">
        <v>9.2261417322834743E-2</v>
      </c>
      <c r="G105" s="38">
        <v>0.25429921259842519</v>
      </c>
    </row>
    <row r="106" spans="1:7">
      <c r="A106" s="29" t="s">
        <v>37</v>
      </c>
      <c r="B106" s="153">
        <v>64.81</v>
      </c>
      <c r="C106" s="30">
        <f t="shared" si="1"/>
        <v>63.5</v>
      </c>
      <c r="D106" s="14">
        <v>0.4863200123437742</v>
      </c>
      <c r="E106" s="14">
        <v>9.1792007406264531E-2</v>
      </c>
      <c r="F106" s="38">
        <v>9.8481715784601243E-2</v>
      </c>
      <c r="G106" s="38">
        <v>0.25724425243018051</v>
      </c>
    </row>
    <row r="107" spans="1:7">
      <c r="A107" s="29" t="s">
        <v>38</v>
      </c>
      <c r="B107" s="153">
        <v>66.239999999999995</v>
      </c>
      <c r="C107" s="30">
        <f t="shared" si="1"/>
        <v>64.81</v>
      </c>
      <c r="D107" s="14">
        <v>0.49740942028985508</v>
      </c>
      <c r="E107" s="14">
        <v>9.8445652173913087E-2</v>
      </c>
      <c r="F107" s="38">
        <v>0.10499094202898558</v>
      </c>
      <c r="G107" s="38">
        <v>0.26032608695652171</v>
      </c>
    </row>
    <row r="108" spans="1:7">
      <c r="A108" s="29" t="s">
        <v>39</v>
      </c>
      <c r="B108" s="153">
        <v>68.13</v>
      </c>
      <c r="C108" s="30">
        <f t="shared" si="1"/>
        <v>66.239999999999995</v>
      </c>
      <c r="D108" s="14">
        <v>0.51135182738881557</v>
      </c>
      <c r="E108" s="14">
        <v>0.10681109643328934</v>
      </c>
      <c r="F108" s="38">
        <v>0.11317481285777198</v>
      </c>
      <c r="G108" s="38">
        <v>0.26420079260237778</v>
      </c>
    </row>
    <row r="109" spans="1:7">
      <c r="A109" s="29" t="s">
        <v>40</v>
      </c>
      <c r="B109" s="153">
        <v>70.34</v>
      </c>
      <c r="C109" s="30">
        <f t="shared" si="1"/>
        <v>68.13</v>
      </c>
      <c r="D109" s="14">
        <v>0.52670457776514079</v>
      </c>
      <c r="E109" s="14">
        <v>0.11602274665908452</v>
      </c>
      <c r="F109" s="38">
        <v>0.12218652260449256</v>
      </c>
      <c r="G109" s="38">
        <v>0.26846744384418536</v>
      </c>
    </row>
    <row r="110" spans="1:7">
      <c r="A110" s="29" t="s">
        <v>41</v>
      </c>
      <c r="B110" s="153">
        <v>72</v>
      </c>
      <c r="C110" s="30">
        <f t="shared" si="1"/>
        <v>70.34</v>
      </c>
      <c r="D110" s="14">
        <v>0.53761666666666674</v>
      </c>
      <c r="E110" s="14">
        <v>0.12257000000000007</v>
      </c>
      <c r="F110" s="38">
        <v>0.12859166666666677</v>
      </c>
      <c r="G110" s="38">
        <v>0.27149999999999996</v>
      </c>
    </row>
    <row r="111" spans="1:7">
      <c r="A111" s="29" t="s">
        <v>42</v>
      </c>
      <c r="B111" s="153">
        <v>72.97</v>
      </c>
      <c r="C111" s="30">
        <f t="shared" si="1"/>
        <v>72</v>
      </c>
      <c r="D111" s="14">
        <v>0.54376319035219955</v>
      </c>
      <c r="E111" s="14">
        <v>0.12625791421131977</v>
      </c>
      <c r="F111" s="38">
        <v>0.13219953405509119</v>
      </c>
      <c r="G111" s="38">
        <v>0.27320816774016715</v>
      </c>
    </row>
    <row r="112" spans="1:7">
      <c r="A112" s="29" t="s">
        <v>43</v>
      </c>
      <c r="B112" s="153">
        <v>75.319999999999993</v>
      </c>
      <c r="C112" s="30">
        <f t="shared" si="1"/>
        <v>72.97</v>
      </c>
      <c r="D112" s="14">
        <v>0.55799787573021775</v>
      </c>
      <c r="E112" s="14">
        <v>0.13479872543813065</v>
      </c>
      <c r="F112" s="38">
        <v>0.14055496548061608</v>
      </c>
      <c r="G112" s="38">
        <v>0.27716409984067975</v>
      </c>
    </row>
    <row r="113" spans="1:7">
      <c r="A113" s="29" t="s">
        <v>44</v>
      </c>
      <c r="B113" s="153">
        <v>78.48</v>
      </c>
      <c r="C113" s="30">
        <f t="shared" si="1"/>
        <v>75.319999999999993</v>
      </c>
      <c r="D113" s="14">
        <v>0.57579510703363923</v>
      </c>
      <c r="E113" s="14">
        <v>0.14547706422018358</v>
      </c>
      <c r="F113" s="38">
        <v>0.15100152905198785</v>
      </c>
      <c r="G113" s="38">
        <v>0.28211009174311924</v>
      </c>
    </row>
    <row r="114" spans="1:7">
      <c r="A114" s="29" t="s">
        <v>45</v>
      </c>
      <c r="B114" s="153">
        <v>80.930000000000007</v>
      </c>
      <c r="C114" s="30">
        <f t="shared" si="1"/>
        <v>78.48</v>
      </c>
      <c r="D114" s="14">
        <v>0.58863709378475237</v>
      </c>
      <c r="E114" s="14">
        <v>0.15318225627085144</v>
      </c>
      <c r="F114" s="38">
        <v>0.1585394785617201</v>
      </c>
      <c r="G114" s="38">
        <v>0.2856789818361547</v>
      </c>
    </row>
    <row r="115" spans="1:7">
      <c r="A115" s="29" t="s">
        <v>46</v>
      </c>
      <c r="B115" s="153">
        <v>83.47</v>
      </c>
      <c r="C115" s="30">
        <f t="shared" si="1"/>
        <v>80.930000000000007</v>
      </c>
      <c r="D115" s="14">
        <v>0.60115490595423515</v>
      </c>
      <c r="E115" s="14">
        <v>0.16069294357254107</v>
      </c>
      <c r="F115" s="38">
        <v>0.16588714508206548</v>
      </c>
      <c r="G115" s="38">
        <v>0.2891577812387684</v>
      </c>
    </row>
    <row r="116" spans="1:7">
      <c r="A116" s="29" t="s">
        <v>47</v>
      </c>
      <c r="B116" s="153">
        <v>86.25</v>
      </c>
      <c r="C116" s="30">
        <f t="shared" si="1"/>
        <v>83.47</v>
      </c>
      <c r="D116" s="14">
        <v>0.61401043478260875</v>
      </c>
      <c r="E116" s="14">
        <v>0.16840626086956526</v>
      </c>
      <c r="F116" s="38">
        <v>0.17343304347826094</v>
      </c>
      <c r="G116" s="38">
        <v>0.29273043478260868</v>
      </c>
    </row>
    <row r="117" spans="1:7">
      <c r="A117" s="29" t="s">
        <v>48</v>
      </c>
      <c r="B117" s="153">
        <v>89.5</v>
      </c>
      <c r="C117" s="30">
        <f t="shared" si="1"/>
        <v>86.25</v>
      </c>
      <c r="D117" s="14">
        <v>0.6280268156424581</v>
      </c>
      <c r="E117" s="14">
        <v>0.17681608938547491</v>
      </c>
      <c r="F117" s="38">
        <v>0.18166033519553082</v>
      </c>
      <c r="G117" s="38">
        <v>0.2966256983240223</v>
      </c>
    </row>
    <row r="118" spans="1:7">
      <c r="A118" s="29" t="s">
        <v>49</v>
      </c>
      <c r="B118" s="153">
        <v>91.92</v>
      </c>
      <c r="C118" s="30">
        <f t="shared" si="1"/>
        <v>89.5</v>
      </c>
      <c r="D118" s="14">
        <v>0.63781984334203656</v>
      </c>
      <c r="E118" s="14">
        <v>0.18269190600522198</v>
      </c>
      <c r="F118" s="38">
        <v>0.18740861618798965</v>
      </c>
      <c r="G118" s="38">
        <v>0.29934725848563964</v>
      </c>
    </row>
    <row r="119" spans="1:7">
      <c r="A119" s="29" t="s">
        <v>50</v>
      </c>
      <c r="B119" s="153">
        <v>95.32</v>
      </c>
      <c r="C119" s="30">
        <f t="shared" si="1"/>
        <v>91.92</v>
      </c>
      <c r="D119" s="14">
        <v>0.65073856483424253</v>
      </c>
      <c r="E119" s="14">
        <v>0.19044313890054554</v>
      </c>
      <c r="F119" s="38">
        <v>0.19499160721779277</v>
      </c>
      <c r="G119" s="38">
        <v>0.30293747377255559</v>
      </c>
    </row>
    <row r="120" spans="1:7">
      <c r="A120" s="29" t="s">
        <v>51</v>
      </c>
      <c r="B120" s="153">
        <v>100.57</v>
      </c>
      <c r="C120" s="30">
        <f t="shared" si="1"/>
        <v>95.32</v>
      </c>
      <c r="D120" s="14">
        <v>0.66897086606343847</v>
      </c>
      <c r="E120" s="14">
        <v>0.20138251963806308</v>
      </c>
      <c r="F120" s="38">
        <v>0.20569354678333507</v>
      </c>
      <c r="G120" s="38">
        <v>0.30800437506214573</v>
      </c>
    </row>
    <row r="121" spans="1:7">
      <c r="A121" s="29" t="s">
        <v>52</v>
      </c>
      <c r="B121" s="153">
        <v>104.35</v>
      </c>
      <c r="C121" s="30">
        <f t="shared" si="1"/>
        <v>100.57</v>
      </c>
      <c r="D121" s="14">
        <v>0.68096214662194543</v>
      </c>
      <c r="E121" s="14">
        <v>0.20857728797316727</v>
      </c>
      <c r="F121" s="38">
        <v>0.21273215141351229</v>
      </c>
      <c r="G121" s="38">
        <v>0.31133684714901771</v>
      </c>
    </row>
    <row r="122" spans="1:7">
      <c r="A122" s="29" t="s">
        <v>53</v>
      </c>
      <c r="B122" s="153">
        <v>115.3</v>
      </c>
      <c r="C122" s="30">
        <f>B121</f>
        <v>104.35</v>
      </c>
      <c r="D122" s="14">
        <v>0.71126105810928009</v>
      </c>
      <c r="E122" s="14">
        <v>0.2267566348655681</v>
      </c>
      <c r="F122" s="38">
        <v>0.23051691240242853</v>
      </c>
      <c r="G122" s="38">
        <v>0.31975715524718124</v>
      </c>
    </row>
    <row r="123" spans="1:7">
      <c r="A123" s="29" t="s">
        <v>53</v>
      </c>
      <c r="B123" s="29" t="s">
        <v>121</v>
      </c>
      <c r="C123" s="30">
        <f t="shared" si="1"/>
        <v>115.3</v>
      </c>
      <c r="D123" s="11" t="s">
        <v>81</v>
      </c>
      <c r="E123" s="11"/>
      <c r="F123" s="39"/>
      <c r="G123" s="39"/>
    </row>
    <row r="124" spans="1:7">
      <c r="A124" s="29"/>
      <c r="B124" s="29"/>
      <c r="C124" s="29"/>
      <c r="D124" s="11"/>
      <c r="E124" s="32">
        <v>6.9194947093423345E-2</v>
      </c>
      <c r="F124" s="40">
        <v>7.2562250436905729E-2</v>
      </c>
      <c r="G124" s="40">
        <v>0.21335696839547214</v>
      </c>
    </row>
    <row r="125" spans="1:7" ht="26.25" customHeight="1">
      <c r="A125" s="33" t="s">
        <v>55</v>
      </c>
      <c r="B125" s="57">
        <v>25.7</v>
      </c>
      <c r="C125" s="29"/>
      <c r="D125" s="11"/>
      <c r="E125" s="195">
        <v>55.48599999999999</v>
      </c>
      <c r="F125" s="196">
        <v>54.281666666666652</v>
      </c>
      <c r="G125" s="197">
        <v>25.7</v>
      </c>
    </row>
    <row r="126" spans="1:7" ht="27.75" customHeight="1">
      <c r="A126" s="33" t="s">
        <v>56</v>
      </c>
      <c r="B126" s="57">
        <v>57.8</v>
      </c>
      <c r="C126" s="29"/>
      <c r="D126" s="11"/>
      <c r="E126" s="57"/>
      <c r="F126" s="167"/>
      <c r="G126" s="167"/>
    </row>
    <row r="127" spans="1:7" ht="37.5" customHeight="1">
      <c r="A127" s="35" t="s">
        <v>57</v>
      </c>
      <c r="B127" s="163">
        <v>23.12</v>
      </c>
      <c r="C127" s="29"/>
      <c r="D127" s="11"/>
      <c r="E127" s="195">
        <v>33.291599999999995</v>
      </c>
      <c r="F127" s="196">
        <v>32.568999999999988</v>
      </c>
      <c r="G127" s="196">
        <v>15.419999999999998</v>
      </c>
    </row>
    <row r="129" spans="1:7" ht="29.65" customHeight="1">
      <c r="A129" s="33" t="s">
        <v>56</v>
      </c>
      <c r="B129">
        <f>B126</f>
        <v>57.8</v>
      </c>
    </row>
    <row r="130" spans="1:7">
      <c r="A130" s="16" t="s">
        <v>64</v>
      </c>
      <c r="B130" s="17">
        <f>AVERAGE(B78:B117)</f>
        <v>55.48599999999999</v>
      </c>
      <c r="C130" s="17"/>
    </row>
    <row r="131" spans="1:7">
      <c r="A131" s="16" t="s">
        <v>65</v>
      </c>
      <c r="B131" s="18">
        <f>AVERAGE(B83:B112)</f>
        <v>54.281666666666652</v>
      </c>
      <c r="C131" s="18"/>
    </row>
    <row r="132" spans="1:7">
      <c r="A132" s="16" t="s">
        <v>66</v>
      </c>
      <c r="B132" s="18">
        <f>AVERAGE(B89:B107)</f>
        <v>54.088421052631567</v>
      </c>
      <c r="C132" s="18"/>
    </row>
    <row r="134" spans="1:7">
      <c r="A134" s="473" t="s">
        <v>0</v>
      </c>
      <c r="B134" s="473" t="s">
        <v>78</v>
      </c>
      <c r="C134" s="473"/>
      <c r="D134" s="473"/>
      <c r="E134" s="40">
        <f>(1-E189)^(1/3)-1</f>
        <v>-3.2266531235904505E-2</v>
      </c>
      <c r="F134" s="40">
        <f>(1-F189)^(1/3)-1</f>
        <v>-3.8793218590398637E-2</v>
      </c>
      <c r="G134" s="40"/>
    </row>
    <row r="135" spans="1:7" ht="48">
      <c r="A135" s="473"/>
      <c r="B135" s="11" t="s">
        <v>4</v>
      </c>
      <c r="C135" s="254"/>
      <c r="D135" s="11" t="s">
        <v>80</v>
      </c>
      <c r="E135" s="11" t="s">
        <v>5</v>
      </c>
      <c r="F135" s="39" t="s">
        <v>5</v>
      </c>
      <c r="G135" s="39"/>
    </row>
    <row r="136" spans="1:7">
      <c r="A136" s="473"/>
      <c r="B136" s="11" t="s">
        <v>9</v>
      </c>
      <c r="C136" s="254"/>
      <c r="D136" s="11" t="s">
        <v>7</v>
      </c>
      <c r="E136" s="11" t="s">
        <v>7</v>
      </c>
      <c r="F136" s="39" t="s">
        <v>7</v>
      </c>
      <c r="G136" s="39"/>
    </row>
    <row r="137" spans="1:7">
      <c r="A137" s="171">
        <v>1</v>
      </c>
      <c r="B137" s="172">
        <v>2</v>
      </c>
      <c r="C137" s="51"/>
      <c r="D137" s="172">
        <v>3</v>
      </c>
      <c r="E137" s="172">
        <v>4</v>
      </c>
      <c r="F137" s="173">
        <v>5</v>
      </c>
      <c r="G137" s="173"/>
    </row>
    <row r="138" spans="1:7">
      <c r="A138" s="27" t="s">
        <v>10</v>
      </c>
      <c r="B138" s="174">
        <v>0.01</v>
      </c>
      <c r="C138" s="255">
        <v>0</v>
      </c>
      <c r="D138" s="157">
        <v>0</v>
      </c>
      <c r="E138" s="14">
        <v>0</v>
      </c>
      <c r="F138" s="38">
        <v>0</v>
      </c>
      <c r="G138" s="38">
        <v>0</v>
      </c>
    </row>
    <row r="139" spans="1:7">
      <c r="A139" s="27" t="s">
        <v>58</v>
      </c>
      <c r="B139" s="174">
        <v>0.01</v>
      </c>
      <c r="C139" s="30">
        <f>B138</f>
        <v>0.01</v>
      </c>
      <c r="D139" s="157">
        <v>0</v>
      </c>
      <c r="E139" s="14">
        <v>0</v>
      </c>
      <c r="F139" s="38">
        <v>0</v>
      </c>
      <c r="G139" s="38">
        <v>0</v>
      </c>
    </row>
    <row r="140" spans="1:7">
      <c r="A140" s="27" t="s">
        <v>59</v>
      </c>
      <c r="B140" s="174">
        <v>0.01</v>
      </c>
      <c r="C140" s="30">
        <f t="shared" ref="C140:C188" si="2">B139</f>
        <v>0.01</v>
      </c>
      <c r="D140" s="157">
        <v>0</v>
      </c>
      <c r="E140" s="14">
        <v>0</v>
      </c>
      <c r="F140" s="38">
        <v>0</v>
      </c>
      <c r="G140" s="38">
        <v>0</v>
      </c>
    </row>
    <row r="141" spans="1:7">
      <c r="A141" s="27" t="s">
        <v>60</v>
      </c>
      <c r="B141" s="174">
        <v>0.01</v>
      </c>
      <c r="C141" s="30">
        <f t="shared" si="2"/>
        <v>0.01</v>
      </c>
      <c r="D141" s="157">
        <v>0</v>
      </c>
      <c r="E141" s="14">
        <v>0</v>
      </c>
      <c r="F141" s="38">
        <v>0</v>
      </c>
      <c r="G141" s="38">
        <v>0</v>
      </c>
    </row>
    <row r="142" spans="1:7">
      <c r="A142" s="27" t="s">
        <v>61</v>
      </c>
      <c r="B142" s="174">
        <v>0.01</v>
      </c>
      <c r="C142" s="30">
        <f t="shared" si="2"/>
        <v>0.01</v>
      </c>
      <c r="D142" s="157">
        <v>0</v>
      </c>
      <c r="E142" s="14">
        <v>0</v>
      </c>
      <c r="F142" s="38">
        <v>0</v>
      </c>
      <c r="G142" s="38">
        <v>0</v>
      </c>
    </row>
    <row r="143" spans="1:7">
      <c r="A143" s="27" t="s">
        <v>62</v>
      </c>
      <c r="B143" s="174">
        <v>0.02</v>
      </c>
      <c r="C143" s="30">
        <f t="shared" si="2"/>
        <v>0.01</v>
      </c>
      <c r="D143" s="157">
        <v>0</v>
      </c>
      <c r="E143" s="14">
        <v>0</v>
      </c>
      <c r="F143" s="38">
        <v>0</v>
      </c>
      <c r="G143" s="38">
        <v>0</v>
      </c>
    </row>
    <row r="144" spans="1:7">
      <c r="A144" s="27" t="s">
        <v>63</v>
      </c>
      <c r="B144" s="174">
        <v>0.02</v>
      </c>
      <c r="C144" s="30">
        <f t="shared" si="2"/>
        <v>0.02</v>
      </c>
      <c r="D144" s="157">
        <v>0</v>
      </c>
      <c r="E144" s="14">
        <v>0</v>
      </c>
      <c r="F144" s="38">
        <v>0</v>
      </c>
      <c r="G144" s="38">
        <v>0</v>
      </c>
    </row>
    <row r="145" spans="1:7">
      <c r="A145" s="29" t="s">
        <v>11</v>
      </c>
      <c r="B145" s="174">
        <v>0.02</v>
      </c>
      <c r="C145" s="30">
        <f t="shared" si="2"/>
        <v>0.02</v>
      </c>
      <c r="D145" s="157">
        <v>0</v>
      </c>
      <c r="E145" s="14">
        <v>0</v>
      </c>
      <c r="F145" s="38">
        <v>0</v>
      </c>
      <c r="G145" s="38">
        <v>0</v>
      </c>
    </row>
    <row r="146" spans="1:7">
      <c r="A146" s="29" t="s">
        <v>12</v>
      </c>
      <c r="B146" s="174">
        <v>0.03</v>
      </c>
      <c r="C146" s="30">
        <f t="shared" si="2"/>
        <v>0.02</v>
      </c>
      <c r="D146" s="157">
        <v>0</v>
      </c>
      <c r="E146" s="14">
        <v>0</v>
      </c>
      <c r="F146" s="38">
        <v>0</v>
      </c>
      <c r="G146" s="38">
        <v>0</v>
      </c>
    </row>
    <row r="147" spans="1:7">
      <c r="A147" s="29" t="s">
        <v>13</v>
      </c>
      <c r="B147" s="174">
        <v>0.04</v>
      </c>
      <c r="C147" s="30">
        <f t="shared" si="2"/>
        <v>0.03</v>
      </c>
      <c r="D147" s="157">
        <v>0</v>
      </c>
      <c r="E147" s="14">
        <v>0</v>
      </c>
      <c r="F147" s="38">
        <v>0</v>
      </c>
      <c r="G147" s="38">
        <v>0</v>
      </c>
    </row>
    <row r="148" spans="1:7">
      <c r="A148" s="29" t="s">
        <v>14</v>
      </c>
      <c r="B148" s="174">
        <v>0.06</v>
      </c>
      <c r="C148" s="30">
        <f t="shared" si="2"/>
        <v>0.04</v>
      </c>
      <c r="D148" s="157">
        <v>0</v>
      </c>
      <c r="E148" s="14">
        <v>0</v>
      </c>
      <c r="F148" s="38">
        <v>0</v>
      </c>
      <c r="G148" s="38">
        <v>0</v>
      </c>
    </row>
    <row r="149" spans="1:7">
      <c r="A149" s="29" t="s">
        <v>15</v>
      </c>
      <c r="B149" s="174">
        <v>7.0000000000000007E-2</v>
      </c>
      <c r="C149" s="30">
        <f t="shared" si="2"/>
        <v>0.06</v>
      </c>
      <c r="D149" s="157">
        <v>0</v>
      </c>
      <c r="E149" s="14">
        <v>0</v>
      </c>
      <c r="F149" s="38">
        <v>0</v>
      </c>
      <c r="G149" s="38">
        <v>0</v>
      </c>
    </row>
    <row r="150" spans="1:7">
      <c r="A150" s="29" t="s">
        <v>16</v>
      </c>
      <c r="B150" s="174">
        <v>0.08</v>
      </c>
      <c r="C150" s="30">
        <f t="shared" si="2"/>
        <v>7.0000000000000007E-2</v>
      </c>
      <c r="D150" s="157">
        <v>0</v>
      </c>
      <c r="E150" s="14">
        <v>0</v>
      </c>
      <c r="F150" s="38">
        <v>0</v>
      </c>
      <c r="G150" s="38">
        <v>0</v>
      </c>
    </row>
    <row r="151" spans="1:7">
      <c r="A151" s="29" t="s">
        <v>17</v>
      </c>
      <c r="B151" s="174">
        <v>0.11</v>
      </c>
      <c r="C151" s="30">
        <f t="shared" si="2"/>
        <v>0.08</v>
      </c>
      <c r="D151" s="157">
        <v>0</v>
      </c>
      <c r="E151" s="14">
        <v>0</v>
      </c>
      <c r="F151" s="38">
        <v>0</v>
      </c>
      <c r="G151" s="38">
        <v>0</v>
      </c>
    </row>
    <row r="152" spans="1:7">
      <c r="A152" s="29" t="s">
        <v>18</v>
      </c>
      <c r="B152" s="174">
        <v>0.12</v>
      </c>
      <c r="C152" s="30">
        <f t="shared" si="2"/>
        <v>0.11</v>
      </c>
      <c r="D152" s="157">
        <v>0</v>
      </c>
      <c r="E152" s="14">
        <v>0</v>
      </c>
      <c r="F152" s="38">
        <v>0</v>
      </c>
      <c r="G152" s="38">
        <v>0</v>
      </c>
    </row>
    <row r="153" spans="1:7">
      <c r="A153" s="29" t="s">
        <v>19</v>
      </c>
      <c r="B153" s="174">
        <v>0.15</v>
      </c>
      <c r="C153" s="30">
        <f t="shared" si="2"/>
        <v>0.12</v>
      </c>
      <c r="D153" s="157">
        <v>0</v>
      </c>
      <c r="E153" s="14">
        <v>0</v>
      </c>
      <c r="F153" s="38">
        <v>0</v>
      </c>
      <c r="G153" s="38">
        <v>0</v>
      </c>
    </row>
    <row r="154" spans="1:7">
      <c r="A154" s="29" t="s">
        <v>20</v>
      </c>
      <c r="B154" s="174">
        <v>0.19</v>
      </c>
      <c r="C154" s="30">
        <f t="shared" si="2"/>
        <v>0.15</v>
      </c>
      <c r="D154" s="157">
        <v>0</v>
      </c>
      <c r="E154" s="14">
        <v>0</v>
      </c>
      <c r="F154" s="38">
        <v>0</v>
      </c>
      <c r="G154" s="38">
        <v>0</v>
      </c>
    </row>
    <row r="155" spans="1:7">
      <c r="A155" s="29" t="s">
        <v>21</v>
      </c>
      <c r="B155" s="174">
        <v>0.19</v>
      </c>
      <c r="C155" s="30">
        <f t="shared" si="2"/>
        <v>0.19</v>
      </c>
      <c r="D155" s="157">
        <v>0</v>
      </c>
      <c r="E155" s="14">
        <v>0</v>
      </c>
      <c r="F155" s="38">
        <v>0</v>
      </c>
      <c r="G155" s="38">
        <v>0</v>
      </c>
    </row>
    <row r="156" spans="1:7">
      <c r="A156" s="29" t="s">
        <v>22</v>
      </c>
      <c r="B156" s="174">
        <v>0.23</v>
      </c>
      <c r="C156" s="30">
        <f t="shared" si="2"/>
        <v>0.19</v>
      </c>
      <c r="D156" s="157">
        <v>0</v>
      </c>
      <c r="E156" s="14">
        <v>0</v>
      </c>
      <c r="F156" s="38">
        <v>0</v>
      </c>
      <c r="G156" s="38">
        <v>0</v>
      </c>
    </row>
    <row r="157" spans="1:7">
      <c r="A157" s="29" t="s">
        <v>23</v>
      </c>
      <c r="B157" s="174">
        <v>0.27</v>
      </c>
      <c r="C157" s="30">
        <f t="shared" si="2"/>
        <v>0.23</v>
      </c>
      <c r="D157" s="157">
        <v>0</v>
      </c>
      <c r="E157" s="14">
        <v>0</v>
      </c>
      <c r="F157" s="38">
        <v>0</v>
      </c>
      <c r="G157" s="38">
        <v>0</v>
      </c>
    </row>
    <row r="158" spans="1:7">
      <c r="A158" s="29" t="s">
        <v>24</v>
      </c>
      <c r="B158" s="174">
        <v>0.28999999999999998</v>
      </c>
      <c r="C158" s="30">
        <f t="shared" si="2"/>
        <v>0.27</v>
      </c>
      <c r="D158" s="157">
        <v>0</v>
      </c>
      <c r="E158" s="14">
        <v>0</v>
      </c>
      <c r="F158" s="38">
        <v>0</v>
      </c>
      <c r="G158" s="38">
        <v>0</v>
      </c>
    </row>
    <row r="159" spans="1:7">
      <c r="A159" s="29" t="s">
        <v>25</v>
      </c>
      <c r="B159" s="174">
        <v>0.37</v>
      </c>
      <c r="C159" s="30">
        <f t="shared" si="2"/>
        <v>0.28999999999999998</v>
      </c>
      <c r="D159" s="157">
        <v>0</v>
      </c>
      <c r="E159" s="14">
        <v>0</v>
      </c>
      <c r="F159" s="38">
        <v>0</v>
      </c>
      <c r="G159" s="38">
        <v>0</v>
      </c>
    </row>
    <row r="160" spans="1:7">
      <c r="A160" s="29" t="s">
        <v>26</v>
      </c>
      <c r="B160" s="174">
        <v>0.42</v>
      </c>
      <c r="C160" s="30">
        <f t="shared" si="2"/>
        <v>0.37</v>
      </c>
      <c r="D160" s="157">
        <v>0</v>
      </c>
      <c r="E160" s="14">
        <v>0</v>
      </c>
      <c r="F160" s="38">
        <v>0</v>
      </c>
      <c r="G160" s="38">
        <v>0</v>
      </c>
    </row>
    <row r="161" spans="1:7">
      <c r="A161" s="29" t="s">
        <v>27</v>
      </c>
      <c r="B161" s="174">
        <v>0.44</v>
      </c>
      <c r="C161" s="30">
        <f t="shared" si="2"/>
        <v>0.42</v>
      </c>
      <c r="D161" s="157">
        <v>0</v>
      </c>
      <c r="E161" s="14">
        <v>0</v>
      </c>
      <c r="F161" s="38">
        <v>0</v>
      </c>
      <c r="G161" s="38">
        <v>0</v>
      </c>
    </row>
    <row r="162" spans="1:7">
      <c r="A162" s="29" t="s">
        <v>28</v>
      </c>
      <c r="B162" s="174">
        <v>0.48</v>
      </c>
      <c r="C162" s="30">
        <f t="shared" si="2"/>
        <v>0.44</v>
      </c>
      <c r="D162" s="157">
        <v>0</v>
      </c>
      <c r="E162" s="14">
        <v>0</v>
      </c>
      <c r="F162" s="38">
        <v>5.3333333333333366E-3</v>
      </c>
      <c r="G162" s="38">
        <v>0</v>
      </c>
    </row>
    <row r="163" spans="1:7">
      <c r="A163" s="29" t="s">
        <v>29</v>
      </c>
      <c r="B163" s="174">
        <v>0.51</v>
      </c>
      <c r="C163" s="30">
        <f t="shared" si="2"/>
        <v>0.48</v>
      </c>
      <c r="D163" s="157">
        <v>0</v>
      </c>
      <c r="E163" s="14">
        <v>0</v>
      </c>
      <c r="F163" s="38">
        <v>1.0901960784313734E-2</v>
      </c>
      <c r="G163" s="38">
        <v>0</v>
      </c>
    </row>
    <row r="164" spans="1:7">
      <c r="A164" s="29" t="s">
        <v>30</v>
      </c>
      <c r="B164" s="174">
        <v>0.54</v>
      </c>
      <c r="C164" s="30">
        <f t="shared" si="2"/>
        <v>0.51</v>
      </c>
      <c r="D164" s="157">
        <v>0</v>
      </c>
      <c r="E164" s="14">
        <v>0</v>
      </c>
      <c r="F164" s="38">
        <v>1.5851851851851863E-2</v>
      </c>
      <c r="G164" s="38">
        <v>0</v>
      </c>
    </row>
    <row r="165" spans="1:7">
      <c r="A165" s="29" t="s">
        <v>31</v>
      </c>
      <c r="B165" s="174">
        <v>0.62</v>
      </c>
      <c r="C165" s="30">
        <f t="shared" si="2"/>
        <v>0.54</v>
      </c>
      <c r="D165" s="157">
        <v>0</v>
      </c>
      <c r="E165" s="14">
        <v>0</v>
      </c>
      <c r="F165" s="38">
        <v>2.670967741935484E-2</v>
      </c>
      <c r="G165" s="38">
        <v>0</v>
      </c>
    </row>
    <row r="166" spans="1:7">
      <c r="A166" s="29" t="s">
        <v>32</v>
      </c>
      <c r="B166" s="174">
        <v>0.71</v>
      </c>
      <c r="C166" s="30">
        <f t="shared" si="2"/>
        <v>0.62</v>
      </c>
      <c r="D166" s="157">
        <v>0.12197183098591535</v>
      </c>
      <c r="E166" s="14">
        <v>1.2197183098591536E-2</v>
      </c>
      <c r="F166" s="38">
        <v>3.6000000000000004E-2</v>
      </c>
      <c r="G166" s="38">
        <v>0</v>
      </c>
    </row>
    <row r="167" spans="1:7">
      <c r="A167" s="29" t="s">
        <v>33</v>
      </c>
      <c r="B167" s="174">
        <v>0.76</v>
      </c>
      <c r="C167" s="30">
        <f t="shared" si="2"/>
        <v>0.71</v>
      </c>
      <c r="D167" s="157">
        <v>0.17973684210526308</v>
      </c>
      <c r="E167" s="14">
        <v>1.7973684210526308E-2</v>
      </c>
      <c r="F167" s="38">
        <v>4.126315789473687E-2</v>
      </c>
      <c r="G167" s="38">
        <v>0</v>
      </c>
    </row>
    <row r="168" spans="1:7">
      <c r="A168" s="29" t="s">
        <v>34</v>
      </c>
      <c r="B168" s="174">
        <v>0.8</v>
      </c>
      <c r="C168" s="30">
        <f t="shared" si="2"/>
        <v>0.76</v>
      </c>
      <c r="D168" s="157">
        <v>0.22074999999999997</v>
      </c>
      <c r="E168" s="14">
        <v>2.2074999999999997E-2</v>
      </c>
      <c r="F168" s="38">
        <v>5.9200000000000037E-2</v>
      </c>
      <c r="G168" s="38">
        <v>0</v>
      </c>
    </row>
    <row r="169" spans="1:7">
      <c r="A169" s="29" t="s">
        <v>35</v>
      </c>
      <c r="B169" s="174">
        <v>0.89</v>
      </c>
      <c r="C169" s="30">
        <f t="shared" si="2"/>
        <v>0.8</v>
      </c>
      <c r="D169" s="157">
        <v>0.29955056179775275</v>
      </c>
      <c r="E169" s="14">
        <v>2.9955056179775275E-2</v>
      </c>
      <c r="F169" s="38">
        <v>9.3662921348314623E-2</v>
      </c>
      <c r="G169" s="38">
        <v>0</v>
      </c>
    </row>
    <row r="170" spans="1:7">
      <c r="A170" s="29" t="s">
        <v>36</v>
      </c>
      <c r="B170" s="174">
        <v>1.1200000000000001</v>
      </c>
      <c r="C170" s="30">
        <f t="shared" si="2"/>
        <v>0.89</v>
      </c>
      <c r="D170" s="157">
        <v>0.44339285714285714</v>
      </c>
      <c r="E170" s="14">
        <v>6.6035714285714281E-2</v>
      </c>
      <c r="F170" s="38">
        <v>0.15657142857142861</v>
      </c>
      <c r="G170" s="38">
        <v>0</v>
      </c>
    </row>
    <row r="171" spans="1:7">
      <c r="A171" s="29" t="s">
        <v>37</v>
      </c>
      <c r="B171" s="174">
        <v>1.33</v>
      </c>
      <c r="C171" s="30">
        <f t="shared" si="2"/>
        <v>1.1200000000000001</v>
      </c>
      <c r="D171" s="157">
        <v>0.53127819548872179</v>
      </c>
      <c r="E171" s="14">
        <v>0.11876691729323306</v>
      </c>
      <c r="F171" s="38">
        <v>0.19500751879699249</v>
      </c>
      <c r="G171" s="38">
        <v>0</v>
      </c>
    </row>
    <row r="172" spans="1:7">
      <c r="A172" s="29" t="s">
        <v>38</v>
      </c>
      <c r="B172" s="174">
        <v>1.48</v>
      </c>
      <c r="C172" s="30">
        <f t="shared" si="2"/>
        <v>1.33</v>
      </c>
      <c r="D172" s="157">
        <v>0.5787837837837837</v>
      </c>
      <c r="E172" s="14">
        <v>0.14727027027027023</v>
      </c>
      <c r="F172" s="38">
        <v>0.21578378378378379</v>
      </c>
      <c r="G172" s="38">
        <v>0</v>
      </c>
    </row>
    <row r="173" spans="1:7">
      <c r="A173" s="29" t="s">
        <v>39</v>
      </c>
      <c r="B173" s="174">
        <v>1.58</v>
      </c>
      <c r="C173" s="30">
        <f t="shared" si="2"/>
        <v>1.48</v>
      </c>
      <c r="D173" s="157">
        <v>0.60544303797468357</v>
      </c>
      <c r="E173" s="14">
        <v>0.16326582278481011</v>
      </c>
      <c r="F173" s="38">
        <v>0.22744303797468357</v>
      </c>
      <c r="G173" s="38">
        <v>0</v>
      </c>
    </row>
    <row r="174" spans="1:7">
      <c r="A174" s="29" t="s">
        <v>40</v>
      </c>
      <c r="B174" s="174">
        <v>1.79</v>
      </c>
      <c r="C174" s="30">
        <f t="shared" si="2"/>
        <v>1.58</v>
      </c>
      <c r="D174" s="157">
        <v>0.65173184357541891</v>
      </c>
      <c r="E174" s="14">
        <v>0.19103910614525141</v>
      </c>
      <c r="F174" s="38">
        <v>0.24768715083798884</v>
      </c>
      <c r="G174" s="38">
        <v>0</v>
      </c>
    </row>
    <row r="175" spans="1:7">
      <c r="A175" s="29" t="s">
        <v>41</v>
      </c>
      <c r="B175" s="174">
        <v>2.12</v>
      </c>
      <c r="C175" s="30">
        <f t="shared" si="2"/>
        <v>1.79</v>
      </c>
      <c r="D175" s="157">
        <v>0.705943396226415</v>
      </c>
      <c r="E175" s="14">
        <v>0.22356603773584907</v>
      </c>
      <c r="F175" s="38">
        <v>0.27139622641509431</v>
      </c>
      <c r="G175" s="38">
        <v>0</v>
      </c>
    </row>
    <row r="176" spans="1:7">
      <c r="A176" s="29" t="s">
        <v>42</v>
      </c>
      <c r="B176" s="174">
        <v>2.36</v>
      </c>
      <c r="C176" s="30">
        <f t="shared" si="2"/>
        <v>2.12</v>
      </c>
      <c r="D176" s="157">
        <v>0.73584745762711856</v>
      </c>
      <c r="E176" s="14">
        <v>0.24150847457627117</v>
      </c>
      <c r="F176" s="38">
        <v>0.28447457627118644</v>
      </c>
      <c r="G176" s="38">
        <v>0</v>
      </c>
    </row>
    <row r="177" spans="1:7">
      <c r="A177" s="29" t="s">
        <v>43</v>
      </c>
      <c r="B177" s="174">
        <v>2.64</v>
      </c>
      <c r="C177" s="30">
        <f t="shared" si="2"/>
        <v>2.36</v>
      </c>
      <c r="D177" s="157">
        <v>0.7638636363636363</v>
      </c>
      <c r="E177" s="14">
        <v>0.25831818181818184</v>
      </c>
      <c r="F177" s="38">
        <v>0.29672727272727273</v>
      </c>
      <c r="G177" s="38">
        <v>0</v>
      </c>
    </row>
    <row r="178" spans="1:7">
      <c r="A178" s="29" t="s">
        <v>44</v>
      </c>
      <c r="B178" s="174">
        <v>2.93</v>
      </c>
      <c r="C178" s="30">
        <f t="shared" si="2"/>
        <v>2.64</v>
      </c>
      <c r="D178" s="157">
        <v>0.78723549488054601</v>
      </c>
      <c r="E178" s="14">
        <v>0.27234129692832765</v>
      </c>
      <c r="F178" s="38">
        <v>0.30694880546075087</v>
      </c>
      <c r="G178" s="38">
        <v>0</v>
      </c>
    </row>
    <row r="179" spans="1:7">
      <c r="A179" s="29" t="s">
        <v>45</v>
      </c>
      <c r="B179" s="174">
        <v>3.34</v>
      </c>
      <c r="C179" s="30">
        <f t="shared" si="2"/>
        <v>2.93</v>
      </c>
      <c r="D179" s="157">
        <v>0.81335329341317364</v>
      </c>
      <c r="E179" s="14">
        <v>0.28801197604790418</v>
      </c>
      <c r="F179" s="38">
        <v>0.31837125748502992</v>
      </c>
      <c r="G179" s="38">
        <v>0</v>
      </c>
    </row>
    <row r="180" spans="1:7">
      <c r="A180" s="29" t="s">
        <v>46</v>
      </c>
      <c r="B180" s="174">
        <v>3.75</v>
      </c>
      <c r="C180" s="30">
        <f t="shared" si="2"/>
        <v>3.34</v>
      </c>
      <c r="D180" s="157">
        <v>0.83375999999999995</v>
      </c>
      <c r="E180" s="14">
        <v>0.30025600000000002</v>
      </c>
      <c r="F180" s="38">
        <v>0.32729599999999998</v>
      </c>
      <c r="G180" s="38">
        <v>0</v>
      </c>
    </row>
    <row r="181" spans="1:7">
      <c r="A181" s="29" t="s">
        <v>47</v>
      </c>
      <c r="B181" s="174">
        <v>3.99</v>
      </c>
      <c r="C181" s="30">
        <f t="shared" si="2"/>
        <v>3.75</v>
      </c>
      <c r="D181" s="157">
        <v>0.8437593984962406</v>
      </c>
      <c r="E181" s="14">
        <v>0.30625563909774439</v>
      </c>
      <c r="F181" s="38">
        <v>0.33166917293233084</v>
      </c>
      <c r="G181" s="38">
        <v>0</v>
      </c>
    </row>
    <row r="182" spans="1:7">
      <c r="A182" s="29" t="s">
        <v>48</v>
      </c>
      <c r="B182" s="174">
        <v>4.7</v>
      </c>
      <c r="C182" s="30">
        <f t="shared" si="2"/>
        <v>3.99</v>
      </c>
      <c r="D182" s="157">
        <v>0.86736170212765951</v>
      </c>
      <c r="E182" s="14">
        <v>0.32041702127659577</v>
      </c>
      <c r="F182" s="38">
        <v>0.34199148936170215</v>
      </c>
      <c r="G182" s="38">
        <v>0</v>
      </c>
    </row>
    <row r="183" spans="1:7">
      <c r="A183" s="29" t="s">
        <v>49</v>
      </c>
      <c r="B183" s="174">
        <v>5</v>
      </c>
      <c r="C183" s="30">
        <f t="shared" si="2"/>
        <v>4.7</v>
      </c>
      <c r="D183" s="157">
        <v>0.87531999999999999</v>
      </c>
      <c r="E183" s="14">
        <v>0.32519200000000004</v>
      </c>
      <c r="F183" s="38">
        <v>0.345472</v>
      </c>
      <c r="G183" s="38">
        <v>0</v>
      </c>
    </row>
    <row r="184" spans="1:7">
      <c r="A184" s="29" t="s">
        <v>50</v>
      </c>
      <c r="B184" s="174">
        <v>5.64</v>
      </c>
      <c r="C184" s="30">
        <f t="shared" si="2"/>
        <v>5</v>
      </c>
      <c r="D184" s="157">
        <v>0.88946808510638298</v>
      </c>
      <c r="E184" s="14">
        <v>0.33368085106382978</v>
      </c>
      <c r="F184" s="38">
        <v>0.3516595744680851</v>
      </c>
      <c r="G184" s="38">
        <v>0</v>
      </c>
    </row>
    <row r="185" spans="1:7">
      <c r="A185" s="29" t="s">
        <v>51</v>
      </c>
      <c r="B185" s="174">
        <v>6.61</v>
      </c>
      <c r="C185" s="30">
        <f t="shared" si="2"/>
        <v>5.64</v>
      </c>
      <c r="D185" s="157">
        <v>0.90568835098335854</v>
      </c>
      <c r="E185" s="14">
        <v>0.34341301059001517</v>
      </c>
      <c r="F185" s="38">
        <v>0.35875340393343419</v>
      </c>
      <c r="G185" s="38">
        <v>0</v>
      </c>
    </row>
    <row r="186" spans="1:7">
      <c r="A186" s="29" t="s">
        <v>52</v>
      </c>
      <c r="B186" s="174">
        <v>7.26</v>
      </c>
      <c r="C186" s="30">
        <f t="shared" si="2"/>
        <v>6.61</v>
      </c>
      <c r="D186" s="157">
        <v>0.9141322314049587</v>
      </c>
      <c r="E186" s="14">
        <v>0.34847933884297527</v>
      </c>
      <c r="F186" s="38">
        <v>0.36244628099173554</v>
      </c>
      <c r="G186" s="38">
        <v>0</v>
      </c>
    </row>
    <row r="187" spans="1:7">
      <c r="A187" s="29" t="s">
        <v>53</v>
      </c>
      <c r="B187" s="174">
        <v>8.4</v>
      </c>
      <c r="C187" s="30">
        <f>B186</f>
        <v>7.26</v>
      </c>
      <c r="D187" s="157">
        <v>0.92578571428571432</v>
      </c>
      <c r="E187" s="14">
        <v>0.3554714285714286</v>
      </c>
      <c r="F187" s="38">
        <v>0.36754285714285717</v>
      </c>
      <c r="G187" s="38">
        <v>1.0000000000000009E-2</v>
      </c>
    </row>
    <row r="188" spans="1:7">
      <c r="A188" s="29" t="s">
        <v>53</v>
      </c>
      <c r="B188" s="29" t="s">
        <v>122</v>
      </c>
      <c r="C188" s="30">
        <f t="shared" si="2"/>
        <v>8.4</v>
      </c>
      <c r="D188" s="175"/>
      <c r="E188" s="11"/>
      <c r="F188" s="39"/>
      <c r="G188" s="39"/>
    </row>
    <row r="189" spans="1:7" ht="15.75" thickBot="1">
      <c r="A189" s="176"/>
      <c r="B189" s="29"/>
      <c r="C189" s="4"/>
      <c r="D189" s="58"/>
      <c r="E189" s="32">
        <v>9.3709800216345909E-2</v>
      </c>
      <c r="F189" s="40">
        <v>0.11192329479572524</v>
      </c>
      <c r="G189" s="40">
        <v>2.0000000000000017E-4</v>
      </c>
    </row>
    <row r="190" spans="1:7" ht="25.15" customHeight="1" thickBot="1">
      <c r="A190" s="33" t="s">
        <v>55</v>
      </c>
      <c r="B190" s="198">
        <v>8.9</v>
      </c>
      <c r="C190" s="4"/>
      <c r="D190" s="58"/>
      <c r="E190" s="169">
        <v>1.0390000000000001</v>
      </c>
      <c r="F190" s="164">
        <v>0.7573333333333333</v>
      </c>
      <c r="G190" s="170">
        <v>8.9</v>
      </c>
    </row>
    <row r="191" spans="1:7" ht="25.15" customHeight="1" thickBot="1">
      <c r="A191" s="33" t="s">
        <v>56</v>
      </c>
      <c r="B191" s="57">
        <v>1.55</v>
      </c>
      <c r="C191" s="4"/>
      <c r="D191" s="11"/>
      <c r="E191" s="57"/>
      <c r="F191" s="167"/>
      <c r="G191" s="167"/>
    </row>
    <row r="192" spans="1:7" ht="37.5" customHeight="1" thickBot="1">
      <c r="A192" s="35" t="s">
        <v>57</v>
      </c>
      <c r="B192" s="57">
        <v>0.93</v>
      </c>
      <c r="C192" s="4"/>
      <c r="D192" s="11"/>
      <c r="E192" s="57">
        <v>0.62340000000000007</v>
      </c>
      <c r="F192" s="167">
        <v>0.45439999999999997</v>
      </c>
      <c r="G192" s="167">
        <v>5.34</v>
      </c>
    </row>
    <row r="195" spans="1:7">
      <c r="A195" s="16" t="s">
        <v>64</v>
      </c>
      <c r="B195" s="17">
        <f>AVERAGE(B143:B182)</f>
        <v>1.0390000000000001</v>
      </c>
      <c r="C195" s="17"/>
    </row>
    <row r="196" spans="1:7">
      <c r="A196" s="16" t="s">
        <v>65</v>
      </c>
      <c r="B196" s="18">
        <f>AVERAGE(B148:B177)</f>
        <v>0.7573333333333333</v>
      </c>
      <c r="C196" s="18"/>
    </row>
    <row r="197" spans="1:7">
      <c r="A197" s="16" t="s">
        <v>66</v>
      </c>
      <c r="B197" s="18">
        <f>AVERAGE(B154:B172)</f>
        <v>0.6126315789473683</v>
      </c>
      <c r="C197" s="18"/>
    </row>
    <row r="200" spans="1:7" ht="15" customHeight="1">
      <c r="A200" s="470" t="s">
        <v>0</v>
      </c>
      <c r="B200" s="473" t="s">
        <v>3</v>
      </c>
      <c r="C200" s="473"/>
      <c r="D200" s="473"/>
      <c r="E200" s="40">
        <f>(1-E255)^(1/3)-1</f>
        <v>-3.3854988099245364E-2</v>
      </c>
      <c r="F200" s="40">
        <f>(1-F255)^(1/3)-1</f>
        <v>-3.8886001649554358E-2</v>
      </c>
      <c r="G200" s="40"/>
    </row>
    <row r="201" spans="1:7" ht="46.15" customHeight="1">
      <c r="A201" s="471"/>
      <c r="B201" s="57" t="s">
        <v>4</v>
      </c>
      <c r="C201" s="11"/>
      <c r="D201" s="57" t="s">
        <v>80</v>
      </c>
      <c r="E201" s="11" t="s">
        <v>5</v>
      </c>
      <c r="F201" s="39" t="s">
        <v>5</v>
      </c>
      <c r="G201" s="39"/>
    </row>
    <row r="202" spans="1:7">
      <c r="A202" s="472"/>
      <c r="B202" s="11" t="s">
        <v>9</v>
      </c>
      <c r="C202" s="11"/>
      <c r="D202" s="11" t="s">
        <v>7</v>
      </c>
      <c r="E202" s="177" t="s">
        <v>65</v>
      </c>
      <c r="F202" s="178"/>
      <c r="G202" s="179"/>
    </row>
    <row r="203" spans="1:7">
      <c r="A203" s="50">
        <v>1</v>
      </c>
      <c r="B203" s="51">
        <v>2</v>
      </c>
      <c r="C203" s="51"/>
      <c r="D203" s="51">
        <v>3</v>
      </c>
      <c r="E203" s="51">
        <v>4</v>
      </c>
      <c r="F203" s="52">
        <v>5</v>
      </c>
      <c r="G203" s="52"/>
    </row>
    <row r="204" spans="1:7">
      <c r="A204" s="27" t="s">
        <v>10</v>
      </c>
      <c r="B204" s="180">
        <v>0.01</v>
      </c>
      <c r="C204" s="163">
        <v>0</v>
      </c>
      <c r="D204" s="14">
        <v>0</v>
      </c>
      <c r="E204" s="14">
        <v>0</v>
      </c>
      <c r="F204" s="38">
        <v>0</v>
      </c>
      <c r="G204" s="38">
        <v>0</v>
      </c>
    </row>
    <row r="205" spans="1:7">
      <c r="A205" s="27" t="s">
        <v>58</v>
      </c>
      <c r="B205" s="180">
        <v>0.02</v>
      </c>
      <c r="C205" s="30">
        <f>B204</f>
        <v>0.01</v>
      </c>
      <c r="D205" s="14">
        <v>0</v>
      </c>
      <c r="E205" s="14">
        <v>0</v>
      </c>
      <c r="F205" s="38">
        <v>0</v>
      </c>
      <c r="G205" s="38">
        <v>0</v>
      </c>
    </row>
    <row r="206" spans="1:7">
      <c r="A206" s="27" t="s">
        <v>59</v>
      </c>
      <c r="B206" s="180">
        <v>0.02</v>
      </c>
      <c r="C206" s="30">
        <f t="shared" ref="C206:C254" si="3">B205</f>
        <v>0.02</v>
      </c>
      <c r="D206" s="14">
        <v>0</v>
      </c>
      <c r="E206" s="14">
        <v>0</v>
      </c>
      <c r="F206" s="38">
        <v>0</v>
      </c>
      <c r="G206" s="38">
        <v>0</v>
      </c>
    </row>
    <row r="207" spans="1:7">
      <c r="A207" s="27" t="s">
        <v>60</v>
      </c>
      <c r="B207" s="180">
        <v>0.02</v>
      </c>
      <c r="C207" s="30">
        <f t="shared" si="3"/>
        <v>0.02</v>
      </c>
      <c r="D207" s="14">
        <v>0</v>
      </c>
      <c r="E207" s="14">
        <v>0</v>
      </c>
      <c r="F207" s="38">
        <v>0</v>
      </c>
      <c r="G207" s="38">
        <v>0</v>
      </c>
    </row>
    <row r="208" spans="1:7">
      <c r="A208" s="27" t="s">
        <v>61</v>
      </c>
      <c r="B208" s="180">
        <v>0.03</v>
      </c>
      <c r="C208" s="30">
        <f t="shared" si="3"/>
        <v>0.02</v>
      </c>
      <c r="D208" s="14">
        <v>0</v>
      </c>
      <c r="E208" s="14">
        <v>0</v>
      </c>
      <c r="F208" s="38">
        <v>0</v>
      </c>
      <c r="G208" s="38">
        <v>0</v>
      </c>
    </row>
    <row r="209" spans="1:7">
      <c r="A209" s="27" t="s">
        <v>62</v>
      </c>
      <c r="B209" s="180">
        <v>0.03</v>
      </c>
      <c r="C209" s="30">
        <f t="shared" si="3"/>
        <v>0.03</v>
      </c>
      <c r="D209" s="14">
        <v>0</v>
      </c>
      <c r="E209" s="14">
        <v>0</v>
      </c>
      <c r="F209" s="38">
        <v>0</v>
      </c>
      <c r="G209" s="38">
        <v>0</v>
      </c>
    </row>
    <row r="210" spans="1:7">
      <c r="A210" s="27" t="s">
        <v>63</v>
      </c>
      <c r="B210" s="180">
        <v>0.04</v>
      </c>
      <c r="C210" s="30">
        <f t="shared" si="3"/>
        <v>0.03</v>
      </c>
      <c r="D210" s="14">
        <v>0</v>
      </c>
      <c r="E210" s="14">
        <v>0</v>
      </c>
      <c r="F210" s="38">
        <v>0</v>
      </c>
      <c r="G210" s="38">
        <v>0</v>
      </c>
    </row>
    <row r="211" spans="1:7">
      <c r="A211" s="29" t="s">
        <v>11</v>
      </c>
      <c r="B211" s="180">
        <v>0.04</v>
      </c>
      <c r="C211" s="30">
        <f t="shared" si="3"/>
        <v>0.04</v>
      </c>
      <c r="D211" s="14">
        <v>0</v>
      </c>
      <c r="E211" s="14">
        <v>0</v>
      </c>
      <c r="F211" s="38">
        <v>0</v>
      </c>
      <c r="G211" s="38">
        <v>0</v>
      </c>
    </row>
    <row r="212" spans="1:7">
      <c r="A212" s="29" t="s">
        <v>12</v>
      </c>
      <c r="B212" s="180">
        <v>0.05</v>
      </c>
      <c r="C212" s="30">
        <f t="shared" si="3"/>
        <v>0.04</v>
      </c>
      <c r="D212" s="14">
        <v>0</v>
      </c>
      <c r="E212" s="14">
        <v>0</v>
      </c>
      <c r="F212" s="38">
        <v>0</v>
      </c>
      <c r="G212" s="38">
        <v>0</v>
      </c>
    </row>
    <row r="213" spans="1:7">
      <c r="A213" s="29" t="s">
        <v>13</v>
      </c>
      <c r="B213" s="180">
        <v>0.06</v>
      </c>
      <c r="C213" s="30">
        <f t="shared" si="3"/>
        <v>0.05</v>
      </c>
      <c r="D213" s="14">
        <v>0</v>
      </c>
      <c r="E213" s="14">
        <v>0</v>
      </c>
      <c r="F213" s="38">
        <v>0</v>
      </c>
      <c r="G213" s="38">
        <v>0</v>
      </c>
    </row>
    <row r="214" spans="1:7">
      <c r="A214" s="29" t="s">
        <v>14</v>
      </c>
      <c r="B214" s="180">
        <v>0.08</v>
      </c>
      <c r="C214" s="30">
        <f t="shared" si="3"/>
        <v>0.06</v>
      </c>
      <c r="D214" s="14">
        <v>0</v>
      </c>
      <c r="E214" s="14">
        <v>0</v>
      </c>
      <c r="F214" s="38">
        <v>0</v>
      </c>
      <c r="G214" s="38">
        <v>0</v>
      </c>
    </row>
    <row r="215" spans="1:7">
      <c r="A215" s="29" t="s">
        <v>15</v>
      </c>
      <c r="B215" s="180">
        <v>0.1</v>
      </c>
      <c r="C215" s="30">
        <f t="shared" si="3"/>
        <v>0.08</v>
      </c>
      <c r="D215" s="14">
        <v>0</v>
      </c>
      <c r="E215" s="14">
        <v>0</v>
      </c>
      <c r="F215" s="38">
        <v>0</v>
      </c>
      <c r="G215" s="38">
        <v>0</v>
      </c>
    </row>
    <row r="216" spans="1:7">
      <c r="A216" s="29" t="s">
        <v>16</v>
      </c>
      <c r="B216" s="180">
        <v>0.12</v>
      </c>
      <c r="C216" s="30">
        <f t="shared" si="3"/>
        <v>0.1</v>
      </c>
      <c r="D216" s="14">
        <v>0</v>
      </c>
      <c r="E216" s="14">
        <v>0</v>
      </c>
      <c r="F216" s="38">
        <v>0</v>
      </c>
      <c r="G216" s="38">
        <v>0</v>
      </c>
    </row>
    <row r="217" spans="1:7">
      <c r="A217" s="29" t="s">
        <v>17</v>
      </c>
      <c r="B217" s="180">
        <v>0.15</v>
      </c>
      <c r="C217" s="30">
        <f t="shared" si="3"/>
        <v>0.12</v>
      </c>
      <c r="D217" s="14">
        <v>0</v>
      </c>
      <c r="E217" s="14">
        <v>0</v>
      </c>
      <c r="F217" s="38">
        <v>0</v>
      </c>
      <c r="G217" s="38">
        <v>0</v>
      </c>
    </row>
    <row r="218" spans="1:7">
      <c r="A218" s="29" t="s">
        <v>18</v>
      </c>
      <c r="B218" s="180">
        <v>0.19</v>
      </c>
      <c r="C218" s="30">
        <f t="shared" si="3"/>
        <v>0.15</v>
      </c>
      <c r="D218" s="14">
        <v>0</v>
      </c>
      <c r="E218" s="14">
        <v>0</v>
      </c>
      <c r="F218" s="38">
        <v>0</v>
      </c>
      <c r="G218" s="38">
        <v>0</v>
      </c>
    </row>
    <row r="219" spans="1:7">
      <c r="A219" s="29" t="s">
        <v>19</v>
      </c>
      <c r="B219" s="180">
        <v>0.22</v>
      </c>
      <c r="C219" s="30">
        <f t="shared" si="3"/>
        <v>0.19</v>
      </c>
      <c r="D219" s="14">
        <v>0</v>
      </c>
      <c r="E219" s="14">
        <v>0</v>
      </c>
      <c r="F219" s="38">
        <v>0</v>
      </c>
      <c r="G219" s="38">
        <v>0</v>
      </c>
    </row>
    <row r="220" spans="1:7">
      <c r="A220" s="29" t="s">
        <v>20</v>
      </c>
      <c r="B220" s="180">
        <v>0.32</v>
      </c>
      <c r="C220" s="30">
        <f t="shared" si="3"/>
        <v>0.22</v>
      </c>
      <c r="D220" s="14">
        <v>0</v>
      </c>
      <c r="E220" s="14">
        <v>0</v>
      </c>
      <c r="F220" s="38">
        <v>0</v>
      </c>
      <c r="G220" s="38">
        <v>0</v>
      </c>
    </row>
    <row r="221" spans="1:7">
      <c r="A221" s="29" t="s">
        <v>21</v>
      </c>
      <c r="B221" s="180">
        <v>0.44</v>
      </c>
      <c r="C221" s="30">
        <f t="shared" si="3"/>
        <v>0.32</v>
      </c>
      <c r="D221" s="14">
        <v>0</v>
      </c>
      <c r="E221" s="14">
        <v>0</v>
      </c>
      <c r="F221" s="38">
        <v>0</v>
      </c>
      <c r="G221" s="38">
        <v>0</v>
      </c>
    </row>
    <row r="222" spans="1:7">
      <c r="A222" s="29" t="s">
        <v>22</v>
      </c>
      <c r="B222" s="180">
        <v>0.53</v>
      </c>
      <c r="C222" s="30">
        <f t="shared" si="3"/>
        <v>0.44</v>
      </c>
      <c r="D222" s="14">
        <v>0</v>
      </c>
      <c r="E222" s="14">
        <v>0</v>
      </c>
      <c r="F222" s="38">
        <v>0</v>
      </c>
      <c r="G222" s="38">
        <v>0</v>
      </c>
    </row>
    <row r="223" spans="1:7">
      <c r="A223" s="29" t="s">
        <v>23</v>
      </c>
      <c r="B223" s="180">
        <v>0.6</v>
      </c>
      <c r="C223" s="30">
        <f t="shared" si="3"/>
        <v>0.53</v>
      </c>
      <c r="D223" s="14">
        <v>0</v>
      </c>
      <c r="E223" s="14">
        <v>0</v>
      </c>
      <c r="F223" s="38">
        <v>0</v>
      </c>
      <c r="G223" s="38">
        <v>0</v>
      </c>
    </row>
    <row r="224" spans="1:7">
      <c r="A224" s="29" t="s">
        <v>24</v>
      </c>
      <c r="B224" s="180">
        <v>0.66</v>
      </c>
      <c r="C224" s="30">
        <f t="shared" si="3"/>
        <v>0.6</v>
      </c>
      <c r="D224" s="14">
        <v>0</v>
      </c>
      <c r="E224" s="14">
        <v>0</v>
      </c>
      <c r="F224" s="38">
        <v>0</v>
      </c>
      <c r="G224" s="38">
        <v>0</v>
      </c>
    </row>
    <row r="225" spans="1:7">
      <c r="A225" s="29" t="s">
        <v>25</v>
      </c>
      <c r="B225" s="180">
        <v>0.73</v>
      </c>
      <c r="C225" s="30">
        <f t="shared" si="3"/>
        <v>0.66</v>
      </c>
      <c r="D225" s="14">
        <v>0</v>
      </c>
      <c r="E225" s="14">
        <v>0</v>
      </c>
      <c r="F225" s="38">
        <v>0</v>
      </c>
      <c r="G225" s="38">
        <v>0</v>
      </c>
    </row>
    <row r="226" spans="1:7">
      <c r="A226" s="29" t="s">
        <v>26</v>
      </c>
      <c r="B226" s="180">
        <v>0.81</v>
      </c>
      <c r="C226" s="30">
        <f t="shared" si="3"/>
        <v>0.73</v>
      </c>
      <c r="D226" s="14">
        <v>0</v>
      </c>
      <c r="E226" s="14">
        <v>0</v>
      </c>
      <c r="F226" s="38">
        <v>0</v>
      </c>
      <c r="G226" s="38">
        <v>0</v>
      </c>
    </row>
    <row r="227" spans="1:7">
      <c r="A227" s="29" t="s">
        <v>27</v>
      </c>
      <c r="B227" s="180">
        <v>0.91</v>
      </c>
      <c r="C227" s="30">
        <f t="shared" si="3"/>
        <v>0.81</v>
      </c>
      <c r="D227" s="14">
        <v>0</v>
      </c>
      <c r="E227" s="14">
        <v>0</v>
      </c>
      <c r="F227" s="38">
        <v>8.3076923076923076E-3</v>
      </c>
      <c r="G227" s="38">
        <v>0</v>
      </c>
    </row>
    <row r="228" spans="1:7">
      <c r="A228" s="29" t="s">
        <v>28</v>
      </c>
      <c r="B228" s="180">
        <v>1.06</v>
      </c>
      <c r="C228" s="30">
        <f t="shared" si="3"/>
        <v>0.91</v>
      </c>
      <c r="D228" s="14">
        <v>6.0943396226415189E-2</v>
      </c>
      <c r="E228" s="14"/>
      <c r="F228" s="38">
        <v>2.1283018867924532E-2</v>
      </c>
      <c r="G228" s="38">
        <v>0</v>
      </c>
    </row>
    <row r="229" spans="1:7">
      <c r="A229" s="29" t="s">
        <v>29</v>
      </c>
      <c r="B229" s="180">
        <v>1.19</v>
      </c>
      <c r="C229" s="30">
        <f t="shared" si="3"/>
        <v>1.06</v>
      </c>
      <c r="D229" s="14">
        <v>0.1635294117647059</v>
      </c>
      <c r="E229" s="14">
        <v>1.6352941176470591E-2</v>
      </c>
      <c r="F229" s="38">
        <v>2.9882352941176468E-2</v>
      </c>
      <c r="G229" s="38">
        <v>0</v>
      </c>
    </row>
    <row r="230" spans="1:7">
      <c r="A230" s="29" t="s">
        <v>30</v>
      </c>
      <c r="B230" s="180">
        <v>1.34</v>
      </c>
      <c r="C230" s="30">
        <f t="shared" si="3"/>
        <v>1.19</v>
      </c>
      <c r="D230" s="14">
        <v>0.2571641791044777</v>
      </c>
      <c r="E230" s="14">
        <v>2.5716417910447768E-2</v>
      </c>
      <c r="F230" s="38">
        <v>3.7731343283582096E-2</v>
      </c>
      <c r="G230" s="38">
        <v>0</v>
      </c>
    </row>
    <row r="231" spans="1:7">
      <c r="A231" s="29" t="s">
        <v>31</v>
      </c>
      <c r="B231" s="180">
        <v>1.46</v>
      </c>
      <c r="C231" s="30">
        <f t="shared" si="3"/>
        <v>1.34</v>
      </c>
      <c r="D231" s="14">
        <v>0.3182191780821918</v>
      </c>
      <c r="E231" s="14">
        <v>3.1821917808219177E-2</v>
      </c>
      <c r="F231" s="38">
        <v>5.7095890410958888E-2</v>
      </c>
      <c r="G231" s="38">
        <v>0</v>
      </c>
    </row>
    <row r="232" spans="1:7">
      <c r="A232" s="29" t="s">
        <v>32</v>
      </c>
      <c r="B232" s="180">
        <v>1.56</v>
      </c>
      <c r="C232" s="30">
        <f t="shared" si="3"/>
        <v>1.46</v>
      </c>
      <c r="D232" s="14">
        <v>0.36192307692307696</v>
      </c>
      <c r="E232" s="14">
        <v>3.6192307692307697E-2</v>
      </c>
      <c r="F232" s="38">
        <v>7.9076923076923086E-2</v>
      </c>
      <c r="G232" s="38">
        <v>0</v>
      </c>
    </row>
    <row r="233" spans="1:7">
      <c r="A233" s="29" t="s">
        <v>33</v>
      </c>
      <c r="B233" s="180">
        <v>1.68</v>
      </c>
      <c r="C233" s="30">
        <f t="shared" si="3"/>
        <v>1.56</v>
      </c>
      <c r="D233" s="14">
        <v>0.40750000000000003</v>
      </c>
      <c r="E233" s="14">
        <v>4.4499999999999991E-2</v>
      </c>
      <c r="F233" s="38">
        <v>0.10199999999999998</v>
      </c>
      <c r="G233" s="38">
        <v>0</v>
      </c>
    </row>
    <row r="234" spans="1:7">
      <c r="A234" s="29" t="s">
        <v>34</v>
      </c>
      <c r="B234" s="180">
        <v>1.79</v>
      </c>
      <c r="C234" s="30">
        <f t="shared" si="3"/>
        <v>1.68</v>
      </c>
      <c r="D234" s="14">
        <v>0.44391061452513969</v>
      </c>
      <c r="E234" s="14">
        <v>6.6346368715083814E-2</v>
      </c>
      <c r="F234" s="38">
        <v>0.12031284916201117</v>
      </c>
      <c r="G234" s="38">
        <v>0</v>
      </c>
    </row>
    <row r="235" spans="1:7">
      <c r="A235" s="29" t="s">
        <v>35</v>
      </c>
      <c r="B235" s="180">
        <v>1.99</v>
      </c>
      <c r="C235" s="30">
        <f t="shared" si="3"/>
        <v>1.79</v>
      </c>
      <c r="D235" s="14">
        <v>0.4997989949748744</v>
      </c>
      <c r="E235" s="14">
        <v>9.9879396984924623E-2</v>
      </c>
      <c r="F235" s="38">
        <v>0.14842211055276383</v>
      </c>
      <c r="G235" s="38">
        <v>0</v>
      </c>
    </row>
    <row r="236" spans="1:7">
      <c r="A236" s="29" t="s">
        <v>36</v>
      </c>
      <c r="B236" s="180">
        <v>2.2000000000000002</v>
      </c>
      <c r="C236" s="30">
        <f t="shared" si="3"/>
        <v>1.99</v>
      </c>
      <c r="D236" s="14">
        <v>0.54754545454545456</v>
      </c>
      <c r="E236" s="14">
        <v>0.12852727272727274</v>
      </c>
      <c r="F236" s="38">
        <v>0.17243636363636367</v>
      </c>
      <c r="G236" s="38">
        <v>0</v>
      </c>
    </row>
    <row r="237" spans="1:7">
      <c r="A237" s="29" t="s">
        <v>37</v>
      </c>
      <c r="B237" s="180">
        <v>2.4</v>
      </c>
      <c r="C237" s="30">
        <f t="shared" si="3"/>
        <v>2.2000000000000002</v>
      </c>
      <c r="D237" s="14">
        <v>0.58524999999999994</v>
      </c>
      <c r="E237" s="14">
        <v>0.15115000000000001</v>
      </c>
      <c r="F237" s="38">
        <v>0.19139999999999999</v>
      </c>
      <c r="G237" s="38">
        <v>0</v>
      </c>
    </row>
    <row r="238" spans="1:7">
      <c r="A238" s="29" t="s">
        <v>38</v>
      </c>
      <c r="B238" s="180">
        <v>2.59</v>
      </c>
      <c r="C238" s="30">
        <f t="shared" si="3"/>
        <v>2.4</v>
      </c>
      <c r="D238" s="14">
        <v>0.6156756756756756</v>
      </c>
      <c r="E238" s="14">
        <v>0.16940540540540541</v>
      </c>
      <c r="F238" s="38">
        <v>0.20670270270270269</v>
      </c>
      <c r="G238" s="38">
        <v>0</v>
      </c>
    </row>
    <row r="239" spans="1:7">
      <c r="A239" s="29" t="s">
        <v>39</v>
      </c>
      <c r="B239" s="180">
        <v>2.81</v>
      </c>
      <c r="C239" s="30">
        <f t="shared" si="3"/>
        <v>2.59</v>
      </c>
      <c r="D239" s="14">
        <v>0.64576512455516011</v>
      </c>
      <c r="E239" s="14">
        <v>0.18745907473309609</v>
      </c>
      <c r="F239" s="38">
        <v>0.22183629893238435</v>
      </c>
      <c r="G239" s="38">
        <v>0</v>
      </c>
    </row>
    <row r="240" spans="1:7">
      <c r="A240" s="29" t="s">
        <v>40</v>
      </c>
      <c r="B240" s="180">
        <v>3.05</v>
      </c>
      <c r="C240" s="30">
        <f t="shared" si="3"/>
        <v>2.81</v>
      </c>
      <c r="D240" s="14">
        <v>0.67363934426229499</v>
      </c>
      <c r="E240" s="14">
        <v>0.20418360655737702</v>
      </c>
      <c r="F240" s="38">
        <v>0.23585573770491805</v>
      </c>
      <c r="G240" s="38">
        <v>0</v>
      </c>
    </row>
    <row r="241" spans="1:7">
      <c r="A241" s="29" t="s">
        <v>41</v>
      </c>
      <c r="B241" s="180">
        <v>3.39</v>
      </c>
      <c r="C241" s="30">
        <f t="shared" si="3"/>
        <v>3.05</v>
      </c>
      <c r="D241" s="14">
        <v>0.70637168141592921</v>
      </c>
      <c r="E241" s="14">
        <v>0.22382300884955755</v>
      </c>
      <c r="F241" s="38">
        <v>0.25231858407079649</v>
      </c>
      <c r="G241" s="38">
        <v>0</v>
      </c>
    </row>
    <row r="242" spans="1:7">
      <c r="A242" s="29" t="s">
        <v>42</v>
      </c>
      <c r="B242" s="180">
        <v>3.61</v>
      </c>
      <c r="C242" s="30">
        <f t="shared" si="3"/>
        <v>3.39</v>
      </c>
      <c r="D242" s="14">
        <v>0.72426592797783929</v>
      </c>
      <c r="E242" s="14">
        <v>0.23455955678670359</v>
      </c>
      <c r="F242" s="38">
        <v>0.26131855955678673</v>
      </c>
      <c r="G242" s="38">
        <v>0</v>
      </c>
    </row>
    <row r="243" spans="1:7">
      <c r="A243" s="29" t="s">
        <v>43</v>
      </c>
      <c r="B243" s="180">
        <v>3.74</v>
      </c>
      <c r="C243" s="30">
        <f t="shared" si="3"/>
        <v>3.61</v>
      </c>
      <c r="D243" s="14">
        <v>0.73385026737967918</v>
      </c>
      <c r="E243" s="14">
        <v>0.24031016042780753</v>
      </c>
      <c r="F243" s="38">
        <v>0.26613903743315509</v>
      </c>
      <c r="G243" s="38">
        <v>0</v>
      </c>
    </row>
    <row r="244" spans="1:7">
      <c r="A244" s="29" t="s">
        <v>44</v>
      </c>
      <c r="B244" s="180">
        <v>4.1100000000000003</v>
      </c>
      <c r="C244" s="30">
        <f t="shared" si="3"/>
        <v>3.74</v>
      </c>
      <c r="D244" s="14">
        <v>0.75781021897810219</v>
      </c>
      <c r="E244" s="14">
        <v>0.25468613138686136</v>
      </c>
      <c r="F244" s="38">
        <v>0.27818978102189784</v>
      </c>
      <c r="G244" s="38">
        <v>0</v>
      </c>
    </row>
    <row r="245" spans="1:7">
      <c r="A245" s="29" t="s">
        <v>45</v>
      </c>
      <c r="B245" s="199">
        <v>4.37</v>
      </c>
      <c r="C245" s="30">
        <f t="shared" si="3"/>
        <v>4.1100000000000003</v>
      </c>
      <c r="D245" s="14">
        <v>0.77221967963386728</v>
      </c>
      <c r="E245" s="14">
        <v>0.26333180778032039</v>
      </c>
      <c r="F245" s="38">
        <v>0.28543707093821508</v>
      </c>
      <c r="G245" s="38">
        <v>0</v>
      </c>
    </row>
    <row r="246" spans="1:7">
      <c r="A246" s="29" t="s">
        <v>46</v>
      </c>
      <c r="B246" s="180">
        <v>4.71</v>
      </c>
      <c r="C246" s="30">
        <f t="shared" si="3"/>
        <v>4.37</v>
      </c>
      <c r="D246" s="14">
        <v>0.78866242038216561</v>
      </c>
      <c r="E246" s="14">
        <v>0.27319745222929936</v>
      </c>
      <c r="F246" s="38">
        <v>0.29370700636942676</v>
      </c>
      <c r="G246" s="38">
        <v>0</v>
      </c>
    </row>
    <row r="247" spans="1:7">
      <c r="A247" s="29" t="s">
        <v>47</v>
      </c>
      <c r="B247" s="180">
        <v>5.2</v>
      </c>
      <c r="C247" s="30">
        <f t="shared" si="3"/>
        <v>4.71</v>
      </c>
      <c r="D247" s="14">
        <v>0.80857692307692308</v>
      </c>
      <c r="E247" s="14">
        <v>0.28514615384615388</v>
      </c>
      <c r="F247" s="38">
        <v>0.30372307692307693</v>
      </c>
      <c r="G247" s="38">
        <v>0</v>
      </c>
    </row>
    <row r="248" spans="1:7">
      <c r="A248" s="29" t="s">
        <v>48</v>
      </c>
      <c r="B248" s="180">
        <v>6.03</v>
      </c>
      <c r="C248" s="30">
        <f t="shared" si="3"/>
        <v>5.2</v>
      </c>
      <c r="D248" s="14">
        <v>0.83492537313432835</v>
      </c>
      <c r="E248" s="14">
        <v>0.30095522388059703</v>
      </c>
      <c r="F248" s="38">
        <v>0.31697512437810943</v>
      </c>
      <c r="G248" s="38">
        <v>0</v>
      </c>
    </row>
    <row r="249" spans="1:7">
      <c r="A249" s="29" t="s">
        <v>49</v>
      </c>
      <c r="B249" s="180">
        <v>6.96</v>
      </c>
      <c r="C249" s="30">
        <f t="shared" si="3"/>
        <v>6.03</v>
      </c>
      <c r="D249" s="14">
        <v>0.85698275862068962</v>
      </c>
      <c r="E249" s="14">
        <v>0.31418965517241382</v>
      </c>
      <c r="F249" s="38">
        <v>0.32806896551724135</v>
      </c>
      <c r="G249" s="38">
        <v>0</v>
      </c>
    </row>
    <row r="250" spans="1:7">
      <c r="A250" s="29" t="s">
        <v>50</v>
      </c>
      <c r="B250" s="180">
        <v>7.65</v>
      </c>
      <c r="C250" s="30">
        <f t="shared" si="3"/>
        <v>6.96</v>
      </c>
      <c r="D250" s="14">
        <v>0.86988235294117644</v>
      </c>
      <c r="E250" s="14">
        <v>0.32192941176470591</v>
      </c>
      <c r="F250" s="38">
        <v>0.33455686274509805</v>
      </c>
      <c r="G250" s="38">
        <v>1.176470588235304E-3</v>
      </c>
    </row>
    <row r="251" spans="1:7">
      <c r="A251" s="29" t="s">
        <v>51</v>
      </c>
      <c r="B251" s="180">
        <v>9.27</v>
      </c>
      <c r="C251" s="30">
        <f t="shared" si="3"/>
        <v>7.65</v>
      </c>
      <c r="D251" s="14">
        <v>0.89262135922330099</v>
      </c>
      <c r="E251" s="14">
        <v>0.33557281553398061</v>
      </c>
      <c r="F251" s="38">
        <v>0.34599352750809065</v>
      </c>
      <c r="G251" s="38">
        <v>1.8446601941747576E-2</v>
      </c>
    </row>
    <row r="252" spans="1:7">
      <c r="A252" s="29" t="s">
        <v>52</v>
      </c>
      <c r="B252" s="180">
        <v>10.72</v>
      </c>
      <c r="C252" s="30">
        <f t="shared" si="3"/>
        <v>9.27</v>
      </c>
      <c r="D252" s="14">
        <v>0.90714552238805968</v>
      </c>
      <c r="E252" s="14">
        <v>0.34428731343283581</v>
      </c>
      <c r="F252" s="38">
        <v>0.3532985074626866</v>
      </c>
      <c r="G252" s="38">
        <v>2.9477611940298517E-2</v>
      </c>
    </row>
    <row r="253" spans="1:7">
      <c r="A253" s="29" t="s">
        <v>53</v>
      </c>
      <c r="B253" s="181">
        <v>11.63</v>
      </c>
      <c r="C253" s="30">
        <f>B252</f>
        <v>10.72</v>
      </c>
      <c r="D253" s="14">
        <v>0.91441100601891656</v>
      </c>
      <c r="E253" s="14">
        <v>0.34864660361135003</v>
      </c>
      <c r="F253" s="38">
        <v>0.35695270851246785</v>
      </c>
      <c r="G253" s="38">
        <v>3.4995700773860716E-2</v>
      </c>
    </row>
    <row r="254" spans="1:7">
      <c r="A254" s="29" t="s">
        <v>53</v>
      </c>
      <c r="B254" s="29" t="s">
        <v>123</v>
      </c>
      <c r="C254" s="30">
        <f t="shared" si="3"/>
        <v>11.63</v>
      </c>
      <c r="D254" s="58"/>
      <c r="E254" s="11"/>
      <c r="F254" s="39"/>
      <c r="G254" s="39"/>
    </row>
    <row r="255" spans="1:7">
      <c r="A255" s="29"/>
      <c r="B255" s="29"/>
      <c r="C255" s="29"/>
      <c r="D255" s="58"/>
      <c r="E255" s="32">
        <v>9.8165286880716657E-2</v>
      </c>
      <c r="F255" s="40">
        <v>0.112180441920329</v>
      </c>
      <c r="G255" s="40">
        <v>1.6819277048828424E-3</v>
      </c>
    </row>
    <row r="256" spans="1:7" ht="26.25" customHeight="1">
      <c r="A256" s="33" t="s">
        <v>55</v>
      </c>
      <c r="B256" s="198">
        <v>12.6</v>
      </c>
      <c r="C256" s="29"/>
      <c r="D256" s="58"/>
      <c r="E256" s="34">
        <v>1.659</v>
      </c>
      <c r="F256" s="41">
        <v>1.3906666666666667</v>
      </c>
      <c r="G256" s="42">
        <v>12.6</v>
      </c>
    </row>
    <row r="257" spans="1:7" ht="26.65" customHeight="1">
      <c r="A257" s="33" t="s">
        <v>56</v>
      </c>
      <c r="B257" s="57">
        <v>2.09</v>
      </c>
      <c r="C257" s="29"/>
      <c r="D257" s="11"/>
      <c r="E257" s="11"/>
      <c r="F257" s="39"/>
      <c r="G257" s="39"/>
    </row>
    <row r="258" spans="1:7" ht="37.15" customHeight="1">
      <c r="A258" s="35" t="s">
        <v>57</v>
      </c>
      <c r="B258" s="57">
        <v>1.26</v>
      </c>
      <c r="C258" s="29"/>
      <c r="D258" s="11"/>
      <c r="E258" s="11">
        <v>0.99539999999999995</v>
      </c>
      <c r="F258" s="39">
        <v>0.83440000000000003</v>
      </c>
      <c r="G258" s="39">
        <v>7.56</v>
      </c>
    </row>
    <row r="261" spans="1:7">
      <c r="A261" s="16" t="s">
        <v>64</v>
      </c>
      <c r="B261" s="17">
        <f>AVERAGE(B209:B248)</f>
        <v>1.659</v>
      </c>
      <c r="C261" s="17"/>
    </row>
    <row r="262" spans="1:7">
      <c r="A262" s="16" t="s">
        <v>65</v>
      </c>
      <c r="B262" s="18">
        <f>AVERAGE(B214:B243)</f>
        <v>1.3906666666666667</v>
      </c>
      <c r="C262" s="18"/>
    </row>
    <row r="263" spans="1:7">
      <c r="A263" s="16" t="s">
        <v>66</v>
      </c>
      <c r="B263" s="18">
        <f>AVERAGE(B220:B238)</f>
        <v>1.2768421052631578</v>
      </c>
      <c r="C263" s="18"/>
    </row>
    <row r="267" spans="1:7" ht="15.75" thickBot="1">
      <c r="C267" s="65"/>
    </row>
    <row r="270" spans="1:7">
      <c r="C270">
        <v>0</v>
      </c>
    </row>
    <row r="271" spans="1:7">
      <c r="C271" s="30">
        <f>B270</f>
        <v>0</v>
      </c>
    </row>
    <row r="272" spans="1:7">
      <c r="C272" s="30">
        <f t="shared" ref="C272:C320" si="4">B271</f>
        <v>0</v>
      </c>
    </row>
    <row r="273" spans="3:3">
      <c r="C273" s="30">
        <f t="shared" si="4"/>
        <v>0</v>
      </c>
    </row>
    <row r="274" spans="3:3">
      <c r="C274" s="30">
        <f t="shared" si="4"/>
        <v>0</v>
      </c>
    </row>
    <row r="275" spans="3:3">
      <c r="C275" s="30">
        <f t="shared" si="4"/>
        <v>0</v>
      </c>
    </row>
    <row r="276" spans="3:3">
      <c r="C276" s="30">
        <f t="shared" si="4"/>
        <v>0</v>
      </c>
    </row>
    <row r="277" spans="3:3">
      <c r="C277" s="30">
        <f t="shared" si="4"/>
        <v>0</v>
      </c>
    </row>
    <row r="278" spans="3:3">
      <c r="C278" s="30">
        <f t="shared" si="4"/>
        <v>0</v>
      </c>
    </row>
    <row r="279" spans="3:3">
      <c r="C279" s="30">
        <f t="shared" si="4"/>
        <v>0</v>
      </c>
    </row>
    <row r="280" spans="3:3">
      <c r="C280" s="30">
        <f t="shared" si="4"/>
        <v>0</v>
      </c>
    </row>
    <row r="281" spans="3:3">
      <c r="C281" s="30">
        <f t="shared" si="4"/>
        <v>0</v>
      </c>
    </row>
    <row r="282" spans="3:3">
      <c r="C282" s="30">
        <f t="shared" si="4"/>
        <v>0</v>
      </c>
    </row>
    <row r="283" spans="3:3">
      <c r="C283" s="30">
        <f t="shared" si="4"/>
        <v>0</v>
      </c>
    </row>
    <row r="284" spans="3:3">
      <c r="C284" s="30">
        <f t="shared" si="4"/>
        <v>0</v>
      </c>
    </row>
    <row r="285" spans="3:3">
      <c r="C285" s="30">
        <f t="shared" si="4"/>
        <v>0</v>
      </c>
    </row>
    <row r="286" spans="3:3">
      <c r="C286" s="30">
        <f t="shared" si="4"/>
        <v>0</v>
      </c>
    </row>
    <row r="287" spans="3:3">
      <c r="C287" s="30">
        <f t="shared" si="4"/>
        <v>0</v>
      </c>
    </row>
    <row r="288" spans="3:3">
      <c r="C288" s="30">
        <f t="shared" si="4"/>
        <v>0</v>
      </c>
    </row>
    <row r="289" spans="3:3">
      <c r="C289" s="30">
        <f t="shared" si="4"/>
        <v>0</v>
      </c>
    </row>
    <row r="290" spans="3:3">
      <c r="C290" s="30">
        <f t="shared" si="4"/>
        <v>0</v>
      </c>
    </row>
    <row r="291" spans="3:3">
      <c r="C291" s="30">
        <f t="shared" si="4"/>
        <v>0</v>
      </c>
    </row>
    <row r="292" spans="3:3">
      <c r="C292" s="30">
        <f t="shared" si="4"/>
        <v>0</v>
      </c>
    </row>
    <row r="293" spans="3:3">
      <c r="C293" s="30">
        <f t="shared" si="4"/>
        <v>0</v>
      </c>
    </row>
    <row r="294" spans="3:3">
      <c r="C294" s="30">
        <f t="shared" si="4"/>
        <v>0</v>
      </c>
    </row>
    <row r="295" spans="3:3">
      <c r="C295" s="30">
        <f t="shared" si="4"/>
        <v>0</v>
      </c>
    </row>
    <row r="296" spans="3:3">
      <c r="C296" s="30">
        <f t="shared" si="4"/>
        <v>0</v>
      </c>
    </row>
    <row r="297" spans="3:3">
      <c r="C297" s="30">
        <f t="shared" si="4"/>
        <v>0</v>
      </c>
    </row>
    <row r="298" spans="3:3">
      <c r="C298" s="30">
        <f t="shared" si="4"/>
        <v>0</v>
      </c>
    </row>
    <row r="299" spans="3:3">
      <c r="C299" s="30">
        <f t="shared" si="4"/>
        <v>0</v>
      </c>
    </row>
    <row r="300" spans="3:3">
      <c r="C300" s="30">
        <f t="shared" si="4"/>
        <v>0</v>
      </c>
    </row>
    <row r="301" spans="3:3">
      <c r="C301" s="30">
        <f t="shared" si="4"/>
        <v>0</v>
      </c>
    </row>
    <row r="302" spans="3:3">
      <c r="C302" s="30">
        <f t="shared" si="4"/>
        <v>0</v>
      </c>
    </row>
    <row r="303" spans="3:3">
      <c r="C303" s="30">
        <f t="shared" si="4"/>
        <v>0</v>
      </c>
    </row>
    <row r="304" spans="3:3">
      <c r="C304" s="30">
        <f t="shared" si="4"/>
        <v>0</v>
      </c>
    </row>
    <row r="305" spans="3:3">
      <c r="C305" s="30">
        <f t="shared" si="4"/>
        <v>0</v>
      </c>
    </row>
    <row r="306" spans="3:3">
      <c r="C306" s="30">
        <f t="shared" si="4"/>
        <v>0</v>
      </c>
    </row>
    <row r="307" spans="3:3">
      <c r="C307" s="30">
        <f t="shared" si="4"/>
        <v>0</v>
      </c>
    </row>
    <row r="308" spans="3:3">
      <c r="C308" s="30">
        <f t="shared" si="4"/>
        <v>0</v>
      </c>
    </row>
    <row r="309" spans="3:3">
      <c r="C309" s="30">
        <f t="shared" si="4"/>
        <v>0</v>
      </c>
    </row>
    <row r="310" spans="3:3">
      <c r="C310" s="30">
        <f t="shared" si="4"/>
        <v>0</v>
      </c>
    </row>
    <row r="311" spans="3:3">
      <c r="C311" s="30">
        <f t="shared" si="4"/>
        <v>0</v>
      </c>
    </row>
    <row r="312" spans="3:3">
      <c r="C312" s="30">
        <f t="shared" si="4"/>
        <v>0</v>
      </c>
    </row>
    <row r="313" spans="3:3">
      <c r="C313" s="30">
        <f t="shared" si="4"/>
        <v>0</v>
      </c>
    </row>
    <row r="314" spans="3:3">
      <c r="C314" s="30">
        <f t="shared" si="4"/>
        <v>0</v>
      </c>
    </row>
    <row r="315" spans="3:3">
      <c r="C315" s="30">
        <f t="shared" si="4"/>
        <v>0</v>
      </c>
    </row>
    <row r="316" spans="3:3">
      <c r="C316" s="30">
        <f t="shared" si="4"/>
        <v>0</v>
      </c>
    </row>
    <row r="317" spans="3:3">
      <c r="C317" s="30">
        <f t="shared" si="4"/>
        <v>0</v>
      </c>
    </row>
    <row r="318" spans="3:3">
      <c r="C318" s="30">
        <f t="shared" si="4"/>
        <v>0</v>
      </c>
    </row>
    <row r="319" spans="3:3">
      <c r="C319" s="30">
        <f>B318</f>
        <v>0</v>
      </c>
    </row>
    <row r="320" spans="3:3">
      <c r="C320" s="30">
        <f t="shared" si="4"/>
        <v>0</v>
      </c>
    </row>
    <row r="336" spans="3:3" ht="15.75" thickBot="1">
      <c r="C336" s="117"/>
    </row>
    <row r="337" spans="3:3">
      <c r="C337">
        <v>0</v>
      </c>
    </row>
    <row r="338" spans="3:3">
      <c r="C338" s="30">
        <f>B337</f>
        <v>0</v>
      </c>
    </row>
    <row r="339" spans="3:3">
      <c r="C339" s="30">
        <f t="shared" ref="C339:C387" si="5">B338</f>
        <v>0</v>
      </c>
    </row>
    <row r="340" spans="3:3">
      <c r="C340" s="30">
        <f t="shared" si="5"/>
        <v>0</v>
      </c>
    </row>
    <row r="341" spans="3:3">
      <c r="C341" s="30">
        <f t="shared" si="5"/>
        <v>0</v>
      </c>
    </row>
    <row r="342" spans="3:3">
      <c r="C342" s="30">
        <f t="shared" si="5"/>
        <v>0</v>
      </c>
    </row>
    <row r="343" spans="3:3">
      <c r="C343" s="30">
        <f t="shared" si="5"/>
        <v>0</v>
      </c>
    </row>
    <row r="344" spans="3:3">
      <c r="C344" s="30">
        <f t="shared" si="5"/>
        <v>0</v>
      </c>
    </row>
    <row r="345" spans="3:3">
      <c r="C345" s="30">
        <f t="shared" si="5"/>
        <v>0</v>
      </c>
    </row>
    <row r="346" spans="3:3">
      <c r="C346" s="30">
        <f t="shared" si="5"/>
        <v>0</v>
      </c>
    </row>
    <row r="347" spans="3:3">
      <c r="C347" s="30">
        <f t="shared" si="5"/>
        <v>0</v>
      </c>
    </row>
    <row r="348" spans="3:3">
      <c r="C348" s="30">
        <f t="shared" si="5"/>
        <v>0</v>
      </c>
    </row>
    <row r="349" spans="3:3">
      <c r="C349" s="30">
        <f t="shared" si="5"/>
        <v>0</v>
      </c>
    </row>
    <row r="350" spans="3:3">
      <c r="C350" s="30">
        <f t="shared" si="5"/>
        <v>0</v>
      </c>
    </row>
    <row r="351" spans="3:3">
      <c r="C351" s="30">
        <f t="shared" si="5"/>
        <v>0</v>
      </c>
    </row>
    <row r="352" spans="3:3">
      <c r="C352" s="30">
        <f t="shared" si="5"/>
        <v>0</v>
      </c>
    </row>
    <row r="353" spans="3:3">
      <c r="C353" s="30">
        <f t="shared" si="5"/>
        <v>0</v>
      </c>
    </row>
    <row r="354" spans="3:3">
      <c r="C354" s="30">
        <f t="shared" si="5"/>
        <v>0</v>
      </c>
    </row>
    <row r="355" spans="3:3">
      <c r="C355" s="30">
        <f t="shared" si="5"/>
        <v>0</v>
      </c>
    </row>
    <row r="356" spans="3:3">
      <c r="C356" s="30">
        <f t="shared" si="5"/>
        <v>0</v>
      </c>
    </row>
    <row r="357" spans="3:3">
      <c r="C357" s="30">
        <f t="shared" si="5"/>
        <v>0</v>
      </c>
    </row>
    <row r="358" spans="3:3">
      <c r="C358" s="30">
        <f t="shared" si="5"/>
        <v>0</v>
      </c>
    </row>
    <row r="359" spans="3:3">
      <c r="C359" s="30">
        <f t="shared" si="5"/>
        <v>0</v>
      </c>
    </row>
    <row r="360" spans="3:3">
      <c r="C360" s="30">
        <f t="shared" si="5"/>
        <v>0</v>
      </c>
    </row>
    <row r="361" spans="3:3">
      <c r="C361" s="30">
        <f t="shared" si="5"/>
        <v>0</v>
      </c>
    </row>
    <row r="362" spans="3:3">
      <c r="C362" s="30">
        <f t="shared" si="5"/>
        <v>0</v>
      </c>
    </row>
    <row r="363" spans="3:3">
      <c r="C363" s="30">
        <f t="shared" si="5"/>
        <v>0</v>
      </c>
    </row>
    <row r="364" spans="3:3">
      <c r="C364" s="30">
        <f t="shared" si="5"/>
        <v>0</v>
      </c>
    </row>
    <row r="365" spans="3:3">
      <c r="C365" s="30">
        <f t="shared" si="5"/>
        <v>0</v>
      </c>
    </row>
    <row r="366" spans="3:3">
      <c r="C366" s="30">
        <f t="shared" si="5"/>
        <v>0</v>
      </c>
    </row>
    <row r="367" spans="3:3">
      <c r="C367" s="30">
        <f t="shared" si="5"/>
        <v>0</v>
      </c>
    </row>
    <row r="368" spans="3:3">
      <c r="C368" s="30">
        <f t="shared" si="5"/>
        <v>0</v>
      </c>
    </row>
    <row r="369" spans="3:3">
      <c r="C369" s="30">
        <f t="shared" si="5"/>
        <v>0</v>
      </c>
    </row>
    <row r="370" spans="3:3">
      <c r="C370" s="30">
        <f t="shared" si="5"/>
        <v>0</v>
      </c>
    </row>
    <row r="371" spans="3:3">
      <c r="C371" s="30">
        <f t="shared" si="5"/>
        <v>0</v>
      </c>
    </row>
    <row r="372" spans="3:3">
      <c r="C372" s="30">
        <f t="shared" si="5"/>
        <v>0</v>
      </c>
    </row>
    <row r="373" spans="3:3">
      <c r="C373" s="30">
        <f t="shared" si="5"/>
        <v>0</v>
      </c>
    </row>
    <row r="374" spans="3:3">
      <c r="C374" s="30">
        <f t="shared" si="5"/>
        <v>0</v>
      </c>
    </row>
    <row r="375" spans="3:3">
      <c r="C375" s="30">
        <f t="shared" si="5"/>
        <v>0</v>
      </c>
    </row>
    <row r="376" spans="3:3">
      <c r="C376" s="30">
        <f t="shared" si="5"/>
        <v>0</v>
      </c>
    </row>
    <row r="377" spans="3:3">
      <c r="C377" s="30">
        <f t="shared" si="5"/>
        <v>0</v>
      </c>
    </row>
    <row r="378" spans="3:3">
      <c r="C378" s="30">
        <f t="shared" si="5"/>
        <v>0</v>
      </c>
    </row>
    <row r="379" spans="3:3">
      <c r="C379" s="30">
        <f t="shared" si="5"/>
        <v>0</v>
      </c>
    </row>
    <row r="380" spans="3:3">
      <c r="C380" s="30">
        <f t="shared" si="5"/>
        <v>0</v>
      </c>
    </row>
    <row r="381" spans="3:3">
      <c r="C381" s="30">
        <f t="shared" si="5"/>
        <v>0</v>
      </c>
    </row>
    <row r="382" spans="3:3">
      <c r="C382" s="30">
        <f t="shared" si="5"/>
        <v>0</v>
      </c>
    </row>
    <row r="383" spans="3:3">
      <c r="C383" s="30">
        <f t="shared" si="5"/>
        <v>0</v>
      </c>
    </row>
    <row r="384" spans="3:3">
      <c r="C384" s="30">
        <f t="shared" si="5"/>
        <v>0</v>
      </c>
    </row>
    <row r="385" spans="3:3">
      <c r="C385" s="30">
        <f t="shared" si="5"/>
        <v>0</v>
      </c>
    </row>
    <row r="386" spans="3:3">
      <c r="C386" s="30">
        <f>B385</f>
        <v>0</v>
      </c>
    </row>
    <row r="387" spans="3:3">
      <c r="C387" s="30">
        <f t="shared" si="5"/>
        <v>0</v>
      </c>
    </row>
    <row r="402" spans="3:3">
      <c r="C402">
        <v>0</v>
      </c>
    </row>
    <row r="403" spans="3:3">
      <c r="C403" s="30">
        <f>B402</f>
        <v>0</v>
      </c>
    </row>
    <row r="404" spans="3:3">
      <c r="C404" s="30">
        <f t="shared" ref="C404:C452" si="6">B403</f>
        <v>0</v>
      </c>
    </row>
    <row r="405" spans="3:3">
      <c r="C405" s="30">
        <f t="shared" si="6"/>
        <v>0</v>
      </c>
    </row>
    <row r="406" spans="3:3">
      <c r="C406" s="30">
        <f t="shared" si="6"/>
        <v>0</v>
      </c>
    </row>
    <row r="407" spans="3:3">
      <c r="C407" s="30">
        <f t="shared" si="6"/>
        <v>0</v>
      </c>
    </row>
    <row r="408" spans="3:3">
      <c r="C408" s="30">
        <f t="shared" si="6"/>
        <v>0</v>
      </c>
    </row>
    <row r="409" spans="3:3">
      <c r="C409" s="30">
        <f t="shared" si="6"/>
        <v>0</v>
      </c>
    </row>
    <row r="410" spans="3:3">
      <c r="C410" s="30">
        <f t="shared" si="6"/>
        <v>0</v>
      </c>
    </row>
    <row r="411" spans="3:3">
      <c r="C411" s="30">
        <f t="shared" si="6"/>
        <v>0</v>
      </c>
    </row>
    <row r="412" spans="3:3">
      <c r="C412" s="30">
        <f t="shared" si="6"/>
        <v>0</v>
      </c>
    </row>
    <row r="413" spans="3:3">
      <c r="C413" s="30">
        <f t="shared" si="6"/>
        <v>0</v>
      </c>
    </row>
    <row r="414" spans="3:3">
      <c r="C414" s="30">
        <f t="shared" si="6"/>
        <v>0</v>
      </c>
    </row>
    <row r="415" spans="3:3">
      <c r="C415" s="30">
        <f t="shared" si="6"/>
        <v>0</v>
      </c>
    </row>
    <row r="416" spans="3:3">
      <c r="C416" s="30">
        <f t="shared" si="6"/>
        <v>0</v>
      </c>
    </row>
    <row r="417" spans="3:3">
      <c r="C417" s="30">
        <f t="shared" si="6"/>
        <v>0</v>
      </c>
    </row>
    <row r="418" spans="3:3">
      <c r="C418" s="30">
        <f t="shared" si="6"/>
        <v>0</v>
      </c>
    </row>
    <row r="419" spans="3:3">
      <c r="C419" s="30">
        <f t="shared" si="6"/>
        <v>0</v>
      </c>
    </row>
    <row r="420" spans="3:3">
      <c r="C420" s="30">
        <f t="shared" si="6"/>
        <v>0</v>
      </c>
    </row>
    <row r="421" spans="3:3">
      <c r="C421" s="30">
        <f t="shared" si="6"/>
        <v>0</v>
      </c>
    </row>
    <row r="422" spans="3:3">
      <c r="C422" s="30">
        <f t="shared" si="6"/>
        <v>0</v>
      </c>
    </row>
    <row r="423" spans="3:3">
      <c r="C423" s="30">
        <f t="shared" si="6"/>
        <v>0</v>
      </c>
    </row>
    <row r="424" spans="3:3">
      <c r="C424" s="30">
        <f t="shared" si="6"/>
        <v>0</v>
      </c>
    </row>
    <row r="425" spans="3:3">
      <c r="C425" s="30">
        <f t="shared" si="6"/>
        <v>0</v>
      </c>
    </row>
    <row r="426" spans="3:3">
      <c r="C426" s="30">
        <f t="shared" si="6"/>
        <v>0</v>
      </c>
    </row>
    <row r="427" spans="3:3">
      <c r="C427" s="30">
        <f t="shared" si="6"/>
        <v>0</v>
      </c>
    </row>
    <row r="428" spans="3:3">
      <c r="C428" s="30">
        <f t="shared" si="6"/>
        <v>0</v>
      </c>
    </row>
    <row r="429" spans="3:3">
      <c r="C429" s="30">
        <f t="shared" si="6"/>
        <v>0</v>
      </c>
    </row>
    <row r="430" spans="3:3">
      <c r="C430" s="30">
        <f t="shared" si="6"/>
        <v>0</v>
      </c>
    </row>
    <row r="431" spans="3:3">
      <c r="C431" s="30">
        <f t="shared" si="6"/>
        <v>0</v>
      </c>
    </row>
    <row r="432" spans="3:3">
      <c r="C432" s="30">
        <f t="shared" si="6"/>
        <v>0</v>
      </c>
    </row>
    <row r="433" spans="3:3">
      <c r="C433" s="30">
        <f t="shared" si="6"/>
        <v>0</v>
      </c>
    </row>
    <row r="434" spans="3:3">
      <c r="C434" s="30">
        <f t="shared" si="6"/>
        <v>0</v>
      </c>
    </row>
    <row r="435" spans="3:3">
      <c r="C435" s="30">
        <f t="shared" si="6"/>
        <v>0</v>
      </c>
    </row>
    <row r="436" spans="3:3">
      <c r="C436" s="30">
        <f t="shared" si="6"/>
        <v>0</v>
      </c>
    </row>
    <row r="437" spans="3:3">
      <c r="C437" s="30">
        <f t="shared" si="6"/>
        <v>0</v>
      </c>
    </row>
    <row r="438" spans="3:3">
      <c r="C438" s="30">
        <f t="shared" si="6"/>
        <v>0</v>
      </c>
    </row>
    <row r="439" spans="3:3">
      <c r="C439" s="30">
        <f t="shared" si="6"/>
        <v>0</v>
      </c>
    </row>
    <row r="440" spans="3:3">
      <c r="C440" s="30">
        <f t="shared" si="6"/>
        <v>0</v>
      </c>
    </row>
    <row r="441" spans="3:3">
      <c r="C441" s="30">
        <f t="shared" si="6"/>
        <v>0</v>
      </c>
    </row>
    <row r="442" spans="3:3">
      <c r="C442" s="30">
        <f t="shared" si="6"/>
        <v>0</v>
      </c>
    </row>
    <row r="443" spans="3:3">
      <c r="C443" s="30">
        <f t="shared" si="6"/>
        <v>0</v>
      </c>
    </row>
    <row r="444" spans="3:3">
      <c r="C444" s="30">
        <f t="shared" si="6"/>
        <v>0</v>
      </c>
    </row>
    <row r="445" spans="3:3">
      <c r="C445" s="30">
        <f t="shared" si="6"/>
        <v>0</v>
      </c>
    </row>
    <row r="446" spans="3:3">
      <c r="C446" s="30">
        <f t="shared" si="6"/>
        <v>0</v>
      </c>
    </row>
    <row r="447" spans="3:3">
      <c r="C447" s="30">
        <f t="shared" si="6"/>
        <v>0</v>
      </c>
    </row>
    <row r="448" spans="3:3">
      <c r="C448" s="30">
        <f t="shared" si="6"/>
        <v>0</v>
      </c>
    </row>
    <row r="449" spans="3:3">
      <c r="C449" s="30">
        <f t="shared" si="6"/>
        <v>0</v>
      </c>
    </row>
    <row r="450" spans="3:3">
      <c r="C450" s="30">
        <f t="shared" si="6"/>
        <v>0</v>
      </c>
    </row>
    <row r="451" spans="3:3">
      <c r="C451" s="30">
        <f>B450</f>
        <v>0</v>
      </c>
    </row>
    <row r="452" spans="3:3">
      <c r="C452" s="30">
        <f t="shared" si="6"/>
        <v>0</v>
      </c>
    </row>
  </sheetData>
  <mergeCells count="8">
    <mergeCell ref="A200:A202"/>
    <mergeCell ref="B200:D200"/>
    <mergeCell ref="A2:A4"/>
    <mergeCell ref="B2:D2"/>
    <mergeCell ref="A69:A71"/>
    <mergeCell ref="B69:D69"/>
    <mergeCell ref="A134:A136"/>
    <mergeCell ref="B134:D134"/>
  </mergeCells>
  <pageMargins left="0.7" right="0.7" top="0.75" bottom="0.75" header="0.3" footer="0.3"/>
  <pageSetup paperSize="9" orientation="portrait" horizontalDpi="4294967295" verticalDpi="4294967295" r:id="rId1"/>
  <drawing r:id="rId2"/>
  <legacyDrawing r:id="rId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Лист24"/>
  <dimension ref="A1:W94"/>
  <sheetViews>
    <sheetView workbookViewId="0">
      <selection activeCell="B3" sqref="B3"/>
    </sheetView>
  </sheetViews>
  <sheetFormatPr defaultColWidth="9.140625" defaultRowHeight="12.75"/>
  <cols>
    <col min="1" max="1" width="24.28515625" style="273" customWidth="1"/>
    <col min="2" max="2" width="44.42578125" style="273" customWidth="1"/>
    <col min="3" max="3" width="11" style="273" customWidth="1"/>
    <col min="4" max="4" width="10.42578125" style="273" customWidth="1"/>
    <col min="5" max="5" width="28.28515625" style="273" customWidth="1"/>
    <col min="6" max="6" width="10.42578125" style="273" customWidth="1"/>
    <col min="7" max="7" width="26.42578125" style="273" customWidth="1"/>
    <col min="8" max="8" width="7.140625" style="273" customWidth="1"/>
    <col min="9" max="9" width="12" style="273" customWidth="1"/>
    <col min="10" max="10" width="12.42578125" style="273" customWidth="1"/>
    <col min="11" max="11" width="36.140625" style="273" customWidth="1"/>
    <col min="12" max="12" width="18.7109375" style="273" customWidth="1"/>
    <col min="13" max="13" width="32.42578125" style="273" customWidth="1"/>
    <col min="14" max="15" width="12" style="273" customWidth="1"/>
    <col min="16" max="16" width="10.28515625" style="273" customWidth="1"/>
    <col min="17" max="17" width="12.7109375" style="273" customWidth="1"/>
    <col min="18" max="18" width="10.42578125" style="273" customWidth="1"/>
    <col min="19" max="19" width="11.42578125" style="273" customWidth="1"/>
    <col min="20" max="20" width="18.42578125" style="273" customWidth="1"/>
    <col min="21" max="21" width="10.28515625" style="273" customWidth="1"/>
    <col min="22" max="22" width="8.42578125" style="273" customWidth="1"/>
    <col min="23" max="23" width="3.42578125" style="273" customWidth="1"/>
    <col min="24" max="24" width="9.42578125" style="273" bestFit="1" customWidth="1"/>
    <col min="25" max="16384" width="9.140625" style="273"/>
  </cols>
  <sheetData>
    <row r="1" spans="1:23" s="271" customFormat="1" ht="15">
      <c r="A1" s="268" t="s">
        <v>847</v>
      </c>
      <c r="B1" s="269"/>
      <c r="C1" s="269"/>
      <c r="D1" s="269"/>
      <c r="E1" s="269"/>
      <c r="F1" s="269"/>
      <c r="G1" s="269"/>
      <c r="H1" s="269"/>
      <c r="I1" s="269"/>
      <c r="J1" s="269"/>
      <c r="K1" s="269"/>
      <c r="L1" s="269"/>
      <c r="M1" s="269"/>
      <c r="N1" s="269"/>
      <c r="O1" s="270"/>
      <c r="P1" s="270"/>
      <c r="Q1" s="270"/>
      <c r="R1" s="270"/>
      <c r="S1" s="270"/>
      <c r="T1" s="270"/>
      <c r="U1" s="270"/>
      <c r="V1" s="270"/>
      <c r="W1" s="270"/>
    </row>
    <row r="2" spans="1:23" ht="15">
      <c r="A2" s="272"/>
      <c r="B2" s="272"/>
      <c r="C2" s="272"/>
      <c r="D2" s="272"/>
      <c r="E2" s="272"/>
      <c r="F2" s="272"/>
      <c r="G2" s="272"/>
      <c r="H2" s="272"/>
      <c r="I2" s="272"/>
      <c r="J2" s="272"/>
      <c r="K2" s="272"/>
      <c r="L2" s="272"/>
      <c r="M2" s="272"/>
      <c r="N2" s="272"/>
      <c r="O2" s="272"/>
      <c r="P2" s="272"/>
      <c r="Q2" s="272"/>
      <c r="R2" s="272"/>
      <c r="S2" s="272"/>
      <c r="T2" s="272"/>
      <c r="U2" s="272"/>
      <c r="V2" s="272"/>
      <c r="W2" s="272"/>
    </row>
    <row r="3" spans="1:23" ht="15">
      <c r="A3" s="272"/>
      <c r="B3" s="272">
        <f>VLOOKUP('1.Общие данные по зданию'!C7,Климатология2019!B6:F94,IF('1.Общие данные по зданию'!C17=18,2,IF('1.Общие данные по зданию'!C17=20,3,IF('1.Общие данные по зданию'!C17=21,4,5))),0)</f>
        <v>2318</v>
      </c>
      <c r="C3" s="272"/>
      <c r="D3" s="272"/>
      <c r="E3" s="272"/>
      <c r="F3" s="272"/>
      <c r="G3" s="272"/>
      <c r="H3" s="272"/>
      <c r="I3" s="272"/>
      <c r="J3" s="272"/>
      <c r="K3" s="272"/>
      <c r="L3" s="272"/>
      <c r="M3" s="272"/>
      <c r="N3" s="272"/>
      <c r="O3" s="272"/>
      <c r="P3" s="272"/>
      <c r="Q3" s="272"/>
      <c r="R3" s="272"/>
      <c r="S3" s="272"/>
      <c r="T3" s="272"/>
      <c r="U3" s="272"/>
      <c r="V3" s="272"/>
      <c r="W3" s="272"/>
    </row>
    <row r="4" spans="1:23" ht="31.5" customHeight="1">
      <c r="A4" s="542"/>
      <c r="B4" s="310"/>
      <c r="C4" s="543" t="s">
        <v>848</v>
      </c>
      <c r="D4" s="543"/>
      <c r="E4" s="543"/>
      <c r="F4" s="543"/>
      <c r="G4" s="272"/>
      <c r="H4" s="272"/>
      <c r="I4" s="272"/>
      <c r="J4" s="272"/>
      <c r="K4" s="272"/>
      <c r="L4" s="272"/>
      <c r="M4" s="272"/>
      <c r="N4" s="272"/>
      <c r="O4" s="272"/>
      <c r="P4" s="272"/>
      <c r="Q4" s="272"/>
      <c r="R4" s="272"/>
      <c r="S4" s="272"/>
      <c r="T4" s="272"/>
      <c r="U4" s="272"/>
      <c r="V4" s="272"/>
      <c r="W4" s="272"/>
    </row>
    <row r="5" spans="1:23" ht="18.75">
      <c r="A5" s="542"/>
      <c r="B5" s="310" t="s">
        <v>755</v>
      </c>
      <c r="C5" s="307" t="s">
        <v>849</v>
      </c>
      <c r="D5" s="307" t="s">
        <v>850</v>
      </c>
      <c r="E5" s="307" t="s">
        <v>851</v>
      </c>
      <c r="F5" s="307" t="s">
        <v>852</v>
      </c>
      <c r="G5" s="272"/>
      <c r="H5" s="272"/>
      <c r="I5" s="272"/>
      <c r="J5" s="272"/>
      <c r="K5" s="272"/>
      <c r="L5" s="272"/>
      <c r="M5" s="272"/>
      <c r="N5" s="272"/>
      <c r="O5" s="272"/>
      <c r="P5" s="272"/>
      <c r="Q5" s="272"/>
      <c r="R5" s="272"/>
      <c r="S5" s="272"/>
      <c r="T5" s="272"/>
      <c r="U5" s="272"/>
      <c r="V5" s="272"/>
      <c r="W5" s="272"/>
    </row>
    <row r="6" spans="1:23" ht="15.75">
      <c r="A6" s="308">
        <v>1</v>
      </c>
      <c r="B6" s="308" t="s">
        <v>853</v>
      </c>
      <c r="C6" s="307">
        <v>2036</v>
      </c>
      <c r="D6" s="307">
        <v>2348</v>
      </c>
      <c r="E6" s="307">
        <v>2504</v>
      </c>
      <c r="F6" s="307">
        <v>2972</v>
      </c>
    </row>
    <row r="7" spans="1:23" ht="15.75">
      <c r="A7" s="308">
        <v>2</v>
      </c>
      <c r="B7" s="308" t="s">
        <v>261</v>
      </c>
      <c r="C7" s="307">
        <v>3767</v>
      </c>
      <c r="D7" s="307">
        <v>4131</v>
      </c>
      <c r="E7" s="307">
        <v>4313</v>
      </c>
      <c r="F7" s="307">
        <v>4859</v>
      </c>
    </row>
    <row r="8" spans="1:23" ht="15.75">
      <c r="A8" s="308">
        <v>3</v>
      </c>
      <c r="B8" s="308" t="s">
        <v>271</v>
      </c>
      <c r="C8" s="307">
        <v>5887</v>
      </c>
      <c r="D8" s="307">
        <v>6309</v>
      </c>
      <c r="E8" s="307">
        <v>6520</v>
      </c>
      <c r="F8" s="307">
        <v>7153</v>
      </c>
    </row>
    <row r="9" spans="1:23" ht="15.75">
      <c r="A9" s="308">
        <v>4</v>
      </c>
      <c r="B9" s="308" t="s">
        <v>223</v>
      </c>
      <c r="C9" s="307">
        <v>4431</v>
      </c>
      <c r="D9" s="307">
        <v>4853</v>
      </c>
      <c r="E9" s="307">
        <v>5064</v>
      </c>
      <c r="F9" s="307">
        <v>5697</v>
      </c>
    </row>
    <row r="10" spans="1:23" ht="15.75">
      <c r="A10" s="308">
        <v>5</v>
      </c>
      <c r="B10" s="308" t="s">
        <v>300</v>
      </c>
      <c r="C10" s="307">
        <v>1925</v>
      </c>
      <c r="D10" s="307">
        <v>2227</v>
      </c>
      <c r="E10" s="307">
        <v>2378</v>
      </c>
      <c r="F10" s="307">
        <v>2831</v>
      </c>
    </row>
    <row r="11" spans="1:23" ht="15.75">
      <c r="A11" s="308">
        <v>6</v>
      </c>
      <c r="B11" s="308" t="s">
        <v>326</v>
      </c>
      <c r="C11" s="307">
        <v>2575</v>
      </c>
      <c r="D11" s="307">
        <v>2891</v>
      </c>
      <c r="E11" s="307">
        <v>3049</v>
      </c>
      <c r="F11" s="307">
        <v>3523</v>
      </c>
    </row>
    <row r="12" spans="1:23" ht="15.75">
      <c r="A12" s="308">
        <v>7</v>
      </c>
      <c r="B12" s="308" t="s">
        <v>757</v>
      </c>
      <c r="C12" s="307">
        <v>2426</v>
      </c>
      <c r="D12" s="307">
        <v>2736</v>
      </c>
      <c r="E12" s="307">
        <v>2891</v>
      </c>
      <c r="F12" s="307">
        <v>3356</v>
      </c>
    </row>
    <row r="13" spans="1:23" ht="15.75">
      <c r="A13" s="308">
        <v>8</v>
      </c>
      <c r="B13" s="308" t="s">
        <v>360</v>
      </c>
      <c r="C13" s="307">
        <v>2699</v>
      </c>
      <c r="D13" s="307">
        <v>3011</v>
      </c>
      <c r="E13" s="307">
        <v>3167</v>
      </c>
      <c r="F13" s="307">
        <v>3635</v>
      </c>
    </row>
    <row r="14" spans="1:23" ht="15.75">
      <c r="A14" s="308">
        <v>9</v>
      </c>
      <c r="B14" s="308" t="s">
        <v>384</v>
      </c>
      <c r="C14" s="307">
        <v>2426</v>
      </c>
      <c r="D14" s="307">
        <v>2740</v>
      </c>
      <c r="E14" s="307">
        <v>2897</v>
      </c>
      <c r="F14" s="307">
        <v>3368</v>
      </c>
    </row>
    <row r="15" spans="1:23" ht="15.75">
      <c r="A15" s="308">
        <v>10</v>
      </c>
      <c r="B15" s="308" t="s">
        <v>386</v>
      </c>
      <c r="C15" s="307">
        <v>4371</v>
      </c>
      <c r="D15" s="307">
        <v>4841</v>
      </c>
      <c r="E15" s="307">
        <v>5076</v>
      </c>
      <c r="F15" s="307">
        <v>5781</v>
      </c>
    </row>
    <row r="16" spans="1:23" ht="15.75">
      <c r="A16" s="308">
        <v>11</v>
      </c>
      <c r="B16" s="308" t="s">
        <v>407</v>
      </c>
      <c r="C16" s="307">
        <v>4939</v>
      </c>
      <c r="D16" s="307">
        <v>5387</v>
      </c>
      <c r="E16" s="307">
        <v>5611</v>
      </c>
      <c r="F16" s="307">
        <v>6283</v>
      </c>
    </row>
    <row r="17" spans="1:6" ht="15.75">
      <c r="A17" s="308">
        <v>12</v>
      </c>
      <c r="B17" s="308" t="s">
        <v>482</v>
      </c>
      <c r="C17" s="307">
        <v>4305</v>
      </c>
      <c r="D17" s="307">
        <v>4757</v>
      </c>
      <c r="E17" s="307">
        <v>4983</v>
      </c>
      <c r="F17" s="307">
        <v>5661</v>
      </c>
    </row>
    <row r="18" spans="1:6" ht="15.75">
      <c r="A18" s="308">
        <v>13</v>
      </c>
      <c r="B18" s="308" t="s">
        <v>484</v>
      </c>
      <c r="C18" s="307">
        <v>4102</v>
      </c>
      <c r="D18" s="307">
        <v>4526</v>
      </c>
      <c r="E18" s="307">
        <v>4738</v>
      </c>
      <c r="F18" s="307">
        <v>5374</v>
      </c>
    </row>
    <row r="19" spans="1:6" ht="15.75">
      <c r="A19" s="544">
        <v>14</v>
      </c>
      <c r="B19" s="308" t="s">
        <v>854</v>
      </c>
      <c r="C19" s="307">
        <v>9185</v>
      </c>
      <c r="D19" s="307">
        <v>9689</v>
      </c>
      <c r="E19" s="307">
        <v>9941</v>
      </c>
      <c r="F19" s="307">
        <v>10697</v>
      </c>
    </row>
    <row r="20" spans="1:6" ht="15.75">
      <c r="A20" s="544"/>
      <c r="B20" s="308" t="s">
        <v>855</v>
      </c>
      <c r="C20" s="307">
        <v>9363</v>
      </c>
      <c r="D20" s="307">
        <v>9863</v>
      </c>
      <c r="E20" s="307">
        <v>10113</v>
      </c>
      <c r="F20" s="307">
        <v>10863</v>
      </c>
    </row>
    <row r="21" spans="1:6" ht="15.75">
      <c r="A21" s="544"/>
      <c r="B21" s="308" t="s">
        <v>856</v>
      </c>
      <c r="C21" s="307">
        <v>9524</v>
      </c>
      <c r="D21" s="307">
        <v>10096</v>
      </c>
      <c r="E21" s="307">
        <v>10382</v>
      </c>
      <c r="F21" s="307">
        <v>11240</v>
      </c>
    </row>
    <row r="22" spans="1:6" ht="15.75">
      <c r="A22" s="308">
        <v>15</v>
      </c>
      <c r="B22" s="308" t="s">
        <v>857</v>
      </c>
      <c r="C22" s="307">
        <v>2326</v>
      </c>
      <c r="D22" s="307">
        <v>2614</v>
      </c>
      <c r="E22" s="307">
        <v>2758</v>
      </c>
      <c r="F22" s="307">
        <v>3190</v>
      </c>
    </row>
    <row r="23" spans="1:6" ht="15.75">
      <c r="A23" s="308">
        <v>16</v>
      </c>
      <c r="B23" s="308" t="s">
        <v>618</v>
      </c>
      <c r="C23" s="307">
        <v>3938</v>
      </c>
      <c r="D23" s="307">
        <v>4326</v>
      </c>
      <c r="E23" s="307">
        <v>4520</v>
      </c>
      <c r="F23" s="307">
        <v>5102</v>
      </c>
    </row>
    <row r="24" spans="1:6" ht="15.75">
      <c r="A24" s="308">
        <v>17</v>
      </c>
      <c r="B24" s="308" t="s">
        <v>632</v>
      </c>
      <c r="C24" s="307">
        <v>6170</v>
      </c>
      <c r="D24" s="307">
        <v>6582</v>
      </c>
      <c r="E24" s="307">
        <v>6788</v>
      </c>
      <c r="F24" s="307">
        <v>7406</v>
      </c>
    </row>
    <row r="25" spans="1:6" ht="15.75">
      <c r="A25" s="308">
        <v>18</v>
      </c>
      <c r="B25" s="308" t="s">
        <v>759</v>
      </c>
      <c r="C25" s="307">
        <v>4670</v>
      </c>
      <c r="D25" s="307">
        <v>5118</v>
      </c>
      <c r="E25" s="307">
        <v>5342</v>
      </c>
      <c r="F25" s="307">
        <v>6014</v>
      </c>
    </row>
    <row r="26" spans="1:6" ht="15.75">
      <c r="A26" s="308">
        <v>19</v>
      </c>
      <c r="B26" s="308" t="s">
        <v>684</v>
      </c>
      <c r="C26" s="307">
        <v>5511</v>
      </c>
      <c r="D26" s="307">
        <v>5979</v>
      </c>
      <c r="E26" s="307">
        <v>6213</v>
      </c>
      <c r="F26" s="307">
        <v>6915</v>
      </c>
    </row>
    <row r="27" spans="1:6" ht="15.75">
      <c r="A27" s="308">
        <v>20</v>
      </c>
      <c r="B27" s="308" t="s">
        <v>760</v>
      </c>
      <c r="C27" s="307">
        <v>2356</v>
      </c>
      <c r="D27" s="307">
        <v>2662</v>
      </c>
      <c r="E27" s="307">
        <v>2815</v>
      </c>
      <c r="F27" s="307">
        <v>3274</v>
      </c>
    </row>
    <row r="28" spans="1:6" ht="15.75">
      <c r="A28" s="308">
        <v>21</v>
      </c>
      <c r="B28" s="308" t="s">
        <v>858</v>
      </c>
      <c r="C28" s="307">
        <v>4278</v>
      </c>
      <c r="D28" s="307">
        <v>4726</v>
      </c>
      <c r="E28" s="307">
        <v>4950</v>
      </c>
      <c r="F28" s="307">
        <v>5622</v>
      </c>
    </row>
    <row r="29" spans="1:6" ht="15.75">
      <c r="A29" s="308">
        <v>22</v>
      </c>
      <c r="B29" s="308" t="s">
        <v>214</v>
      </c>
      <c r="C29" s="307">
        <v>5054</v>
      </c>
      <c r="D29" s="307">
        <v>5486</v>
      </c>
      <c r="E29" s="307">
        <v>5702</v>
      </c>
      <c r="F29" s="307">
        <v>6350</v>
      </c>
    </row>
    <row r="30" spans="1:6" ht="15.75">
      <c r="A30" s="308">
        <v>23</v>
      </c>
      <c r="B30" s="308" t="s">
        <v>423</v>
      </c>
      <c r="C30" s="307">
        <v>2016</v>
      </c>
      <c r="D30" s="307">
        <v>2318</v>
      </c>
      <c r="E30" s="307">
        <v>2469</v>
      </c>
      <c r="F30" s="307">
        <v>2922</v>
      </c>
    </row>
    <row r="31" spans="1:6" ht="15.75">
      <c r="A31" s="544">
        <v>24</v>
      </c>
      <c r="B31" s="308" t="s">
        <v>859</v>
      </c>
      <c r="C31" s="307">
        <v>5081</v>
      </c>
      <c r="D31" s="307">
        <v>5545</v>
      </c>
      <c r="E31" s="307">
        <v>5777</v>
      </c>
      <c r="F31" s="307">
        <v>6473</v>
      </c>
    </row>
    <row r="32" spans="1:6" ht="15.75">
      <c r="A32" s="544"/>
      <c r="B32" s="308" t="s">
        <v>860</v>
      </c>
      <c r="C32" s="307">
        <v>8558</v>
      </c>
      <c r="D32" s="307">
        <v>9072</v>
      </c>
      <c r="E32" s="307">
        <v>9329</v>
      </c>
      <c r="F32" s="307">
        <v>10100</v>
      </c>
    </row>
    <row r="33" spans="1:6" ht="15.75">
      <c r="A33" s="544"/>
      <c r="B33" s="308" t="s">
        <v>861</v>
      </c>
      <c r="C33" s="307">
        <v>8573</v>
      </c>
      <c r="D33" s="307">
        <v>9137</v>
      </c>
      <c r="E33" s="307">
        <v>9419</v>
      </c>
      <c r="F33" s="307">
        <v>10265</v>
      </c>
    </row>
    <row r="34" spans="1:6" ht="15.75">
      <c r="A34" s="308">
        <v>25</v>
      </c>
      <c r="B34" s="308" t="s">
        <v>550</v>
      </c>
      <c r="C34" s="307">
        <v>3059</v>
      </c>
      <c r="D34" s="307">
        <v>3351</v>
      </c>
      <c r="E34" s="307">
        <v>3497</v>
      </c>
      <c r="F34" s="307">
        <v>3935</v>
      </c>
    </row>
    <row r="35" spans="1:6" ht="15.75">
      <c r="A35" s="308">
        <v>26</v>
      </c>
      <c r="B35" s="308" t="s">
        <v>610</v>
      </c>
      <c r="C35" s="307">
        <v>2489</v>
      </c>
      <c r="D35" s="307">
        <v>2805</v>
      </c>
      <c r="E35" s="307">
        <v>2963</v>
      </c>
      <c r="F35" s="307">
        <v>3437</v>
      </c>
    </row>
    <row r="36" spans="1:6" ht="15.75">
      <c r="A36" s="308">
        <v>27</v>
      </c>
      <c r="B36" s="308" t="s">
        <v>661</v>
      </c>
      <c r="C36" s="307">
        <v>5039</v>
      </c>
      <c r="D36" s="307">
        <v>5447</v>
      </c>
      <c r="E36" s="307">
        <v>5651</v>
      </c>
      <c r="F36" s="307">
        <v>6263</v>
      </c>
    </row>
    <row r="37" spans="1:6" ht="15.75">
      <c r="A37" s="308">
        <v>28</v>
      </c>
      <c r="B37" s="308" t="s">
        <v>164</v>
      </c>
      <c r="C37" s="307">
        <v>5566</v>
      </c>
      <c r="D37" s="307">
        <v>5976</v>
      </c>
      <c r="E37" s="307">
        <v>6181</v>
      </c>
      <c r="F37" s="307">
        <v>6796</v>
      </c>
    </row>
    <row r="38" spans="1:6" ht="15.75">
      <c r="A38" s="308">
        <v>29</v>
      </c>
      <c r="B38" s="308" t="s">
        <v>250</v>
      </c>
      <c r="C38" s="307">
        <v>4828</v>
      </c>
      <c r="D38" s="307">
        <v>5290</v>
      </c>
      <c r="E38" s="307">
        <v>5521</v>
      </c>
      <c r="F38" s="307">
        <v>6214</v>
      </c>
    </row>
    <row r="39" spans="1:6" ht="15.75">
      <c r="A39" s="308">
        <v>30</v>
      </c>
      <c r="B39" s="308" t="s">
        <v>258</v>
      </c>
      <c r="C39" s="307">
        <v>2587</v>
      </c>
      <c r="D39" s="307">
        <v>2895</v>
      </c>
      <c r="E39" s="307">
        <v>3049</v>
      </c>
      <c r="F39" s="307">
        <v>3511</v>
      </c>
    </row>
    <row r="40" spans="1:6" ht="15.75">
      <c r="A40" s="308">
        <v>31</v>
      </c>
      <c r="B40" s="308" t="s">
        <v>267</v>
      </c>
      <c r="C40" s="307">
        <v>2882</v>
      </c>
      <c r="D40" s="307">
        <v>3204</v>
      </c>
      <c r="E40" s="307">
        <v>3365</v>
      </c>
      <c r="F40" s="307">
        <v>3848</v>
      </c>
    </row>
    <row r="41" spans="1:6" ht="15.75">
      <c r="A41" s="308">
        <v>32</v>
      </c>
      <c r="B41" s="308" t="s">
        <v>269</v>
      </c>
      <c r="C41" s="307">
        <v>2946</v>
      </c>
      <c r="D41" s="307">
        <v>3268</v>
      </c>
      <c r="E41" s="307">
        <v>3429</v>
      </c>
      <c r="F41" s="307">
        <v>3912</v>
      </c>
    </row>
    <row r="42" spans="1:6" ht="15.75">
      <c r="A42" s="308">
        <v>33</v>
      </c>
      <c r="B42" s="308" t="s">
        <v>282</v>
      </c>
      <c r="C42" s="307">
        <v>3954</v>
      </c>
      <c r="D42" s="307">
        <v>4402</v>
      </c>
      <c r="E42" s="307">
        <v>4626</v>
      </c>
      <c r="F42" s="307">
        <v>5298</v>
      </c>
    </row>
    <row r="43" spans="1:6" ht="15.75">
      <c r="A43" s="308">
        <v>34</v>
      </c>
      <c r="B43" s="308" t="s">
        <v>285</v>
      </c>
      <c r="C43" s="307">
        <v>2928</v>
      </c>
      <c r="D43" s="307">
        <v>3242</v>
      </c>
      <c r="E43" s="307">
        <v>3399</v>
      </c>
      <c r="F43" s="307">
        <v>3870</v>
      </c>
    </row>
    <row r="44" spans="1:6" ht="15.75">
      <c r="A44" s="308">
        <v>35</v>
      </c>
      <c r="B44" s="308" t="s">
        <v>292</v>
      </c>
      <c r="C44" s="307">
        <v>4234</v>
      </c>
      <c r="D44" s="307">
        <v>4682</v>
      </c>
      <c r="E44" s="307">
        <v>4906</v>
      </c>
      <c r="F44" s="307">
        <v>5578</v>
      </c>
    </row>
    <row r="45" spans="1:6" ht="15.75">
      <c r="A45" s="308">
        <v>36</v>
      </c>
      <c r="B45" s="308" t="s">
        <v>298</v>
      </c>
      <c r="C45" s="307">
        <v>2979</v>
      </c>
      <c r="D45" s="307">
        <v>3301</v>
      </c>
      <c r="E45" s="307">
        <v>3462</v>
      </c>
      <c r="F45" s="307">
        <v>3945</v>
      </c>
    </row>
    <row r="46" spans="1:6" ht="15.75">
      <c r="A46" s="308">
        <v>37</v>
      </c>
      <c r="B46" s="308" t="s">
        <v>323</v>
      </c>
      <c r="C46" s="307">
        <v>3962</v>
      </c>
      <c r="D46" s="307">
        <v>4388</v>
      </c>
      <c r="E46" s="307">
        <v>4601</v>
      </c>
      <c r="F46" s="307">
        <v>5240</v>
      </c>
    </row>
    <row r="47" spans="1:6" ht="15.75">
      <c r="A47" s="308">
        <v>38</v>
      </c>
      <c r="B47" s="308" t="s">
        <v>329</v>
      </c>
      <c r="C47" s="307">
        <v>5271</v>
      </c>
      <c r="D47" s="307">
        <v>5691</v>
      </c>
      <c r="E47" s="307">
        <v>5901</v>
      </c>
      <c r="F47" s="307">
        <v>6531</v>
      </c>
    </row>
    <row r="48" spans="1:6" ht="15.75">
      <c r="A48" s="308">
        <v>39</v>
      </c>
      <c r="B48" s="308" t="s">
        <v>358</v>
      </c>
      <c r="C48" s="307">
        <v>2293</v>
      </c>
      <c r="D48" s="307">
        <v>2605</v>
      </c>
      <c r="E48" s="307">
        <v>2761</v>
      </c>
      <c r="F48" s="307">
        <v>3229</v>
      </c>
    </row>
    <row r="49" spans="1:6" ht="15.75">
      <c r="A49" s="308">
        <v>40</v>
      </c>
      <c r="B49" s="308" t="s">
        <v>362</v>
      </c>
      <c r="C49" s="307">
        <v>3257</v>
      </c>
      <c r="D49" s="307">
        <v>3625</v>
      </c>
      <c r="E49" s="307">
        <v>3809</v>
      </c>
      <c r="F49" s="307">
        <v>4361</v>
      </c>
    </row>
    <row r="50" spans="1:6" ht="15.75">
      <c r="A50" s="308">
        <v>41</v>
      </c>
      <c r="B50" s="308" t="s">
        <v>364</v>
      </c>
      <c r="C50" s="307">
        <v>4773</v>
      </c>
      <c r="D50" s="307">
        <v>5289</v>
      </c>
      <c r="E50" s="307">
        <v>5547</v>
      </c>
      <c r="F50" s="307">
        <v>6321</v>
      </c>
    </row>
    <row r="51" spans="1:6" ht="15.75">
      <c r="A51" s="308">
        <v>42</v>
      </c>
      <c r="B51" s="308" t="s">
        <v>394</v>
      </c>
      <c r="C51" s="307">
        <v>5302</v>
      </c>
      <c r="D51" s="307">
        <v>5742</v>
      </c>
      <c r="E51" s="307">
        <v>5962</v>
      </c>
      <c r="F51" s="307">
        <v>6622</v>
      </c>
    </row>
    <row r="52" spans="1:6" ht="15.75">
      <c r="A52" s="308">
        <v>43</v>
      </c>
      <c r="B52" s="308" t="s">
        <v>403</v>
      </c>
      <c r="C52" s="307">
        <v>4601</v>
      </c>
      <c r="D52" s="307">
        <v>5051</v>
      </c>
      <c r="E52" s="307">
        <v>5276</v>
      </c>
      <c r="F52" s="307">
        <v>5951</v>
      </c>
    </row>
    <row r="53" spans="1:6" ht="15.75">
      <c r="A53" s="308">
        <v>44</v>
      </c>
      <c r="B53" s="308" t="s">
        <v>419</v>
      </c>
      <c r="C53" s="307">
        <v>3753</v>
      </c>
      <c r="D53" s="307">
        <v>4147</v>
      </c>
      <c r="E53" s="307">
        <v>4344</v>
      </c>
      <c r="F53" s="307">
        <v>4935</v>
      </c>
    </row>
    <row r="54" spans="1:6" ht="15.75">
      <c r="A54" s="308">
        <v>45</v>
      </c>
      <c r="B54" s="308" t="s">
        <v>463</v>
      </c>
      <c r="C54" s="307">
        <v>5061</v>
      </c>
      <c r="D54" s="307">
        <v>5503</v>
      </c>
      <c r="E54" s="307">
        <v>5724</v>
      </c>
      <c r="F54" s="307">
        <v>6387</v>
      </c>
    </row>
    <row r="55" spans="1:6" ht="15.75">
      <c r="A55" s="308">
        <v>46</v>
      </c>
      <c r="B55" s="308" t="s">
        <v>465</v>
      </c>
      <c r="C55" s="307">
        <v>3032</v>
      </c>
      <c r="D55" s="307">
        <v>3394</v>
      </c>
      <c r="E55" s="307">
        <v>3575</v>
      </c>
      <c r="F55" s="307">
        <v>4118</v>
      </c>
    </row>
    <row r="56" spans="1:6" ht="15.75">
      <c r="A56" s="308">
        <v>47</v>
      </c>
      <c r="B56" s="308" t="s">
        <v>471</v>
      </c>
      <c r="C56" s="307">
        <v>3370</v>
      </c>
      <c r="D56" s="307">
        <v>3770</v>
      </c>
      <c r="E56" s="307">
        <v>3970</v>
      </c>
      <c r="F56" s="307">
        <v>4570</v>
      </c>
    </row>
    <row r="57" spans="1:6" ht="15.75">
      <c r="A57" s="308">
        <v>48</v>
      </c>
      <c r="B57" s="308" t="s">
        <v>467</v>
      </c>
      <c r="C57" s="307">
        <v>3306</v>
      </c>
      <c r="D57" s="307">
        <v>3654</v>
      </c>
      <c r="E57" s="307">
        <v>3828</v>
      </c>
      <c r="F57" s="307">
        <v>4350</v>
      </c>
    </row>
    <row r="58" spans="1:6" ht="15.75">
      <c r="A58" s="308">
        <v>49</v>
      </c>
      <c r="B58" s="308" t="s">
        <v>474</v>
      </c>
      <c r="C58" s="307">
        <v>6312</v>
      </c>
      <c r="D58" s="307">
        <v>6820</v>
      </c>
      <c r="E58" s="307">
        <v>7074</v>
      </c>
      <c r="F58" s="307">
        <v>7836</v>
      </c>
    </row>
    <row r="59" spans="1:6" ht="15.75">
      <c r="A59" s="308">
        <v>50</v>
      </c>
      <c r="B59" s="308" t="s">
        <v>486</v>
      </c>
      <c r="C59" s="307">
        <v>3115</v>
      </c>
      <c r="D59" s="307">
        <v>3463</v>
      </c>
      <c r="E59" s="307">
        <v>3637</v>
      </c>
      <c r="F59" s="307">
        <v>4159</v>
      </c>
    </row>
    <row r="60" spans="1:6" ht="15.75">
      <c r="A60" s="308">
        <v>51</v>
      </c>
      <c r="B60" s="308" t="s">
        <v>491</v>
      </c>
      <c r="C60" s="307">
        <v>5562</v>
      </c>
      <c r="D60" s="307">
        <v>6088</v>
      </c>
      <c r="E60" s="307">
        <v>6351</v>
      </c>
      <c r="F60" s="307">
        <v>7140</v>
      </c>
    </row>
    <row r="61" spans="1:6" ht="15.75">
      <c r="A61" s="308">
        <v>52</v>
      </c>
      <c r="B61" s="308" t="s">
        <v>514</v>
      </c>
      <c r="C61" s="307">
        <v>3683</v>
      </c>
      <c r="D61" s="307">
        <v>4079</v>
      </c>
      <c r="E61" s="307">
        <v>4277</v>
      </c>
      <c r="F61" s="307">
        <v>4871</v>
      </c>
    </row>
    <row r="62" spans="1:6" ht="15.75">
      <c r="A62" s="308">
        <v>53</v>
      </c>
      <c r="B62" s="308" t="s">
        <v>518</v>
      </c>
      <c r="C62" s="307">
        <v>3383</v>
      </c>
      <c r="D62" s="307">
        <v>3773</v>
      </c>
      <c r="E62" s="307">
        <v>3968</v>
      </c>
      <c r="F62" s="307">
        <v>4553</v>
      </c>
    </row>
    <row r="63" spans="1:6" ht="15.75">
      <c r="A63" s="308">
        <v>54</v>
      </c>
      <c r="B63" s="308" t="s">
        <v>521</v>
      </c>
      <c r="C63" s="307">
        <v>5037</v>
      </c>
      <c r="D63" s="307">
        <v>5475</v>
      </c>
      <c r="E63" s="307">
        <v>5694</v>
      </c>
      <c r="F63" s="307">
        <v>6351</v>
      </c>
    </row>
    <row r="64" spans="1:6" ht="15.75">
      <c r="A64" s="308">
        <v>55</v>
      </c>
      <c r="B64" s="308" t="s">
        <v>531</v>
      </c>
      <c r="C64" s="307">
        <v>5238</v>
      </c>
      <c r="D64" s="307">
        <v>5680</v>
      </c>
      <c r="E64" s="307">
        <v>5901</v>
      </c>
      <c r="F64" s="307">
        <v>6564</v>
      </c>
    </row>
    <row r="65" spans="1:6" ht="15.75">
      <c r="A65" s="308">
        <v>56</v>
      </c>
      <c r="B65" s="308" t="s">
        <v>536</v>
      </c>
      <c r="C65" s="307">
        <v>4494</v>
      </c>
      <c r="D65" s="307">
        <v>4920</v>
      </c>
      <c r="E65" s="307">
        <v>5133</v>
      </c>
      <c r="F65" s="307">
        <v>5772</v>
      </c>
    </row>
    <row r="66" spans="1:6" ht="15.75">
      <c r="A66" s="308">
        <v>57</v>
      </c>
      <c r="B66" s="308" t="s">
        <v>540</v>
      </c>
      <c r="C66" s="307">
        <v>3498</v>
      </c>
      <c r="D66" s="307">
        <v>3922</v>
      </c>
      <c r="E66" s="307">
        <v>4134</v>
      </c>
      <c r="F66" s="307">
        <v>4770</v>
      </c>
    </row>
    <row r="67" spans="1:6" ht="15.75">
      <c r="A67" s="308">
        <v>58</v>
      </c>
      <c r="B67" s="308" t="s">
        <v>542</v>
      </c>
      <c r="C67" s="307">
        <v>3996</v>
      </c>
      <c r="D67" s="307">
        <v>4420</v>
      </c>
      <c r="E67" s="307">
        <v>4632</v>
      </c>
      <c r="F67" s="307">
        <v>5268</v>
      </c>
    </row>
    <row r="68" spans="1:6" ht="15.75">
      <c r="A68" s="308">
        <v>59</v>
      </c>
      <c r="B68" s="308" t="s">
        <v>545</v>
      </c>
      <c r="C68" s="307">
        <v>4682</v>
      </c>
      <c r="D68" s="307">
        <v>5130</v>
      </c>
      <c r="E68" s="307">
        <v>5354</v>
      </c>
      <c r="F68" s="307">
        <v>6026</v>
      </c>
    </row>
    <row r="69" spans="1:6" ht="15.75">
      <c r="A69" s="308">
        <v>60</v>
      </c>
      <c r="B69" s="308" t="s">
        <v>567</v>
      </c>
      <c r="C69" s="307">
        <v>3380</v>
      </c>
      <c r="D69" s="307">
        <v>3796</v>
      </c>
      <c r="E69" s="307">
        <v>4004</v>
      </c>
      <c r="F69" s="307">
        <v>4628</v>
      </c>
    </row>
    <row r="70" spans="1:6" ht="15.75">
      <c r="A70" s="308">
        <v>61</v>
      </c>
      <c r="B70" s="308" t="s">
        <v>570</v>
      </c>
      <c r="C70" s="307">
        <v>2424</v>
      </c>
      <c r="D70" s="307">
        <v>2726</v>
      </c>
      <c r="E70" s="307">
        <v>2877</v>
      </c>
      <c r="F70" s="307">
        <v>3330</v>
      </c>
    </row>
    <row r="71" spans="1:6" ht="15.75">
      <c r="A71" s="308">
        <v>62</v>
      </c>
      <c r="B71" s="308" t="s">
        <v>574</v>
      </c>
      <c r="C71" s="307">
        <v>3294</v>
      </c>
      <c r="D71" s="307">
        <v>3638</v>
      </c>
      <c r="E71" s="307">
        <v>3810</v>
      </c>
      <c r="F71" s="307">
        <v>4326</v>
      </c>
    </row>
    <row r="72" spans="1:6" ht="15.75">
      <c r="A72" s="308">
        <v>63</v>
      </c>
      <c r="B72" s="308" t="s">
        <v>576</v>
      </c>
      <c r="C72" s="307">
        <v>3837</v>
      </c>
      <c r="D72" s="307">
        <v>4185</v>
      </c>
      <c r="E72" s="307">
        <v>4359</v>
      </c>
      <c r="F72" s="307">
        <v>4881</v>
      </c>
    </row>
    <row r="73" spans="1:6" ht="15.75">
      <c r="A73" s="308">
        <v>64</v>
      </c>
      <c r="B73" s="308" t="s">
        <v>578</v>
      </c>
      <c r="C73" s="307">
        <v>3349</v>
      </c>
      <c r="D73" s="307">
        <v>3671</v>
      </c>
      <c r="E73" s="307">
        <v>3832</v>
      </c>
      <c r="F73" s="307">
        <v>4315</v>
      </c>
    </row>
    <row r="74" spans="1:6" ht="15.75">
      <c r="A74" s="308">
        <v>65</v>
      </c>
      <c r="B74" s="308" t="s">
        <v>582</v>
      </c>
      <c r="C74" s="307">
        <v>4515</v>
      </c>
      <c r="D74" s="307">
        <v>4919</v>
      </c>
      <c r="E74" s="307">
        <v>5121</v>
      </c>
      <c r="F74" s="307">
        <v>5727</v>
      </c>
    </row>
    <row r="75" spans="1:6" ht="15.75">
      <c r="A75" s="308">
        <v>66</v>
      </c>
      <c r="B75" s="308" t="s">
        <v>598</v>
      </c>
      <c r="C75" s="307">
        <v>4749</v>
      </c>
      <c r="D75" s="307">
        <v>5197</v>
      </c>
      <c r="E75" s="307">
        <v>5421</v>
      </c>
      <c r="F75" s="307">
        <v>6093</v>
      </c>
    </row>
    <row r="76" spans="1:6" ht="15.75">
      <c r="A76" s="308">
        <v>67</v>
      </c>
      <c r="B76" s="308" t="s">
        <v>607</v>
      </c>
      <c r="C76" s="307">
        <v>3503</v>
      </c>
      <c r="D76" s="307">
        <v>3925</v>
      </c>
      <c r="E76" s="307">
        <v>4136</v>
      </c>
      <c r="F76" s="307">
        <v>4769</v>
      </c>
    </row>
    <row r="77" spans="1:6" ht="15.75">
      <c r="A77" s="308">
        <v>68</v>
      </c>
      <c r="B77" s="308" t="s">
        <v>616</v>
      </c>
      <c r="C77" s="307">
        <v>3468</v>
      </c>
      <c r="D77" s="307">
        <v>3836</v>
      </c>
      <c r="E77" s="307">
        <v>4020</v>
      </c>
      <c r="F77" s="307">
        <v>4572</v>
      </c>
    </row>
    <row r="78" spans="1:6" ht="15.75">
      <c r="A78" s="308">
        <v>69</v>
      </c>
      <c r="B78" s="308" t="s">
        <v>622</v>
      </c>
      <c r="C78" s="307">
        <v>3202</v>
      </c>
      <c r="D78" s="307">
        <v>3550</v>
      </c>
      <c r="E78" s="307">
        <v>3724</v>
      </c>
      <c r="F78" s="307">
        <v>4246</v>
      </c>
    </row>
    <row r="79" spans="1:6" ht="15.75">
      <c r="A79" s="308">
        <v>70</v>
      </c>
      <c r="B79" s="308" t="s">
        <v>626</v>
      </c>
      <c r="C79" s="307">
        <v>5403</v>
      </c>
      <c r="D79" s="307">
        <v>5845</v>
      </c>
      <c r="E79" s="307">
        <v>6066</v>
      </c>
      <c r="F79" s="307">
        <v>6729</v>
      </c>
    </row>
    <row r="80" spans="1:6" ht="15.75">
      <c r="A80" s="308">
        <v>71</v>
      </c>
      <c r="B80" s="308" t="s">
        <v>634</v>
      </c>
      <c r="C80" s="307">
        <v>3448</v>
      </c>
      <c r="D80" s="307">
        <v>3842</v>
      </c>
      <c r="E80" s="307">
        <v>4039</v>
      </c>
      <c r="F80" s="307">
        <v>4630</v>
      </c>
    </row>
    <row r="81" spans="1:6" ht="15.75">
      <c r="A81" s="308">
        <v>72</v>
      </c>
      <c r="B81" s="308" t="s">
        <v>862</v>
      </c>
      <c r="C81" s="307">
        <v>5096</v>
      </c>
      <c r="D81" s="307">
        <v>5542</v>
      </c>
      <c r="E81" s="307">
        <v>5765</v>
      </c>
      <c r="F81" s="307">
        <v>6434</v>
      </c>
    </row>
    <row r="82" spans="1:6" ht="15.75">
      <c r="A82" s="308">
        <v>73</v>
      </c>
      <c r="B82" s="308" t="s">
        <v>658</v>
      </c>
      <c r="C82" s="307">
        <v>4262</v>
      </c>
      <c r="D82" s="307">
        <v>4706</v>
      </c>
      <c r="E82" s="307">
        <v>4928</v>
      </c>
      <c r="F82" s="307">
        <v>5594</v>
      </c>
    </row>
    <row r="83" spans="1:6" ht="15.75">
      <c r="A83" s="308">
        <v>74</v>
      </c>
      <c r="B83" s="308" t="s">
        <v>687</v>
      </c>
      <c r="C83" s="307">
        <v>4895</v>
      </c>
      <c r="D83" s="307">
        <v>5341</v>
      </c>
      <c r="E83" s="307">
        <v>5564</v>
      </c>
      <c r="F83" s="307">
        <v>6233</v>
      </c>
    </row>
    <row r="84" spans="1:6" ht="15.75">
      <c r="A84" s="308">
        <v>75</v>
      </c>
      <c r="B84" s="308" t="s">
        <v>307</v>
      </c>
      <c r="C84" s="307">
        <v>6003</v>
      </c>
      <c r="D84" s="307">
        <v>6417</v>
      </c>
      <c r="E84" s="307">
        <v>6624</v>
      </c>
      <c r="F84" s="307">
        <v>7245</v>
      </c>
    </row>
    <row r="85" spans="1:6" ht="15.75">
      <c r="A85" s="308">
        <v>76</v>
      </c>
      <c r="B85" s="308" t="s">
        <v>752</v>
      </c>
      <c r="C85" s="307">
        <v>3805</v>
      </c>
      <c r="D85" s="307">
        <v>4229</v>
      </c>
      <c r="E85" s="307">
        <v>4441</v>
      </c>
      <c r="F85" s="307">
        <v>5077</v>
      </c>
    </row>
    <row r="86" spans="1:6" ht="15.75">
      <c r="A86" s="308">
        <v>77</v>
      </c>
      <c r="B86" s="308" t="s">
        <v>863</v>
      </c>
      <c r="C86" s="307">
        <v>3115</v>
      </c>
      <c r="D86" s="307">
        <v>3463</v>
      </c>
      <c r="E86" s="307">
        <v>3637</v>
      </c>
      <c r="F86" s="307">
        <v>4159</v>
      </c>
    </row>
    <row r="87" spans="1:6" ht="15.75">
      <c r="A87" s="308">
        <v>78</v>
      </c>
      <c r="B87" s="308" t="s">
        <v>864</v>
      </c>
      <c r="C87" s="307">
        <v>3370</v>
      </c>
      <c r="D87" s="307">
        <v>3770</v>
      </c>
      <c r="E87" s="307">
        <v>3970</v>
      </c>
      <c r="F87" s="307">
        <v>4570</v>
      </c>
    </row>
    <row r="88" spans="1:6" ht="15.75">
      <c r="A88" s="308">
        <v>79</v>
      </c>
      <c r="B88" s="308" t="s">
        <v>304</v>
      </c>
      <c r="C88" s="307">
        <v>5366</v>
      </c>
      <c r="D88" s="307">
        <v>5762</v>
      </c>
      <c r="E88" s="307">
        <v>5960</v>
      </c>
      <c r="F88" s="307">
        <v>6554</v>
      </c>
    </row>
    <row r="89" spans="1:6" ht="15.75">
      <c r="A89" s="308">
        <v>83</v>
      </c>
      <c r="B89" s="308" t="s">
        <v>865</v>
      </c>
      <c r="C89" s="307">
        <v>6398</v>
      </c>
      <c r="D89" s="307">
        <v>6914</v>
      </c>
      <c r="E89" s="307">
        <v>7172</v>
      </c>
      <c r="F89" s="307">
        <v>7946</v>
      </c>
    </row>
    <row r="90" spans="1:6" ht="15.75">
      <c r="A90" s="308">
        <v>86</v>
      </c>
      <c r="B90" s="308" t="s">
        <v>866</v>
      </c>
      <c r="C90" s="307">
        <v>6175</v>
      </c>
      <c r="D90" s="307">
        <v>6673</v>
      </c>
      <c r="E90" s="307">
        <v>6922</v>
      </c>
      <c r="F90" s="307">
        <v>7669</v>
      </c>
    </row>
    <row r="91" spans="1:6" ht="15.75">
      <c r="A91" s="308">
        <v>87</v>
      </c>
      <c r="B91" s="308" t="s">
        <v>867</v>
      </c>
      <c r="C91" s="307">
        <v>7290</v>
      </c>
      <c r="D91" s="307">
        <v>7834</v>
      </c>
      <c r="E91" s="307">
        <v>8106</v>
      </c>
      <c r="F91" s="307">
        <v>8922</v>
      </c>
    </row>
    <row r="92" spans="1:6" ht="15.75">
      <c r="A92" s="308">
        <v>89</v>
      </c>
      <c r="B92" s="308" t="s">
        <v>868</v>
      </c>
      <c r="C92" s="307">
        <v>7782</v>
      </c>
      <c r="D92" s="307">
        <v>8350</v>
      </c>
      <c r="E92" s="307">
        <v>8634</v>
      </c>
      <c r="F92" s="307">
        <v>9486</v>
      </c>
    </row>
    <row r="93" spans="1:6" ht="15.75">
      <c r="A93" s="308">
        <v>91</v>
      </c>
      <c r="B93" s="308" t="s">
        <v>455</v>
      </c>
      <c r="C93" s="307">
        <v>1503</v>
      </c>
      <c r="D93" s="307">
        <v>1769</v>
      </c>
      <c r="E93" s="307">
        <v>1902</v>
      </c>
      <c r="F93" s="307">
        <v>2301</v>
      </c>
    </row>
    <row r="94" spans="1:6" ht="15.75">
      <c r="A94" s="308">
        <v>92</v>
      </c>
      <c r="B94" s="308" t="s">
        <v>869</v>
      </c>
      <c r="C94" s="307">
        <v>1503</v>
      </c>
      <c r="D94" s="307">
        <v>1769</v>
      </c>
      <c r="E94" s="307">
        <v>1902</v>
      </c>
      <c r="F94" s="307">
        <v>2301</v>
      </c>
    </row>
  </sheetData>
  <mergeCells count="4">
    <mergeCell ref="A4:A5"/>
    <mergeCell ref="C4:F4"/>
    <mergeCell ref="A19:A21"/>
    <mergeCell ref="A31:A33"/>
  </mergeCells>
  <pageMargins left="0.75" right="0.75" top="1" bottom="1" header="0.5" footer="0.5"/>
  <pageSetup paperSize="9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W94"/>
  <sheetViews>
    <sheetView workbookViewId="0">
      <selection activeCell="A2" sqref="A2"/>
    </sheetView>
  </sheetViews>
  <sheetFormatPr defaultColWidth="9.140625" defaultRowHeight="12.75"/>
  <cols>
    <col min="1" max="1" width="24.28515625" style="273" customWidth="1"/>
    <col min="2" max="2" width="44.42578125" style="273" customWidth="1"/>
    <col min="3" max="3" width="11" style="273" customWidth="1"/>
    <col min="4" max="4" width="10.42578125" style="273" customWidth="1"/>
    <col min="5" max="5" width="28.28515625" style="273" customWidth="1"/>
    <col min="6" max="6" width="10.42578125" style="273" customWidth="1"/>
    <col min="7" max="7" width="26.42578125" style="273" customWidth="1"/>
    <col min="8" max="8" width="7.140625" style="273" customWidth="1"/>
    <col min="9" max="9" width="12" style="273" customWidth="1"/>
    <col min="10" max="10" width="12.42578125" style="273" customWidth="1"/>
    <col min="11" max="11" width="36.140625" style="273" customWidth="1"/>
    <col min="12" max="12" width="18.7109375" style="273" customWidth="1"/>
    <col min="13" max="13" width="32.42578125" style="273" customWidth="1"/>
    <col min="14" max="15" width="12" style="273" customWidth="1"/>
    <col min="16" max="16" width="10.28515625" style="273" customWidth="1"/>
    <col min="17" max="17" width="12.7109375" style="273" customWidth="1"/>
    <col min="18" max="18" width="10.42578125" style="273" customWidth="1"/>
    <col min="19" max="19" width="11.42578125" style="273" customWidth="1"/>
    <col min="20" max="20" width="18.42578125" style="273" customWidth="1"/>
    <col min="21" max="21" width="10.28515625" style="273" customWidth="1"/>
    <col min="22" max="22" width="8.42578125" style="273" customWidth="1"/>
    <col min="23" max="23" width="3.42578125" style="273" customWidth="1"/>
    <col min="24" max="24" width="9.42578125" style="273" bestFit="1" customWidth="1"/>
    <col min="25" max="16384" width="9.140625" style="273"/>
  </cols>
  <sheetData>
    <row r="1" spans="1:23" s="271" customFormat="1" ht="15">
      <c r="A1" s="268" t="s">
        <v>1027</v>
      </c>
      <c r="B1" s="269"/>
      <c r="C1" s="269"/>
      <c r="D1" s="269"/>
      <c r="E1" s="269"/>
      <c r="F1" s="269"/>
      <c r="G1" s="269"/>
      <c r="H1" s="269"/>
      <c r="I1" s="269"/>
      <c r="J1" s="269"/>
      <c r="K1" s="269"/>
      <c r="L1" s="269"/>
      <c r="M1" s="269"/>
      <c r="N1" s="269"/>
      <c r="O1" s="270"/>
      <c r="P1" s="270"/>
      <c r="Q1" s="270"/>
      <c r="R1" s="270"/>
      <c r="S1" s="270"/>
      <c r="T1" s="270"/>
      <c r="U1" s="270"/>
      <c r="V1" s="270"/>
      <c r="W1" s="270"/>
    </row>
    <row r="2" spans="1:23" ht="15">
      <c r="A2" s="272"/>
      <c r="B2" s="272"/>
      <c r="C2" s="272"/>
      <c r="D2" s="272"/>
      <c r="E2" s="272"/>
      <c r="F2" s="272"/>
      <c r="G2" s="272"/>
      <c r="H2" s="272"/>
      <c r="I2" s="272"/>
      <c r="J2" s="272"/>
      <c r="K2" s="272"/>
      <c r="L2" s="272"/>
      <c r="M2" s="272"/>
      <c r="N2" s="272"/>
      <c r="O2" s="272"/>
      <c r="P2" s="272"/>
      <c r="Q2" s="272"/>
      <c r="R2" s="272"/>
      <c r="S2" s="272"/>
      <c r="T2" s="272"/>
      <c r="U2" s="272"/>
      <c r="V2" s="272"/>
      <c r="W2" s="272"/>
    </row>
    <row r="3" spans="1:23" ht="15">
      <c r="A3" s="272"/>
      <c r="B3" s="272">
        <f>VLOOKUP('1.Общие данные по зданию'!C7,Климатология2020!B6:F94,IF('1.Общие данные по зданию'!C17=18,2,IF('1.Общие данные по зданию'!C17=20,3,IF('1.Общие данные по зданию'!C17=21,4,5))),0)</f>
        <v>1904</v>
      </c>
      <c r="C3" s="272"/>
      <c r="D3" s="272"/>
      <c r="E3" s="272"/>
      <c r="F3" s="272"/>
      <c r="G3" s="272"/>
      <c r="H3" s="272"/>
      <c r="I3" s="272"/>
      <c r="J3" s="272"/>
      <c r="K3" s="272"/>
      <c r="L3" s="272"/>
      <c r="M3" s="272"/>
      <c r="N3" s="272"/>
      <c r="O3" s="272"/>
      <c r="P3" s="272"/>
      <c r="Q3" s="272"/>
      <c r="R3" s="272"/>
      <c r="S3" s="272"/>
      <c r="T3" s="272"/>
      <c r="U3" s="272"/>
      <c r="V3" s="272"/>
      <c r="W3" s="272"/>
    </row>
    <row r="4" spans="1:23" ht="31.5" customHeight="1">
      <c r="A4" s="542"/>
      <c r="B4" s="310"/>
      <c r="C4" s="543" t="s">
        <v>848</v>
      </c>
      <c r="D4" s="543"/>
      <c r="E4" s="543"/>
      <c r="F4" s="543"/>
      <c r="G4" s="272"/>
      <c r="H4" s="272"/>
      <c r="I4" s="272"/>
      <c r="J4" s="272"/>
      <c r="K4" s="272"/>
      <c r="L4" s="272"/>
      <c r="M4" s="272"/>
      <c r="N4" s="272"/>
      <c r="O4" s="272"/>
      <c r="P4" s="272"/>
      <c r="Q4" s="272"/>
      <c r="R4" s="272"/>
      <c r="S4" s="272"/>
      <c r="T4" s="272"/>
      <c r="U4" s="272"/>
      <c r="V4" s="272"/>
      <c r="W4" s="272"/>
    </row>
    <row r="5" spans="1:23" ht="18.75">
      <c r="A5" s="542"/>
      <c r="B5" s="310" t="s">
        <v>755</v>
      </c>
      <c r="C5" s="307" t="s">
        <v>849</v>
      </c>
      <c r="D5" s="307" t="s">
        <v>850</v>
      </c>
      <c r="E5" s="307" t="s">
        <v>851</v>
      </c>
      <c r="F5" s="307" t="s">
        <v>852</v>
      </c>
      <c r="G5" s="272"/>
      <c r="H5" s="272"/>
      <c r="I5" s="272"/>
      <c r="J5" s="272"/>
      <c r="K5" s="272"/>
      <c r="L5" s="272"/>
      <c r="M5" s="272"/>
      <c r="N5" s="272"/>
      <c r="O5" s="272"/>
      <c r="P5" s="272"/>
      <c r="Q5" s="272"/>
      <c r="R5" s="272"/>
      <c r="S5" s="272"/>
      <c r="T5" s="272"/>
      <c r="U5" s="272"/>
      <c r="V5" s="272"/>
      <c r="W5" s="272"/>
    </row>
    <row r="6" spans="1:23" ht="15.75">
      <c r="A6" s="308">
        <v>1</v>
      </c>
      <c r="B6" s="308" t="s">
        <v>853</v>
      </c>
      <c r="C6" s="307">
        <v>1732</v>
      </c>
      <c r="D6" s="307">
        <v>1962</v>
      </c>
      <c r="E6" s="307">
        <v>2077</v>
      </c>
      <c r="F6" s="307">
        <v>2422</v>
      </c>
      <c r="J6" s="428"/>
      <c r="K6" s="428"/>
      <c r="L6" s="428"/>
      <c r="M6" s="428"/>
    </row>
    <row r="7" spans="1:23" ht="15.75">
      <c r="A7" s="308">
        <v>2</v>
      </c>
      <c r="B7" s="308" t="s">
        <v>261</v>
      </c>
      <c r="C7" s="307">
        <v>3995</v>
      </c>
      <c r="D7" s="307">
        <v>4373</v>
      </c>
      <c r="E7" s="307">
        <v>4562</v>
      </c>
      <c r="F7" s="307">
        <v>5129</v>
      </c>
      <c r="J7" s="428"/>
      <c r="K7" s="428"/>
      <c r="L7" s="428"/>
      <c r="M7" s="428"/>
    </row>
    <row r="8" spans="1:23" ht="15.75">
      <c r="A8" s="308">
        <v>3</v>
      </c>
      <c r="B8" s="308" t="s">
        <v>271</v>
      </c>
      <c r="C8" s="307">
        <v>5699</v>
      </c>
      <c r="D8" s="307">
        <v>6117</v>
      </c>
      <c r="E8" s="307">
        <v>6326</v>
      </c>
      <c r="F8" s="307">
        <v>6953</v>
      </c>
      <c r="J8" s="428"/>
      <c r="K8" s="428"/>
      <c r="L8" s="428"/>
      <c r="M8" s="428"/>
    </row>
    <row r="9" spans="1:23" ht="15.75">
      <c r="A9" s="308">
        <v>4</v>
      </c>
      <c r="B9" s="308" t="s">
        <v>223</v>
      </c>
      <c r="C9" s="307">
        <v>4581</v>
      </c>
      <c r="D9" s="307">
        <v>4991</v>
      </c>
      <c r="E9" s="307">
        <v>5196</v>
      </c>
      <c r="F9" s="307">
        <v>5811</v>
      </c>
      <c r="J9" s="428"/>
      <c r="K9" s="428"/>
      <c r="L9" s="428"/>
      <c r="M9" s="428"/>
    </row>
    <row r="10" spans="1:23" ht="15.75">
      <c r="A10" s="308">
        <v>5</v>
      </c>
      <c r="B10" s="308" t="s">
        <v>300</v>
      </c>
      <c r="C10" s="307">
        <v>1681</v>
      </c>
      <c r="D10" s="307">
        <v>1943</v>
      </c>
      <c r="E10" s="307">
        <v>2074</v>
      </c>
      <c r="F10" s="307">
        <v>2467</v>
      </c>
      <c r="J10" s="428"/>
      <c r="K10" s="428"/>
      <c r="L10" s="428"/>
      <c r="M10" s="428"/>
    </row>
    <row r="11" spans="1:23" ht="15.75">
      <c r="A11" s="308">
        <v>6</v>
      </c>
      <c r="B11" s="308" t="s">
        <v>326</v>
      </c>
      <c r="C11" s="307">
        <v>2663</v>
      </c>
      <c r="D11" s="307">
        <v>3005</v>
      </c>
      <c r="E11" s="307">
        <v>3176</v>
      </c>
      <c r="F11" s="307">
        <v>3689</v>
      </c>
      <c r="K11" s="428"/>
      <c r="L11" s="428"/>
      <c r="M11" s="428"/>
    </row>
    <row r="12" spans="1:23" ht="15.75">
      <c r="A12" s="308">
        <v>7</v>
      </c>
      <c r="B12" s="308" t="s">
        <v>757</v>
      </c>
      <c r="C12" s="307">
        <v>2451</v>
      </c>
      <c r="D12" s="307">
        <v>2781</v>
      </c>
      <c r="E12" s="307">
        <v>2946</v>
      </c>
      <c r="F12" s="307">
        <v>3441</v>
      </c>
      <c r="J12" s="428"/>
      <c r="K12" s="428"/>
      <c r="L12" s="428"/>
      <c r="M12" s="428"/>
    </row>
    <row r="13" spans="1:23" ht="15.75">
      <c r="A13" s="308">
        <v>8</v>
      </c>
      <c r="B13" s="308" t="s">
        <v>360</v>
      </c>
      <c r="C13" s="307">
        <v>2795</v>
      </c>
      <c r="D13" s="307">
        <v>3135</v>
      </c>
      <c r="E13" s="307">
        <v>3305</v>
      </c>
      <c r="F13" s="307">
        <v>3815</v>
      </c>
      <c r="J13" s="428"/>
      <c r="K13" s="428"/>
      <c r="L13" s="428"/>
      <c r="M13" s="428"/>
    </row>
    <row r="14" spans="1:23" ht="15.75">
      <c r="A14" s="308">
        <v>9</v>
      </c>
      <c r="B14" s="308" t="s">
        <v>384</v>
      </c>
      <c r="C14" s="307">
        <v>2060</v>
      </c>
      <c r="D14" s="307">
        <v>2304</v>
      </c>
      <c r="E14" s="307">
        <v>2426</v>
      </c>
      <c r="F14" s="307">
        <v>2792</v>
      </c>
      <c r="J14" s="428"/>
      <c r="K14" s="428"/>
      <c r="L14" s="428"/>
      <c r="M14" s="428"/>
    </row>
    <row r="15" spans="1:23" ht="15.75">
      <c r="A15" s="308">
        <v>10</v>
      </c>
      <c r="B15" s="308" t="s">
        <v>386</v>
      </c>
      <c r="C15" s="307">
        <v>3966</v>
      </c>
      <c r="D15" s="307">
        <v>4414</v>
      </c>
      <c r="E15" s="307">
        <v>4638</v>
      </c>
      <c r="F15" s="307">
        <v>5310</v>
      </c>
      <c r="J15" s="428"/>
      <c r="K15" s="428"/>
      <c r="L15" s="428"/>
      <c r="M15" s="428"/>
    </row>
    <row r="16" spans="1:23" ht="15.75">
      <c r="A16" s="308">
        <v>11</v>
      </c>
      <c r="B16" s="308" t="s">
        <v>407</v>
      </c>
      <c r="C16" s="307">
        <v>4737</v>
      </c>
      <c r="D16" s="307">
        <v>5197</v>
      </c>
      <c r="E16" s="307">
        <v>5427</v>
      </c>
      <c r="F16" s="307">
        <v>6117</v>
      </c>
      <c r="J16" s="428"/>
      <c r="K16" s="428"/>
      <c r="L16" s="428"/>
      <c r="M16" s="428"/>
    </row>
    <row r="17" spans="1:13" ht="15.75">
      <c r="A17" s="308">
        <v>12</v>
      </c>
      <c r="B17" s="308" t="s">
        <v>482</v>
      </c>
      <c r="C17" s="307">
        <v>3893</v>
      </c>
      <c r="D17" s="307">
        <v>4291</v>
      </c>
      <c r="E17" s="307">
        <v>4490</v>
      </c>
      <c r="F17" s="307">
        <v>5087</v>
      </c>
      <c r="J17" s="428"/>
      <c r="K17" s="428"/>
      <c r="L17" s="428"/>
      <c r="M17" s="428"/>
    </row>
    <row r="18" spans="1:13" ht="15.75">
      <c r="A18" s="308">
        <v>13</v>
      </c>
      <c r="B18" s="308" t="s">
        <v>484</v>
      </c>
      <c r="C18" s="307">
        <v>3777</v>
      </c>
      <c r="D18" s="307">
        <v>4167</v>
      </c>
      <c r="E18" s="307">
        <v>4362</v>
      </c>
      <c r="F18" s="307">
        <v>4947</v>
      </c>
      <c r="J18" s="428"/>
      <c r="K18" s="428"/>
      <c r="L18" s="428"/>
      <c r="M18" s="428"/>
    </row>
    <row r="19" spans="1:13" ht="15.75">
      <c r="A19" s="544">
        <v>14</v>
      </c>
      <c r="B19" s="308" t="s">
        <v>854</v>
      </c>
      <c r="C19" s="307">
        <v>8391</v>
      </c>
      <c r="D19" s="307">
        <v>8851</v>
      </c>
      <c r="E19" s="307">
        <v>9081</v>
      </c>
      <c r="F19" s="307">
        <v>9771</v>
      </c>
      <c r="J19" s="428"/>
      <c r="K19" s="428"/>
      <c r="L19" s="428"/>
      <c r="M19" s="428"/>
    </row>
    <row r="20" spans="1:13" ht="15.75">
      <c r="A20" s="544"/>
      <c r="B20" s="308" t="s">
        <v>855</v>
      </c>
      <c r="C20" s="307">
        <v>8878</v>
      </c>
      <c r="D20" s="307">
        <v>9362</v>
      </c>
      <c r="E20" s="307">
        <v>9604</v>
      </c>
      <c r="F20" s="307">
        <v>10330</v>
      </c>
      <c r="J20" s="428"/>
      <c r="K20" s="428"/>
      <c r="L20" s="428"/>
      <c r="M20" s="428"/>
    </row>
    <row r="21" spans="1:13" ht="15.75">
      <c r="A21" s="544"/>
      <c r="B21" s="308" t="s">
        <v>856</v>
      </c>
      <c r="C21" s="307">
        <v>9417</v>
      </c>
      <c r="D21" s="307">
        <v>10117</v>
      </c>
      <c r="E21" s="307">
        <v>10467</v>
      </c>
      <c r="F21" s="307">
        <v>11517</v>
      </c>
      <c r="J21" s="428"/>
      <c r="K21" s="428"/>
      <c r="L21" s="428"/>
      <c r="M21" s="428"/>
    </row>
    <row r="22" spans="1:13" ht="15.75">
      <c r="A22" s="308">
        <v>15</v>
      </c>
      <c r="B22" s="308" t="s">
        <v>857</v>
      </c>
      <c r="C22" s="307">
        <v>2050</v>
      </c>
      <c r="D22" s="307">
        <v>2292</v>
      </c>
      <c r="E22" s="307">
        <v>2413</v>
      </c>
      <c r="F22" s="307">
        <v>2776</v>
      </c>
      <c r="J22" s="428"/>
      <c r="K22" s="428"/>
      <c r="L22" s="428"/>
      <c r="M22" s="428"/>
    </row>
    <row r="23" spans="1:13" ht="15.75">
      <c r="A23" s="308">
        <v>16</v>
      </c>
      <c r="B23" s="308" t="s">
        <v>618</v>
      </c>
      <c r="C23" s="307">
        <v>3947</v>
      </c>
      <c r="D23" s="307">
        <v>4345</v>
      </c>
      <c r="E23" s="307">
        <v>4544</v>
      </c>
      <c r="F23" s="307">
        <v>5141</v>
      </c>
      <c r="J23" s="428"/>
      <c r="K23" s="428"/>
      <c r="L23" s="428"/>
      <c r="M23" s="428"/>
    </row>
    <row r="24" spans="1:13" ht="15.75">
      <c r="A24" s="308">
        <v>17</v>
      </c>
      <c r="B24" s="308" t="s">
        <v>632</v>
      </c>
      <c r="C24" s="307">
        <v>6073</v>
      </c>
      <c r="D24" s="307">
        <v>6475</v>
      </c>
      <c r="E24" s="307">
        <v>6676</v>
      </c>
      <c r="F24" s="307">
        <v>7279</v>
      </c>
      <c r="J24" s="428"/>
      <c r="K24" s="428"/>
      <c r="L24" s="428"/>
      <c r="M24" s="428"/>
    </row>
    <row r="25" spans="1:13" ht="15.75">
      <c r="A25" s="308">
        <v>18</v>
      </c>
      <c r="B25" s="308" t="s">
        <v>759</v>
      </c>
      <c r="C25" s="307">
        <v>4273</v>
      </c>
      <c r="D25" s="307">
        <v>4699</v>
      </c>
      <c r="E25" s="307">
        <v>4912</v>
      </c>
      <c r="F25" s="307">
        <v>5551</v>
      </c>
      <c r="J25" s="428"/>
      <c r="K25" s="428"/>
      <c r="L25" s="428"/>
      <c r="M25" s="428"/>
    </row>
    <row r="26" spans="1:13" ht="15.75">
      <c r="A26" s="308">
        <v>19</v>
      </c>
      <c r="B26" s="308" t="s">
        <v>684</v>
      </c>
      <c r="C26" s="307">
        <v>4819</v>
      </c>
      <c r="D26" s="307">
        <v>5235</v>
      </c>
      <c r="E26" s="307">
        <v>5443</v>
      </c>
      <c r="F26" s="307">
        <v>6067</v>
      </c>
      <c r="J26" s="428"/>
      <c r="K26" s="428"/>
      <c r="L26" s="428"/>
      <c r="M26" s="428"/>
    </row>
    <row r="27" spans="1:13" ht="15.75">
      <c r="A27" s="308">
        <v>20</v>
      </c>
      <c r="B27" s="308" t="s">
        <v>760</v>
      </c>
      <c r="C27" s="307">
        <v>1929</v>
      </c>
      <c r="D27" s="307">
        <v>2175</v>
      </c>
      <c r="E27" s="307">
        <v>2298</v>
      </c>
      <c r="F27" s="307">
        <v>2667</v>
      </c>
      <c r="J27" s="428"/>
      <c r="K27" s="428"/>
      <c r="L27" s="428"/>
      <c r="M27" s="428"/>
    </row>
    <row r="28" spans="1:13" ht="15.75">
      <c r="A28" s="308">
        <v>21</v>
      </c>
      <c r="B28" s="308" t="s">
        <v>858</v>
      </c>
      <c r="C28" s="307">
        <v>3916</v>
      </c>
      <c r="D28" s="307">
        <v>4314</v>
      </c>
      <c r="E28" s="307">
        <v>4513</v>
      </c>
      <c r="F28" s="307">
        <v>5110</v>
      </c>
      <c r="J28" s="428"/>
      <c r="K28" s="428"/>
      <c r="L28" s="428"/>
      <c r="M28" s="428"/>
    </row>
    <row r="29" spans="1:13" ht="15.75">
      <c r="A29" s="308">
        <v>22</v>
      </c>
      <c r="B29" s="308" t="s">
        <v>214</v>
      </c>
      <c r="C29" s="307">
        <v>4673</v>
      </c>
      <c r="D29" s="307">
        <v>5083</v>
      </c>
      <c r="E29" s="307">
        <v>5288</v>
      </c>
      <c r="F29" s="307">
        <v>5903</v>
      </c>
      <c r="J29" s="428"/>
      <c r="K29" s="428"/>
      <c r="L29" s="428"/>
      <c r="M29" s="428"/>
    </row>
    <row r="30" spans="1:13" ht="15.75">
      <c r="A30" s="308">
        <v>23</v>
      </c>
      <c r="B30" s="308" t="s">
        <v>423</v>
      </c>
      <c r="C30" s="307">
        <v>1678</v>
      </c>
      <c r="D30" s="307">
        <v>1904</v>
      </c>
      <c r="E30" s="307">
        <v>2017</v>
      </c>
      <c r="F30" s="307">
        <v>2356</v>
      </c>
      <c r="J30" s="428"/>
      <c r="K30" s="428"/>
      <c r="L30" s="428"/>
      <c r="M30" s="428"/>
    </row>
    <row r="31" spans="1:13" ht="15.75">
      <c r="A31" s="544">
        <v>24</v>
      </c>
      <c r="B31" s="308" t="s">
        <v>859</v>
      </c>
      <c r="C31" s="307">
        <v>4895</v>
      </c>
      <c r="D31" s="307">
        <v>5317</v>
      </c>
      <c r="E31" s="307">
        <v>5528</v>
      </c>
      <c r="F31" s="307">
        <v>6161</v>
      </c>
      <c r="J31" s="428"/>
      <c r="K31" s="428"/>
      <c r="L31" s="428"/>
      <c r="M31" s="428"/>
    </row>
    <row r="32" spans="1:13" ht="15.75">
      <c r="A32" s="544"/>
      <c r="B32" s="308" t="s">
        <v>860</v>
      </c>
      <c r="C32" s="307">
        <v>7437</v>
      </c>
      <c r="D32" s="307">
        <v>7905</v>
      </c>
      <c r="E32" s="307">
        <v>8139</v>
      </c>
      <c r="F32" s="307">
        <v>8841</v>
      </c>
      <c r="J32" s="428"/>
      <c r="K32" s="428"/>
      <c r="L32" s="428"/>
      <c r="M32" s="428"/>
    </row>
    <row r="33" spans="1:13" ht="15.75">
      <c r="A33" s="544"/>
      <c r="B33" s="308" t="s">
        <v>861</v>
      </c>
      <c r="C33" s="307">
        <v>7342</v>
      </c>
      <c r="D33" s="307">
        <v>7818</v>
      </c>
      <c r="E33" s="307">
        <v>8056</v>
      </c>
      <c r="F33" s="307">
        <v>8770</v>
      </c>
      <c r="J33" s="428"/>
      <c r="K33" s="428"/>
      <c r="L33" s="428"/>
      <c r="M33" s="428"/>
    </row>
    <row r="34" spans="1:13" ht="15.75">
      <c r="A34" s="308">
        <v>25</v>
      </c>
      <c r="B34" s="308" t="s">
        <v>550</v>
      </c>
      <c r="C34" s="307">
        <v>3711</v>
      </c>
      <c r="D34" s="307">
        <v>4057</v>
      </c>
      <c r="E34" s="307">
        <v>4230</v>
      </c>
      <c r="F34" s="307">
        <v>4749</v>
      </c>
      <c r="J34" s="428"/>
      <c r="K34" s="428"/>
      <c r="L34" s="428"/>
      <c r="M34" s="428"/>
    </row>
    <row r="35" spans="1:13" ht="15.75">
      <c r="A35" s="308">
        <v>26</v>
      </c>
      <c r="B35" s="308" t="s">
        <v>610</v>
      </c>
      <c r="C35" s="307">
        <v>2552</v>
      </c>
      <c r="D35" s="307">
        <v>2884</v>
      </c>
      <c r="E35" s="307">
        <v>3050</v>
      </c>
      <c r="F35" s="307">
        <v>3548</v>
      </c>
      <c r="J35" s="428"/>
      <c r="K35" s="428"/>
      <c r="L35" s="428"/>
      <c r="M35" s="428"/>
    </row>
    <row r="36" spans="1:13" ht="15.75">
      <c r="A36" s="308">
        <v>27</v>
      </c>
      <c r="B36" s="308" t="s">
        <v>661</v>
      </c>
      <c r="C36" s="307">
        <v>4724</v>
      </c>
      <c r="D36" s="307">
        <v>5096</v>
      </c>
      <c r="E36" s="307">
        <v>5282</v>
      </c>
      <c r="F36" s="307">
        <v>5840</v>
      </c>
      <c r="J36" s="428"/>
      <c r="K36" s="428"/>
      <c r="L36" s="428"/>
      <c r="M36" s="428"/>
    </row>
    <row r="37" spans="1:13" ht="15.75">
      <c r="A37" s="308">
        <v>28</v>
      </c>
      <c r="B37" s="308" t="s">
        <v>164</v>
      </c>
      <c r="C37" s="307">
        <v>5199</v>
      </c>
      <c r="D37" s="307">
        <v>5597</v>
      </c>
      <c r="E37" s="307">
        <v>5796</v>
      </c>
      <c r="F37" s="307">
        <v>6393</v>
      </c>
      <c r="J37" s="428"/>
      <c r="K37" s="428"/>
      <c r="L37" s="428"/>
      <c r="M37" s="428"/>
    </row>
    <row r="38" spans="1:13" ht="15.75">
      <c r="A38" s="308">
        <v>29</v>
      </c>
      <c r="B38" s="308" t="s">
        <v>250</v>
      </c>
      <c r="C38" s="307">
        <v>4743</v>
      </c>
      <c r="D38" s="307">
        <v>5245</v>
      </c>
      <c r="E38" s="307">
        <v>5496</v>
      </c>
      <c r="F38" s="307">
        <v>6249</v>
      </c>
      <c r="J38" s="428"/>
      <c r="K38" s="428"/>
      <c r="L38" s="428"/>
      <c r="M38" s="428"/>
    </row>
    <row r="39" spans="1:13" ht="15.75">
      <c r="A39" s="308">
        <v>30</v>
      </c>
      <c r="B39" s="308" t="s">
        <v>258</v>
      </c>
      <c r="C39" s="307">
        <v>2397</v>
      </c>
      <c r="D39" s="307">
        <v>2673</v>
      </c>
      <c r="E39" s="307">
        <v>2811</v>
      </c>
      <c r="F39" s="307">
        <v>3225</v>
      </c>
      <c r="J39" s="428"/>
      <c r="K39" s="428"/>
      <c r="L39" s="428"/>
      <c r="M39" s="428"/>
    </row>
    <row r="40" spans="1:13" ht="15.75">
      <c r="A40" s="308">
        <v>31</v>
      </c>
      <c r="B40" s="308" t="s">
        <v>267</v>
      </c>
      <c r="C40" s="307">
        <v>2900</v>
      </c>
      <c r="D40" s="307">
        <v>3248</v>
      </c>
      <c r="E40" s="307">
        <v>3422</v>
      </c>
      <c r="F40" s="307">
        <v>3944</v>
      </c>
      <c r="J40" s="428"/>
      <c r="K40" s="428"/>
      <c r="L40" s="428"/>
      <c r="M40" s="428"/>
    </row>
    <row r="41" spans="1:13" ht="15.75">
      <c r="A41" s="308">
        <v>32</v>
      </c>
      <c r="B41" s="308" t="s">
        <v>269</v>
      </c>
      <c r="C41" s="307">
        <v>3150</v>
      </c>
      <c r="D41" s="307">
        <v>3546</v>
      </c>
      <c r="E41" s="307">
        <v>3744</v>
      </c>
      <c r="F41" s="307">
        <v>4338</v>
      </c>
      <c r="J41" s="428"/>
      <c r="K41" s="428"/>
      <c r="L41" s="428"/>
      <c r="M41" s="428"/>
    </row>
    <row r="42" spans="1:13" ht="15.75">
      <c r="A42" s="308">
        <v>33</v>
      </c>
      <c r="B42" s="308" t="s">
        <v>282</v>
      </c>
      <c r="C42" s="307">
        <v>3575</v>
      </c>
      <c r="D42" s="307">
        <v>3973</v>
      </c>
      <c r="E42" s="307">
        <v>4172</v>
      </c>
      <c r="F42" s="307">
        <v>4769</v>
      </c>
      <c r="J42" s="428"/>
      <c r="K42" s="428"/>
      <c r="L42" s="428"/>
      <c r="M42" s="428"/>
    </row>
    <row r="43" spans="1:13" ht="15.75">
      <c r="A43" s="308">
        <v>34</v>
      </c>
      <c r="B43" s="308" t="s">
        <v>285</v>
      </c>
      <c r="C43" s="307">
        <v>2705</v>
      </c>
      <c r="D43" s="307">
        <v>2993</v>
      </c>
      <c r="E43" s="307">
        <v>3137</v>
      </c>
      <c r="F43" s="307">
        <v>3569</v>
      </c>
      <c r="J43" s="428"/>
      <c r="K43" s="428"/>
      <c r="L43" s="428"/>
      <c r="M43" s="428"/>
    </row>
    <row r="44" spans="1:13" ht="15.75">
      <c r="A44" s="308">
        <v>35</v>
      </c>
      <c r="B44" s="308" t="s">
        <v>292</v>
      </c>
      <c r="C44" s="307">
        <v>3831</v>
      </c>
      <c r="D44" s="307">
        <v>4233</v>
      </c>
      <c r="E44" s="307">
        <v>4434</v>
      </c>
      <c r="F44" s="307">
        <v>5037</v>
      </c>
      <c r="J44" s="428"/>
      <c r="K44" s="428"/>
      <c r="L44" s="428"/>
      <c r="M44" s="428"/>
    </row>
    <row r="45" spans="1:13" ht="15.75">
      <c r="A45" s="308">
        <v>36</v>
      </c>
      <c r="B45" s="308" t="s">
        <v>298</v>
      </c>
      <c r="C45" s="307">
        <v>2932</v>
      </c>
      <c r="D45" s="307">
        <v>3282</v>
      </c>
      <c r="E45" s="307">
        <v>3457</v>
      </c>
      <c r="F45" s="307">
        <v>3982</v>
      </c>
      <c r="J45" s="428"/>
      <c r="K45" s="428"/>
      <c r="L45" s="428"/>
      <c r="M45" s="428"/>
    </row>
    <row r="46" spans="1:13" ht="15.75">
      <c r="A46" s="308">
        <v>37</v>
      </c>
      <c r="B46" s="308" t="s">
        <v>323</v>
      </c>
      <c r="C46" s="307">
        <v>3655</v>
      </c>
      <c r="D46" s="307">
        <v>4053</v>
      </c>
      <c r="E46" s="307">
        <v>4252</v>
      </c>
      <c r="F46" s="307">
        <v>4849</v>
      </c>
      <c r="J46" s="428"/>
      <c r="K46" s="428"/>
      <c r="L46" s="428"/>
      <c r="M46" s="428"/>
    </row>
    <row r="47" spans="1:13" ht="15.75">
      <c r="A47" s="308">
        <v>38</v>
      </c>
      <c r="B47" s="308" t="s">
        <v>329</v>
      </c>
      <c r="C47" s="307">
        <v>5129</v>
      </c>
      <c r="D47" s="307">
        <v>5549</v>
      </c>
      <c r="E47" s="307">
        <v>5759</v>
      </c>
      <c r="F47" s="307">
        <v>6389</v>
      </c>
      <c r="J47" s="428"/>
      <c r="K47" s="428"/>
      <c r="L47" s="428"/>
      <c r="M47" s="428"/>
    </row>
    <row r="48" spans="1:13" ht="15.75">
      <c r="A48" s="308">
        <v>39</v>
      </c>
      <c r="B48" s="308" t="s">
        <v>358</v>
      </c>
      <c r="C48" s="307">
        <v>2541</v>
      </c>
      <c r="D48" s="307">
        <v>2935</v>
      </c>
      <c r="E48" s="307">
        <v>3132</v>
      </c>
      <c r="F48" s="307">
        <v>3723</v>
      </c>
      <c r="J48" s="428"/>
      <c r="K48" s="428"/>
      <c r="L48" s="428"/>
      <c r="M48" s="428"/>
    </row>
    <row r="49" spans="1:13" ht="15.75">
      <c r="A49" s="308">
        <v>40</v>
      </c>
      <c r="B49" s="308" t="s">
        <v>362</v>
      </c>
      <c r="C49" s="307">
        <v>3283</v>
      </c>
      <c r="D49" s="307">
        <v>3679</v>
      </c>
      <c r="E49" s="307">
        <v>3877</v>
      </c>
      <c r="F49" s="307">
        <v>4471</v>
      </c>
      <c r="J49" s="428"/>
      <c r="K49" s="428"/>
      <c r="L49" s="428"/>
      <c r="M49" s="428"/>
    </row>
    <row r="50" spans="1:13" ht="15.75">
      <c r="A50" s="308">
        <v>41</v>
      </c>
      <c r="B50" s="308" t="s">
        <v>364</v>
      </c>
      <c r="C50" s="307">
        <v>4383</v>
      </c>
      <c r="D50" s="307">
        <v>4851</v>
      </c>
      <c r="E50" s="307">
        <v>5085</v>
      </c>
      <c r="F50" s="307">
        <v>5787</v>
      </c>
      <c r="J50" s="428"/>
      <c r="K50" s="428"/>
      <c r="L50" s="428"/>
      <c r="M50" s="428"/>
    </row>
    <row r="51" spans="1:13" ht="15.75">
      <c r="A51" s="308">
        <v>42</v>
      </c>
      <c r="B51" s="308" t="s">
        <v>394</v>
      </c>
      <c r="C51" s="307">
        <v>4840</v>
      </c>
      <c r="D51" s="307">
        <v>5256</v>
      </c>
      <c r="E51" s="307">
        <v>5464</v>
      </c>
      <c r="F51" s="307">
        <v>6088</v>
      </c>
      <c r="J51" s="428"/>
      <c r="K51" s="428"/>
      <c r="L51" s="428"/>
      <c r="M51" s="428"/>
    </row>
    <row r="52" spans="1:13" ht="15.75">
      <c r="A52" s="308">
        <v>43</v>
      </c>
      <c r="B52" s="308" t="s">
        <v>403</v>
      </c>
      <c r="C52" s="307">
        <v>4167</v>
      </c>
      <c r="D52" s="307">
        <v>4569</v>
      </c>
      <c r="E52" s="307">
        <v>4770</v>
      </c>
      <c r="F52" s="307">
        <v>5373</v>
      </c>
      <c r="J52" s="428"/>
      <c r="K52" s="428"/>
      <c r="L52" s="428"/>
      <c r="M52" s="428"/>
    </row>
    <row r="53" spans="1:13" ht="15.75">
      <c r="A53" s="308">
        <v>44</v>
      </c>
      <c r="B53" s="308" t="s">
        <v>419</v>
      </c>
      <c r="C53" s="307">
        <v>3650</v>
      </c>
      <c r="D53" s="307">
        <v>4050</v>
      </c>
      <c r="E53" s="307">
        <v>4250</v>
      </c>
      <c r="F53" s="307">
        <v>4850</v>
      </c>
      <c r="J53" s="428"/>
      <c r="K53" s="428"/>
      <c r="L53" s="428"/>
      <c r="M53" s="428"/>
    </row>
    <row r="54" spans="1:13" ht="15.75">
      <c r="A54" s="308">
        <v>45</v>
      </c>
      <c r="B54" s="308" t="s">
        <v>463</v>
      </c>
      <c r="C54" s="307">
        <v>4326</v>
      </c>
      <c r="D54" s="307">
        <v>4716</v>
      </c>
      <c r="E54" s="307">
        <v>4911</v>
      </c>
      <c r="F54" s="307">
        <v>5496</v>
      </c>
      <c r="J54" s="428"/>
      <c r="K54" s="428"/>
      <c r="L54" s="428"/>
      <c r="M54" s="428"/>
    </row>
    <row r="55" spans="1:13" ht="15.75">
      <c r="A55" s="308">
        <v>46</v>
      </c>
      <c r="B55" s="308" t="s">
        <v>465</v>
      </c>
      <c r="C55" s="307">
        <v>3043</v>
      </c>
      <c r="D55" s="307">
        <v>3409</v>
      </c>
      <c r="E55" s="307">
        <v>3592</v>
      </c>
      <c r="F55" s="307">
        <v>4141</v>
      </c>
      <c r="J55" s="428"/>
      <c r="K55" s="428"/>
      <c r="L55" s="428"/>
      <c r="M55" s="428"/>
    </row>
    <row r="56" spans="1:13" ht="15.75">
      <c r="A56" s="308">
        <v>47</v>
      </c>
      <c r="B56" s="308" t="s">
        <v>471</v>
      </c>
      <c r="C56" s="307">
        <v>3106</v>
      </c>
      <c r="D56" s="307">
        <v>3506</v>
      </c>
      <c r="E56" s="307">
        <v>3706</v>
      </c>
      <c r="F56" s="307">
        <v>4306</v>
      </c>
      <c r="J56" s="428"/>
      <c r="K56" s="428"/>
      <c r="L56" s="428"/>
      <c r="M56" s="428"/>
    </row>
    <row r="57" spans="1:13" ht="15.75">
      <c r="A57" s="308">
        <v>48</v>
      </c>
      <c r="B57" s="308" t="s">
        <v>467</v>
      </c>
      <c r="C57" s="307">
        <v>3268</v>
      </c>
      <c r="D57" s="307">
        <v>3644</v>
      </c>
      <c r="E57" s="307">
        <v>3832</v>
      </c>
      <c r="F57" s="307">
        <v>4396</v>
      </c>
      <c r="J57" s="428"/>
      <c r="K57" s="428"/>
      <c r="L57" s="428"/>
      <c r="M57" s="428"/>
    </row>
    <row r="58" spans="1:13" ht="15.75">
      <c r="A58" s="308">
        <v>49</v>
      </c>
      <c r="B58" s="308" t="s">
        <v>474</v>
      </c>
      <c r="C58" s="307">
        <v>6468</v>
      </c>
      <c r="D58" s="307">
        <v>6974</v>
      </c>
      <c r="E58" s="307">
        <v>7227</v>
      </c>
      <c r="F58" s="307">
        <v>7986</v>
      </c>
      <c r="J58" s="428"/>
      <c r="K58" s="428"/>
      <c r="L58" s="428"/>
      <c r="M58" s="428"/>
    </row>
    <row r="59" spans="1:13" ht="15.75">
      <c r="A59" s="308">
        <v>50</v>
      </c>
      <c r="B59" s="308" t="s">
        <v>486</v>
      </c>
      <c r="C59" s="307">
        <v>3302</v>
      </c>
      <c r="D59" s="307">
        <v>3700</v>
      </c>
      <c r="E59" s="307">
        <v>3899</v>
      </c>
      <c r="F59" s="307">
        <v>4496</v>
      </c>
      <c r="J59" s="428"/>
      <c r="K59" s="428"/>
      <c r="L59" s="428"/>
      <c r="M59" s="428"/>
    </row>
    <row r="60" spans="1:13" ht="15.75">
      <c r="A60" s="308">
        <v>51</v>
      </c>
      <c r="B60" s="308" t="s">
        <v>491</v>
      </c>
      <c r="C60" s="307">
        <v>4966</v>
      </c>
      <c r="D60" s="307">
        <v>5468</v>
      </c>
      <c r="E60" s="307">
        <v>5719</v>
      </c>
      <c r="F60" s="307">
        <v>6472</v>
      </c>
      <c r="J60" s="428"/>
      <c r="K60" s="428"/>
      <c r="L60" s="428"/>
      <c r="M60" s="428"/>
    </row>
    <row r="61" spans="1:13" ht="15.75">
      <c r="A61" s="308">
        <v>52</v>
      </c>
      <c r="B61" s="308" t="s">
        <v>514</v>
      </c>
      <c r="C61" s="307">
        <v>3686</v>
      </c>
      <c r="D61" s="307">
        <v>4086</v>
      </c>
      <c r="E61" s="307">
        <v>4286</v>
      </c>
      <c r="F61" s="307">
        <v>4886</v>
      </c>
      <c r="J61" s="428"/>
      <c r="K61" s="428"/>
      <c r="L61" s="428"/>
      <c r="M61" s="428"/>
    </row>
    <row r="62" spans="1:13" ht="15.75">
      <c r="A62" s="308">
        <v>53</v>
      </c>
      <c r="B62" s="308" t="s">
        <v>518</v>
      </c>
      <c r="C62" s="307">
        <v>3214</v>
      </c>
      <c r="D62" s="307">
        <v>3616</v>
      </c>
      <c r="E62" s="307">
        <v>3817</v>
      </c>
      <c r="F62" s="307">
        <v>4420</v>
      </c>
      <c r="J62" s="428"/>
      <c r="K62" s="428"/>
      <c r="L62" s="428"/>
      <c r="M62" s="428"/>
    </row>
    <row r="63" spans="1:13" ht="15.75">
      <c r="A63" s="308">
        <v>54</v>
      </c>
      <c r="B63" s="308" t="s">
        <v>521</v>
      </c>
      <c r="C63" s="307">
        <v>4577</v>
      </c>
      <c r="D63" s="307">
        <v>4983</v>
      </c>
      <c r="E63" s="307">
        <v>5186</v>
      </c>
      <c r="F63" s="307">
        <v>5795</v>
      </c>
      <c r="J63" s="428"/>
      <c r="K63" s="428"/>
      <c r="L63" s="428"/>
      <c r="M63" s="428"/>
    </row>
    <row r="64" spans="1:13" ht="15.75">
      <c r="A64" s="308">
        <v>55</v>
      </c>
      <c r="B64" s="308" t="s">
        <v>531</v>
      </c>
      <c r="C64" s="307">
        <v>4430</v>
      </c>
      <c r="D64" s="307">
        <v>4820</v>
      </c>
      <c r="E64" s="307">
        <v>5015</v>
      </c>
      <c r="F64" s="307">
        <v>5600</v>
      </c>
      <c r="J64" s="428"/>
      <c r="K64" s="428"/>
      <c r="L64" s="428"/>
      <c r="M64" s="428"/>
    </row>
    <row r="65" spans="1:13" ht="15.75">
      <c r="A65" s="308">
        <v>56</v>
      </c>
      <c r="B65" s="308" t="s">
        <v>536</v>
      </c>
      <c r="C65" s="307">
        <v>4105</v>
      </c>
      <c r="D65" s="307">
        <v>4505</v>
      </c>
      <c r="E65" s="307">
        <v>4705</v>
      </c>
      <c r="F65" s="307">
        <v>5305</v>
      </c>
      <c r="J65" s="428"/>
      <c r="K65" s="428"/>
      <c r="L65" s="428"/>
      <c r="M65" s="428"/>
    </row>
    <row r="66" spans="1:13" ht="15.75">
      <c r="A66" s="308">
        <v>57</v>
      </c>
      <c r="B66" s="308" t="s">
        <v>540</v>
      </c>
      <c r="C66" s="307">
        <v>3185</v>
      </c>
      <c r="D66" s="307">
        <v>3581</v>
      </c>
      <c r="E66" s="307">
        <v>3779</v>
      </c>
      <c r="F66" s="307">
        <v>4373</v>
      </c>
      <c r="J66" s="428"/>
      <c r="K66" s="428"/>
      <c r="L66" s="428"/>
      <c r="M66" s="428"/>
    </row>
    <row r="67" spans="1:13" ht="15.75">
      <c r="A67" s="308">
        <v>58</v>
      </c>
      <c r="B67" s="308" t="s">
        <v>542</v>
      </c>
      <c r="C67" s="307">
        <v>3618</v>
      </c>
      <c r="D67" s="307">
        <v>4004</v>
      </c>
      <c r="E67" s="307">
        <v>4197</v>
      </c>
      <c r="F67" s="307">
        <v>4776</v>
      </c>
      <c r="J67" s="428"/>
      <c r="K67" s="428"/>
      <c r="L67" s="428"/>
      <c r="M67" s="428"/>
    </row>
    <row r="68" spans="1:13" ht="15.75">
      <c r="A68" s="308">
        <v>59</v>
      </c>
      <c r="B68" s="308" t="s">
        <v>545</v>
      </c>
      <c r="C68" s="307">
        <v>4501</v>
      </c>
      <c r="D68" s="307">
        <v>4955</v>
      </c>
      <c r="E68" s="307">
        <v>5182</v>
      </c>
      <c r="F68" s="307">
        <v>5863</v>
      </c>
      <c r="J68" s="428"/>
      <c r="K68" s="428"/>
      <c r="L68" s="428"/>
      <c r="M68" s="428"/>
    </row>
    <row r="69" spans="1:13" ht="15.75">
      <c r="A69" s="308">
        <v>60</v>
      </c>
      <c r="B69" s="308" t="s">
        <v>567</v>
      </c>
      <c r="C69" s="307">
        <v>3060</v>
      </c>
      <c r="D69" s="307">
        <v>3464</v>
      </c>
      <c r="E69" s="307">
        <v>3666</v>
      </c>
      <c r="F69" s="307">
        <v>4272</v>
      </c>
      <c r="J69" s="428"/>
      <c r="K69" s="428"/>
      <c r="L69" s="428"/>
      <c r="M69" s="428"/>
    </row>
    <row r="70" spans="1:13" ht="15.75">
      <c r="A70" s="308">
        <v>61</v>
      </c>
      <c r="B70" s="308" t="s">
        <v>570</v>
      </c>
      <c r="C70" s="307">
        <v>2020</v>
      </c>
      <c r="D70" s="307">
        <v>2250</v>
      </c>
      <c r="E70" s="307">
        <v>2365</v>
      </c>
      <c r="F70" s="307">
        <v>2710</v>
      </c>
      <c r="J70" s="428"/>
      <c r="K70" s="428"/>
      <c r="L70" s="428"/>
      <c r="M70" s="428"/>
    </row>
    <row r="71" spans="1:13" ht="15.75">
      <c r="A71" s="308">
        <v>62</v>
      </c>
      <c r="B71" s="308" t="s">
        <v>574</v>
      </c>
      <c r="C71" s="307">
        <v>3382</v>
      </c>
      <c r="D71" s="307">
        <v>3778</v>
      </c>
      <c r="E71" s="307">
        <v>3976</v>
      </c>
      <c r="F71" s="307">
        <v>4570</v>
      </c>
      <c r="J71" s="428"/>
      <c r="K71" s="428"/>
      <c r="L71" s="428"/>
      <c r="M71" s="428"/>
    </row>
    <row r="72" spans="1:13" ht="15.75">
      <c r="A72" s="308">
        <v>63</v>
      </c>
      <c r="B72" s="308" t="s">
        <v>576</v>
      </c>
      <c r="C72" s="307">
        <v>3602</v>
      </c>
      <c r="D72" s="307">
        <v>3966</v>
      </c>
      <c r="E72" s="307">
        <v>4148</v>
      </c>
      <c r="F72" s="307">
        <v>4694</v>
      </c>
      <c r="J72" s="428"/>
      <c r="K72" s="428"/>
      <c r="L72" s="428"/>
      <c r="M72" s="428"/>
    </row>
    <row r="73" spans="1:13" ht="15.75">
      <c r="A73" s="308">
        <v>64</v>
      </c>
      <c r="B73" s="308" t="s">
        <v>578</v>
      </c>
      <c r="C73" s="307">
        <v>3333</v>
      </c>
      <c r="D73" s="307">
        <v>3695</v>
      </c>
      <c r="E73" s="307">
        <v>3876</v>
      </c>
      <c r="F73" s="307">
        <v>4419</v>
      </c>
      <c r="J73" s="428"/>
      <c r="K73" s="428"/>
      <c r="L73" s="428"/>
      <c r="M73" s="428"/>
    </row>
    <row r="74" spans="1:13" ht="15.75">
      <c r="A74" s="308">
        <v>65</v>
      </c>
      <c r="B74" s="308" t="s">
        <v>582</v>
      </c>
      <c r="C74" s="307">
        <v>4668</v>
      </c>
      <c r="D74" s="307">
        <v>5106</v>
      </c>
      <c r="E74" s="307">
        <v>5325</v>
      </c>
      <c r="F74" s="307">
        <v>5982</v>
      </c>
      <c r="J74" s="428"/>
      <c r="K74" s="428"/>
      <c r="L74" s="428"/>
      <c r="M74" s="428"/>
    </row>
    <row r="75" spans="1:13" ht="15.75">
      <c r="A75" s="308">
        <v>66</v>
      </c>
      <c r="B75" s="308" t="s">
        <v>598</v>
      </c>
      <c r="C75" s="307">
        <v>4412</v>
      </c>
      <c r="D75" s="307">
        <v>4864</v>
      </c>
      <c r="E75" s="307">
        <v>5090</v>
      </c>
      <c r="F75" s="307">
        <v>5768</v>
      </c>
      <c r="J75" s="428"/>
      <c r="K75" s="428"/>
      <c r="L75" s="428"/>
      <c r="M75" s="428"/>
    </row>
    <row r="76" spans="1:13" ht="15.75">
      <c r="A76" s="308">
        <v>67</v>
      </c>
      <c r="B76" s="308" t="s">
        <v>607</v>
      </c>
      <c r="C76" s="307">
        <v>3204</v>
      </c>
      <c r="D76" s="307">
        <v>3602</v>
      </c>
      <c r="E76" s="307">
        <v>3801</v>
      </c>
      <c r="F76" s="307">
        <v>4398</v>
      </c>
      <c r="J76" s="428"/>
      <c r="K76" s="428"/>
      <c r="L76" s="428"/>
      <c r="M76" s="428"/>
    </row>
    <row r="77" spans="1:13" ht="15.75">
      <c r="A77" s="308">
        <v>68</v>
      </c>
      <c r="B77" s="308" t="s">
        <v>616</v>
      </c>
      <c r="C77" s="307">
        <v>3290</v>
      </c>
      <c r="D77" s="307">
        <v>3662</v>
      </c>
      <c r="E77" s="307">
        <v>3848</v>
      </c>
      <c r="F77" s="307">
        <v>4406</v>
      </c>
      <c r="J77" s="428"/>
      <c r="K77" s="428"/>
      <c r="L77" s="428"/>
      <c r="M77" s="428"/>
    </row>
    <row r="78" spans="1:13" ht="15.75">
      <c r="A78" s="308">
        <v>69</v>
      </c>
      <c r="B78" s="308" t="s">
        <v>622</v>
      </c>
      <c r="C78" s="307">
        <v>3332</v>
      </c>
      <c r="D78" s="307">
        <v>3730</v>
      </c>
      <c r="E78" s="307">
        <v>3929</v>
      </c>
      <c r="F78" s="307">
        <v>4526</v>
      </c>
      <c r="J78" s="428"/>
      <c r="K78" s="428"/>
      <c r="L78" s="428"/>
      <c r="M78" s="428"/>
    </row>
    <row r="79" spans="1:13" ht="15.75">
      <c r="A79" s="308">
        <v>70</v>
      </c>
      <c r="B79" s="308" t="s">
        <v>626</v>
      </c>
      <c r="C79" s="307">
        <v>4867</v>
      </c>
      <c r="D79" s="307">
        <v>5283</v>
      </c>
      <c r="E79" s="307">
        <v>5491</v>
      </c>
      <c r="F79" s="307">
        <v>6115</v>
      </c>
      <c r="J79" s="428"/>
      <c r="K79" s="428"/>
      <c r="L79" s="428"/>
      <c r="M79" s="428"/>
    </row>
    <row r="80" spans="1:13" ht="15.75">
      <c r="A80" s="308">
        <v>71</v>
      </c>
      <c r="B80" s="308" t="s">
        <v>634</v>
      </c>
      <c r="C80" s="307">
        <v>3306</v>
      </c>
      <c r="D80" s="307">
        <v>3702</v>
      </c>
      <c r="E80" s="307">
        <v>3900</v>
      </c>
      <c r="F80" s="307">
        <v>4494</v>
      </c>
      <c r="J80" s="428"/>
      <c r="K80" s="428"/>
      <c r="L80" s="428"/>
      <c r="M80" s="428"/>
    </row>
    <row r="81" spans="1:13" ht="15.75">
      <c r="A81" s="308">
        <v>72</v>
      </c>
      <c r="B81" s="308" t="s">
        <v>862</v>
      </c>
      <c r="C81" s="307">
        <v>4625</v>
      </c>
      <c r="D81" s="307">
        <v>5079</v>
      </c>
      <c r="E81" s="307">
        <v>5306</v>
      </c>
      <c r="F81" s="307">
        <v>5987</v>
      </c>
      <c r="J81" s="428"/>
      <c r="K81" s="428"/>
      <c r="L81" s="428"/>
      <c r="M81" s="428"/>
    </row>
    <row r="82" spans="1:13" ht="15.75">
      <c r="A82" s="308">
        <v>73</v>
      </c>
      <c r="B82" s="308" t="s">
        <v>658</v>
      </c>
      <c r="C82" s="307">
        <v>3859</v>
      </c>
      <c r="D82" s="307">
        <v>4249</v>
      </c>
      <c r="E82" s="307">
        <v>4444</v>
      </c>
      <c r="F82" s="307">
        <v>5029</v>
      </c>
      <c r="J82" s="428"/>
      <c r="K82" s="428"/>
      <c r="L82" s="428"/>
      <c r="M82" s="428"/>
    </row>
    <row r="83" spans="1:13" ht="15.75">
      <c r="A83" s="308">
        <v>74</v>
      </c>
      <c r="B83" s="308" t="s">
        <v>687</v>
      </c>
      <c r="C83" s="307">
        <v>4189</v>
      </c>
      <c r="D83" s="307">
        <v>4599</v>
      </c>
      <c r="E83" s="307">
        <v>4804</v>
      </c>
      <c r="F83" s="307">
        <v>5419</v>
      </c>
      <c r="J83" s="428"/>
      <c r="K83" s="428"/>
      <c r="L83" s="428"/>
      <c r="M83" s="428"/>
    </row>
    <row r="84" spans="1:13" ht="15.75">
      <c r="A84" s="308">
        <v>75</v>
      </c>
      <c r="B84" s="308" t="s">
        <v>307</v>
      </c>
      <c r="C84" s="307">
        <v>5810</v>
      </c>
      <c r="D84" s="307">
        <v>6236</v>
      </c>
      <c r="E84" s="307">
        <v>6449</v>
      </c>
      <c r="F84" s="307">
        <v>7088</v>
      </c>
      <c r="J84" s="428"/>
      <c r="K84" s="428"/>
      <c r="L84" s="428"/>
      <c r="M84" s="428"/>
    </row>
    <row r="85" spans="1:13" ht="15.75">
      <c r="A85" s="308">
        <v>76</v>
      </c>
      <c r="B85" s="308" t="s">
        <v>752</v>
      </c>
      <c r="C85" s="307">
        <v>3504</v>
      </c>
      <c r="D85" s="307">
        <v>3904</v>
      </c>
      <c r="E85" s="307">
        <v>4104</v>
      </c>
      <c r="F85" s="307">
        <v>4704</v>
      </c>
      <c r="J85" s="428"/>
      <c r="K85" s="428"/>
      <c r="L85" s="428"/>
      <c r="M85" s="428"/>
    </row>
    <row r="86" spans="1:13" ht="15.75">
      <c r="A86" s="308">
        <v>77</v>
      </c>
      <c r="B86" s="308" t="s">
        <v>863</v>
      </c>
      <c r="C86" s="307">
        <v>3302</v>
      </c>
      <c r="D86" s="307">
        <v>3700</v>
      </c>
      <c r="E86" s="307">
        <v>3899</v>
      </c>
      <c r="F86" s="307">
        <v>4496</v>
      </c>
      <c r="J86" s="428"/>
      <c r="K86" s="428"/>
      <c r="L86" s="428"/>
      <c r="M86" s="428"/>
    </row>
    <row r="87" spans="1:13" ht="15.75">
      <c r="A87" s="308">
        <v>78</v>
      </c>
      <c r="B87" s="308" t="s">
        <v>864</v>
      </c>
      <c r="C87" s="307">
        <v>3106</v>
      </c>
      <c r="D87" s="307">
        <v>3506</v>
      </c>
      <c r="E87" s="307">
        <v>3706</v>
      </c>
      <c r="F87" s="307">
        <v>4306</v>
      </c>
      <c r="J87" s="428"/>
      <c r="K87" s="428"/>
      <c r="L87" s="428"/>
      <c r="M87" s="428"/>
    </row>
    <row r="88" spans="1:13" ht="15.75">
      <c r="A88" s="308">
        <v>79</v>
      </c>
      <c r="B88" s="308" t="s">
        <v>304</v>
      </c>
      <c r="C88" s="307">
        <v>4971</v>
      </c>
      <c r="D88" s="307">
        <v>5345</v>
      </c>
      <c r="E88" s="307">
        <v>5532</v>
      </c>
      <c r="F88" s="307">
        <v>6093</v>
      </c>
      <c r="J88" s="428"/>
      <c r="K88" s="428"/>
      <c r="L88" s="428"/>
      <c r="M88" s="428"/>
    </row>
    <row r="89" spans="1:13" ht="15.75">
      <c r="A89" s="308">
        <v>83</v>
      </c>
      <c r="B89" s="308" t="s">
        <v>865</v>
      </c>
      <c r="C89" s="307">
        <v>5734</v>
      </c>
      <c r="D89" s="307">
        <v>6256</v>
      </c>
      <c r="E89" s="307">
        <v>6517</v>
      </c>
      <c r="F89" s="307">
        <v>7300</v>
      </c>
      <c r="J89" s="428"/>
      <c r="K89" s="428"/>
      <c r="L89" s="428"/>
      <c r="M89" s="428"/>
    </row>
    <row r="90" spans="1:13" ht="15.75">
      <c r="A90" s="308">
        <v>86</v>
      </c>
      <c r="B90" s="308" t="s">
        <v>866</v>
      </c>
      <c r="C90" s="307">
        <v>5124</v>
      </c>
      <c r="D90" s="307">
        <v>5554</v>
      </c>
      <c r="E90" s="307">
        <v>5769</v>
      </c>
      <c r="F90" s="307">
        <v>6414</v>
      </c>
      <c r="J90" s="428"/>
      <c r="K90" s="428"/>
      <c r="L90" s="428"/>
      <c r="M90" s="428"/>
    </row>
    <row r="91" spans="1:13" ht="15.75">
      <c r="A91" s="308">
        <v>87</v>
      </c>
      <c r="B91" s="308" t="s">
        <v>867</v>
      </c>
      <c r="C91" s="307">
        <v>7588</v>
      </c>
      <c r="D91" s="307">
        <v>8138</v>
      </c>
      <c r="E91" s="307">
        <v>8413</v>
      </c>
      <c r="F91" s="307">
        <v>9238</v>
      </c>
      <c r="J91" s="428"/>
      <c r="K91" s="428"/>
      <c r="L91" s="428"/>
      <c r="M91" s="428"/>
    </row>
    <row r="92" spans="1:13" ht="15.75">
      <c r="A92" s="308">
        <v>89</v>
      </c>
      <c r="B92" s="308" t="s">
        <v>868</v>
      </c>
      <c r="C92" s="307">
        <v>6426</v>
      </c>
      <c r="D92" s="307">
        <v>6946</v>
      </c>
      <c r="E92" s="307">
        <v>7206</v>
      </c>
      <c r="F92" s="307">
        <v>7986</v>
      </c>
      <c r="J92" s="428"/>
      <c r="K92" s="428"/>
      <c r="L92" s="428"/>
      <c r="M92" s="428"/>
    </row>
    <row r="93" spans="1:13" ht="15.75">
      <c r="A93" s="308">
        <v>91</v>
      </c>
      <c r="B93" s="308" t="s">
        <v>455</v>
      </c>
      <c r="C93" s="307">
        <v>1576</v>
      </c>
      <c r="D93" s="307">
        <v>1804</v>
      </c>
      <c r="E93" s="307">
        <v>1918</v>
      </c>
      <c r="F93" s="307">
        <v>2260</v>
      </c>
      <c r="J93" s="428"/>
      <c r="K93" s="428"/>
      <c r="L93" s="428"/>
      <c r="M93" s="428"/>
    </row>
    <row r="94" spans="1:13" ht="15.75">
      <c r="A94" s="308">
        <v>92</v>
      </c>
      <c r="B94" s="308" t="s">
        <v>869</v>
      </c>
      <c r="C94" s="307">
        <v>1257</v>
      </c>
      <c r="D94" s="307">
        <v>1469</v>
      </c>
      <c r="E94" s="307">
        <v>1575</v>
      </c>
      <c r="F94" s="307">
        <v>1893</v>
      </c>
      <c r="J94" s="428"/>
      <c r="K94" s="428"/>
      <c r="L94" s="428"/>
      <c r="M94" s="428"/>
    </row>
  </sheetData>
  <mergeCells count="4">
    <mergeCell ref="A4:A5"/>
    <mergeCell ref="C4:F4"/>
    <mergeCell ref="A19:A21"/>
    <mergeCell ref="A31:A33"/>
  </mergeCells>
  <pageMargins left="0.75" right="0.75" top="1" bottom="1" header="0.5" footer="0.5"/>
  <pageSetup paperSize="9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W94"/>
  <sheetViews>
    <sheetView workbookViewId="0">
      <selection activeCell="D24" sqref="D24"/>
    </sheetView>
  </sheetViews>
  <sheetFormatPr defaultColWidth="9.140625" defaultRowHeight="12.75"/>
  <cols>
    <col min="1" max="1" width="24.28515625" style="273" customWidth="1"/>
    <col min="2" max="2" width="44.42578125" style="273" customWidth="1"/>
    <col min="3" max="3" width="11" style="273" customWidth="1"/>
    <col min="4" max="4" width="10.42578125" style="273" customWidth="1"/>
    <col min="5" max="5" width="28.28515625" style="273" customWidth="1"/>
    <col min="6" max="6" width="10.42578125" style="273" customWidth="1"/>
    <col min="7" max="7" width="26.42578125" style="273" customWidth="1"/>
    <col min="8" max="8" width="7.140625" style="273" customWidth="1"/>
    <col min="9" max="9" width="12" style="273" customWidth="1"/>
    <col min="10" max="10" width="12.42578125" style="273" customWidth="1"/>
    <col min="11" max="11" width="36.140625" style="273" customWidth="1"/>
    <col min="12" max="12" width="18.7109375" style="273" customWidth="1"/>
    <col min="13" max="13" width="32.42578125" style="273" customWidth="1"/>
    <col min="14" max="15" width="12" style="273" customWidth="1"/>
    <col min="16" max="16" width="10.28515625" style="273" customWidth="1"/>
    <col min="17" max="17" width="12.7109375" style="273" customWidth="1"/>
    <col min="18" max="18" width="10.42578125" style="273" customWidth="1"/>
    <col min="19" max="19" width="11.42578125" style="273" customWidth="1"/>
    <col min="20" max="20" width="18.42578125" style="273" customWidth="1"/>
    <col min="21" max="21" width="10.28515625" style="273" customWidth="1"/>
    <col min="22" max="22" width="8.42578125" style="273" customWidth="1"/>
    <col min="23" max="23" width="3.42578125" style="273" customWidth="1"/>
    <col min="24" max="24" width="9.42578125" style="273" bestFit="1" customWidth="1"/>
    <col min="25" max="16384" width="9.140625" style="273"/>
  </cols>
  <sheetData>
    <row r="1" spans="1:23" s="271" customFormat="1" ht="15">
      <c r="A1" s="268" t="s">
        <v>1032</v>
      </c>
      <c r="B1" s="269"/>
      <c r="C1" s="269"/>
      <c r="D1" s="269"/>
      <c r="E1" s="269"/>
      <c r="F1" s="269"/>
      <c r="G1" s="269"/>
      <c r="H1" s="269"/>
      <c r="I1" s="269"/>
      <c r="J1" s="269"/>
      <c r="K1" s="269"/>
      <c r="L1" s="269"/>
      <c r="M1" s="269"/>
      <c r="N1" s="269"/>
      <c r="O1" s="270"/>
      <c r="P1" s="270"/>
      <c r="Q1" s="270"/>
      <c r="R1" s="270"/>
      <c r="S1" s="270"/>
      <c r="T1" s="270"/>
      <c r="U1" s="270"/>
      <c r="V1" s="270"/>
      <c r="W1" s="270"/>
    </row>
    <row r="2" spans="1:23" ht="15">
      <c r="A2" s="272"/>
      <c r="B2" s="272"/>
      <c r="C2" s="272"/>
      <c r="D2" s="272"/>
      <c r="E2" s="272"/>
      <c r="F2" s="272"/>
      <c r="G2" s="272"/>
      <c r="H2" s="272"/>
      <c r="I2" s="272"/>
      <c r="J2" s="272"/>
      <c r="K2" s="272"/>
      <c r="L2" s="272"/>
      <c r="M2" s="272"/>
      <c r="N2" s="272"/>
      <c r="O2" s="272"/>
      <c r="P2" s="272"/>
      <c r="Q2" s="272"/>
      <c r="R2" s="272"/>
      <c r="S2" s="272"/>
      <c r="T2" s="272"/>
      <c r="U2" s="272"/>
      <c r="V2" s="272"/>
      <c r="W2" s="272"/>
    </row>
    <row r="3" spans="1:23" ht="15">
      <c r="A3" s="272"/>
      <c r="B3" s="272">
        <f>VLOOKUP('1.Общие данные по зданию'!C7,Климатология2021!B6:F94,IF('1.Общие данные по зданию'!C17=18,2,IF('1.Общие данные по зданию'!C17=20,3,IF('1.Общие данные по зданию'!C17=21,4,5))),0)</f>
        <v>2502</v>
      </c>
      <c r="C3" s="272"/>
      <c r="D3" s="272"/>
      <c r="E3" s="272"/>
      <c r="F3" s="272"/>
      <c r="G3" s="272"/>
      <c r="H3" s="272"/>
      <c r="I3" s="272"/>
      <c r="J3" s="272"/>
      <c r="K3" s="272"/>
      <c r="L3" s="272"/>
      <c r="M3" s="272"/>
      <c r="N3" s="272"/>
      <c r="O3" s="272"/>
      <c r="P3" s="272"/>
      <c r="Q3" s="272"/>
      <c r="R3" s="272"/>
      <c r="S3" s="272"/>
      <c r="T3" s="272"/>
      <c r="U3" s="272"/>
      <c r="V3" s="272"/>
      <c r="W3" s="272"/>
    </row>
    <row r="4" spans="1:23" ht="31.5" customHeight="1">
      <c r="A4" s="542"/>
      <c r="B4" s="310"/>
      <c r="C4" s="543" t="s">
        <v>848</v>
      </c>
      <c r="D4" s="543"/>
      <c r="E4" s="543"/>
      <c r="F4" s="543"/>
      <c r="G4" s="272"/>
      <c r="H4" s="272"/>
      <c r="I4" s="272"/>
      <c r="J4" s="272"/>
      <c r="K4" s="272"/>
      <c r="L4" s="272"/>
      <c r="M4" s="272"/>
      <c r="N4" s="272"/>
      <c r="O4" s="272"/>
      <c r="P4" s="272"/>
      <c r="Q4" s="272"/>
      <c r="R4" s="272"/>
      <c r="S4" s="272"/>
      <c r="T4" s="272"/>
      <c r="U4" s="272"/>
      <c r="V4" s="272"/>
      <c r="W4" s="272"/>
    </row>
    <row r="5" spans="1:23" ht="18.75">
      <c r="A5" s="542"/>
      <c r="B5" s="310" t="s">
        <v>755</v>
      </c>
      <c r="C5" s="307" t="s">
        <v>849</v>
      </c>
      <c r="D5" s="307" t="s">
        <v>850</v>
      </c>
      <c r="E5" s="307" t="s">
        <v>851</v>
      </c>
      <c r="F5" s="307" t="s">
        <v>852</v>
      </c>
      <c r="G5" s="272"/>
      <c r="J5" s="428"/>
      <c r="K5" s="428"/>
      <c r="L5" s="428"/>
      <c r="M5" s="428"/>
      <c r="N5" s="272"/>
      <c r="O5" s="272"/>
      <c r="P5" s="272"/>
      <c r="Q5" s="272"/>
      <c r="R5" s="272"/>
      <c r="S5" s="272"/>
      <c r="T5" s="272"/>
      <c r="U5" s="272"/>
      <c r="V5" s="272"/>
      <c r="W5" s="272"/>
    </row>
    <row r="6" spans="1:23" ht="15.75">
      <c r="A6" s="308">
        <v>1</v>
      </c>
      <c r="B6" s="308" t="s">
        <v>853</v>
      </c>
      <c r="C6" s="307">
        <v>2156</v>
      </c>
      <c r="D6" s="307">
        <v>2474</v>
      </c>
      <c r="E6" s="307">
        <v>2633</v>
      </c>
      <c r="F6" s="307">
        <v>3110</v>
      </c>
      <c r="J6" s="428"/>
      <c r="K6" s="428"/>
      <c r="L6" s="428"/>
      <c r="M6" s="428"/>
    </row>
    <row r="7" spans="1:23" ht="15.75">
      <c r="A7" s="308">
        <v>2</v>
      </c>
      <c r="B7" s="308" t="s">
        <v>261</v>
      </c>
      <c r="C7" s="307">
        <v>4614</v>
      </c>
      <c r="D7" s="307">
        <v>5026</v>
      </c>
      <c r="E7" s="307">
        <v>5232</v>
      </c>
      <c r="F7" s="307">
        <v>5850</v>
      </c>
      <c r="J7" s="428"/>
      <c r="K7" s="428"/>
      <c r="L7" s="428"/>
      <c r="M7" s="428"/>
    </row>
    <row r="8" spans="1:23" ht="15.75">
      <c r="A8" s="308">
        <v>3</v>
      </c>
      <c r="B8" s="308" t="s">
        <v>271</v>
      </c>
      <c r="C8" s="307">
        <v>5933</v>
      </c>
      <c r="D8" s="307">
        <v>6397</v>
      </c>
      <c r="E8" s="307">
        <v>6629</v>
      </c>
      <c r="F8" s="307">
        <v>7325</v>
      </c>
      <c r="J8" s="428"/>
      <c r="K8" s="428"/>
      <c r="L8" s="428"/>
      <c r="M8" s="428"/>
    </row>
    <row r="9" spans="1:23" ht="15.75">
      <c r="A9" s="308">
        <v>4</v>
      </c>
      <c r="B9" s="308" t="s">
        <v>223</v>
      </c>
      <c r="C9" s="307">
        <v>5174</v>
      </c>
      <c r="D9" s="307">
        <v>5610</v>
      </c>
      <c r="E9" s="307">
        <v>5828</v>
      </c>
      <c r="F9" s="307">
        <v>6482</v>
      </c>
      <c r="J9" s="428"/>
      <c r="K9" s="428"/>
      <c r="L9" s="428"/>
      <c r="M9" s="428"/>
    </row>
    <row r="10" spans="1:23" ht="15.75">
      <c r="A10" s="308">
        <v>5</v>
      </c>
      <c r="B10" s="308" t="s">
        <v>300</v>
      </c>
      <c r="C10" s="307">
        <v>1825</v>
      </c>
      <c r="D10" s="307">
        <v>2099</v>
      </c>
      <c r="E10" s="307">
        <v>2236</v>
      </c>
      <c r="F10" s="307">
        <v>2647</v>
      </c>
      <c r="J10" s="428"/>
      <c r="K10" s="428"/>
      <c r="L10" s="428"/>
      <c r="M10" s="428"/>
    </row>
    <row r="11" spans="1:23" ht="15.75">
      <c r="A11" s="308">
        <v>6</v>
      </c>
      <c r="B11" s="308" t="s">
        <v>326</v>
      </c>
      <c r="C11" s="307">
        <v>2525</v>
      </c>
      <c r="D11" s="307">
        <v>2867</v>
      </c>
      <c r="E11" s="307">
        <v>3038</v>
      </c>
      <c r="F11" s="307">
        <v>3551</v>
      </c>
      <c r="J11" s="428"/>
      <c r="K11" s="428"/>
      <c r="L11" s="428"/>
      <c r="M11" s="428"/>
    </row>
    <row r="12" spans="1:23" ht="15.75">
      <c r="A12" s="308">
        <v>7</v>
      </c>
      <c r="B12" s="308" t="s">
        <v>757</v>
      </c>
      <c r="C12" s="307">
        <v>2303</v>
      </c>
      <c r="D12" s="307">
        <v>2589</v>
      </c>
      <c r="E12" s="307">
        <v>2732</v>
      </c>
      <c r="F12" s="307">
        <v>3161</v>
      </c>
      <c r="J12" s="428"/>
      <c r="K12" s="428"/>
      <c r="L12" s="428"/>
      <c r="M12" s="428"/>
    </row>
    <row r="13" spans="1:23" ht="15.75">
      <c r="A13" s="308">
        <v>8</v>
      </c>
      <c r="B13" s="308" t="s">
        <v>360</v>
      </c>
      <c r="C13" s="307">
        <v>3061</v>
      </c>
      <c r="D13" s="307">
        <v>3435</v>
      </c>
      <c r="E13" s="307">
        <v>3622</v>
      </c>
      <c r="F13" s="307">
        <v>4183</v>
      </c>
      <c r="J13" s="428"/>
      <c r="K13" s="428"/>
      <c r="L13" s="428"/>
      <c r="M13" s="428"/>
    </row>
    <row r="14" spans="1:23" ht="15.75">
      <c r="A14" s="308">
        <v>9</v>
      </c>
      <c r="B14" s="308" t="s">
        <v>384</v>
      </c>
      <c r="C14" s="307">
        <v>2755</v>
      </c>
      <c r="D14" s="307">
        <v>3135</v>
      </c>
      <c r="E14" s="307">
        <v>3325</v>
      </c>
      <c r="F14" s="307">
        <v>3895</v>
      </c>
      <c r="J14" s="428"/>
      <c r="K14" s="428"/>
      <c r="L14" s="428"/>
      <c r="M14" s="428"/>
    </row>
    <row r="15" spans="1:23" ht="15.75">
      <c r="A15" s="308">
        <v>10</v>
      </c>
      <c r="B15" s="308" t="s">
        <v>386</v>
      </c>
      <c r="C15" s="307">
        <v>5052</v>
      </c>
      <c r="D15" s="307">
        <v>5552</v>
      </c>
      <c r="E15" s="307">
        <v>5802</v>
      </c>
      <c r="F15" s="307">
        <v>6552</v>
      </c>
      <c r="J15" s="428"/>
      <c r="K15" s="428"/>
      <c r="L15" s="428"/>
      <c r="M15" s="428"/>
    </row>
    <row r="16" spans="1:23" ht="15.75">
      <c r="A16" s="308">
        <v>11</v>
      </c>
      <c r="B16" s="308" t="s">
        <v>407</v>
      </c>
      <c r="C16" s="307">
        <v>5770</v>
      </c>
      <c r="D16" s="307">
        <v>6260</v>
      </c>
      <c r="E16" s="307">
        <v>6505</v>
      </c>
      <c r="F16" s="307">
        <v>7240</v>
      </c>
      <c r="J16" s="428"/>
      <c r="K16" s="428"/>
      <c r="L16" s="428"/>
      <c r="M16" s="428"/>
    </row>
    <row r="17" spans="1:13" ht="15.75">
      <c r="A17" s="308">
        <v>12</v>
      </c>
      <c r="B17" s="308" t="s">
        <v>482</v>
      </c>
      <c r="C17" s="307">
        <v>4877</v>
      </c>
      <c r="D17" s="307">
        <v>5343</v>
      </c>
      <c r="E17" s="307">
        <v>5576</v>
      </c>
      <c r="F17" s="307">
        <v>6275</v>
      </c>
      <c r="J17" s="428"/>
      <c r="K17" s="428"/>
      <c r="L17" s="428"/>
      <c r="M17" s="428"/>
    </row>
    <row r="18" spans="1:13" ht="15.75">
      <c r="A18" s="308">
        <v>13</v>
      </c>
      <c r="B18" s="308" t="s">
        <v>484</v>
      </c>
      <c r="C18" s="307">
        <v>4439</v>
      </c>
      <c r="D18" s="307">
        <v>4853</v>
      </c>
      <c r="E18" s="307">
        <v>5060</v>
      </c>
      <c r="F18" s="307">
        <v>5681</v>
      </c>
      <c r="J18" s="428"/>
      <c r="K18" s="428"/>
      <c r="L18" s="428"/>
      <c r="M18" s="428"/>
    </row>
    <row r="19" spans="1:13" ht="15.75">
      <c r="A19" s="544">
        <v>14</v>
      </c>
      <c r="B19" s="308" t="s">
        <v>854</v>
      </c>
      <c r="C19" s="307">
        <v>8992</v>
      </c>
      <c r="D19" s="307">
        <v>9456</v>
      </c>
      <c r="E19" s="307">
        <v>9688</v>
      </c>
      <c r="F19" s="307">
        <v>10384</v>
      </c>
      <c r="J19" s="428"/>
      <c r="K19" s="428"/>
      <c r="L19" s="428"/>
      <c r="M19" s="428"/>
    </row>
    <row r="20" spans="1:13" ht="15.75">
      <c r="A20" s="544"/>
      <c r="B20" s="308" t="s">
        <v>855</v>
      </c>
      <c r="C20" s="307">
        <v>9793</v>
      </c>
      <c r="D20" s="307">
        <v>10293</v>
      </c>
      <c r="E20" s="307">
        <v>10543</v>
      </c>
      <c r="F20" s="307">
        <v>11293</v>
      </c>
      <c r="J20" s="428"/>
      <c r="K20" s="428"/>
      <c r="L20" s="428"/>
      <c r="M20" s="428"/>
    </row>
    <row r="21" spans="1:13" ht="15.75">
      <c r="A21" s="544"/>
      <c r="B21" s="308" t="s">
        <v>856</v>
      </c>
      <c r="C21" s="307">
        <v>10123</v>
      </c>
      <c r="D21" s="307">
        <v>10711</v>
      </c>
      <c r="E21" s="307">
        <v>11005</v>
      </c>
      <c r="F21" s="307">
        <v>11887</v>
      </c>
      <c r="J21" s="428"/>
      <c r="K21" s="428"/>
      <c r="L21" s="428"/>
      <c r="M21" s="428"/>
    </row>
    <row r="22" spans="1:13" ht="15.75">
      <c r="A22" s="308">
        <v>15</v>
      </c>
      <c r="B22" s="308" t="s">
        <v>857</v>
      </c>
      <c r="C22" s="307">
        <v>2490</v>
      </c>
      <c r="D22" s="307">
        <v>2832</v>
      </c>
      <c r="E22" s="307">
        <v>3003</v>
      </c>
      <c r="F22" s="307">
        <v>3516</v>
      </c>
      <c r="J22" s="428"/>
      <c r="K22" s="428"/>
      <c r="L22" s="428"/>
      <c r="M22" s="428"/>
    </row>
    <row r="23" spans="1:13" ht="15.75">
      <c r="A23" s="308">
        <v>16</v>
      </c>
      <c r="B23" s="308" t="s">
        <v>618</v>
      </c>
      <c r="C23" s="307">
        <v>4664</v>
      </c>
      <c r="D23" s="307">
        <v>5082</v>
      </c>
      <c r="E23" s="307">
        <v>5291</v>
      </c>
      <c r="F23" s="307">
        <v>5918</v>
      </c>
      <c r="J23" s="428"/>
      <c r="K23" s="428"/>
      <c r="L23" s="428"/>
      <c r="M23" s="428"/>
    </row>
    <row r="24" spans="1:13" ht="15.75">
      <c r="A24" s="308">
        <v>17</v>
      </c>
      <c r="B24" s="308" t="s">
        <v>632</v>
      </c>
      <c r="C24" s="307">
        <v>6193</v>
      </c>
      <c r="D24" s="307">
        <v>6639</v>
      </c>
      <c r="E24" s="307">
        <v>6862</v>
      </c>
      <c r="F24" s="307">
        <v>7531</v>
      </c>
      <c r="J24" s="428"/>
      <c r="K24" s="428"/>
      <c r="L24" s="428"/>
      <c r="M24" s="428"/>
    </row>
    <row r="25" spans="1:13" ht="15.75">
      <c r="A25" s="308">
        <v>18</v>
      </c>
      <c r="B25" s="308" t="s">
        <v>759</v>
      </c>
      <c r="C25" s="307">
        <v>5050</v>
      </c>
      <c r="D25" s="307">
        <v>5504</v>
      </c>
      <c r="E25" s="307">
        <v>5731</v>
      </c>
      <c r="F25" s="307">
        <v>6412</v>
      </c>
      <c r="J25" s="428"/>
      <c r="K25" s="428"/>
      <c r="L25" s="428"/>
      <c r="M25" s="428"/>
    </row>
    <row r="26" spans="1:13" ht="15.75">
      <c r="A26" s="308">
        <v>19</v>
      </c>
      <c r="B26" s="308" t="s">
        <v>684</v>
      </c>
      <c r="C26" s="307">
        <v>5444</v>
      </c>
      <c r="D26" s="307">
        <v>5908</v>
      </c>
      <c r="E26" s="307">
        <v>6140</v>
      </c>
      <c r="F26" s="307">
        <v>6836</v>
      </c>
      <c r="J26" s="428"/>
      <c r="K26" s="428"/>
      <c r="L26" s="428"/>
      <c r="M26" s="428"/>
    </row>
    <row r="27" spans="1:13" ht="15.75">
      <c r="A27" s="308">
        <v>20</v>
      </c>
      <c r="B27" s="308" t="s">
        <v>760</v>
      </c>
      <c r="C27" s="307">
        <v>2410</v>
      </c>
      <c r="D27" s="307">
        <v>2728</v>
      </c>
      <c r="E27" s="307">
        <v>2887</v>
      </c>
      <c r="F27" s="307">
        <v>3364</v>
      </c>
      <c r="J27" s="428"/>
      <c r="K27" s="428"/>
      <c r="L27" s="428"/>
      <c r="M27" s="428"/>
    </row>
    <row r="28" spans="1:13" ht="15.75">
      <c r="A28" s="308">
        <v>21</v>
      </c>
      <c r="B28" s="308" t="s">
        <v>858</v>
      </c>
      <c r="C28" s="307">
        <v>4622</v>
      </c>
      <c r="D28" s="307">
        <v>5038</v>
      </c>
      <c r="E28" s="307">
        <v>5246</v>
      </c>
      <c r="F28" s="307">
        <v>5870</v>
      </c>
      <c r="J28" s="428"/>
      <c r="K28" s="428"/>
      <c r="L28" s="428"/>
      <c r="M28" s="428"/>
    </row>
    <row r="29" spans="1:13" ht="15.75">
      <c r="A29" s="308">
        <v>22</v>
      </c>
      <c r="B29" s="308" t="s">
        <v>214</v>
      </c>
      <c r="C29" s="307">
        <v>5261</v>
      </c>
      <c r="D29" s="307">
        <v>5697</v>
      </c>
      <c r="E29" s="307">
        <v>5915</v>
      </c>
      <c r="F29" s="307">
        <v>6569</v>
      </c>
      <c r="J29" s="428"/>
      <c r="K29" s="428"/>
      <c r="L29" s="428"/>
      <c r="M29" s="428"/>
    </row>
    <row r="30" spans="1:13" ht="15.75">
      <c r="A30" s="308">
        <v>23</v>
      </c>
      <c r="B30" s="308" t="s">
        <v>423</v>
      </c>
      <c r="C30" s="307">
        <v>2190</v>
      </c>
      <c r="D30" s="307">
        <v>2502</v>
      </c>
      <c r="E30" s="307">
        <v>2658</v>
      </c>
      <c r="F30" s="307">
        <v>3126</v>
      </c>
      <c r="J30" s="428"/>
      <c r="K30" s="428"/>
      <c r="L30" s="428"/>
      <c r="M30" s="428"/>
    </row>
    <row r="31" spans="1:13" ht="15.75">
      <c r="A31" s="544">
        <v>24</v>
      </c>
      <c r="B31" s="308" t="s">
        <v>859</v>
      </c>
      <c r="C31" s="307">
        <v>5879</v>
      </c>
      <c r="D31" s="307">
        <v>6385</v>
      </c>
      <c r="E31" s="307">
        <v>6638</v>
      </c>
      <c r="F31" s="307">
        <v>7397</v>
      </c>
      <c r="J31" s="428"/>
      <c r="K31" s="428"/>
      <c r="L31" s="428"/>
      <c r="M31" s="428"/>
    </row>
    <row r="32" spans="1:13" ht="15.75">
      <c r="A32" s="544"/>
      <c r="B32" s="308" t="s">
        <v>860</v>
      </c>
      <c r="C32" s="307">
        <v>9289</v>
      </c>
      <c r="D32" s="307">
        <v>9801</v>
      </c>
      <c r="E32" s="307">
        <v>10057</v>
      </c>
      <c r="F32" s="307">
        <v>10825</v>
      </c>
      <c r="J32" s="428"/>
      <c r="K32" s="428"/>
      <c r="L32" s="428"/>
      <c r="M32" s="428"/>
    </row>
    <row r="33" spans="1:13" ht="15.75">
      <c r="A33" s="544"/>
      <c r="B33" s="308" t="s">
        <v>861</v>
      </c>
      <c r="C33" s="307">
        <v>9439</v>
      </c>
      <c r="D33" s="307">
        <v>9983</v>
      </c>
      <c r="E33" s="307">
        <v>10255</v>
      </c>
      <c r="F33" s="307">
        <v>11071</v>
      </c>
      <c r="J33" s="428"/>
      <c r="K33" s="428"/>
      <c r="L33" s="428"/>
      <c r="M33" s="428"/>
    </row>
    <row r="34" spans="1:13" ht="15.75">
      <c r="A34" s="308">
        <v>25</v>
      </c>
      <c r="B34" s="308" t="s">
        <v>550</v>
      </c>
      <c r="C34" s="307">
        <v>3946</v>
      </c>
      <c r="D34" s="307">
        <v>4316</v>
      </c>
      <c r="E34" s="307">
        <v>4501</v>
      </c>
      <c r="F34" s="307">
        <v>5056</v>
      </c>
      <c r="J34" s="428"/>
      <c r="K34" s="428"/>
      <c r="L34" s="428"/>
      <c r="M34" s="428"/>
    </row>
    <row r="35" spans="1:13" ht="15.75">
      <c r="A35" s="308">
        <v>26</v>
      </c>
      <c r="B35" s="308" t="s">
        <v>610</v>
      </c>
      <c r="C35" s="307">
        <v>2838</v>
      </c>
      <c r="D35" s="307">
        <v>3220</v>
      </c>
      <c r="E35" s="307">
        <v>3411</v>
      </c>
      <c r="F35" s="307">
        <v>3984</v>
      </c>
      <c r="J35" s="428"/>
      <c r="K35" s="428"/>
      <c r="L35" s="428"/>
      <c r="M35" s="428"/>
    </row>
    <row r="36" spans="1:13" ht="15.75">
      <c r="A36" s="308">
        <v>27</v>
      </c>
      <c r="B36" s="308" t="s">
        <v>661</v>
      </c>
      <c r="C36" s="307">
        <v>5406</v>
      </c>
      <c r="D36" s="307">
        <v>5848</v>
      </c>
      <c r="E36" s="307">
        <v>6069</v>
      </c>
      <c r="F36" s="307">
        <v>6732</v>
      </c>
      <c r="J36" s="428"/>
      <c r="K36" s="428"/>
      <c r="L36" s="428"/>
      <c r="M36" s="428"/>
    </row>
    <row r="37" spans="1:13" ht="15.75">
      <c r="A37" s="308">
        <v>28</v>
      </c>
      <c r="B37" s="308" t="s">
        <v>164</v>
      </c>
      <c r="C37" s="307">
        <v>5547</v>
      </c>
      <c r="D37" s="307">
        <v>5961</v>
      </c>
      <c r="E37" s="307">
        <v>6168</v>
      </c>
      <c r="F37" s="307">
        <v>6789</v>
      </c>
      <c r="J37" s="428"/>
      <c r="K37" s="428"/>
      <c r="L37" s="428"/>
      <c r="M37" s="428"/>
    </row>
    <row r="38" spans="1:13" ht="15.75">
      <c r="A38" s="308">
        <v>29</v>
      </c>
      <c r="B38" s="308" t="s">
        <v>250</v>
      </c>
      <c r="C38" s="307">
        <v>5662</v>
      </c>
      <c r="D38" s="307">
        <v>6160</v>
      </c>
      <c r="E38" s="307">
        <v>6409</v>
      </c>
      <c r="F38" s="307">
        <v>7156</v>
      </c>
      <c r="J38" s="428"/>
      <c r="K38" s="428"/>
      <c r="L38" s="428"/>
      <c r="M38" s="428"/>
    </row>
    <row r="39" spans="1:13" ht="15.75">
      <c r="A39" s="308">
        <v>30</v>
      </c>
      <c r="B39" s="308" t="s">
        <v>258</v>
      </c>
      <c r="C39" s="307">
        <v>2485</v>
      </c>
      <c r="D39" s="307">
        <v>2769</v>
      </c>
      <c r="E39" s="307">
        <v>2911</v>
      </c>
      <c r="F39" s="307">
        <v>3337</v>
      </c>
      <c r="J39" s="428"/>
      <c r="K39" s="428"/>
      <c r="L39" s="428"/>
      <c r="M39" s="428"/>
    </row>
    <row r="40" spans="1:13" ht="15.75">
      <c r="A40" s="308">
        <v>31</v>
      </c>
      <c r="B40" s="308" t="s">
        <v>267</v>
      </c>
      <c r="C40" s="307">
        <v>3411</v>
      </c>
      <c r="D40" s="307">
        <v>3785</v>
      </c>
      <c r="E40" s="307">
        <v>3972</v>
      </c>
      <c r="F40" s="307">
        <v>4533</v>
      </c>
      <c r="J40" s="428"/>
      <c r="K40" s="428"/>
      <c r="L40" s="428"/>
      <c r="M40" s="428"/>
    </row>
    <row r="41" spans="1:13" ht="15.75">
      <c r="A41" s="308">
        <v>32</v>
      </c>
      <c r="B41" s="308" t="s">
        <v>269</v>
      </c>
      <c r="C41" s="307">
        <v>3742</v>
      </c>
      <c r="D41" s="307">
        <v>4130</v>
      </c>
      <c r="E41" s="307">
        <v>4324</v>
      </c>
      <c r="F41" s="307">
        <v>4906</v>
      </c>
      <c r="J41" s="428"/>
      <c r="K41" s="428"/>
      <c r="L41" s="428"/>
      <c r="M41" s="428"/>
    </row>
    <row r="42" spans="1:13" ht="15.75">
      <c r="A42" s="308">
        <v>33</v>
      </c>
      <c r="B42" s="308" t="s">
        <v>282</v>
      </c>
      <c r="C42" s="307">
        <v>4395</v>
      </c>
      <c r="D42" s="307">
        <v>4809</v>
      </c>
      <c r="E42" s="307">
        <v>5016</v>
      </c>
      <c r="F42" s="307">
        <v>5637</v>
      </c>
      <c r="J42" s="428"/>
      <c r="K42" s="428"/>
      <c r="L42" s="428"/>
      <c r="M42" s="428"/>
    </row>
    <row r="43" spans="1:13" ht="15.75">
      <c r="A43" s="308">
        <v>34</v>
      </c>
      <c r="B43" s="308" t="s">
        <v>285</v>
      </c>
      <c r="C43" s="307">
        <v>2869</v>
      </c>
      <c r="D43" s="307">
        <v>3173</v>
      </c>
      <c r="E43" s="307">
        <v>3325</v>
      </c>
      <c r="F43" s="307">
        <v>3781</v>
      </c>
      <c r="J43" s="428"/>
      <c r="K43" s="428"/>
      <c r="L43" s="428"/>
      <c r="M43" s="428"/>
    </row>
    <row r="44" spans="1:13" ht="15.75">
      <c r="A44" s="308">
        <v>35</v>
      </c>
      <c r="B44" s="308" t="s">
        <v>292</v>
      </c>
      <c r="C44" s="307">
        <v>5070</v>
      </c>
      <c r="D44" s="307">
        <v>5546</v>
      </c>
      <c r="E44" s="307">
        <v>5784</v>
      </c>
      <c r="F44" s="307">
        <v>6498</v>
      </c>
      <c r="J44" s="428"/>
      <c r="K44" s="428"/>
      <c r="L44" s="428"/>
      <c r="M44" s="428"/>
    </row>
    <row r="45" spans="1:13" ht="15.75">
      <c r="A45" s="308">
        <v>36</v>
      </c>
      <c r="B45" s="308" t="s">
        <v>298</v>
      </c>
      <c r="C45" s="307">
        <v>3549</v>
      </c>
      <c r="D45" s="307">
        <v>3937</v>
      </c>
      <c r="E45" s="307">
        <v>4131</v>
      </c>
      <c r="F45" s="307">
        <v>4713</v>
      </c>
      <c r="J45" s="428"/>
      <c r="K45" s="428"/>
      <c r="L45" s="428"/>
      <c r="M45" s="428"/>
    </row>
    <row r="46" spans="1:13" ht="15.75">
      <c r="A46" s="308">
        <v>37</v>
      </c>
      <c r="B46" s="308" t="s">
        <v>323</v>
      </c>
      <c r="C46" s="307">
        <v>4502</v>
      </c>
      <c r="D46" s="307">
        <v>4916</v>
      </c>
      <c r="E46" s="307">
        <v>5123</v>
      </c>
      <c r="F46" s="307">
        <v>5744</v>
      </c>
      <c r="J46" s="428"/>
      <c r="K46" s="428"/>
      <c r="L46" s="428"/>
      <c r="M46" s="428"/>
    </row>
    <row r="47" spans="1:13" ht="15.75">
      <c r="A47" s="308">
        <v>38</v>
      </c>
      <c r="B47" s="308" t="s">
        <v>329</v>
      </c>
      <c r="C47" s="307">
        <v>5489</v>
      </c>
      <c r="D47" s="307">
        <v>5951</v>
      </c>
      <c r="E47" s="307">
        <v>6182</v>
      </c>
      <c r="F47" s="307">
        <v>6875</v>
      </c>
      <c r="J47" s="428"/>
      <c r="K47" s="428"/>
      <c r="L47" s="428"/>
      <c r="M47" s="428"/>
    </row>
    <row r="48" spans="1:13" ht="15.75">
      <c r="A48" s="308">
        <v>39</v>
      </c>
      <c r="B48" s="308" t="s">
        <v>358</v>
      </c>
      <c r="C48" s="307">
        <v>3125</v>
      </c>
      <c r="D48" s="307">
        <v>3507</v>
      </c>
      <c r="E48" s="307">
        <v>3698</v>
      </c>
      <c r="F48" s="307">
        <v>4271</v>
      </c>
      <c r="J48" s="428"/>
      <c r="K48" s="428"/>
      <c r="L48" s="428"/>
      <c r="M48" s="428"/>
    </row>
    <row r="49" spans="1:13" ht="15.75">
      <c r="A49" s="308">
        <v>40</v>
      </c>
      <c r="B49" s="308" t="s">
        <v>362</v>
      </c>
      <c r="C49" s="307">
        <v>4033</v>
      </c>
      <c r="D49" s="307">
        <v>4447</v>
      </c>
      <c r="E49" s="307">
        <v>4654</v>
      </c>
      <c r="F49" s="307">
        <v>5275</v>
      </c>
      <c r="J49" s="428"/>
      <c r="K49" s="428"/>
      <c r="L49" s="428"/>
      <c r="M49" s="428"/>
    </row>
    <row r="50" spans="1:13" ht="15.75">
      <c r="A50" s="308">
        <v>41</v>
      </c>
      <c r="B50" s="308" t="s">
        <v>364</v>
      </c>
      <c r="C50" s="307">
        <v>4495</v>
      </c>
      <c r="D50" s="307">
        <v>4987</v>
      </c>
      <c r="E50" s="307">
        <v>5233</v>
      </c>
      <c r="F50" s="307">
        <v>5971</v>
      </c>
      <c r="J50" s="428"/>
      <c r="K50" s="428"/>
      <c r="L50" s="428"/>
      <c r="M50" s="428"/>
    </row>
    <row r="51" spans="1:13" ht="15.75">
      <c r="A51" s="308">
        <v>42</v>
      </c>
      <c r="B51" s="308" t="s">
        <v>394</v>
      </c>
      <c r="C51" s="307">
        <v>5501</v>
      </c>
      <c r="D51" s="307">
        <v>5937</v>
      </c>
      <c r="E51" s="307">
        <v>6155</v>
      </c>
      <c r="F51" s="307">
        <v>6809</v>
      </c>
      <c r="J51" s="428"/>
      <c r="K51" s="428"/>
      <c r="L51" s="428"/>
      <c r="M51" s="428"/>
    </row>
    <row r="52" spans="1:13" ht="15.75">
      <c r="A52" s="308">
        <v>43</v>
      </c>
      <c r="B52" s="308" t="s">
        <v>403</v>
      </c>
      <c r="C52" s="307">
        <v>5174</v>
      </c>
      <c r="D52" s="307">
        <v>5640</v>
      </c>
      <c r="E52" s="307">
        <v>5873</v>
      </c>
      <c r="F52" s="307">
        <v>6572</v>
      </c>
      <c r="J52" s="428"/>
      <c r="K52" s="428"/>
      <c r="L52" s="428"/>
      <c r="M52" s="428"/>
    </row>
    <row r="53" spans="1:13" ht="15.75">
      <c r="A53" s="308">
        <v>44</v>
      </c>
      <c r="B53" s="308" t="s">
        <v>419</v>
      </c>
      <c r="C53" s="307">
        <v>4506</v>
      </c>
      <c r="D53" s="307">
        <v>4924</v>
      </c>
      <c r="E53" s="307">
        <v>5133</v>
      </c>
      <c r="F53" s="307">
        <v>5760</v>
      </c>
      <c r="J53" s="428"/>
      <c r="K53" s="428"/>
      <c r="L53" s="428"/>
      <c r="M53" s="428"/>
    </row>
    <row r="54" spans="1:13" ht="15.75">
      <c r="A54" s="308">
        <v>45</v>
      </c>
      <c r="B54" s="308" t="s">
        <v>463</v>
      </c>
      <c r="C54" s="307">
        <v>5270</v>
      </c>
      <c r="D54" s="307">
        <v>5704</v>
      </c>
      <c r="E54" s="307">
        <v>5921</v>
      </c>
      <c r="F54" s="307">
        <v>6572</v>
      </c>
      <c r="J54" s="428"/>
      <c r="K54" s="428"/>
      <c r="L54" s="428"/>
      <c r="M54" s="428"/>
    </row>
    <row r="55" spans="1:13" ht="15.75">
      <c r="A55" s="308">
        <v>46</v>
      </c>
      <c r="B55" s="308" t="s">
        <v>465</v>
      </c>
      <c r="C55" s="307">
        <v>3649</v>
      </c>
      <c r="D55" s="307">
        <v>4037</v>
      </c>
      <c r="E55" s="307">
        <v>4231</v>
      </c>
      <c r="F55" s="307">
        <v>4813</v>
      </c>
      <c r="J55" s="428"/>
      <c r="K55" s="428"/>
      <c r="L55" s="428"/>
      <c r="M55" s="428"/>
    </row>
    <row r="56" spans="1:13" ht="15.75">
      <c r="A56" s="308">
        <v>47</v>
      </c>
      <c r="B56" s="308" t="s">
        <v>471</v>
      </c>
      <c r="C56" s="307">
        <v>3945</v>
      </c>
      <c r="D56" s="307">
        <v>4361</v>
      </c>
      <c r="E56" s="307">
        <v>4569</v>
      </c>
      <c r="F56" s="307">
        <v>5193</v>
      </c>
      <c r="J56" s="428"/>
      <c r="K56" s="428"/>
      <c r="L56" s="428"/>
      <c r="M56" s="428"/>
    </row>
    <row r="57" spans="1:13" ht="15.75">
      <c r="A57" s="308">
        <v>48</v>
      </c>
      <c r="B57" s="308" t="s">
        <v>467</v>
      </c>
      <c r="C57" s="307">
        <v>3849</v>
      </c>
      <c r="D57" s="307">
        <v>4241</v>
      </c>
      <c r="E57" s="307">
        <v>4437</v>
      </c>
      <c r="F57" s="307">
        <v>5025</v>
      </c>
      <c r="J57" s="428"/>
      <c r="K57" s="428"/>
      <c r="L57" s="428"/>
      <c r="M57" s="428"/>
    </row>
    <row r="58" spans="1:13" ht="15.75">
      <c r="A58" s="308">
        <v>49</v>
      </c>
      <c r="B58" s="308" t="s">
        <v>474</v>
      </c>
      <c r="C58" s="307">
        <v>7002</v>
      </c>
      <c r="D58" s="307">
        <v>7554</v>
      </c>
      <c r="E58" s="307">
        <v>7830</v>
      </c>
      <c r="F58" s="307">
        <v>8658</v>
      </c>
      <c r="J58" s="428"/>
      <c r="K58" s="428"/>
      <c r="L58" s="428"/>
      <c r="M58" s="428"/>
    </row>
    <row r="59" spans="1:13" ht="15.75">
      <c r="A59" s="308">
        <v>50</v>
      </c>
      <c r="B59" s="308" t="s">
        <v>486</v>
      </c>
      <c r="C59" s="307">
        <v>4131</v>
      </c>
      <c r="D59" s="307">
        <v>4545</v>
      </c>
      <c r="E59" s="307">
        <v>4752</v>
      </c>
      <c r="F59" s="307">
        <v>5373</v>
      </c>
      <c r="J59" s="428"/>
      <c r="K59" s="428"/>
      <c r="L59" s="428"/>
      <c r="M59" s="428"/>
    </row>
    <row r="60" spans="1:13" ht="15.75">
      <c r="A60" s="308">
        <v>51</v>
      </c>
      <c r="B60" s="308" t="s">
        <v>491</v>
      </c>
      <c r="C60" s="307">
        <v>5779</v>
      </c>
      <c r="D60" s="307">
        <v>6337</v>
      </c>
      <c r="E60" s="307">
        <v>6616</v>
      </c>
      <c r="F60" s="307">
        <v>7453</v>
      </c>
      <c r="J60" s="428"/>
      <c r="K60" s="428"/>
      <c r="L60" s="428"/>
      <c r="M60" s="428"/>
    </row>
    <row r="61" spans="1:13" ht="15.75">
      <c r="A61" s="308">
        <v>52</v>
      </c>
      <c r="B61" s="308" t="s">
        <v>514</v>
      </c>
      <c r="C61" s="307">
        <v>4431</v>
      </c>
      <c r="D61" s="307">
        <v>4847</v>
      </c>
      <c r="E61" s="307">
        <v>5055</v>
      </c>
      <c r="F61" s="307">
        <v>5679</v>
      </c>
      <c r="J61" s="428"/>
      <c r="K61" s="428"/>
      <c r="L61" s="428"/>
      <c r="M61" s="428"/>
    </row>
    <row r="62" spans="1:13" ht="15.75">
      <c r="A62" s="308">
        <v>53</v>
      </c>
      <c r="B62" s="308" t="s">
        <v>518</v>
      </c>
      <c r="C62" s="307">
        <v>4385</v>
      </c>
      <c r="D62" s="307">
        <v>4857</v>
      </c>
      <c r="E62" s="307">
        <v>5093</v>
      </c>
      <c r="F62" s="307">
        <v>5801</v>
      </c>
      <c r="J62" s="428"/>
      <c r="K62" s="428"/>
      <c r="L62" s="428"/>
      <c r="M62" s="428"/>
    </row>
    <row r="63" spans="1:13" ht="15.75">
      <c r="A63" s="308">
        <v>54</v>
      </c>
      <c r="B63" s="308" t="s">
        <v>521</v>
      </c>
      <c r="C63" s="307">
        <v>5340</v>
      </c>
      <c r="D63" s="307">
        <v>5776</v>
      </c>
      <c r="E63" s="307">
        <v>5994</v>
      </c>
      <c r="F63" s="307">
        <v>6648</v>
      </c>
      <c r="J63" s="428"/>
      <c r="K63" s="428"/>
      <c r="L63" s="428"/>
      <c r="M63" s="428"/>
    </row>
    <row r="64" spans="1:13" ht="15.75">
      <c r="A64" s="308">
        <v>55</v>
      </c>
      <c r="B64" s="308" t="s">
        <v>531</v>
      </c>
      <c r="C64" s="307">
        <v>5508</v>
      </c>
      <c r="D64" s="307">
        <v>5944</v>
      </c>
      <c r="E64" s="307">
        <v>6162</v>
      </c>
      <c r="F64" s="307">
        <v>6816</v>
      </c>
      <c r="J64" s="428"/>
      <c r="K64" s="428"/>
      <c r="L64" s="428"/>
      <c r="M64" s="428"/>
    </row>
    <row r="65" spans="1:13" ht="15.75">
      <c r="A65" s="308">
        <v>56</v>
      </c>
      <c r="B65" s="308" t="s">
        <v>536</v>
      </c>
      <c r="C65" s="307">
        <v>4329</v>
      </c>
      <c r="D65" s="307">
        <v>4703</v>
      </c>
      <c r="E65" s="307">
        <v>4890</v>
      </c>
      <c r="F65" s="307">
        <v>5451</v>
      </c>
      <c r="J65" s="428"/>
      <c r="K65" s="428"/>
      <c r="L65" s="428"/>
      <c r="M65" s="428"/>
    </row>
    <row r="66" spans="1:13" ht="15.75">
      <c r="A66" s="308">
        <v>57</v>
      </c>
      <c r="B66" s="308" t="s">
        <v>540</v>
      </c>
      <c r="C66" s="307">
        <v>3762</v>
      </c>
      <c r="D66" s="307">
        <v>4152</v>
      </c>
      <c r="E66" s="307">
        <v>4347</v>
      </c>
      <c r="F66" s="307">
        <v>4932</v>
      </c>
      <c r="J66" s="428"/>
      <c r="K66" s="428"/>
      <c r="L66" s="428"/>
      <c r="M66" s="428"/>
    </row>
    <row r="67" spans="1:13" ht="15.75">
      <c r="A67" s="308">
        <v>58</v>
      </c>
      <c r="B67" s="308" t="s">
        <v>542</v>
      </c>
      <c r="C67" s="307">
        <v>4146</v>
      </c>
      <c r="D67" s="307">
        <v>4538</v>
      </c>
      <c r="E67" s="307">
        <v>4734</v>
      </c>
      <c r="F67" s="307">
        <v>5322</v>
      </c>
      <c r="J67" s="428"/>
      <c r="K67" s="428"/>
      <c r="L67" s="428"/>
      <c r="M67" s="428"/>
    </row>
    <row r="68" spans="1:13" ht="15.75">
      <c r="A68" s="308">
        <v>59</v>
      </c>
      <c r="B68" s="308" t="s">
        <v>545</v>
      </c>
      <c r="C68" s="307">
        <v>5179</v>
      </c>
      <c r="D68" s="307">
        <v>5633</v>
      </c>
      <c r="E68" s="307">
        <v>5860</v>
      </c>
      <c r="F68" s="307">
        <v>6541</v>
      </c>
      <c r="J68" s="428"/>
      <c r="K68" s="428"/>
      <c r="L68" s="428"/>
      <c r="M68" s="428"/>
    </row>
    <row r="69" spans="1:13" ht="15.75">
      <c r="A69" s="308">
        <v>60</v>
      </c>
      <c r="B69" s="308" t="s">
        <v>567</v>
      </c>
      <c r="C69" s="307">
        <v>3858</v>
      </c>
      <c r="D69" s="307">
        <v>4278</v>
      </c>
      <c r="E69" s="307">
        <v>4488</v>
      </c>
      <c r="F69" s="307">
        <v>5118</v>
      </c>
      <c r="J69" s="428"/>
      <c r="K69" s="428"/>
      <c r="L69" s="428"/>
      <c r="M69" s="428"/>
    </row>
    <row r="70" spans="1:13" ht="15.75">
      <c r="A70" s="308">
        <v>61</v>
      </c>
      <c r="B70" s="308" t="s">
        <v>570</v>
      </c>
      <c r="C70" s="307">
        <v>2539</v>
      </c>
      <c r="D70" s="307">
        <v>2845</v>
      </c>
      <c r="E70" s="307">
        <v>2998</v>
      </c>
      <c r="F70" s="307">
        <v>3457</v>
      </c>
      <c r="J70" s="428"/>
      <c r="K70" s="428"/>
      <c r="L70" s="428"/>
      <c r="M70" s="428"/>
    </row>
    <row r="71" spans="1:13" ht="15.75">
      <c r="A71" s="308">
        <v>62</v>
      </c>
      <c r="B71" s="308" t="s">
        <v>574</v>
      </c>
      <c r="C71" s="307">
        <v>4134</v>
      </c>
      <c r="D71" s="307">
        <v>4548</v>
      </c>
      <c r="E71" s="307">
        <v>4755</v>
      </c>
      <c r="F71" s="307">
        <v>5376</v>
      </c>
      <c r="J71" s="428"/>
      <c r="K71" s="428"/>
      <c r="L71" s="428"/>
      <c r="M71" s="428"/>
    </row>
    <row r="72" spans="1:13" ht="15.75">
      <c r="A72" s="308">
        <v>63</v>
      </c>
      <c r="B72" s="308" t="s">
        <v>576</v>
      </c>
      <c r="C72" s="307">
        <v>4156</v>
      </c>
      <c r="D72" s="307">
        <v>4530</v>
      </c>
      <c r="E72" s="307">
        <v>4717</v>
      </c>
      <c r="F72" s="307">
        <v>5278</v>
      </c>
      <c r="J72" s="428"/>
      <c r="K72" s="428"/>
      <c r="L72" s="428"/>
      <c r="M72" s="428"/>
    </row>
    <row r="73" spans="1:13" ht="15.75">
      <c r="A73" s="308">
        <v>64</v>
      </c>
      <c r="B73" s="308" t="s">
        <v>578</v>
      </c>
      <c r="C73" s="307">
        <v>3811</v>
      </c>
      <c r="D73" s="307">
        <v>4189</v>
      </c>
      <c r="E73" s="307">
        <v>4378</v>
      </c>
      <c r="F73" s="307">
        <v>4945</v>
      </c>
      <c r="J73" s="428"/>
      <c r="K73" s="428"/>
      <c r="L73" s="428"/>
      <c r="M73" s="428"/>
    </row>
    <row r="74" spans="1:13" ht="15.75">
      <c r="A74" s="308">
        <v>65</v>
      </c>
      <c r="B74" s="308" t="s">
        <v>582</v>
      </c>
      <c r="C74" s="307">
        <v>4482</v>
      </c>
      <c r="D74" s="307">
        <v>4906</v>
      </c>
      <c r="E74" s="307">
        <v>5118</v>
      </c>
      <c r="F74" s="307">
        <v>5754</v>
      </c>
      <c r="J74" s="428"/>
      <c r="K74" s="428"/>
      <c r="L74" s="428"/>
      <c r="M74" s="428"/>
    </row>
    <row r="75" spans="1:13" ht="15.75">
      <c r="A75" s="308">
        <v>66</v>
      </c>
      <c r="B75" s="308" t="s">
        <v>598</v>
      </c>
      <c r="C75" s="307">
        <v>4903</v>
      </c>
      <c r="D75" s="307">
        <v>5315</v>
      </c>
      <c r="E75" s="307">
        <v>5521</v>
      </c>
      <c r="F75" s="307">
        <v>6139</v>
      </c>
      <c r="J75" s="428"/>
      <c r="K75" s="428"/>
      <c r="L75" s="428"/>
      <c r="M75" s="428"/>
    </row>
    <row r="76" spans="1:13" ht="15.75">
      <c r="A76" s="308">
        <v>67</v>
      </c>
      <c r="B76" s="308" t="s">
        <v>607</v>
      </c>
      <c r="C76" s="307">
        <v>3944</v>
      </c>
      <c r="D76" s="307">
        <v>4358</v>
      </c>
      <c r="E76" s="307">
        <v>4565</v>
      </c>
      <c r="F76" s="307">
        <v>5186</v>
      </c>
      <c r="J76" s="428"/>
      <c r="K76" s="428"/>
      <c r="L76" s="428"/>
      <c r="M76" s="428"/>
    </row>
    <row r="77" spans="1:13" ht="15.75">
      <c r="A77" s="308">
        <v>68</v>
      </c>
      <c r="B77" s="308" t="s">
        <v>616</v>
      </c>
      <c r="C77" s="307">
        <v>3889</v>
      </c>
      <c r="D77" s="307">
        <v>4281</v>
      </c>
      <c r="E77" s="307">
        <v>4477</v>
      </c>
      <c r="F77" s="307">
        <v>5065</v>
      </c>
      <c r="J77" s="428"/>
      <c r="K77" s="428"/>
      <c r="L77" s="428"/>
      <c r="M77" s="428"/>
    </row>
    <row r="78" spans="1:13" ht="15.75">
      <c r="A78" s="308">
        <v>69</v>
      </c>
      <c r="B78" s="308" t="s">
        <v>622</v>
      </c>
      <c r="C78" s="307">
        <v>4202</v>
      </c>
      <c r="D78" s="307">
        <v>4616</v>
      </c>
      <c r="E78" s="307">
        <v>4823</v>
      </c>
      <c r="F78" s="307">
        <v>5444</v>
      </c>
      <c r="J78" s="428"/>
      <c r="K78" s="428"/>
      <c r="L78" s="428"/>
      <c r="M78" s="428"/>
    </row>
    <row r="79" spans="1:13" ht="15.75">
      <c r="A79" s="308">
        <v>70</v>
      </c>
      <c r="B79" s="308" t="s">
        <v>626</v>
      </c>
      <c r="C79" s="307">
        <v>5778</v>
      </c>
      <c r="D79" s="307">
        <v>6242</v>
      </c>
      <c r="E79" s="307">
        <v>6474</v>
      </c>
      <c r="F79" s="307">
        <v>7170</v>
      </c>
      <c r="J79" s="428"/>
      <c r="K79" s="428"/>
      <c r="L79" s="428"/>
      <c r="M79" s="428"/>
    </row>
    <row r="80" spans="1:13" ht="15.75">
      <c r="A80" s="308">
        <v>71</v>
      </c>
      <c r="B80" s="308" t="s">
        <v>634</v>
      </c>
      <c r="C80" s="307">
        <v>4048</v>
      </c>
      <c r="D80" s="307">
        <v>4464</v>
      </c>
      <c r="E80" s="307">
        <v>4672</v>
      </c>
      <c r="F80" s="307">
        <v>5296</v>
      </c>
      <c r="J80" s="428"/>
      <c r="K80" s="428"/>
      <c r="L80" s="428"/>
      <c r="M80" s="428"/>
    </row>
    <row r="81" spans="1:13" ht="15.75">
      <c r="A81" s="308">
        <v>72</v>
      </c>
      <c r="B81" s="308" t="s">
        <v>862</v>
      </c>
      <c r="C81" s="307">
        <v>5284</v>
      </c>
      <c r="D81" s="307">
        <v>5716</v>
      </c>
      <c r="E81" s="307">
        <v>5932</v>
      </c>
      <c r="F81" s="307">
        <v>6580</v>
      </c>
      <c r="J81" s="428"/>
      <c r="K81" s="428"/>
      <c r="L81" s="428"/>
      <c r="M81" s="428"/>
    </row>
    <row r="82" spans="1:13" ht="15.75">
      <c r="A82" s="308">
        <v>73</v>
      </c>
      <c r="B82" s="308" t="s">
        <v>658</v>
      </c>
      <c r="C82" s="307">
        <v>4579</v>
      </c>
      <c r="D82" s="307">
        <v>4997</v>
      </c>
      <c r="E82" s="307">
        <v>5206</v>
      </c>
      <c r="F82" s="307">
        <v>5833</v>
      </c>
      <c r="J82" s="428"/>
      <c r="K82" s="428"/>
      <c r="L82" s="428"/>
      <c r="M82" s="428"/>
    </row>
    <row r="83" spans="1:13" ht="15.75">
      <c r="A83" s="308">
        <v>74</v>
      </c>
      <c r="B83" s="308" t="s">
        <v>687</v>
      </c>
      <c r="C83" s="307">
        <v>4861</v>
      </c>
      <c r="D83" s="307">
        <v>5273</v>
      </c>
      <c r="E83" s="307">
        <v>5479</v>
      </c>
      <c r="F83" s="307">
        <v>6097</v>
      </c>
      <c r="J83" s="428"/>
      <c r="K83" s="428"/>
      <c r="L83" s="428"/>
      <c r="M83" s="428"/>
    </row>
    <row r="84" spans="1:13" ht="15.75">
      <c r="A84" s="308">
        <v>75</v>
      </c>
      <c r="B84" s="308" t="s">
        <v>307</v>
      </c>
      <c r="C84" s="307">
        <v>6088</v>
      </c>
      <c r="D84" s="307">
        <v>6548</v>
      </c>
      <c r="E84" s="307">
        <v>6778</v>
      </c>
      <c r="F84" s="307">
        <v>7468</v>
      </c>
      <c r="J84" s="428"/>
      <c r="K84" s="428"/>
      <c r="L84" s="428"/>
      <c r="M84" s="428"/>
    </row>
    <row r="85" spans="1:13" ht="15.75">
      <c r="A85" s="308">
        <v>76</v>
      </c>
      <c r="B85" s="308" t="s">
        <v>752</v>
      </c>
      <c r="C85" s="307">
        <v>4373</v>
      </c>
      <c r="D85" s="307">
        <v>4787</v>
      </c>
      <c r="E85" s="307">
        <v>4994</v>
      </c>
      <c r="F85" s="307">
        <v>5615</v>
      </c>
      <c r="J85" s="428"/>
      <c r="K85" s="428"/>
      <c r="L85" s="428"/>
      <c r="M85" s="428"/>
    </row>
    <row r="86" spans="1:13" ht="15.75">
      <c r="A86" s="308">
        <v>77</v>
      </c>
      <c r="B86" s="308" t="s">
        <v>863</v>
      </c>
      <c r="C86" s="307">
        <v>4131</v>
      </c>
      <c r="D86" s="307">
        <v>4545</v>
      </c>
      <c r="E86" s="307">
        <v>4752</v>
      </c>
      <c r="F86" s="307">
        <v>5373</v>
      </c>
      <c r="J86" s="428"/>
      <c r="K86" s="428"/>
      <c r="L86" s="428"/>
      <c r="M86" s="428"/>
    </row>
    <row r="87" spans="1:13" ht="15.75">
      <c r="A87" s="308">
        <v>78</v>
      </c>
      <c r="B87" s="308" t="s">
        <v>864</v>
      </c>
      <c r="C87" s="307">
        <v>3945</v>
      </c>
      <c r="D87" s="307">
        <v>4361</v>
      </c>
      <c r="E87" s="307">
        <v>4569</v>
      </c>
      <c r="F87" s="307">
        <v>5193</v>
      </c>
      <c r="J87" s="428"/>
      <c r="K87" s="428"/>
      <c r="L87" s="428"/>
      <c r="M87" s="428"/>
    </row>
    <row r="88" spans="1:13" ht="15.75">
      <c r="A88" s="308">
        <v>79</v>
      </c>
      <c r="B88" s="308" t="s">
        <v>304</v>
      </c>
      <c r="C88" s="307">
        <v>5715</v>
      </c>
      <c r="D88" s="307">
        <v>6157</v>
      </c>
      <c r="E88" s="307">
        <v>6378</v>
      </c>
      <c r="F88" s="307">
        <v>7041</v>
      </c>
      <c r="J88" s="428"/>
      <c r="K88" s="428"/>
      <c r="L88" s="428"/>
      <c r="M88" s="428"/>
    </row>
    <row r="89" spans="1:13" ht="15.75">
      <c r="A89" s="308">
        <v>83</v>
      </c>
      <c r="B89" s="308" t="s">
        <v>865</v>
      </c>
      <c r="C89" s="307">
        <v>6966</v>
      </c>
      <c r="D89" s="307">
        <v>7490</v>
      </c>
      <c r="E89" s="307">
        <v>7752</v>
      </c>
      <c r="F89" s="307">
        <v>8538</v>
      </c>
      <c r="J89" s="428"/>
      <c r="K89" s="428"/>
      <c r="L89" s="428"/>
      <c r="M89" s="428"/>
    </row>
    <row r="90" spans="1:13" ht="15.75">
      <c r="A90" s="308">
        <v>86</v>
      </c>
      <c r="B90" s="308" t="s">
        <v>866</v>
      </c>
      <c r="C90" s="307">
        <v>6460</v>
      </c>
      <c r="D90" s="307">
        <v>6926</v>
      </c>
      <c r="E90" s="307">
        <v>7159</v>
      </c>
      <c r="F90" s="307">
        <v>7858</v>
      </c>
      <c r="J90" s="428"/>
      <c r="K90" s="428"/>
      <c r="L90" s="428"/>
      <c r="M90" s="428"/>
    </row>
    <row r="91" spans="1:13" ht="15.75">
      <c r="A91" s="308">
        <v>87</v>
      </c>
      <c r="B91" s="308" t="s">
        <v>867</v>
      </c>
      <c r="C91" s="307">
        <v>8548</v>
      </c>
      <c r="D91" s="307">
        <v>9124</v>
      </c>
      <c r="E91" s="307">
        <v>9412</v>
      </c>
      <c r="F91" s="307">
        <v>10276</v>
      </c>
      <c r="J91" s="428"/>
      <c r="K91" s="428"/>
      <c r="L91" s="428"/>
      <c r="M91" s="428"/>
    </row>
    <row r="92" spans="1:13" ht="15.75">
      <c r="A92" s="308">
        <v>89</v>
      </c>
      <c r="B92" s="308" t="s">
        <v>868</v>
      </c>
      <c r="C92" s="307">
        <v>8167</v>
      </c>
      <c r="D92" s="307">
        <v>8719</v>
      </c>
      <c r="E92" s="307">
        <v>8995</v>
      </c>
      <c r="F92" s="307">
        <v>9823</v>
      </c>
      <c r="J92" s="428"/>
      <c r="K92" s="428"/>
      <c r="L92" s="428"/>
      <c r="M92" s="428"/>
    </row>
    <row r="93" spans="1:13" ht="15.75">
      <c r="A93" s="308">
        <v>91</v>
      </c>
      <c r="B93" s="308" t="s">
        <v>455</v>
      </c>
      <c r="C93" s="307">
        <v>2091</v>
      </c>
      <c r="D93" s="307">
        <v>2409</v>
      </c>
      <c r="E93" s="307">
        <v>2568</v>
      </c>
      <c r="F93" s="307">
        <v>3045</v>
      </c>
      <c r="J93" s="428"/>
      <c r="K93" s="428"/>
      <c r="L93" s="428"/>
      <c r="M93" s="428"/>
    </row>
    <row r="94" spans="1:13" ht="15.75">
      <c r="A94" s="308">
        <v>92</v>
      </c>
      <c r="B94" s="308" t="s">
        <v>869</v>
      </c>
      <c r="C94" s="307">
        <v>1425</v>
      </c>
      <c r="D94" s="307">
        <v>1661</v>
      </c>
      <c r="E94" s="307">
        <v>1779</v>
      </c>
      <c r="F94" s="307">
        <v>2133</v>
      </c>
      <c r="J94" s="428"/>
      <c r="K94" s="428"/>
      <c r="L94" s="428"/>
      <c r="M94" s="428"/>
    </row>
  </sheetData>
  <mergeCells count="4">
    <mergeCell ref="A4:A5"/>
    <mergeCell ref="C4:F4"/>
    <mergeCell ref="A19:A21"/>
    <mergeCell ref="A31:A33"/>
  </mergeCells>
  <pageMargins left="0.75" right="0.75" top="1" bottom="1" header="0.5" footer="0.5"/>
  <pageSetup paperSize="9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F94"/>
  <sheetViews>
    <sheetView workbookViewId="0">
      <selection activeCell="C6" sqref="C6:F94"/>
    </sheetView>
  </sheetViews>
  <sheetFormatPr defaultRowHeight="15"/>
  <sheetData>
    <row r="1" spans="1:6">
      <c r="A1" s="268" t="s">
        <v>1031</v>
      </c>
      <c r="B1" s="269"/>
      <c r="C1" s="269"/>
      <c r="D1" s="269"/>
      <c r="E1" s="269"/>
      <c r="F1" s="269"/>
    </row>
    <row r="2" spans="1:6">
      <c r="A2" s="272"/>
      <c r="B2" s="272"/>
      <c r="C2" s="272"/>
      <c r="D2" s="272"/>
      <c r="E2" s="272"/>
      <c r="F2" s="272"/>
    </row>
    <row r="3" spans="1:6">
      <c r="A3" s="272"/>
      <c r="B3" s="272">
        <f>VLOOKUP('1.Общие данные по зданию'!C7,Климатология2022!B6:F94,IF('1.Общие данные по зданию'!C17=18,2,IF('1.Общие данные по зданию'!C17=20,3,IF('1.Общие данные по зданию'!C17=21,4,5))),0)</f>
        <v>2655</v>
      </c>
      <c r="C3" s="272"/>
      <c r="D3" s="272"/>
      <c r="E3" s="272"/>
      <c r="F3" s="272"/>
    </row>
    <row r="4" spans="1:6" ht="15.75">
      <c r="A4" s="542"/>
      <c r="B4" s="310"/>
      <c r="C4" s="543" t="s">
        <v>848</v>
      </c>
      <c r="D4" s="543"/>
      <c r="E4" s="543"/>
      <c r="F4" s="543"/>
    </row>
    <row r="5" spans="1:6" ht="19.5" thickBot="1">
      <c r="A5" s="542"/>
      <c r="B5" s="310" t="s">
        <v>755</v>
      </c>
      <c r="C5" s="307" t="s">
        <v>849</v>
      </c>
      <c r="D5" s="307" t="s">
        <v>850</v>
      </c>
      <c r="E5" s="307" t="s">
        <v>851</v>
      </c>
      <c r="F5" s="307" t="s">
        <v>852</v>
      </c>
    </row>
    <row r="6" spans="1:6" ht="16.5" thickBot="1">
      <c r="A6" s="308">
        <v>1</v>
      </c>
      <c r="B6" s="308" t="s">
        <v>853</v>
      </c>
      <c r="C6" s="439">
        <v>2268</v>
      </c>
      <c r="D6" s="440">
        <v>2634</v>
      </c>
      <c r="E6" s="440">
        <v>2817</v>
      </c>
      <c r="F6" s="440">
        <v>3366</v>
      </c>
    </row>
    <row r="7" spans="1:6" ht="16.5" thickBot="1">
      <c r="A7" s="308">
        <v>2</v>
      </c>
      <c r="B7" s="308" t="s">
        <v>261</v>
      </c>
      <c r="C7" s="441">
        <v>4563</v>
      </c>
      <c r="D7" s="442">
        <v>4987</v>
      </c>
      <c r="E7" s="442">
        <v>5199</v>
      </c>
      <c r="F7" s="442">
        <v>5835</v>
      </c>
    </row>
    <row r="8" spans="1:6" ht="16.5" thickBot="1">
      <c r="A8" s="308">
        <v>3</v>
      </c>
      <c r="B8" s="308" t="s">
        <v>271</v>
      </c>
      <c r="C8" s="441">
        <v>6343</v>
      </c>
      <c r="D8" s="442">
        <v>6855</v>
      </c>
      <c r="E8" s="442">
        <v>7111</v>
      </c>
      <c r="F8" s="442">
        <v>7879</v>
      </c>
    </row>
    <row r="9" spans="1:6" ht="16.5" thickBot="1">
      <c r="A9" s="308">
        <v>4</v>
      </c>
      <c r="B9" s="308" t="s">
        <v>223</v>
      </c>
      <c r="C9" s="441">
        <v>5336</v>
      </c>
      <c r="D9" s="442">
        <v>5780</v>
      </c>
      <c r="E9" s="442">
        <v>6002</v>
      </c>
      <c r="F9" s="442">
        <v>6668</v>
      </c>
    </row>
    <row r="10" spans="1:6" ht="16.5" thickBot="1">
      <c r="A10" s="308">
        <v>5</v>
      </c>
      <c r="B10" s="308" t="s">
        <v>300</v>
      </c>
      <c r="C10" s="441">
        <v>2306</v>
      </c>
      <c r="D10" s="442">
        <v>2668</v>
      </c>
      <c r="E10" s="442">
        <v>2849</v>
      </c>
      <c r="F10" s="442">
        <v>3392</v>
      </c>
    </row>
    <row r="11" spans="1:6" ht="16.5" thickBot="1">
      <c r="A11" s="308">
        <v>6</v>
      </c>
      <c r="B11" s="308" t="s">
        <v>326</v>
      </c>
      <c r="C11" s="441">
        <v>2851</v>
      </c>
      <c r="D11" s="442">
        <v>3243</v>
      </c>
      <c r="E11" s="442">
        <v>3439</v>
      </c>
      <c r="F11" s="442">
        <v>4027</v>
      </c>
    </row>
    <row r="12" spans="1:6" ht="16.5" thickBot="1">
      <c r="A12" s="308">
        <v>7</v>
      </c>
      <c r="B12" s="308" t="s">
        <v>757</v>
      </c>
      <c r="C12" s="441">
        <v>2684</v>
      </c>
      <c r="D12" s="442">
        <v>3060</v>
      </c>
      <c r="E12" s="442">
        <v>3248</v>
      </c>
      <c r="F12" s="442">
        <v>3812</v>
      </c>
    </row>
    <row r="13" spans="1:6" ht="16.5" thickBot="1">
      <c r="A13" s="308">
        <v>8</v>
      </c>
      <c r="B13" s="308" t="s">
        <v>360</v>
      </c>
      <c r="C13" s="441">
        <v>2847</v>
      </c>
      <c r="D13" s="442">
        <v>3209</v>
      </c>
      <c r="E13" s="442">
        <v>3390</v>
      </c>
      <c r="F13" s="442">
        <v>3933</v>
      </c>
    </row>
    <row r="14" spans="1:6" ht="16.5" thickBot="1">
      <c r="A14" s="308">
        <v>9</v>
      </c>
      <c r="B14" s="308" t="s">
        <v>384</v>
      </c>
      <c r="C14" s="441">
        <v>2711</v>
      </c>
      <c r="D14" s="442">
        <v>3079</v>
      </c>
      <c r="E14" s="442">
        <v>3263</v>
      </c>
      <c r="F14" s="442">
        <v>3815</v>
      </c>
    </row>
    <row r="15" spans="1:6" ht="16.5" thickBot="1">
      <c r="A15" s="308">
        <v>10</v>
      </c>
      <c r="B15" s="308" t="s">
        <v>386</v>
      </c>
      <c r="C15" s="441">
        <v>4732</v>
      </c>
      <c r="D15" s="442">
        <v>5270</v>
      </c>
      <c r="E15" s="442">
        <v>5539</v>
      </c>
      <c r="F15" s="442">
        <v>6346</v>
      </c>
    </row>
    <row r="16" spans="1:6" ht="16.5" thickBot="1">
      <c r="A16" s="308">
        <v>11</v>
      </c>
      <c r="B16" s="308" t="s">
        <v>407</v>
      </c>
      <c r="C16" s="441">
        <v>5987</v>
      </c>
      <c r="D16" s="442">
        <v>6523</v>
      </c>
      <c r="E16" s="442">
        <v>6791</v>
      </c>
      <c r="F16" s="442">
        <v>7595</v>
      </c>
    </row>
    <row r="17" spans="1:6" ht="16.5" thickBot="1">
      <c r="A17" s="308">
        <v>12</v>
      </c>
      <c r="B17" s="308" t="s">
        <v>482</v>
      </c>
      <c r="C17" s="441">
        <v>4532</v>
      </c>
      <c r="D17" s="442">
        <v>4990</v>
      </c>
      <c r="E17" s="442">
        <v>5219</v>
      </c>
      <c r="F17" s="442">
        <v>5906</v>
      </c>
    </row>
    <row r="18" spans="1:6" ht="16.5" thickBot="1">
      <c r="A18" s="308">
        <v>13</v>
      </c>
      <c r="B18" s="308" t="s">
        <v>484</v>
      </c>
      <c r="C18" s="441">
        <v>4482</v>
      </c>
      <c r="D18" s="442">
        <v>4998</v>
      </c>
      <c r="E18" s="442">
        <v>5256</v>
      </c>
      <c r="F18" s="442">
        <v>6030</v>
      </c>
    </row>
    <row r="19" spans="1:6" ht="16.5" thickBot="1">
      <c r="A19" s="544">
        <v>14</v>
      </c>
      <c r="B19" s="308" t="s">
        <v>854</v>
      </c>
      <c r="C19" s="441">
        <v>9090</v>
      </c>
      <c r="D19" s="442">
        <v>9614</v>
      </c>
      <c r="E19" s="442">
        <v>9876</v>
      </c>
      <c r="F19" s="442">
        <v>10662</v>
      </c>
    </row>
    <row r="20" spans="1:6" ht="16.5" thickBot="1">
      <c r="A20" s="544"/>
      <c r="B20" s="308" t="s">
        <v>855</v>
      </c>
      <c r="C20" s="441">
        <v>9767</v>
      </c>
      <c r="D20" s="442">
        <v>10323</v>
      </c>
      <c r="E20" s="442">
        <v>10601</v>
      </c>
      <c r="F20" s="442">
        <v>11435</v>
      </c>
    </row>
    <row r="21" spans="1:6" ht="16.5" thickBot="1">
      <c r="A21" s="544"/>
      <c r="B21" s="308" t="s">
        <v>856</v>
      </c>
      <c r="C21" s="441">
        <v>10441</v>
      </c>
      <c r="D21" s="442">
        <v>11149</v>
      </c>
      <c r="E21" s="442">
        <v>11503</v>
      </c>
      <c r="F21" s="442">
        <v>12565</v>
      </c>
    </row>
    <row r="22" spans="1:6" ht="16.5" thickBot="1">
      <c r="A22" s="308">
        <v>15</v>
      </c>
      <c r="B22" s="308" t="s">
        <v>857</v>
      </c>
      <c r="C22" s="441">
        <v>2697</v>
      </c>
      <c r="D22" s="442">
        <v>3061</v>
      </c>
      <c r="E22" s="442">
        <v>3243</v>
      </c>
      <c r="F22" s="442">
        <v>3789</v>
      </c>
    </row>
    <row r="23" spans="1:6" ht="16.5" thickBot="1">
      <c r="A23" s="308">
        <v>16</v>
      </c>
      <c r="B23" s="308" t="s">
        <v>618</v>
      </c>
      <c r="C23" s="441">
        <v>4326</v>
      </c>
      <c r="D23" s="442">
        <v>4768</v>
      </c>
      <c r="E23" s="442">
        <v>4989</v>
      </c>
      <c r="F23" s="442">
        <v>5652</v>
      </c>
    </row>
    <row r="24" spans="1:6" ht="16.5" thickBot="1">
      <c r="A24" s="308">
        <v>17</v>
      </c>
      <c r="B24" s="308" t="s">
        <v>632</v>
      </c>
      <c r="C24" s="441">
        <v>6851</v>
      </c>
      <c r="D24" s="442">
        <v>7339</v>
      </c>
      <c r="E24" s="442">
        <v>7583</v>
      </c>
      <c r="F24" s="442">
        <v>8315</v>
      </c>
    </row>
    <row r="25" spans="1:6" ht="16.5" thickBot="1">
      <c r="A25" s="308">
        <v>18</v>
      </c>
      <c r="B25" s="308" t="s">
        <v>759</v>
      </c>
      <c r="C25" s="441">
        <v>4965</v>
      </c>
      <c r="D25" s="442">
        <v>5459</v>
      </c>
      <c r="E25" s="442">
        <v>5706</v>
      </c>
      <c r="F25" s="442">
        <v>6447</v>
      </c>
    </row>
    <row r="26" spans="1:6" ht="16.5" thickBot="1">
      <c r="A26" s="308">
        <v>19</v>
      </c>
      <c r="B26" s="308" t="s">
        <v>684</v>
      </c>
      <c r="C26" s="441">
        <v>5847</v>
      </c>
      <c r="D26" s="442">
        <v>6321</v>
      </c>
      <c r="E26" s="442">
        <v>6558</v>
      </c>
      <c r="F26" s="442">
        <v>7269</v>
      </c>
    </row>
    <row r="27" spans="1:6" ht="16.5" thickBot="1">
      <c r="A27" s="308">
        <v>20</v>
      </c>
      <c r="B27" s="308" t="s">
        <v>760</v>
      </c>
      <c r="C27" s="441">
        <v>2653</v>
      </c>
      <c r="D27" s="442">
        <v>3027</v>
      </c>
      <c r="E27" s="442">
        <v>3214</v>
      </c>
      <c r="F27" s="442">
        <v>3775</v>
      </c>
    </row>
    <row r="28" spans="1:6" ht="16.5" thickBot="1">
      <c r="A28" s="308">
        <v>21</v>
      </c>
      <c r="B28" s="308" t="s">
        <v>858</v>
      </c>
      <c r="C28" s="441">
        <v>4466</v>
      </c>
      <c r="D28" s="442">
        <v>4908</v>
      </c>
      <c r="E28" s="442">
        <v>5129</v>
      </c>
      <c r="F28" s="442">
        <v>5792</v>
      </c>
    </row>
    <row r="29" spans="1:6" ht="16.5" thickBot="1">
      <c r="A29" s="308">
        <v>22</v>
      </c>
      <c r="B29" s="308" t="s">
        <v>214</v>
      </c>
      <c r="C29" s="441">
        <v>5173</v>
      </c>
      <c r="D29" s="442">
        <v>5623</v>
      </c>
      <c r="E29" s="442">
        <v>5848</v>
      </c>
      <c r="F29" s="442">
        <v>6523</v>
      </c>
    </row>
    <row r="30" spans="1:6" ht="16.5" thickBot="1">
      <c r="A30" s="308">
        <v>23</v>
      </c>
      <c r="B30" s="308" t="s">
        <v>423</v>
      </c>
      <c r="C30" s="441">
        <v>2283</v>
      </c>
      <c r="D30" s="442">
        <v>2655</v>
      </c>
      <c r="E30" s="442">
        <v>2841</v>
      </c>
      <c r="F30" s="442">
        <v>3399</v>
      </c>
    </row>
    <row r="31" spans="1:6" ht="16.5" thickBot="1">
      <c r="A31" s="544">
        <v>24</v>
      </c>
      <c r="B31" s="308" t="s">
        <v>859</v>
      </c>
      <c r="C31" s="441">
        <v>5634</v>
      </c>
      <c r="D31" s="442">
        <v>6114</v>
      </c>
      <c r="E31" s="442">
        <v>6354</v>
      </c>
      <c r="F31" s="442">
        <v>7074</v>
      </c>
    </row>
    <row r="32" spans="1:6" ht="16.5" thickBot="1">
      <c r="A32" s="544"/>
      <c r="B32" s="308" t="s">
        <v>860</v>
      </c>
      <c r="C32" s="441">
        <v>8402</v>
      </c>
      <c r="D32" s="442">
        <v>8950</v>
      </c>
      <c r="E32" s="442">
        <v>9224</v>
      </c>
      <c r="F32" s="442">
        <v>10046</v>
      </c>
    </row>
    <row r="33" spans="1:6" ht="16.5" thickBot="1">
      <c r="A33" s="544"/>
      <c r="B33" s="308" t="s">
        <v>861</v>
      </c>
      <c r="C33" s="441">
        <v>8235</v>
      </c>
      <c r="D33" s="442">
        <v>8813</v>
      </c>
      <c r="E33" s="442">
        <v>9102</v>
      </c>
      <c r="F33" s="442">
        <v>9969</v>
      </c>
    </row>
    <row r="34" spans="1:6" ht="16.5" thickBot="1">
      <c r="A34" s="308">
        <v>25</v>
      </c>
      <c r="B34" s="308" t="s">
        <v>550</v>
      </c>
      <c r="C34" s="441">
        <v>4043</v>
      </c>
      <c r="D34" s="442">
        <v>4427</v>
      </c>
      <c r="E34" s="442">
        <v>4619</v>
      </c>
      <c r="F34" s="442">
        <v>5195</v>
      </c>
    </row>
    <row r="35" spans="1:6" ht="16.5" thickBot="1">
      <c r="A35" s="308">
        <v>26</v>
      </c>
      <c r="B35" s="308" t="s">
        <v>610</v>
      </c>
      <c r="C35" s="441">
        <v>2569</v>
      </c>
      <c r="D35" s="442">
        <v>2951</v>
      </c>
      <c r="E35" s="442">
        <v>3142</v>
      </c>
      <c r="F35" s="442">
        <v>3715</v>
      </c>
    </row>
    <row r="36" spans="1:6" ht="16.5" thickBot="1">
      <c r="A36" s="308">
        <v>27</v>
      </c>
      <c r="B36" s="308" t="s">
        <v>661</v>
      </c>
      <c r="C36" s="441">
        <v>5230</v>
      </c>
      <c r="D36" s="442">
        <v>5670</v>
      </c>
      <c r="E36" s="442">
        <v>5890</v>
      </c>
      <c r="F36" s="442">
        <v>6550</v>
      </c>
    </row>
    <row r="37" spans="1:6" ht="16.5" thickBot="1">
      <c r="A37" s="308">
        <v>28</v>
      </c>
      <c r="B37" s="308" t="s">
        <v>164</v>
      </c>
      <c r="C37" s="441">
        <v>5640</v>
      </c>
      <c r="D37" s="442">
        <v>6082</v>
      </c>
      <c r="E37" s="442">
        <v>6303</v>
      </c>
      <c r="F37" s="442">
        <v>6966</v>
      </c>
    </row>
    <row r="38" spans="1:6" ht="16.5" thickBot="1">
      <c r="A38" s="308">
        <v>29</v>
      </c>
      <c r="B38" s="308" t="s">
        <v>250</v>
      </c>
      <c r="C38" s="441">
        <v>5095</v>
      </c>
      <c r="D38" s="442">
        <v>5601</v>
      </c>
      <c r="E38" s="442">
        <v>5854</v>
      </c>
      <c r="F38" s="442">
        <v>6613</v>
      </c>
    </row>
    <row r="39" spans="1:6" ht="16.5" thickBot="1">
      <c r="A39" s="308">
        <v>30</v>
      </c>
      <c r="B39" s="308" t="s">
        <v>258</v>
      </c>
      <c r="C39" s="441">
        <v>2708</v>
      </c>
      <c r="D39" s="442">
        <v>3036</v>
      </c>
      <c r="E39" s="442">
        <v>3200</v>
      </c>
      <c r="F39" s="442">
        <v>3692</v>
      </c>
    </row>
    <row r="40" spans="1:6" ht="16.5" thickBot="1">
      <c r="A40" s="308">
        <v>31</v>
      </c>
      <c r="B40" s="308" t="s">
        <v>267</v>
      </c>
      <c r="C40" s="441">
        <v>3472</v>
      </c>
      <c r="D40" s="442">
        <v>3918</v>
      </c>
      <c r="E40" s="442">
        <v>4141</v>
      </c>
      <c r="F40" s="442">
        <v>4810</v>
      </c>
    </row>
    <row r="41" spans="1:6" ht="16.5" thickBot="1">
      <c r="A41" s="308">
        <v>32</v>
      </c>
      <c r="B41" s="308" t="s">
        <v>269</v>
      </c>
      <c r="C41" s="441">
        <v>3925</v>
      </c>
      <c r="D41" s="442">
        <v>4407</v>
      </c>
      <c r="E41" s="442">
        <v>4648</v>
      </c>
      <c r="F41" s="442">
        <v>5371</v>
      </c>
    </row>
    <row r="42" spans="1:6" ht="16.5" thickBot="1">
      <c r="A42" s="308">
        <v>33</v>
      </c>
      <c r="B42" s="308" t="s">
        <v>282</v>
      </c>
      <c r="C42" s="441">
        <v>4099</v>
      </c>
      <c r="D42" s="442">
        <v>4587</v>
      </c>
      <c r="E42" s="442">
        <v>4831</v>
      </c>
      <c r="F42" s="442">
        <v>5563</v>
      </c>
    </row>
    <row r="43" spans="1:6" ht="16.5" thickBot="1">
      <c r="A43" s="308">
        <v>34</v>
      </c>
      <c r="B43" s="308" t="s">
        <v>285</v>
      </c>
      <c r="C43" s="441">
        <v>3241</v>
      </c>
      <c r="D43" s="442">
        <v>3605</v>
      </c>
      <c r="E43" s="442">
        <v>3787</v>
      </c>
      <c r="F43" s="442">
        <v>4333</v>
      </c>
    </row>
    <row r="44" spans="1:6" ht="16.5" thickBot="1">
      <c r="A44" s="308">
        <v>35</v>
      </c>
      <c r="B44" s="308" t="s">
        <v>292</v>
      </c>
      <c r="C44" s="441">
        <v>4793</v>
      </c>
      <c r="D44" s="442">
        <v>5325</v>
      </c>
      <c r="E44" s="442">
        <v>5591</v>
      </c>
      <c r="F44" s="442">
        <v>6389</v>
      </c>
    </row>
    <row r="45" spans="1:6" ht="16.5" thickBot="1">
      <c r="A45" s="308">
        <v>36</v>
      </c>
      <c r="B45" s="308" t="s">
        <v>298</v>
      </c>
      <c r="C45" s="441">
        <v>3458</v>
      </c>
      <c r="D45" s="442">
        <v>3844</v>
      </c>
      <c r="E45" s="442">
        <v>4037</v>
      </c>
      <c r="F45" s="442">
        <v>4616</v>
      </c>
    </row>
    <row r="46" spans="1:6" ht="16.5" thickBot="1">
      <c r="A46" s="308">
        <v>37</v>
      </c>
      <c r="B46" s="308" t="s">
        <v>323</v>
      </c>
      <c r="C46" s="441">
        <v>4400</v>
      </c>
      <c r="D46" s="442">
        <v>4878</v>
      </c>
      <c r="E46" s="442">
        <v>5117</v>
      </c>
      <c r="F46" s="442">
        <v>5834</v>
      </c>
    </row>
    <row r="47" spans="1:6" ht="16.5" thickBot="1">
      <c r="A47" s="308">
        <v>38</v>
      </c>
      <c r="B47" s="308" t="s">
        <v>329</v>
      </c>
      <c r="C47" s="441">
        <v>5625</v>
      </c>
      <c r="D47" s="442">
        <v>6115</v>
      </c>
      <c r="E47" s="442">
        <v>6360</v>
      </c>
      <c r="F47" s="442">
        <v>7095</v>
      </c>
    </row>
    <row r="48" spans="1:6" ht="16.5" thickBot="1">
      <c r="A48" s="308">
        <v>39</v>
      </c>
      <c r="B48" s="308" t="s">
        <v>358</v>
      </c>
      <c r="C48" s="441">
        <v>2864</v>
      </c>
      <c r="D48" s="442">
        <v>3270</v>
      </c>
      <c r="E48" s="442">
        <v>3473</v>
      </c>
      <c r="F48" s="442">
        <v>4082</v>
      </c>
    </row>
    <row r="49" spans="1:6" ht="16.5" thickBot="1">
      <c r="A49" s="308">
        <v>40</v>
      </c>
      <c r="B49" s="308" t="s">
        <v>362</v>
      </c>
      <c r="C49" s="441">
        <v>4015</v>
      </c>
      <c r="D49" s="442">
        <v>4485</v>
      </c>
      <c r="E49" s="442">
        <v>4720</v>
      </c>
      <c r="F49" s="442">
        <v>5425</v>
      </c>
    </row>
    <row r="50" spans="1:6" ht="16.5" thickBot="1">
      <c r="A50" s="308">
        <v>41</v>
      </c>
      <c r="B50" s="308" t="s">
        <v>364</v>
      </c>
      <c r="C50" s="441">
        <v>4854</v>
      </c>
      <c r="D50" s="442">
        <v>5388</v>
      </c>
      <c r="E50" s="442">
        <v>5655</v>
      </c>
      <c r="F50" s="442">
        <v>6456</v>
      </c>
    </row>
    <row r="51" spans="1:6" ht="16.5" thickBot="1">
      <c r="A51" s="308">
        <v>42</v>
      </c>
      <c r="B51" s="308" t="s">
        <v>394</v>
      </c>
      <c r="C51" s="441">
        <v>5670</v>
      </c>
      <c r="D51" s="442">
        <v>6152</v>
      </c>
      <c r="E51" s="442">
        <v>6393</v>
      </c>
      <c r="F51" s="442">
        <v>7116</v>
      </c>
    </row>
    <row r="52" spans="1:6" ht="16.5" thickBot="1">
      <c r="A52" s="308">
        <v>43</v>
      </c>
      <c r="B52" s="308" t="s">
        <v>403</v>
      </c>
      <c r="C52" s="441">
        <v>4757</v>
      </c>
      <c r="D52" s="442">
        <v>5269</v>
      </c>
      <c r="E52" s="442">
        <v>5525</v>
      </c>
      <c r="F52" s="442">
        <v>6293</v>
      </c>
    </row>
    <row r="53" spans="1:6" ht="16.5" thickBot="1">
      <c r="A53" s="308">
        <v>44</v>
      </c>
      <c r="B53" s="308" t="s">
        <v>419</v>
      </c>
      <c r="C53" s="441">
        <v>4374</v>
      </c>
      <c r="D53" s="442">
        <v>4852</v>
      </c>
      <c r="E53" s="442">
        <v>5091</v>
      </c>
      <c r="F53" s="442">
        <v>5808</v>
      </c>
    </row>
    <row r="54" spans="1:6" ht="16.5" thickBot="1">
      <c r="A54" s="308">
        <v>45</v>
      </c>
      <c r="B54" s="308" t="s">
        <v>463</v>
      </c>
      <c r="C54" s="441">
        <v>5171</v>
      </c>
      <c r="D54" s="442">
        <v>5623</v>
      </c>
      <c r="E54" s="442">
        <v>5849</v>
      </c>
      <c r="F54" s="442">
        <v>6527</v>
      </c>
    </row>
    <row r="55" spans="1:6" ht="16.5" thickBot="1">
      <c r="A55" s="308">
        <v>46</v>
      </c>
      <c r="B55" s="308" t="s">
        <v>465</v>
      </c>
      <c r="C55" s="441">
        <v>3498</v>
      </c>
      <c r="D55" s="442">
        <v>3908</v>
      </c>
      <c r="E55" s="442">
        <v>4113</v>
      </c>
      <c r="F55" s="442">
        <v>4728</v>
      </c>
    </row>
    <row r="56" spans="1:6" ht="16.5" thickBot="1">
      <c r="A56" s="308">
        <v>47</v>
      </c>
      <c r="B56" s="308" t="s">
        <v>471</v>
      </c>
      <c r="C56" s="441">
        <v>3970</v>
      </c>
      <c r="D56" s="442">
        <v>4436</v>
      </c>
      <c r="E56" s="442">
        <v>4669</v>
      </c>
      <c r="F56" s="442">
        <v>5368</v>
      </c>
    </row>
    <row r="57" spans="1:6" ht="16.5" thickBot="1">
      <c r="A57" s="308">
        <v>48</v>
      </c>
      <c r="B57" s="308" t="s">
        <v>467</v>
      </c>
      <c r="C57" s="441">
        <v>3652</v>
      </c>
      <c r="D57" s="442">
        <v>4038</v>
      </c>
      <c r="E57" s="442">
        <v>4231</v>
      </c>
      <c r="F57" s="442">
        <v>4810</v>
      </c>
    </row>
    <row r="58" spans="1:6" ht="16.5" thickBot="1">
      <c r="A58" s="308">
        <v>49</v>
      </c>
      <c r="B58" s="308" t="s">
        <v>474</v>
      </c>
      <c r="C58" s="441">
        <v>6755</v>
      </c>
      <c r="D58" s="442">
        <v>7347</v>
      </c>
      <c r="E58" s="442">
        <v>7643</v>
      </c>
      <c r="F58" s="442">
        <v>8531</v>
      </c>
    </row>
    <row r="59" spans="1:6" ht="16.5" thickBot="1">
      <c r="A59" s="308">
        <v>50</v>
      </c>
      <c r="B59" s="308" t="s">
        <v>486</v>
      </c>
      <c r="C59" s="441">
        <v>4019</v>
      </c>
      <c r="D59" s="442">
        <v>4467</v>
      </c>
      <c r="E59" s="442">
        <v>4691</v>
      </c>
      <c r="F59" s="442">
        <v>5363</v>
      </c>
    </row>
    <row r="60" spans="1:6" ht="16.5" thickBot="1">
      <c r="A60" s="308">
        <v>51</v>
      </c>
      <c r="B60" s="308" t="s">
        <v>491</v>
      </c>
      <c r="C60" s="441">
        <v>5278</v>
      </c>
      <c r="D60" s="442">
        <v>5824</v>
      </c>
      <c r="E60" s="442">
        <v>6097</v>
      </c>
      <c r="F60" s="442">
        <v>6916</v>
      </c>
    </row>
    <row r="61" spans="1:6" ht="16.5" thickBot="1">
      <c r="A61" s="308">
        <v>52</v>
      </c>
      <c r="B61" s="308" t="s">
        <v>514</v>
      </c>
      <c r="C61" s="441">
        <v>4313</v>
      </c>
      <c r="D61" s="442">
        <v>4785</v>
      </c>
      <c r="E61" s="442">
        <v>5021</v>
      </c>
      <c r="F61" s="442">
        <v>5729</v>
      </c>
    </row>
    <row r="62" spans="1:6" ht="16.5" thickBot="1">
      <c r="A62" s="308">
        <v>53</v>
      </c>
      <c r="B62" s="308" t="s">
        <v>518</v>
      </c>
      <c r="C62" s="441">
        <v>4211</v>
      </c>
      <c r="D62" s="442">
        <v>4715</v>
      </c>
      <c r="E62" s="442">
        <v>4967</v>
      </c>
      <c r="F62" s="442">
        <v>5723</v>
      </c>
    </row>
    <row r="63" spans="1:6" ht="16.5" thickBot="1">
      <c r="A63" s="308">
        <v>54</v>
      </c>
      <c r="B63" s="308" t="s">
        <v>521</v>
      </c>
      <c r="C63" s="441">
        <v>5331</v>
      </c>
      <c r="D63" s="442">
        <v>5809</v>
      </c>
      <c r="E63" s="442">
        <v>6048</v>
      </c>
      <c r="F63" s="442">
        <v>6765</v>
      </c>
    </row>
    <row r="64" spans="1:6" ht="16.5" thickBot="1">
      <c r="A64" s="308">
        <v>55</v>
      </c>
      <c r="B64" s="308" t="s">
        <v>531</v>
      </c>
      <c r="C64" s="441">
        <v>5426</v>
      </c>
      <c r="D64" s="442">
        <v>5884</v>
      </c>
      <c r="E64" s="442">
        <v>6113</v>
      </c>
      <c r="F64" s="442">
        <v>6800</v>
      </c>
    </row>
    <row r="65" spans="1:6" ht="16.5" thickBot="1">
      <c r="A65" s="308">
        <v>56</v>
      </c>
      <c r="B65" s="308" t="s">
        <v>536</v>
      </c>
      <c r="C65" s="441">
        <v>4301</v>
      </c>
      <c r="D65" s="442">
        <v>4683</v>
      </c>
      <c r="E65" s="442">
        <v>4874</v>
      </c>
      <c r="F65" s="442">
        <v>5447</v>
      </c>
    </row>
    <row r="66" spans="1:6" ht="16.5" thickBot="1">
      <c r="A66" s="308">
        <v>57</v>
      </c>
      <c r="B66" s="308" t="s">
        <v>540</v>
      </c>
      <c r="C66" s="441">
        <v>3903</v>
      </c>
      <c r="D66" s="442">
        <v>4379</v>
      </c>
      <c r="E66" s="442">
        <v>4617</v>
      </c>
      <c r="F66" s="442">
        <v>5331</v>
      </c>
    </row>
    <row r="67" spans="1:6" ht="16.5" thickBot="1">
      <c r="A67" s="308">
        <v>58</v>
      </c>
      <c r="B67" s="308" t="s">
        <v>542</v>
      </c>
      <c r="C67" s="441">
        <v>3812</v>
      </c>
      <c r="D67" s="442">
        <v>4222</v>
      </c>
      <c r="E67" s="442">
        <v>4427</v>
      </c>
      <c r="F67" s="442">
        <v>5042</v>
      </c>
    </row>
    <row r="68" spans="1:6" ht="16.5" thickBot="1">
      <c r="A68" s="308">
        <v>59</v>
      </c>
      <c r="B68" s="308" t="s">
        <v>545</v>
      </c>
      <c r="C68" s="441">
        <v>5003</v>
      </c>
      <c r="D68" s="442">
        <v>5483</v>
      </c>
      <c r="E68" s="442">
        <v>5723</v>
      </c>
      <c r="F68" s="442">
        <v>6443</v>
      </c>
    </row>
    <row r="69" spans="1:6" ht="16.5" thickBot="1">
      <c r="A69" s="308">
        <v>60</v>
      </c>
      <c r="B69" s="308" t="s">
        <v>567</v>
      </c>
      <c r="C69" s="441">
        <v>3935</v>
      </c>
      <c r="D69" s="442">
        <v>4425</v>
      </c>
      <c r="E69" s="442">
        <v>4670</v>
      </c>
      <c r="F69" s="442">
        <v>5405</v>
      </c>
    </row>
    <row r="70" spans="1:6" ht="16.5" thickBot="1">
      <c r="A70" s="308">
        <v>61</v>
      </c>
      <c r="B70" s="308" t="s">
        <v>570</v>
      </c>
      <c r="C70" s="441">
        <v>2643</v>
      </c>
      <c r="D70" s="442">
        <v>2999</v>
      </c>
      <c r="E70" s="442">
        <v>3177</v>
      </c>
      <c r="F70" s="442">
        <v>3711</v>
      </c>
    </row>
    <row r="71" spans="1:6" ht="16.5" thickBot="1">
      <c r="A71" s="308">
        <v>62</v>
      </c>
      <c r="B71" s="308" t="s">
        <v>574</v>
      </c>
      <c r="C71" s="441">
        <v>4031</v>
      </c>
      <c r="D71" s="442">
        <v>4495</v>
      </c>
      <c r="E71" s="442">
        <v>4727</v>
      </c>
      <c r="F71" s="442">
        <v>5423</v>
      </c>
    </row>
    <row r="72" spans="1:6" ht="16.5" thickBot="1">
      <c r="A72" s="308">
        <v>63</v>
      </c>
      <c r="B72" s="308" t="s">
        <v>576</v>
      </c>
      <c r="C72" s="441">
        <v>4058</v>
      </c>
      <c r="D72" s="442">
        <v>4474</v>
      </c>
      <c r="E72" s="442">
        <v>4682</v>
      </c>
      <c r="F72" s="442">
        <v>5306</v>
      </c>
    </row>
    <row r="73" spans="1:6" ht="16.5" thickBot="1">
      <c r="A73" s="308">
        <v>64</v>
      </c>
      <c r="B73" s="308" t="s">
        <v>578</v>
      </c>
      <c r="C73" s="441">
        <v>3570</v>
      </c>
      <c r="D73" s="442">
        <v>3944</v>
      </c>
      <c r="E73" s="442">
        <v>4131</v>
      </c>
      <c r="F73" s="442">
        <v>4692</v>
      </c>
    </row>
    <row r="74" spans="1:6" ht="16.5" thickBot="1">
      <c r="A74" s="308">
        <v>65</v>
      </c>
      <c r="B74" s="308" t="s">
        <v>582</v>
      </c>
      <c r="C74" s="441">
        <v>5668</v>
      </c>
      <c r="D74" s="442">
        <v>6180</v>
      </c>
      <c r="E74" s="442">
        <v>6436</v>
      </c>
      <c r="F74" s="442">
        <v>7204</v>
      </c>
    </row>
    <row r="75" spans="1:6" ht="16.5" thickBot="1">
      <c r="A75" s="308">
        <v>66</v>
      </c>
      <c r="B75" s="308" t="s">
        <v>598</v>
      </c>
      <c r="C75" s="441">
        <v>5223</v>
      </c>
      <c r="D75" s="442">
        <v>5707</v>
      </c>
      <c r="E75" s="442">
        <v>5949</v>
      </c>
      <c r="F75" s="442">
        <v>6675</v>
      </c>
    </row>
    <row r="76" spans="1:6" ht="16.5" thickBot="1">
      <c r="A76" s="308">
        <v>67</v>
      </c>
      <c r="B76" s="308" t="s">
        <v>607</v>
      </c>
      <c r="C76" s="441">
        <v>4178</v>
      </c>
      <c r="D76" s="442">
        <v>4656</v>
      </c>
      <c r="E76" s="442">
        <v>4895</v>
      </c>
      <c r="F76" s="442">
        <v>5612</v>
      </c>
    </row>
    <row r="77" spans="1:6" ht="16.5" thickBot="1">
      <c r="A77" s="308">
        <v>68</v>
      </c>
      <c r="B77" s="308" t="s">
        <v>616</v>
      </c>
      <c r="C77" s="441">
        <v>3650</v>
      </c>
      <c r="D77" s="442">
        <v>4046</v>
      </c>
      <c r="E77" s="442">
        <v>4244</v>
      </c>
      <c r="F77" s="442">
        <v>4838</v>
      </c>
    </row>
    <row r="78" spans="1:6" ht="16.5" thickBot="1">
      <c r="A78" s="308">
        <v>69</v>
      </c>
      <c r="B78" s="308" t="s">
        <v>622</v>
      </c>
      <c r="C78" s="441">
        <v>4197</v>
      </c>
      <c r="D78" s="442">
        <v>4667</v>
      </c>
      <c r="E78" s="442">
        <v>4902</v>
      </c>
      <c r="F78" s="442">
        <v>5607</v>
      </c>
    </row>
    <row r="79" spans="1:6" ht="16.5" thickBot="1">
      <c r="A79" s="308">
        <v>70</v>
      </c>
      <c r="B79" s="308" t="s">
        <v>626</v>
      </c>
      <c r="C79" s="441">
        <v>5656</v>
      </c>
      <c r="D79" s="442">
        <v>6136</v>
      </c>
      <c r="E79" s="442">
        <v>6376</v>
      </c>
      <c r="F79" s="442">
        <v>7096</v>
      </c>
    </row>
    <row r="80" spans="1:6" ht="16.5" thickBot="1">
      <c r="A80" s="308">
        <v>71</v>
      </c>
      <c r="B80" s="308" t="s">
        <v>634</v>
      </c>
      <c r="C80" s="441">
        <v>4029</v>
      </c>
      <c r="D80" s="442">
        <v>4499</v>
      </c>
      <c r="E80" s="442">
        <v>4734</v>
      </c>
      <c r="F80" s="442">
        <v>5439</v>
      </c>
    </row>
    <row r="81" spans="1:6" ht="16.5" thickBot="1">
      <c r="A81" s="308">
        <v>72</v>
      </c>
      <c r="B81" s="308" t="s">
        <v>862</v>
      </c>
      <c r="C81" s="441">
        <v>5257</v>
      </c>
      <c r="D81" s="442">
        <v>5725</v>
      </c>
      <c r="E81" s="442">
        <v>5959</v>
      </c>
      <c r="F81" s="442">
        <v>6661</v>
      </c>
    </row>
    <row r="82" spans="1:6" ht="16.5" thickBot="1">
      <c r="A82" s="308">
        <v>73</v>
      </c>
      <c r="B82" s="308" t="s">
        <v>658</v>
      </c>
      <c r="C82" s="441">
        <v>4175</v>
      </c>
      <c r="D82" s="442">
        <v>4607</v>
      </c>
      <c r="E82" s="442">
        <v>4823</v>
      </c>
      <c r="F82" s="442">
        <v>5471</v>
      </c>
    </row>
    <row r="83" spans="1:6" ht="16.5" thickBot="1">
      <c r="A83" s="308">
        <v>74</v>
      </c>
      <c r="B83" s="308" t="s">
        <v>687</v>
      </c>
      <c r="C83" s="441">
        <v>4956</v>
      </c>
      <c r="D83" s="442">
        <v>5366</v>
      </c>
      <c r="E83" s="442">
        <v>5571</v>
      </c>
      <c r="F83" s="442">
        <v>6186</v>
      </c>
    </row>
    <row r="84" spans="1:6" ht="16.5" thickBot="1">
      <c r="A84" s="308">
        <v>75</v>
      </c>
      <c r="B84" s="308" t="s">
        <v>307</v>
      </c>
      <c r="C84" s="441">
        <v>6498</v>
      </c>
      <c r="D84" s="442">
        <v>6986</v>
      </c>
      <c r="E84" s="442">
        <v>7230</v>
      </c>
      <c r="F84" s="442">
        <v>7962</v>
      </c>
    </row>
    <row r="85" spans="1:6" ht="16.5" thickBot="1">
      <c r="A85" s="308">
        <v>76</v>
      </c>
      <c r="B85" s="308" t="s">
        <v>752</v>
      </c>
      <c r="C85" s="441">
        <v>4412</v>
      </c>
      <c r="D85" s="442">
        <v>4914</v>
      </c>
      <c r="E85" s="442">
        <v>5165</v>
      </c>
      <c r="F85" s="442">
        <v>5918</v>
      </c>
    </row>
    <row r="86" spans="1:6" ht="16.5" thickBot="1">
      <c r="A86" s="308">
        <v>77</v>
      </c>
      <c r="B86" s="308" t="s">
        <v>863</v>
      </c>
      <c r="C86" s="441">
        <v>4141</v>
      </c>
      <c r="D86" s="442">
        <v>4619</v>
      </c>
      <c r="E86" s="442">
        <v>4858</v>
      </c>
      <c r="F86" s="442">
        <v>5575</v>
      </c>
    </row>
    <row r="87" spans="1:6" ht="16.5" thickBot="1">
      <c r="A87" s="308">
        <v>78</v>
      </c>
      <c r="B87" s="308" t="s">
        <v>864</v>
      </c>
      <c r="C87" s="441">
        <v>3876</v>
      </c>
      <c r="D87" s="442">
        <v>4342</v>
      </c>
      <c r="E87" s="442">
        <v>4575</v>
      </c>
      <c r="F87" s="442">
        <v>5274</v>
      </c>
    </row>
    <row r="88" spans="1:6" ht="16.5" thickBot="1">
      <c r="A88" s="308">
        <v>79</v>
      </c>
      <c r="B88" s="308" t="s">
        <v>304</v>
      </c>
      <c r="C88" s="441">
        <v>5768</v>
      </c>
      <c r="D88" s="442">
        <v>6192</v>
      </c>
      <c r="E88" s="442">
        <v>6404</v>
      </c>
      <c r="F88" s="442">
        <v>7040</v>
      </c>
    </row>
    <row r="89" spans="1:6" ht="16.5" thickBot="1">
      <c r="A89" s="308">
        <v>83</v>
      </c>
      <c r="B89" s="308" t="s">
        <v>865</v>
      </c>
      <c r="C89" s="441">
        <v>6303</v>
      </c>
      <c r="D89" s="442">
        <v>6867</v>
      </c>
      <c r="E89" s="442">
        <v>7149</v>
      </c>
      <c r="F89" s="442">
        <v>7995</v>
      </c>
    </row>
    <row r="90" spans="1:6" ht="16.5" thickBot="1">
      <c r="A90" s="308">
        <v>86</v>
      </c>
      <c r="B90" s="308" t="s">
        <v>866</v>
      </c>
      <c r="C90" s="441">
        <v>6209</v>
      </c>
      <c r="D90" s="442">
        <v>6753</v>
      </c>
      <c r="E90" s="442">
        <v>7025</v>
      </c>
      <c r="F90" s="442">
        <v>7841</v>
      </c>
    </row>
    <row r="91" spans="1:6" ht="16.5" thickBot="1">
      <c r="A91" s="308">
        <v>87</v>
      </c>
      <c r="B91" s="308" t="s">
        <v>867</v>
      </c>
      <c r="C91" s="441">
        <v>7807</v>
      </c>
      <c r="D91" s="442">
        <v>8449</v>
      </c>
      <c r="E91" s="442">
        <v>8770</v>
      </c>
      <c r="F91" s="442">
        <v>9733</v>
      </c>
    </row>
    <row r="92" spans="1:6" ht="16.5" thickBot="1">
      <c r="A92" s="308">
        <v>89</v>
      </c>
      <c r="B92" s="308" t="s">
        <v>868</v>
      </c>
      <c r="C92" s="441">
        <v>7373</v>
      </c>
      <c r="D92" s="442">
        <v>7941</v>
      </c>
      <c r="E92" s="442">
        <v>8225</v>
      </c>
      <c r="F92" s="442">
        <v>9077</v>
      </c>
    </row>
    <row r="93" spans="1:6" ht="16.5" thickBot="1">
      <c r="A93" s="308">
        <v>91</v>
      </c>
      <c r="B93" s="308" t="s">
        <v>455</v>
      </c>
      <c r="C93" s="441">
        <v>1949</v>
      </c>
      <c r="D93" s="442">
        <v>2317</v>
      </c>
      <c r="E93" s="442">
        <v>2501</v>
      </c>
      <c r="F93" s="442">
        <v>3053</v>
      </c>
    </row>
    <row r="94" spans="1:6" ht="16.5" thickBot="1">
      <c r="A94" s="308">
        <v>92</v>
      </c>
      <c r="B94" s="308" t="s">
        <v>869</v>
      </c>
      <c r="C94" s="441">
        <v>1949</v>
      </c>
      <c r="D94" s="442">
        <v>2317</v>
      </c>
      <c r="E94" s="442">
        <v>2501</v>
      </c>
      <c r="F94" s="442">
        <v>3053</v>
      </c>
    </row>
  </sheetData>
  <mergeCells count="4">
    <mergeCell ref="A4:A5"/>
    <mergeCell ref="C4:F4"/>
    <mergeCell ref="A19:A21"/>
    <mergeCell ref="A31:A33"/>
  </mergeCell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F94"/>
  <sheetViews>
    <sheetView workbookViewId="0">
      <selection activeCell="N21" sqref="N21"/>
    </sheetView>
  </sheetViews>
  <sheetFormatPr defaultRowHeight="15"/>
  <sheetData>
    <row r="1" spans="1:6">
      <c r="A1" s="268" t="s">
        <v>1030</v>
      </c>
      <c r="B1" s="269"/>
      <c r="C1" s="269"/>
      <c r="D1" s="269"/>
      <c r="E1" s="269"/>
      <c r="F1" s="269"/>
    </row>
    <row r="2" spans="1:6">
      <c r="A2" s="272"/>
      <c r="B2" s="272"/>
      <c r="C2" s="272"/>
      <c r="D2" s="272"/>
      <c r="E2" s="272"/>
      <c r="F2" s="272"/>
    </row>
    <row r="3" spans="1:6">
      <c r="A3" s="272"/>
      <c r="B3" s="272">
        <f>VLOOKUP('1.Общие данные по зданию'!C7,Климатология2023!B6:F94,IF('1.Общие данные по зданию'!C17=18,2,IF('1.Общие данные по зданию'!C17=20,3,IF('1.Общие данные по зданию'!C17=21,4,5))),0)</f>
        <v>2398</v>
      </c>
      <c r="C3" s="272"/>
      <c r="D3" s="272"/>
      <c r="E3" s="272"/>
      <c r="F3" s="272"/>
    </row>
    <row r="4" spans="1:6" ht="15.75">
      <c r="A4" s="542"/>
      <c r="B4" s="310"/>
      <c r="C4" s="543" t="s">
        <v>848</v>
      </c>
      <c r="D4" s="543"/>
      <c r="E4" s="543"/>
      <c r="F4" s="543"/>
    </row>
    <row r="5" spans="1:6" ht="19.5" thickBot="1">
      <c r="A5" s="542"/>
      <c r="B5" s="310" t="s">
        <v>755</v>
      </c>
      <c r="C5" s="307" t="s">
        <v>849</v>
      </c>
      <c r="D5" s="307" t="s">
        <v>850</v>
      </c>
      <c r="E5" s="307" t="s">
        <v>851</v>
      </c>
      <c r="F5" s="307" t="s">
        <v>852</v>
      </c>
    </row>
    <row r="6" spans="1:6" ht="16.5" thickBot="1">
      <c r="A6" s="308">
        <v>1</v>
      </c>
      <c r="B6" s="308" t="s">
        <v>853</v>
      </c>
      <c r="C6" s="435">
        <v>2045</v>
      </c>
      <c r="D6" s="436">
        <v>2419</v>
      </c>
      <c r="E6" s="436">
        <v>2606</v>
      </c>
      <c r="F6" s="436">
        <v>3167</v>
      </c>
    </row>
    <row r="7" spans="1:6" ht="16.5" thickBot="1">
      <c r="A7" s="308">
        <v>2</v>
      </c>
      <c r="B7" s="308" t="s">
        <v>261</v>
      </c>
      <c r="C7" s="437">
        <v>4409</v>
      </c>
      <c r="D7" s="438">
        <v>4817</v>
      </c>
      <c r="E7" s="438">
        <v>5021</v>
      </c>
      <c r="F7" s="438">
        <v>5633</v>
      </c>
    </row>
    <row r="8" spans="1:6" ht="16.5" thickBot="1">
      <c r="A8" s="308">
        <v>3</v>
      </c>
      <c r="B8" s="308" t="s">
        <v>271</v>
      </c>
      <c r="C8" s="437">
        <v>6147</v>
      </c>
      <c r="D8" s="438">
        <v>6625</v>
      </c>
      <c r="E8" s="438">
        <v>6864</v>
      </c>
      <c r="F8" s="438">
        <v>7581</v>
      </c>
    </row>
    <row r="9" spans="1:6" ht="16.5" thickBot="1">
      <c r="A9" s="308">
        <v>4</v>
      </c>
      <c r="B9" s="308" t="s">
        <v>223</v>
      </c>
      <c r="C9" s="437">
        <v>4858</v>
      </c>
      <c r="D9" s="438">
        <v>5320</v>
      </c>
      <c r="E9" s="438">
        <v>5551</v>
      </c>
      <c r="F9" s="438">
        <v>6244</v>
      </c>
    </row>
    <row r="10" spans="1:6" ht="16.5" thickBot="1">
      <c r="A10" s="308">
        <v>5</v>
      </c>
      <c r="B10" s="308" t="s">
        <v>300</v>
      </c>
      <c r="C10" s="437">
        <v>1899</v>
      </c>
      <c r="D10" s="438">
        <v>2213</v>
      </c>
      <c r="E10" s="438">
        <v>2370</v>
      </c>
      <c r="F10" s="438">
        <v>2841</v>
      </c>
    </row>
    <row r="11" spans="1:6" ht="16.5" thickBot="1">
      <c r="A11" s="308">
        <v>6</v>
      </c>
      <c r="B11" s="308" t="s">
        <v>326</v>
      </c>
      <c r="C11" s="437">
        <v>2515</v>
      </c>
      <c r="D11" s="438">
        <v>2945</v>
      </c>
      <c r="E11" s="438">
        <v>3160</v>
      </c>
      <c r="F11" s="438">
        <v>3805</v>
      </c>
    </row>
    <row r="12" spans="1:6" ht="16.5" thickBot="1">
      <c r="A12" s="308">
        <v>7</v>
      </c>
      <c r="B12" s="308" t="s">
        <v>757</v>
      </c>
      <c r="C12" s="437">
        <v>2357</v>
      </c>
      <c r="D12" s="438">
        <v>2745</v>
      </c>
      <c r="E12" s="438">
        <v>2939</v>
      </c>
      <c r="F12" s="438">
        <v>3521</v>
      </c>
    </row>
    <row r="13" spans="1:6" ht="16.5" thickBot="1">
      <c r="A13" s="308">
        <v>8</v>
      </c>
      <c r="B13" s="308" t="s">
        <v>360</v>
      </c>
      <c r="C13" s="437">
        <v>2676</v>
      </c>
      <c r="D13" s="438">
        <v>3054</v>
      </c>
      <c r="E13" s="438">
        <v>3243</v>
      </c>
      <c r="F13" s="438">
        <v>3810</v>
      </c>
    </row>
    <row r="14" spans="1:6" ht="16.5" thickBot="1">
      <c r="A14" s="308">
        <v>9</v>
      </c>
      <c r="B14" s="308" t="s">
        <v>384</v>
      </c>
      <c r="C14" s="437">
        <v>2464</v>
      </c>
      <c r="D14" s="438">
        <v>2832</v>
      </c>
      <c r="E14" s="438">
        <v>3016</v>
      </c>
      <c r="F14" s="438">
        <v>3568</v>
      </c>
    </row>
    <row r="15" spans="1:6" ht="16.5" thickBot="1">
      <c r="A15" s="308">
        <v>10</v>
      </c>
      <c r="B15" s="308" t="s">
        <v>386</v>
      </c>
      <c r="C15" s="437">
        <v>4469</v>
      </c>
      <c r="D15" s="438">
        <v>4919</v>
      </c>
      <c r="E15" s="438">
        <v>5144</v>
      </c>
      <c r="F15" s="438">
        <v>5819</v>
      </c>
    </row>
    <row r="16" spans="1:6" ht="16.5" thickBot="1">
      <c r="A16" s="308">
        <v>11</v>
      </c>
      <c r="B16" s="308" t="s">
        <v>407</v>
      </c>
      <c r="C16" s="437">
        <v>5240</v>
      </c>
      <c r="D16" s="438">
        <v>5766</v>
      </c>
      <c r="E16" s="438">
        <v>6029</v>
      </c>
      <c r="F16" s="438">
        <v>6818</v>
      </c>
    </row>
    <row r="17" spans="1:6" ht="16.5" thickBot="1">
      <c r="A17" s="308">
        <v>12</v>
      </c>
      <c r="B17" s="308" t="s">
        <v>482</v>
      </c>
      <c r="C17" s="437">
        <v>4226</v>
      </c>
      <c r="D17" s="438">
        <v>4630</v>
      </c>
      <c r="E17" s="438">
        <v>4832</v>
      </c>
      <c r="F17" s="438">
        <v>5438</v>
      </c>
    </row>
    <row r="18" spans="1:6" ht="16.5" thickBot="1">
      <c r="A18" s="308">
        <v>13</v>
      </c>
      <c r="B18" s="308" t="s">
        <v>484</v>
      </c>
      <c r="C18" s="437">
        <v>3885</v>
      </c>
      <c r="D18" s="438">
        <v>4283</v>
      </c>
      <c r="E18" s="438">
        <v>4482</v>
      </c>
      <c r="F18" s="438">
        <v>5089</v>
      </c>
    </row>
    <row r="19" spans="1:6" ht="16.5" thickBot="1">
      <c r="A19" s="544">
        <v>14</v>
      </c>
      <c r="B19" s="308" t="s">
        <v>854</v>
      </c>
      <c r="C19" s="437">
        <v>9389</v>
      </c>
      <c r="D19" s="438">
        <v>9949</v>
      </c>
      <c r="E19" s="438">
        <v>10229</v>
      </c>
      <c r="F19" s="438">
        <v>11069</v>
      </c>
    </row>
    <row r="20" spans="1:6" ht="16.5" thickBot="1">
      <c r="A20" s="544"/>
      <c r="B20" s="308" t="s">
        <v>855</v>
      </c>
      <c r="C20" s="435">
        <v>10083</v>
      </c>
      <c r="D20" s="436">
        <v>10639</v>
      </c>
      <c r="E20" s="436">
        <v>10917</v>
      </c>
      <c r="F20" s="436">
        <v>11751</v>
      </c>
    </row>
    <row r="21" spans="1:6" ht="16.5" thickBot="1">
      <c r="A21" s="544"/>
      <c r="B21" s="308" t="s">
        <v>856</v>
      </c>
      <c r="C21" s="437">
        <v>10551</v>
      </c>
      <c r="D21" s="438">
        <v>11281</v>
      </c>
      <c r="E21" s="438">
        <v>11646</v>
      </c>
      <c r="F21" s="438">
        <v>12741</v>
      </c>
    </row>
    <row r="22" spans="1:6" ht="16.5" thickBot="1">
      <c r="A22" s="308">
        <v>15</v>
      </c>
      <c r="B22" s="308" t="s">
        <v>857</v>
      </c>
      <c r="C22" s="437">
        <v>2738</v>
      </c>
      <c r="D22" s="438">
        <v>3132</v>
      </c>
      <c r="E22" s="438">
        <v>3329</v>
      </c>
      <c r="F22" s="438">
        <v>3920</v>
      </c>
    </row>
    <row r="23" spans="1:6" ht="16.5" thickBot="1">
      <c r="A23" s="308">
        <v>16</v>
      </c>
      <c r="B23" s="308" t="s">
        <v>618</v>
      </c>
      <c r="C23" s="437">
        <v>4273</v>
      </c>
      <c r="D23" s="438">
        <v>4707</v>
      </c>
      <c r="E23" s="438">
        <v>4924</v>
      </c>
      <c r="F23" s="438">
        <v>5575</v>
      </c>
    </row>
    <row r="24" spans="1:6" ht="16.5" thickBot="1">
      <c r="A24" s="308">
        <v>17</v>
      </c>
      <c r="B24" s="308" t="s">
        <v>632</v>
      </c>
      <c r="C24" s="437">
        <v>6547</v>
      </c>
      <c r="D24" s="438">
        <v>7035</v>
      </c>
      <c r="E24" s="438">
        <v>7279</v>
      </c>
      <c r="F24" s="438">
        <v>8011</v>
      </c>
    </row>
    <row r="25" spans="1:6" ht="16.5" thickBot="1">
      <c r="A25" s="308">
        <v>18</v>
      </c>
      <c r="B25" s="308" t="s">
        <v>759</v>
      </c>
      <c r="C25" s="437">
        <v>4398</v>
      </c>
      <c r="D25" s="438">
        <v>4790</v>
      </c>
      <c r="E25" s="438">
        <v>4986</v>
      </c>
      <c r="F25" s="438">
        <v>5574</v>
      </c>
    </row>
    <row r="26" spans="1:6" ht="16.5" thickBot="1">
      <c r="A26" s="308">
        <v>19</v>
      </c>
      <c r="B26" s="308" t="s">
        <v>684</v>
      </c>
      <c r="C26" s="437">
        <v>5370</v>
      </c>
      <c r="D26" s="438">
        <v>5840</v>
      </c>
      <c r="E26" s="438">
        <v>6075</v>
      </c>
      <c r="F26" s="438">
        <v>6780</v>
      </c>
    </row>
    <row r="27" spans="1:6" ht="16.5" thickBot="1">
      <c r="A27" s="308">
        <v>20</v>
      </c>
      <c r="B27" s="308" t="s">
        <v>760</v>
      </c>
      <c r="C27" s="437">
        <v>2491</v>
      </c>
      <c r="D27" s="438">
        <v>2883</v>
      </c>
      <c r="E27" s="438">
        <v>3079</v>
      </c>
      <c r="F27" s="438">
        <v>3667</v>
      </c>
    </row>
    <row r="28" spans="1:6" ht="16.5" thickBot="1">
      <c r="A28" s="308">
        <v>21</v>
      </c>
      <c r="B28" s="308" t="s">
        <v>858</v>
      </c>
      <c r="C28" s="437">
        <v>4156</v>
      </c>
      <c r="D28" s="438">
        <v>4552</v>
      </c>
      <c r="E28" s="438">
        <v>4750</v>
      </c>
      <c r="F28" s="438">
        <v>5344</v>
      </c>
    </row>
    <row r="29" spans="1:6" ht="16.5" thickBot="1">
      <c r="A29" s="308">
        <v>22</v>
      </c>
      <c r="B29" s="308" t="s">
        <v>214</v>
      </c>
      <c r="C29" s="437">
        <v>4878</v>
      </c>
      <c r="D29" s="438">
        <v>5332</v>
      </c>
      <c r="E29" s="438">
        <v>5559</v>
      </c>
      <c r="F29" s="438">
        <v>6240</v>
      </c>
    </row>
    <row r="30" spans="1:6" ht="16.5" thickBot="1">
      <c r="A30" s="308">
        <v>23</v>
      </c>
      <c r="B30" s="308" t="s">
        <v>423</v>
      </c>
      <c r="C30" s="437">
        <v>2034</v>
      </c>
      <c r="D30" s="438">
        <v>2398</v>
      </c>
      <c r="E30" s="438">
        <v>2580</v>
      </c>
      <c r="F30" s="438">
        <v>3126</v>
      </c>
    </row>
    <row r="31" spans="1:6" ht="16.5" thickBot="1">
      <c r="A31" s="544">
        <v>24</v>
      </c>
      <c r="B31" s="308" t="s">
        <v>859</v>
      </c>
      <c r="C31" s="435">
        <v>5209</v>
      </c>
      <c r="D31" s="436">
        <v>5683</v>
      </c>
      <c r="E31" s="436">
        <v>5920</v>
      </c>
      <c r="F31" s="436">
        <v>6631</v>
      </c>
    </row>
    <row r="32" spans="1:6" ht="16.5" thickBot="1">
      <c r="A32" s="544"/>
      <c r="B32" s="308" t="s">
        <v>860</v>
      </c>
      <c r="C32" s="437">
        <v>8863</v>
      </c>
      <c r="D32" s="438">
        <v>9403</v>
      </c>
      <c r="E32" s="438">
        <v>9673</v>
      </c>
      <c r="F32" s="438">
        <v>10483</v>
      </c>
    </row>
    <row r="33" spans="1:6" ht="16.5" thickBot="1">
      <c r="A33" s="544"/>
      <c r="B33" s="308" t="s">
        <v>861</v>
      </c>
      <c r="C33" s="437">
        <v>8815</v>
      </c>
      <c r="D33" s="438">
        <v>9379</v>
      </c>
      <c r="E33" s="438">
        <v>9661</v>
      </c>
      <c r="F33" s="438">
        <v>10507</v>
      </c>
    </row>
    <row r="34" spans="1:6" ht="16.5" thickBot="1">
      <c r="A34" s="308">
        <v>25</v>
      </c>
      <c r="B34" s="308" t="s">
        <v>550</v>
      </c>
      <c r="C34" s="437">
        <v>4023</v>
      </c>
      <c r="D34" s="438">
        <v>4409</v>
      </c>
      <c r="E34" s="438">
        <v>4602</v>
      </c>
      <c r="F34" s="438">
        <v>5181</v>
      </c>
    </row>
    <row r="35" spans="1:6" ht="16.5" thickBot="1">
      <c r="A35" s="308">
        <v>26</v>
      </c>
      <c r="B35" s="308" t="s">
        <v>610</v>
      </c>
      <c r="C35" s="437">
        <v>2573</v>
      </c>
      <c r="D35" s="438">
        <v>2969</v>
      </c>
      <c r="E35" s="438">
        <v>3167</v>
      </c>
      <c r="F35" s="438">
        <v>3761</v>
      </c>
    </row>
    <row r="36" spans="1:6" ht="16.5" thickBot="1">
      <c r="A36" s="308">
        <v>27</v>
      </c>
      <c r="B36" s="308" t="s">
        <v>661</v>
      </c>
      <c r="C36" s="437">
        <v>5460</v>
      </c>
      <c r="D36" s="438">
        <v>5888</v>
      </c>
      <c r="E36" s="438">
        <v>6102</v>
      </c>
      <c r="F36" s="438">
        <v>6744</v>
      </c>
    </row>
    <row r="37" spans="1:6" ht="16.5" thickBot="1">
      <c r="A37" s="308">
        <v>28</v>
      </c>
      <c r="B37" s="308" t="s">
        <v>164</v>
      </c>
      <c r="C37" s="437">
        <v>5738</v>
      </c>
      <c r="D37" s="438">
        <v>6178</v>
      </c>
      <c r="E37" s="438">
        <v>6398</v>
      </c>
      <c r="F37" s="438">
        <v>7058</v>
      </c>
    </row>
    <row r="38" spans="1:6" ht="16.5" thickBot="1">
      <c r="A38" s="308">
        <v>29</v>
      </c>
      <c r="B38" s="308" t="s">
        <v>250</v>
      </c>
      <c r="C38" s="437">
        <v>5170</v>
      </c>
      <c r="D38" s="438">
        <v>5652</v>
      </c>
      <c r="E38" s="438">
        <v>5893</v>
      </c>
      <c r="F38" s="438">
        <v>6616</v>
      </c>
    </row>
    <row r="39" spans="1:6" ht="16.5" thickBot="1">
      <c r="A39" s="308">
        <v>30</v>
      </c>
      <c r="B39" s="308" t="s">
        <v>258</v>
      </c>
      <c r="C39" s="437">
        <v>2381</v>
      </c>
      <c r="D39" s="438">
        <v>2677</v>
      </c>
      <c r="E39" s="438">
        <v>2825</v>
      </c>
      <c r="F39" s="438">
        <v>3269</v>
      </c>
    </row>
    <row r="40" spans="1:6" ht="16.5" thickBot="1">
      <c r="A40" s="308">
        <v>31</v>
      </c>
      <c r="B40" s="308" t="s">
        <v>267</v>
      </c>
      <c r="C40" s="437">
        <v>3232</v>
      </c>
      <c r="D40" s="438">
        <v>3628</v>
      </c>
      <c r="E40" s="438">
        <v>3826</v>
      </c>
      <c r="F40" s="438">
        <v>4420</v>
      </c>
    </row>
    <row r="41" spans="1:6" ht="16.5" thickBot="1">
      <c r="A41" s="308">
        <v>32</v>
      </c>
      <c r="B41" s="308" t="s">
        <v>269</v>
      </c>
      <c r="C41" s="437">
        <v>3417</v>
      </c>
      <c r="D41" s="438">
        <v>3819</v>
      </c>
      <c r="E41" s="438">
        <v>4020</v>
      </c>
      <c r="F41" s="438">
        <v>4623</v>
      </c>
    </row>
    <row r="42" spans="1:6" ht="16.5" thickBot="1">
      <c r="A42" s="308">
        <v>33</v>
      </c>
      <c r="B42" s="308" t="s">
        <v>282</v>
      </c>
      <c r="C42" s="437">
        <v>3983</v>
      </c>
      <c r="D42" s="438">
        <v>4393</v>
      </c>
      <c r="E42" s="438">
        <v>4598</v>
      </c>
      <c r="F42" s="438">
        <v>5213</v>
      </c>
    </row>
    <row r="43" spans="1:6" ht="16.5" thickBot="1">
      <c r="A43" s="308">
        <v>34</v>
      </c>
      <c r="B43" s="308" t="s">
        <v>285</v>
      </c>
      <c r="C43" s="437">
        <v>2952</v>
      </c>
      <c r="D43" s="438">
        <v>3292</v>
      </c>
      <c r="E43" s="438">
        <v>3462</v>
      </c>
      <c r="F43" s="438">
        <v>3972</v>
      </c>
    </row>
    <row r="44" spans="1:6" ht="16.5" thickBot="1">
      <c r="A44" s="308">
        <v>35</v>
      </c>
      <c r="B44" s="308" t="s">
        <v>292</v>
      </c>
      <c r="C44" s="435">
        <v>4410</v>
      </c>
      <c r="D44" s="436">
        <v>4882</v>
      </c>
      <c r="E44" s="436">
        <v>5118</v>
      </c>
      <c r="F44" s="436">
        <v>5826</v>
      </c>
    </row>
    <row r="45" spans="1:6" ht="16.5" thickBot="1">
      <c r="A45" s="308">
        <v>36</v>
      </c>
      <c r="B45" s="308" t="s">
        <v>298</v>
      </c>
      <c r="C45" s="437">
        <v>3279</v>
      </c>
      <c r="D45" s="438">
        <v>3641</v>
      </c>
      <c r="E45" s="438">
        <v>3822</v>
      </c>
      <c r="F45" s="438">
        <v>4365</v>
      </c>
    </row>
    <row r="46" spans="1:6" ht="16.5" thickBot="1">
      <c r="A46" s="308">
        <v>37</v>
      </c>
      <c r="B46" s="308" t="s">
        <v>323</v>
      </c>
      <c r="C46" s="437">
        <v>4091</v>
      </c>
      <c r="D46" s="438">
        <v>4517</v>
      </c>
      <c r="E46" s="438">
        <v>4730</v>
      </c>
      <c r="F46" s="438">
        <v>5369</v>
      </c>
    </row>
    <row r="47" spans="1:6" ht="16.5" thickBot="1">
      <c r="A47" s="308">
        <v>38</v>
      </c>
      <c r="B47" s="308" t="s">
        <v>329</v>
      </c>
      <c r="C47" s="437">
        <v>5762</v>
      </c>
      <c r="D47" s="438">
        <v>6258</v>
      </c>
      <c r="E47" s="438">
        <v>6506</v>
      </c>
      <c r="F47" s="438">
        <v>7250</v>
      </c>
    </row>
    <row r="48" spans="1:6" ht="16.5" thickBot="1">
      <c r="A48" s="308">
        <v>39</v>
      </c>
      <c r="B48" s="308" t="s">
        <v>358</v>
      </c>
      <c r="C48" s="437">
        <v>2918</v>
      </c>
      <c r="D48" s="438">
        <v>3334</v>
      </c>
      <c r="E48" s="438">
        <v>3542</v>
      </c>
      <c r="F48" s="438">
        <v>4166</v>
      </c>
    </row>
    <row r="49" spans="1:6" ht="16.5" thickBot="1">
      <c r="A49" s="308">
        <v>40</v>
      </c>
      <c r="B49" s="308" t="s">
        <v>362</v>
      </c>
      <c r="C49" s="437">
        <v>3592</v>
      </c>
      <c r="D49" s="438">
        <v>3994</v>
      </c>
      <c r="E49" s="438">
        <v>4195</v>
      </c>
      <c r="F49" s="438">
        <v>4798</v>
      </c>
    </row>
    <row r="50" spans="1:6" ht="16.5" thickBot="1">
      <c r="A50" s="308">
        <v>41</v>
      </c>
      <c r="B50" s="308" t="s">
        <v>364</v>
      </c>
      <c r="C50" s="437">
        <v>4826</v>
      </c>
      <c r="D50" s="438">
        <v>5352</v>
      </c>
      <c r="E50" s="438">
        <v>5615</v>
      </c>
      <c r="F50" s="438">
        <v>6404</v>
      </c>
    </row>
    <row r="51" spans="1:6" ht="16.5" thickBot="1">
      <c r="A51" s="308">
        <v>42</v>
      </c>
      <c r="B51" s="308" t="s">
        <v>394</v>
      </c>
      <c r="C51" s="437">
        <v>5378</v>
      </c>
      <c r="D51" s="438">
        <v>5862</v>
      </c>
      <c r="E51" s="438">
        <v>6104</v>
      </c>
      <c r="F51" s="438">
        <v>6830</v>
      </c>
    </row>
    <row r="52" spans="1:6" ht="16.5" thickBot="1">
      <c r="A52" s="308">
        <v>43</v>
      </c>
      <c r="B52" s="308" t="s">
        <v>403</v>
      </c>
      <c r="C52" s="437">
        <v>4612</v>
      </c>
      <c r="D52" s="438">
        <v>5052</v>
      </c>
      <c r="E52" s="438">
        <v>5272</v>
      </c>
      <c r="F52" s="438">
        <v>5932</v>
      </c>
    </row>
    <row r="53" spans="1:6" ht="16.5" thickBot="1">
      <c r="A53" s="308">
        <v>44</v>
      </c>
      <c r="B53" s="308" t="s">
        <v>419</v>
      </c>
      <c r="C53" s="437">
        <v>4121</v>
      </c>
      <c r="D53" s="438">
        <v>4547</v>
      </c>
      <c r="E53" s="438">
        <v>4760</v>
      </c>
      <c r="F53" s="438">
        <v>5399</v>
      </c>
    </row>
    <row r="54" spans="1:6" ht="16.5" thickBot="1">
      <c r="A54" s="308">
        <v>45</v>
      </c>
      <c r="B54" s="308" t="s">
        <v>463</v>
      </c>
      <c r="C54" s="437">
        <v>4732</v>
      </c>
      <c r="D54" s="438">
        <v>5170</v>
      </c>
      <c r="E54" s="438">
        <v>5389</v>
      </c>
      <c r="F54" s="438">
        <v>6046</v>
      </c>
    </row>
    <row r="55" spans="1:6" ht="16.5" thickBot="1">
      <c r="A55" s="308">
        <v>46</v>
      </c>
      <c r="B55" s="308" t="s">
        <v>465</v>
      </c>
      <c r="C55" s="437">
        <v>3283</v>
      </c>
      <c r="D55" s="438">
        <v>3669</v>
      </c>
      <c r="E55" s="438">
        <v>3862</v>
      </c>
      <c r="F55" s="438">
        <v>4441</v>
      </c>
    </row>
    <row r="56" spans="1:6" ht="16.5" thickBot="1">
      <c r="A56" s="308">
        <v>47</v>
      </c>
      <c r="B56" s="308" t="s">
        <v>471</v>
      </c>
      <c r="C56" s="437">
        <v>3957</v>
      </c>
      <c r="D56" s="438">
        <v>4409</v>
      </c>
      <c r="E56" s="438">
        <v>4635</v>
      </c>
      <c r="F56" s="438">
        <v>5313</v>
      </c>
    </row>
    <row r="57" spans="1:6" ht="16.5" thickBot="1">
      <c r="A57" s="308">
        <v>48</v>
      </c>
      <c r="B57" s="308" t="s">
        <v>467</v>
      </c>
      <c r="C57" s="437">
        <v>3456</v>
      </c>
      <c r="D57" s="438">
        <v>3828</v>
      </c>
      <c r="E57" s="438">
        <v>4014</v>
      </c>
      <c r="F57" s="438">
        <v>4572</v>
      </c>
    </row>
    <row r="58" spans="1:6" ht="16.5" thickBot="1">
      <c r="A58" s="308">
        <v>49</v>
      </c>
      <c r="B58" s="308" t="s">
        <v>474</v>
      </c>
      <c r="C58" s="437">
        <v>6827</v>
      </c>
      <c r="D58" s="438">
        <v>7369</v>
      </c>
      <c r="E58" s="438">
        <v>7640</v>
      </c>
      <c r="F58" s="438">
        <v>8453</v>
      </c>
    </row>
    <row r="59" spans="1:6" ht="16.5" thickBot="1">
      <c r="A59" s="308">
        <v>50</v>
      </c>
      <c r="B59" s="308" t="s">
        <v>486</v>
      </c>
      <c r="C59" s="437">
        <v>3932</v>
      </c>
      <c r="D59" s="438">
        <v>4384</v>
      </c>
      <c r="E59" s="438">
        <v>4610</v>
      </c>
      <c r="F59" s="438">
        <v>5288</v>
      </c>
    </row>
    <row r="60" spans="1:6" ht="16.5" thickBot="1">
      <c r="A60" s="308">
        <v>51</v>
      </c>
      <c r="B60" s="308" t="s">
        <v>491</v>
      </c>
      <c r="C60" s="437">
        <v>5264</v>
      </c>
      <c r="D60" s="438">
        <v>5756</v>
      </c>
      <c r="E60" s="438">
        <v>6002</v>
      </c>
      <c r="F60" s="438">
        <v>6740</v>
      </c>
    </row>
    <row r="61" spans="1:6" ht="16.5" thickBot="1">
      <c r="A61" s="308">
        <v>52</v>
      </c>
      <c r="B61" s="308" t="s">
        <v>514</v>
      </c>
      <c r="C61" s="437">
        <v>4039</v>
      </c>
      <c r="D61" s="438">
        <v>4457</v>
      </c>
      <c r="E61" s="438">
        <v>4666</v>
      </c>
      <c r="F61" s="438">
        <v>5293</v>
      </c>
    </row>
    <row r="62" spans="1:6" ht="16.5" thickBot="1">
      <c r="A62" s="308">
        <v>53</v>
      </c>
      <c r="B62" s="308" t="s">
        <v>518</v>
      </c>
      <c r="C62" s="437">
        <v>4017</v>
      </c>
      <c r="D62" s="438">
        <v>4473</v>
      </c>
      <c r="E62" s="438">
        <v>4701</v>
      </c>
      <c r="F62" s="438">
        <v>5385</v>
      </c>
    </row>
    <row r="63" spans="1:6" ht="16.5" thickBot="1">
      <c r="A63" s="308">
        <v>54</v>
      </c>
      <c r="B63" s="308" t="s">
        <v>521</v>
      </c>
      <c r="C63" s="435">
        <v>5173</v>
      </c>
      <c r="D63" s="436">
        <v>5637</v>
      </c>
      <c r="E63" s="436">
        <v>5869</v>
      </c>
      <c r="F63" s="436">
        <v>6565</v>
      </c>
    </row>
    <row r="64" spans="1:6" ht="16.5" thickBot="1">
      <c r="A64" s="308">
        <v>55</v>
      </c>
      <c r="B64" s="308" t="s">
        <v>531</v>
      </c>
      <c r="C64" s="437">
        <v>4975</v>
      </c>
      <c r="D64" s="438">
        <v>5423</v>
      </c>
      <c r="E64" s="438">
        <v>5647</v>
      </c>
      <c r="F64" s="438">
        <v>6319</v>
      </c>
    </row>
    <row r="65" spans="1:6" ht="16.5" thickBot="1">
      <c r="A65" s="308">
        <v>56</v>
      </c>
      <c r="B65" s="308" t="s">
        <v>536</v>
      </c>
      <c r="C65" s="437">
        <v>4018</v>
      </c>
      <c r="D65" s="438">
        <v>4408</v>
      </c>
      <c r="E65" s="438">
        <v>4603</v>
      </c>
      <c r="F65" s="438">
        <v>5188</v>
      </c>
    </row>
    <row r="66" spans="1:6" ht="16.5" thickBot="1">
      <c r="A66" s="308">
        <v>57</v>
      </c>
      <c r="B66" s="308" t="s">
        <v>540</v>
      </c>
      <c r="C66" s="437">
        <v>3404</v>
      </c>
      <c r="D66" s="438">
        <v>3802</v>
      </c>
      <c r="E66" s="438">
        <v>4001</v>
      </c>
      <c r="F66" s="438">
        <v>4598</v>
      </c>
    </row>
    <row r="67" spans="1:6" ht="16.5" thickBot="1">
      <c r="A67" s="308">
        <v>58</v>
      </c>
      <c r="B67" s="308" t="s">
        <v>542</v>
      </c>
      <c r="C67" s="437">
        <v>3611</v>
      </c>
      <c r="D67" s="438">
        <v>3979</v>
      </c>
      <c r="E67" s="438">
        <v>4163</v>
      </c>
      <c r="F67" s="438">
        <v>4715</v>
      </c>
    </row>
    <row r="68" spans="1:6" ht="16.5" thickBot="1">
      <c r="A68" s="308">
        <v>59</v>
      </c>
      <c r="B68" s="308" t="s">
        <v>545</v>
      </c>
      <c r="C68" s="437">
        <v>4645</v>
      </c>
      <c r="D68" s="438">
        <v>5089</v>
      </c>
      <c r="E68" s="438">
        <v>5311</v>
      </c>
      <c r="F68" s="438">
        <v>5977</v>
      </c>
    </row>
    <row r="69" spans="1:6" ht="16.5" thickBot="1">
      <c r="A69" s="308">
        <v>60</v>
      </c>
      <c r="B69" s="308" t="s">
        <v>567</v>
      </c>
      <c r="C69" s="437">
        <v>3666</v>
      </c>
      <c r="D69" s="438">
        <v>4102</v>
      </c>
      <c r="E69" s="438">
        <v>4320</v>
      </c>
      <c r="F69" s="438">
        <v>4974</v>
      </c>
    </row>
    <row r="70" spans="1:6" ht="16.5" thickBot="1">
      <c r="A70" s="308">
        <v>61</v>
      </c>
      <c r="B70" s="308" t="s">
        <v>570</v>
      </c>
      <c r="C70" s="437">
        <v>2383</v>
      </c>
      <c r="D70" s="438">
        <v>2725</v>
      </c>
      <c r="E70" s="438">
        <v>2896</v>
      </c>
      <c r="F70" s="438">
        <v>3409</v>
      </c>
    </row>
    <row r="71" spans="1:6" ht="16.5" thickBot="1">
      <c r="A71" s="308">
        <v>62</v>
      </c>
      <c r="B71" s="308" t="s">
        <v>574</v>
      </c>
      <c r="C71" s="437">
        <v>3726</v>
      </c>
      <c r="D71" s="438">
        <v>4134</v>
      </c>
      <c r="E71" s="438">
        <v>4338</v>
      </c>
      <c r="F71" s="438">
        <v>4950</v>
      </c>
    </row>
    <row r="72" spans="1:6" ht="16.5" thickBot="1">
      <c r="A72" s="308">
        <v>63</v>
      </c>
      <c r="B72" s="308" t="s">
        <v>576</v>
      </c>
      <c r="C72" s="437">
        <v>3923</v>
      </c>
      <c r="D72" s="438">
        <v>4361</v>
      </c>
      <c r="E72" s="438">
        <v>4580</v>
      </c>
      <c r="F72" s="438">
        <v>5237</v>
      </c>
    </row>
    <row r="73" spans="1:6" ht="16.5" thickBot="1">
      <c r="A73" s="308">
        <v>64</v>
      </c>
      <c r="B73" s="308" t="s">
        <v>578</v>
      </c>
      <c r="C73" s="437">
        <v>3376</v>
      </c>
      <c r="D73" s="438">
        <v>3722</v>
      </c>
      <c r="E73" s="438">
        <v>3895</v>
      </c>
      <c r="F73" s="438">
        <v>4414</v>
      </c>
    </row>
    <row r="74" spans="1:6" ht="16.5" thickBot="1">
      <c r="A74" s="308">
        <v>65</v>
      </c>
      <c r="B74" s="308" t="s">
        <v>582</v>
      </c>
      <c r="C74" s="437">
        <v>4851</v>
      </c>
      <c r="D74" s="438">
        <v>5351</v>
      </c>
      <c r="E74" s="438">
        <v>5601</v>
      </c>
      <c r="F74" s="438">
        <v>6351</v>
      </c>
    </row>
    <row r="75" spans="1:6" ht="16.5" thickBot="1">
      <c r="A75" s="308">
        <v>66</v>
      </c>
      <c r="B75" s="308" t="s">
        <v>598</v>
      </c>
      <c r="C75" s="437">
        <v>4646</v>
      </c>
      <c r="D75" s="438">
        <v>5116</v>
      </c>
      <c r="E75" s="438">
        <v>5351</v>
      </c>
      <c r="F75" s="438">
        <v>6056</v>
      </c>
    </row>
    <row r="76" spans="1:6" ht="16.5" thickBot="1">
      <c r="A76" s="308">
        <v>67</v>
      </c>
      <c r="B76" s="308" t="s">
        <v>607</v>
      </c>
      <c r="C76" s="437">
        <v>3575</v>
      </c>
      <c r="D76" s="438">
        <v>3985</v>
      </c>
      <c r="E76" s="438">
        <v>4190</v>
      </c>
      <c r="F76" s="438">
        <v>4805</v>
      </c>
    </row>
    <row r="77" spans="1:6" ht="16.5" thickBot="1">
      <c r="A77" s="308">
        <v>68</v>
      </c>
      <c r="B77" s="308" t="s">
        <v>616</v>
      </c>
      <c r="C77" s="437">
        <v>3534</v>
      </c>
      <c r="D77" s="438">
        <v>3916</v>
      </c>
      <c r="E77" s="438">
        <v>4107</v>
      </c>
      <c r="F77" s="438">
        <v>4680</v>
      </c>
    </row>
    <row r="78" spans="1:6" ht="16.5" thickBot="1">
      <c r="A78" s="308">
        <v>69</v>
      </c>
      <c r="B78" s="308" t="s">
        <v>622</v>
      </c>
      <c r="C78" s="437">
        <v>3885</v>
      </c>
      <c r="D78" s="438">
        <v>4297</v>
      </c>
      <c r="E78" s="438">
        <v>4503</v>
      </c>
      <c r="F78" s="438">
        <v>5121</v>
      </c>
    </row>
    <row r="79" spans="1:6" ht="16.5" thickBot="1">
      <c r="A79" s="308">
        <v>70</v>
      </c>
      <c r="B79" s="308" t="s">
        <v>626</v>
      </c>
      <c r="C79" s="437">
        <v>5388</v>
      </c>
      <c r="D79" s="438">
        <v>5854</v>
      </c>
      <c r="E79" s="438">
        <v>6087</v>
      </c>
      <c r="F79" s="438">
        <v>6786</v>
      </c>
    </row>
    <row r="80" spans="1:6" ht="16.5" thickBot="1">
      <c r="A80" s="308">
        <v>71</v>
      </c>
      <c r="B80" s="308" t="s">
        <v>634</v>
      </c>
      <c r="C80" s="437">
        <v>3593</v>
      </c>
      <c r="D80" s="438">
        <v>3989</v>
      </c>
      <c r="E80" s="438">
        <v>4187</v>
      </c>
      <c r="F80" s="438">
        <v>4781</v>
      </c>
    </row>
    <row r="81" spans="1:6" ht="16.5" thickBot="1">
      <c r="A81" s="308">
        <v>72</v>
      </c>
      <c r="B81" s="308" t="s">
        <v>862</v>
      </c>
      <c r="C81" s="437">
        <v>4837</v>
      </c>
      <c r="D81" s="438">
        <v>5287</v>
      </c>
      <c r="E81" s="438">
        <v>5512</v>
      </c>
      <c r="F81" s="438">
        <v>6187</v>
      </c>
    </row>
    <row r="82" spans="1:6" ht="16.5" thickBot="1">
      <c r="A82" s="308">
        <v>73</v>
      </c>
      <c r="B82" s="308" t="s">
        <v>658</v>
      </c>
      <c r="C82" s="435">
        <v>4083</v>
      </c>
      <c r="D82" s="436">
        <v>4493</v>
      </c>
      <c r="E82" s="436">
        <v>4698</v>
      </c>
      <c r="F82" s="436">
        <v>5313</v>
      </c>
    </row>
    <row r="83" spans="1:6" ht="16.5" thickBot="1">
      <c r="A83" s="308">
        <v>74</v>
      </c>
      <c r="B83" s="308" t="s">
        <v>687</v>
      </c>
      <c r="C83" s="437">
        <v>4532</v>
      </c>
      <c r="D83" s="438">
        <v>4944</v>
      </c>
      <c r="E83" s="438">
        <v>5150</v>
      </c>
      <c r="F83" s="438">
        <v>5768</v>
      </c>
    </row>
    <row r="84" spans="1:6" ht="16.5" thickBot="1">
      <c r="A84" s="308">
        <v>75</v>
      </c>
      <c r="B84" s="308" t="s">
        <v>307</v>
      </c>
      <c r="C84" s="437">
        <v>6374</v>
      </c>
      <c r="D84" s="438">
        <v>6854</v>
      </c>
      <c r="E84" s="438">
        <v>7094</v>
      </c>
      <c r="F84" s="438">
        <v>7814</v>
      </c>
    </row>
    <row r="85" spans="1:6" ht="16.5" thickBot="1">
      <c r="A85" s="308">
        <v>76</v>
      </c>
      <c r="B85" s="308" t="s">
        <v>752</v>
      </c>
      <c r="C85" s="437">
        <v>4009</v>
      </c>
      <c r="D85" s="438">
        <v>4423</v>
      </c>
      <c r="E85" s="438">
        <v>4630</v>
      </c>
      <c r="F85" s="438">
        <v>5251</v>
      </c>
    </row>
    <row r="86" spans="1:6" ht="16.5" thickBot="1">
      <c r="A86" s="308">
        <v>77</v>
      </c>
      <c r="B86" s="308" t="s">
        <v>863</v>
      </c>
      <c r="C86" s="437">
        <v>3773</v>
      </c>
      <c r="D86" s="438">
        <v>4181</v>
      </c>
      <c r="E86" s="438">
        <v>4385</v>
      </c>
      <c r="F86" s="438">
        <v>4997</v>
      </c>
    </row>
    <row r="87" spans="1:6" ht="16.5" thickBot="1">
      <c r="A87" s="308">
        <v>78</v>
      </c>
      <c r="B87" s="308" t="s">
        <v>864</v>
      </c>
      <c r="C87" s="437">
        <v>3842</v>
      </c>
      <c r="D87" s="438">
        <v>4278</v>
      </c>
      <c r="E87" s="438">
        <v>4496</v>
      </c>
      <c r="F87" s="438">
        <v>5150</v>
      </c>
    </row>
    <row r="88" spans="1:6" ht="16.5" thickBot="1">
      <c r="A88" s="308">
        <v>79</v>
      </c>
      <c r="B88" s="308" t="s">
        <v>304</v>
      </c>
      <c r="C88" s="437">
        <v>5697</v>
      </c>
      <c r="D88" s="438">
        <v>6115</v>
      </c>
      <c r="E88" s="438">
        <v>6324</v>
      </c>
      <c r="F88" s="438">
        <v>6951</v>
      </c>
    </row>
    <row r="89" spans="1:6" ht="16.5" thickBot="1">
      <c r="A89" s="308">
        <v>83</v>
      </c>
      <c r="B89" s="308" t="s">
        <v>865</v>
      </c>
      <c r="C89" s="437">
        <v>6509</v>
      </c>
      <c r="D89" s="438">
        <v>7135</v>
      </c>
      <c r="E89" s="438">
        <v>7448</v>
      </c>
      <c r="F89" s="438">
        <v>8387</v>
      </c>
    </row>
    <row r="90" spans="1:6" ht="16.5" thickBot="1">
      <c r="A90" s="308">
        <v>86</v>
      </c>
      <c r="B90" s="308" t="s">
        <v>866</v>
      </c>
      <c r="C90" s="437">
        <v>5806</v>
      </c>
      <c r="D90" s="438">
        <v>6334</v>
      </c>
      <c r="E90" s="438">
        <v>6598</v>
      </c>
      <c r="F90" s="438">
        <v>7390</v>
      </c>
    </row>
    <row r="91" spans="1:6" ht="16.5" thickBot="1">
      <c r="A91" s="308">
        <v>87</v>
      </c>
      <c r="B91" s="308" t="s">
        <v>867</v>
      </c>
      <c r="C91" s="437">
        <v>8472</v>
      </c>
      <c r="D91" s="438">
        <v>9120</v>
      </c>
      <c r="E91" s="438">
        <v>9444</v>
      </c>
      <c r="F91" s="438">
        <v>10416</v>
      </c>
    </row>
    <row r="92" spans="1:6" ht="16.5" thickBot="1">
      <c r="A92" s="308">
        <v>89</v>
      </c>
      <c r="B92" s="308" t="s">
        <v>868</v>
      </c>
      <c r="C92" s="437">
        <v>7128</v>
      </c>
      <c r="D92" s="438">
        <v>7680</v>
      </c>
      <c r="E92" s="438">
        <v>7956</v>
      </c>
      <c r="F92" s="438">
        <v>8784</v>
      </c>
    </row>
    <row r="93" spans="1:6" ht="16.5" thickBot="1">
      <c r="A93" s="308">
        <v>91</v>
      </c>
      <c r="B93" s="308" t="s">
        <v>455</v>
      </c>
      <c r="C93" s="437">
        <v>2111</v>
      </c>
      <c r="D93" s="438">
        <v>2513</v>
      </c>
      <c r="E93" s="438">
        <v>2714</v>
      </c>
      <c r="F93" s="438">
        <v>3317</v>
      </c>
    </row>
    <row r="94" spans="1:6" ht="16.5" thickBot="1">
      <c r="A94" s="308">
        <v>92</v>
      </c>
      <c r="B94" s="308" t="s">
        <v>869</v>
      </c>
      <c r="C94" s="437">
        <v>1578</v>
      </c>
      <c r="D94" s="438">
        <v>1920</v>
      </c>
      <c r="E94" s="438">
        <v>2091</v>
      </c>
      <c r="F94" s="438">
        <v>2604</v>
      </c>
    </row>
  </sheetData>
  <mergeCells count="4">
    <mergeCell ref="A4:A5"/>
    <mergeCell ref="C4:F4"/>
    <mergeCell ref="A19:A21"/>
    <mergeCell ref="A31:A33"/>
  </mergeCell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F99"/>
  <sheetViews>
    <sheetView workbookViewId="0">
      <selection activeCell="C6" sqref="C6"/>
    </sheetView>
  </sheetViews>
  <sheetFormatPr defaultRowHeight="15"/>
  <cols>
    <col min="2" max="2" width="24.5703125" customWidth="1"/>
  </cols>
  <sheetData>
    <row r="1" spans="1:6">
      <c r="A1" s="268" t="s">
        <v>1029</v>
      </c>
      <c r="B1" s="269"/>
      <c r="C1" s="269"/>
      <c r="D1" s="269"/>
      <c r="E1" s="269"/>
      <c r="F1" s="269"/>
    </row>
    <row r="2" spans="1:6">
      <c r="A2" s="272"/>
      <c r="B2" s="272"/>
      <c r="C2" s="272"/>
      <c r="D2" s="272"/>
      <c r="E2" s="272"/>
      <c r="F2" s="272"/>
    </row>
    <row r="3" spans="1:6">
      <c r="A3" s="272"/>
      <c r="B3" s="272">
        <f>VLOOKUP('1.Общие данные по зданию'!C7,Климатология2024!B6:F99,IF('1.Общие данные по зданию'!C17=18,2,IF('1.Общие данные по зданию'!C17=20,3,IF('1.Общие данные по зданию'!C17=21,4,5))),0)</f>
        <v>2409</v>
      </c>
      <c r="C3" s="272"/>
      <c r="D3" s="272"/>
      <c r="E3" s="272"/>
      <c r="F3" s="272"/>
    </row>
    <row r="4" spans="1:6" ht="15.75">
      <c r="A4" s="542"/>
      <c r="B4" s="310"/>
      <c r="C4" s="543" t="s">
        <v>848</v>
      </c>
      <c r="D4" s="543"/>
      <c r="E4" s="543"/>
      <c r="F4" s="543"/>
    </row>
    <row r="5" spans="1:6" ht="19.5" thickBot="1">
      <c r="A5" s="542"/>
      <c r="B5" s="310" t="s">
        <v>755</v>
      </c>
      <c r="C5" s="307" t="s">
        <v>849</v>
      </c>
      <c r="D5" s="307" t="s">
        <v>850</v>
      </c>
      <c r="E5" s="307" t="s">
        <v>851</v>
      </c>
      <c r="F5" s="307" t="s">
        <v>852</v>
      </c>
    </row>
    <row r="6" spans="1:6" ht="16.5" thickBot="1">
      <c r="A6" s="308">
        <v>1</v>
      </c>
      <c r="B6" s="308" t="s">
        <v>853</v>
      </c>
      <c r="C6" s="439">
        <v>2186</v>
      </c>
      <c r="D6" s="440">
        <v>2536</v>
      </c>
      <c r="E6" s="440">
        <v>2711</v>
      </c>
      <c r="F6" s="440">
        <v>3236</v>
      </c>
    </row>
    <row r="7" spans="1:6" ht="16.5" thickBot="1">
      <c r="A7" s="308">
        <v>2</v>
      </c>
      <c r="B7" s="308" t="s">
        <v>261</v>
      </c>
      <c r="C7" s="441">
        <v>4426</v>
      </c>
      <c r="D7" s="442">
        <v>4824</v>
      </c>
      <c r="E7" s="442">
        <v>5023</v>
      </c>
      <c r="F7" s="442">
        <v>5620</v>
      </c>
    </row>
    <row r="8" spans="1:6" ht="16.5" thickBot="1">
      <c r="A8" s="308">
        <v>3</v>
      </c>
      <c r="B8" s="308" t="s">
        <v>271</v>
      </c>
      <c r="C8" s="441">
        <v>6176</v>
      </c>
      <c r="D8" s="442">
        <v>6652</v>
      </c>
      <c r="E8" s="442">
        <v>6890</v>
      </c>
      <c r="F8" s="442">
        <v>7604</v>
      </c>
    </row>
    <row r="9" spans="1:6" ht="16.5" thickBot="1">
      <c r="A9" s="308">
        <v>4</v>
      </c>
      <c r="B9" s="308" t="s">
        <v>223</v>
      </c>
      <c r="C9" s="441">
        <v>4986</v>
      </c>
      <c r="D9" s="442">
        <v>5458</v>
      </c>
      <c r="E9" s="442">
        <v>5694</v>
      </c>
      <c r="F9" s="442">
        <v>6402</v>
      </c>
    </row>
    <row r="10" spans="1:6" ht="16.5" thickBot="1">
      <c r="A10" s="308">
        <v>5</v>
      </c>
      <c r="B10" s="308" t="s">
        <v>300</v>
      </c>
      <c r="C10" s="441">
        <v>2043</v>
      </c>
      <c r="D10" s="442">
        <v>2377</v>
      </c>
      <c r="E10" s="442">
        <v>2544</v>
      </c>
      <c r="F10" s="442">
        <v>3045</v>
      </c>
    </row>
    <row r="11" spans="1:6" ht="16.5" thickBot="1">
      <c r="A11" s="308">
        <v>6</v>
      </c>
      <c r="B11" s="308" t="s">
        <v>326</v>
      </c>
      <c r="C11" s="441">
        <v>2474</v>
      </c>
      <c r="D11" s="442">
        <v>2810</v>
      </c>
      <c r="E11" s="442">
        <v>2978</v>
      </c>
      <c r="F11" s="442">
        <v>3482</v>
      </c>
    </row>
    <row r="12" spans="1:6" ht="16.5" thickBot="1">
      <c r="A12" s="308">
        <v>7</v>
      </c>
      <c r="B12" s="308" t="s">
        <v>757</v>
      </c>
      <c r="C12" s="441">
        <v>2582</v>
      </c>
      <c r="D12" s="442">
        <v>2942</v>
      </c>
      <c r="E12" s="442">
        <v>3122</v>
      </c>
      <c r="F12" s="442">
        <v>3662</v>
      </c>
    </row>
    <row r="13" spans="1:6" ht="16.5" thickBot="1">
      <c r="A13" s="308">
        <v>8</v>
      </c>
      <c r="B13" s="308" t="s">
        <v>360</v>
      </c>
      <c r="C13" s="441">
        <v>2919</v>
      </c>
      <c r="D13" s="442">
        <v>3277</v>
      </c>
      <c r="E13" s="442">
        <v>3456</v>
      </c>
      <c r="F13" s="442">
        <v>3993</v>
      </c>
    </row>
    <row r="14" spans="1:6" ht="16.5" thickBot="1">
      <c r="A14" s="308">
        <v>9</v>
      </c>
      <c r="B14" s="308" t="s">
        <v>384</v>
      </c>
      <c r="C14" s="441">
        <v>2508</v>
      </c>
      <c r="D14" s="442">
        <v>2852</v>
      </c>
      <c r="E14" s="442">
        <v>3024</v>
      </c>
      <c r="F14" s="442">
        <v>3540</v>
      </c>
    </row>
    <row r="15" spans="1:6" ht="16.5" thickBot="1">
      <c r="A15" s="308">
        <v>10</v>
      </c>
      <c r="B15" s="308" t="s">
        <v>386</v>
      </c>
      <c r="C15" s="441">
        <v>4563</v>
      </c>
      <c r="D15" s="442">
        <v>5027</v>
      </c>
      <c r="E15" s="442">
        <v>5259</v>
      </c>
      <c r="F15" s="442">
        <v>5955</v>
      </c>
    </row>
    <row r="16" spans="1:6" ht="16.5" thickBot="1">
      <c r="A16" s="308">
        <v>11</v>
      </c>
      <c r="B16" s="308" t="s">
        <v>407</v>
      </c>
      <c r="C16" s="441">
        <v>5368</v>
      </c>
      <c r="D16" s="442">
        <v>5918</v>
      </c>
      <c r="E16" s="442">
        <v>6193</v>
      </c>
      <c r="F16" s="442">
        <v>7018</v>
      </c>
    </row>
    <row r="17" spans="1:6" ht="16.5" thickBot="1">
      <c r="A17" s="308">
        <v>12</v>
      </c>
      <c r="B17" s="308" t="s">
        <v>482</v>
      </c>
      <c r="C17" s="441">
        <v>4363</v>
      </c>
      <c r="D17" s="442">
        <v>4809</v>
      </c>
      <c r="E17" s="442">
        <v>5032</v>
      </c>
      <c r="F17" s="442">
        <v>5701</v>
      </c>
    </row>
    <row r="18" spans="1:6" ht="16.5" thickBot="1">
      <c r="A18" s="308">
        <v>13</v>
      </c>
      <c r="B18" s="308" t="s">
        <v>484</v>
      </c>
      <c r="C18" s="441">
        <v>4112</v>
      </c>
      <c r="D18" s="442">
        <v>4510</v>
      </c>
      <c r="E18" s="442">
        <v>4709</v>
      </c>
      <c r="F18" s="442">
        <v>5306</v>
      </c>
    </row>
    <row r="19" spans="1:6" ht="16.5" thickBot="1">
      <c r="A19" s="544">
        <v>14</v>
      </c>
      <c r="B19" s="308" t="s">
        <v>854</v>
      </c>
      <c r="C19" s="441">
        <v>9402</v>
      </c>
      <c r="D19" s="442">
        <v>9956</v>
      </c>
      <c r="E19" s="442">
        <v>10233</v>
      </c>
      <c r="F19" s="442">
        <v>11064</v>
      </c>
    </row>
    <row r="20" spans="1:6" ht="16.5" thickBot="1">
      <c r="A20" s="544"/>
      <c r="B20" s="308" t="s">
        <v>855</v>
      </c>
      <c r="C20" s="439">
        <v>9892</v>
      </c>
      <c r="D20" s="440">
        <v>10450</v>
      </c>
      <c r="E20" s="440">
        <v>10729</v>
      </c>
      <c r="F20" s="440">
        <v>11566</v>
      </c>
    </row>
    <row r="21" spans="1:6" ht="16.5" thickBot="1">
      <c r="A21" s="544"/>
      <c r="B21" s="308" t="s">
        <v>856</v>
      </c>
      <c r="C21" s="441">
        <v>10351</v>
      </c>
      <c r="D21" s="442">
        <v>11023</v>
      </c>
      <c r="E21" s="442">
        <v>11359</v>
      </c>
      <c r="F21" s="442">
        <v>12367</v>
      </c>
    </row>
    <row r="22" spans="1:6" ht="16.5" thickBot="1">
      <c r="A22" s="308">
        <v>15</v>
      </c>
      <c r="B22" s="308" t="s">
        <v>857</v>
      </c>
      <c r="C22" s="441">
        <v>2610</v>
      </c>
      <c r="D22" s="442">
        <v>2966</v>
      </c>
      <c r="E22" s="442">
        <v>3144</v>
      </c>
      <c r="F22" s="442">
        <v>3678</v>
      </c>
    </row>
    <row r="23" spans="1:6" ht="16.5" thickBot="1">
      <c r="A23" s="308">
        <v>16</v>
      </c>
      <c r="B23" s="308" t="s">
        <v>618</v>
      </c>
      <c r="C23" s="441">
        <v>4349</v>
      </c>
      <c r="D23" s="442">
        <v>4763</v>
      </c>
      <c r="E23" s="442">
        <v>4970</v>
      </c>
      <c r="F23" s="442">
        <v>5591</v>
      </c>
    </row>
    <row r="24" spans="1:6" ht="16.5" thickBot="1">
      <c r="A24" s="308">
        <v>17</v>
      </c>
      <c r="B24" s="308" t="s">
        <v>632</v>
      </c>
      <c r="C24" s="441">
        <v>6499</v>
      </c>
      <c r="D24" s="442">
        <v>6985</v>
      </c>
      <c r="E24" s="442">
        <v>7228</v>
      </c>
      <c r="F24" s="442">
        <v>7957</v>
      </c>
    </row>
    <row r="25" spans="1:6" ht="16.5" thickBot="1">
      <c r="A25" s="308">
        <v>18</v>
      </c>
      <c r="B25" s="308" t="s">
        <v>759</v>
      </c>
      <c r="C25" s="441">
        <v>4602</v>
      </c>
      <c r="D25" s="442">
        <v>5042</v>
      </c>
      <c r="E25" s="442">
        <v>5262</v>
      </c>
      <c r="F25" s="442">
        <v>5922</v>
      </c>
    </row>
    <row r="26" spans="1:6" ht="16.5" thickBot="1">
      <c r="A26" s="308">
        <v>19</v>
      </c>
      <c r="B26" s="308" t="s">
        <v>684</v>
      </c>
      <c r="C26" s="441">
        <v>5540</v>
      </c>
      <c r="D26" s="442">
        <v>6020</v>
      </c>
      <c r="E26" s="442">
        <v>6260</v>
      </c>
      <c r="F26" s="442">
        <v>6980</v>
      </c>
    </row>
    <row r="27" spans="1:6" ht="16.5" thickBot="1">
      <c r="A27" s="308">
        <v>20</v>
      </c>
      <c r="B27" s="308"/>
      <c r="C27" s="443"/>
      <c r="D27" s="444"/>
      <c r="E27" s="444"/>
      <c r="F27" s="444"/>
    </row>
    <row r="28" spans="1:6" ht="16.5" thickBot="1">
      <c r="A28" s="308">
        <v>21</v>
      </c>
      <c r="B28" s="308" t="s">
        <v>858</v>
      </c>
      <c r="C28" s="441">
        <v>4437</v>
      </c>
      <c r="D28" s="442">
        <v>4899</v>
      </c>
      <c r="E28" s="442">
        <v>5130</v>
      </c>
      <c r="F28" s="442">
        <v>5823</v>
      </c>
    </row>
    <row r="29" spans="1:6" ht="16.5" thickBot="1">
      <c r="A29" s="308">
        <v>22</v>
      </c>
      <c r="B29" s="308" t="s">
        <v>214</v>
      </c>
      <c r="C29" s="441">
        <v>5043</v>
      </c>
      <c r="D29" s="442">
        <v>5513</v>
      </c>
      <c r="E29" s="442">
        <v>5748</v>
      </c>
      <c r="F29" s="442">
        <v>6453</v>
      </c>
    </row>
    <row r="30" spans="1:6" ht="16.5" thickBot="1">
      <c r="A30" s="308">
        <v>23</v>
      </c>
      <c r="B30" s="308" t="s">
        <v>423</v>
      </c>
      <c r="C30" s="441">
        <v>2083</v>
      </c>
      <c r="D30" s="442">
        <v>2409</v>
      </c>
      <c r="E30" s="442">
        <v>2572</v>
      </c>
      <c r="F30" s="442">
        <v>3061</v>
      </c>
    </row>
    <row r="31" spans="1:6" ht="16.5" thickBot="1">
      <c r="A31" s="544">
        <v>24</v>
      </c>
      <c r="B31" s="308" t="s">
        <v>859</v>
      </c>
      <c r="C31" s="441">
        <v>5028</v>
      </c>
      <c r="D31" s="442">
        <v>5516</v>
      </c>
      <c r="E31" s="442">
        <v>5760</v>
      </c>
      <c r="F31" s="442">
        <v>6492</v>
      </c>
    </row>
    <row r="32" spans="1:6" ht="16.5" thickBot="1">
      <c r="A32" s="544"/>
      <c r="B32" s="308" t="s">
        <v>860</v>
      </c>
      <c r="C32" s="441">
        <v>8623</v>
      </c>
      <c r="D32" s="442">
        <v>9195</v>
      </c>
      <c r="E32" s="442">
        <v>9481</v>
      </c>
      <c r="F32" s="442">
        <v>10339</v>
      </c>
    </row>
    <row r="33" spans="1:6" ht="16.5" thickBot="1">
      <c r="A33" s="544"/>
      <c r="B33" s="308" t="s">
        <v>861</v>
      </c>
      <c r="C33" s="441">
        <v>8543</v>
      </c>
      <c r="D33" s="442">
        <v>9109</v>
      </c>
      <c r="E33" s="442">
        <v>9392</v>
      </c>
      <c r="F33" s="442">
        <v>10241</v>
      </c>
    </row>
    <row r="34" spans="1:6" ht="16.5" thickBot="1">
      <c r="A34" s="308">
        <v>25</v>
      </c>
      <c r="B34" s="308" t="s">
        <v>550</v>
      </c>
      <c r="C34" s="441">
        <v>4023</v>
      </c>
      <c r="D34" s="442">
        <v>4403</v>
      </c>
      <c r="E34" s="442">
        <v>4593</v>
      </c>
      <c r="F34" s="442">
        <v>5163</v>
      </c>
    </row>
    <row r="35" spans="1:6" ht="16.5" thickBot="1">
      <c r="A35" s="308">
        <v>26</v>
      </c>
      <c r="B35" s="308" t="s">
        <v>610</v>
      </c>
      <c r="C35" s="441">
        <v>2678</v>
      </c>
      <c r="D35" s="442">
        <v>3046</v>
      </c>
      <c r="E35" s="442">
        <v>3230</v>
      </c>
      <c r="F35" s="442">
        <v>3782</v>
      </c>
    </row>
    <row r="36" spans="1:6" ht="16.5" thickBot="1">
      <c r="A36" s="308">
        <v>27</v>
      </c>
      <c r="B36" s="308" t="s">
        <v>661</v>
      </c>
      <c r="C36" s="441">
        <v>5271</v>
      </c>
      <c r="D36" s="442">
        <v>5679</v>
      </c>
      <c r="E36" s="442">
        <v>5883</v>
      </c>
      <c r="F36" s="442">
        <v>6495</v>
      </c>
    </row>
    <row r="37" spans="1:6" ht="16.5" thickBot="1">
      <c r="A37" s="308">
        <v>28</v>
      </c>
      <c r="B37" s="308" t="s">
        <v>164</v>
      </c>
      <c r="C37" s="441">
        <v>5614</v>
      </c>
      <c r="D37" s="442">
        <v>6056</v>
      </c>
      <c r="E37" s="442">
        <v>6277</v>
      </c>
      <c r="F37" s="442">
        <v>6940</v>
      </c>
    </row>
    <row r="38" spans="1:6" ht="16.5" thickBot="1">
      <c r="A38" s="308">
        <v>29</v>
      </c>
      <c r="B38" s="308" t="s">
        <v>250</v>
      </c>
      <c r="C38" s="441">
        <v>5110</v>
      </c>
      <c r="D38" s="442">
        <v>5608</v>
      </c>
      <c r="E38" s="442">
        <v>5857</v>
      </c>
      <c r="F38" s="442">
        <v>6604</v>
      </c>
    </row>
    <row r="39" spans="1:6" ht="16.5" thickBot="1">
      <c r="A39" s="308">
        <v>30</v>
      </c>
      <c r="B39" s="308" t="s">
        <v>258</v>
      </c>
      <c r="C39" s="441">
        <v>2704</v>
      </c>
      <c r="D39" s="442">
        <v>3032</v>
      </c>
      <c r="E39" s="442">
        <v>3196</v>
      </c>
      <c r="F39" s="442">
        <v>3688</v>
      </c>
    </row>
    <row r="40" spans="1:6" ht="16.5" thickBot="1">
      <c r="A40" s="308">
        <v>31</v>
      </c>
      <c r="B40" s="308" t="s">
        <v>267</v>
      </c>
      <c r="C40" s="441">
        <v>3058</v>
      </c>
      <c r="D40" s="442">
        <v>3414</v>
      </c>
      <c r="E40" s="442">
        <v>3592</v>
      </c>
      <c r="F40" s="442">
        <v>4126</v>
      </c>
    </row>
    <row r="41" spans="1:6" ht="16.5" thickBot="1">
      <c r="A41" s="308">
        <v>32</v>
      </c>
      <c r="B41" s="308" t="s">
        <v>269</v>
      </c>
      <c r="C41" s="441">
        <v>3403</v>
      </c>
      <c r="D41" s="442">
        <v>3805</v>
      </c>
      <c r="E41" s="442">
        <v>4006</v>
      </c>
      <c r="F41" s="442">
        <v>4609</v>
      </c>
    </row>
    <row r="42" spans="1:6" ht="16.5" thickBot="1">
      <c r="A42" s="308">
        <v>33</v>
      </c>
      <c r="B42" s="308" t="s">
        <v>282</v>
      </c>
      <c r="C42" s="441">
        <v>4001</v>
      </c>
      <c r="D42" s="442">
        <v>4409</v>
      </c>
      <c r="E42" s="442">
        <v>4613</v>
      </c>
      <c r="F42" s="442">
        <v>5225</v>
      </c>
    </row>
    <row r="43" spans="1:6" ht="16.5" thickBot="1">
      <c r="A43" s="308">
        <v>34</v>
      </c>
      <c r="B43" s="308" t="s">
        <v>285</v>
      </c>
      <c r="C43" s="441">
        <v>3208</v>
      </c>
      <c r="D43" s="442">
        <v>3558</v>
      </c>
      <c r="E43" s="442">
        <v>3733</v>
      </c>
      <c r="F43" s="442">
        <v>4258</v>
      </c>
    </row>
    <row r="44" spans="1:6" ht="16.5" thickBot="1">
      <c r="A44" s="308">
        <v>35</v>
      </c>
      <c r="B44" s="308" t="s">
        <v>292</v>
      </c>
      <c r="C44" s="441">
        <v>4415</v>
      </c>
      <c r="D44" s="442">
        <v>4877</v>
      </c>
      <c r="E44" s="442">
        <v>5108</v>
      </c>
      <c r="F44" s="442">
        <v>5801</v>
      </c>
    </row>
    <row r="45" spans="1:6" ht="16.5" thickBot="1">
      <c r="A45" s="308">
        <v>36</v>
      </c>
      <c r="B45" s="308" t="s">
        <v>298</v>
      </c>
      <c r="C45" s="441">
        <v>3215</v>
      </c>
      <c r="D45" s="442">
        <v>3561</v>
      </c>
      <c r="E45" s="442">
        <v>3734</v>
      </c>
      <c r="F45" s="442">
        <v>4253</v>
      </c>
    </row>
    <row r="46" spans="1:6" ht="16.5" thickBot="1">
      <c r="A46" s="308">
        <v>37</v>
      </c>
      <c r="B46" s="308" t="s">
        <v>323</v>
      </c>
      <c r="C46" s="441">
        <v>4113</v>
      </c>
      <c r="D46" s="442">
        <v>4529</v>
      </c>
      <c r="E46" s="442">
        <v>4737</v>
      </c>
      <c r="F46" s="442">
        <v>5361</v>
      </c>
    </row>
    <row r="47" spans="1:6" ht="16.5" thickBot="1">
      <c r="A47" s="308">
        <v>38</v>
      </c>
      <c r="B47" s="308" t="s">
        <v>329</v>
      </c>
      <c r="C47" s="441">
        <v>5638</v>
      </c>
      <c r="D47" s="442">
        <v>6116</v>
      </c>
      <c r="E47" s="442">
        <v>6355</v>
      </c>
      <c r="F47" s="442">
        <v>7072</v>
      </c>
    </row>
    <row r="48" spans="1:6" ht="16.5" thickBot="1">
      <c r="A48" s="308">
        <v>39</v>
      </c>
      <c r="B48" s="308" t="s">
        <v>358</v>
      </c>
      <c r="C48" s="441">
        <v>2484</v>
      </c>
      <c r="D48" s="442">
        <v>2856</v>
      </c>
      <c r="E48" s="442">
        <v>3042</v>
      </c>
      <c r="F48" s="442">
        <v>3600</v>
      </c>
    </row>
    <row r="49" spans="1:6" ht="16.5" thickBot="1">
      <c r="A49" s="308">
        <v>40</v>
      </c>
      <c r="B49" s="308" t="s">
        <v>362</v>
      </c>
      <c r="C49" s="441">
        <v>3679</v>
      </c>
      <c r="D49" s="442">
        <v>4095</v>
      </c>
      <c r="E49" s="442">
        <v>4303</v>
      </c>
      <c r="F49" s="442">
        <v>4927</v>
      </c>
    </row>
    <row r="50" spans="1:6" ht="16.5" thickBot="1">
      <c r="A50" s="308">
        <v>41</v>
      </c>
      <c r="B50" s="308" t="s">
        <v>364</v>
      </c>
      <c r="C50" s="441">
        <v>5153</v>
      </c>
      <c r="D50" s="442">
        <v>5687</v>
      </c>
      <c r="E50" s="442">
        <v>5954</v>
      </c>
      <c r="F50" s="442">
        <v>6755</v>
      </c>
    </row>
    <row r="51" spans="1:6" ht="16.5" thickBot="1">
      <c r="A51" s="308">
        <v>42</v>
      </c>
      <c r="B51" s="308" t="s">
        <v>394</v>
      </c>
      <c r="C51" s="441">
        <v>5382</v>
      </c>
      <c r="D51" s="442">
        <v>5864</v>
      </c>
      <c r="E51" s="442">
        <v>6105</v>
      </c>
      <c r="F51" s="442">
        <v>6828</v>
      </c>
    </row>
    <row r="52" spans="1:6" ht="16.5" thickBot="1">
      <c r="A52" s="308">
        <v>43</v>
      </c>
      <c r="B52" s="308" t="s">
        <v>403</v>
      </c>
      <c r="C52" s="441">
        <v>4728</v>
      </c>
      <c r="D52" s="442">
        <v>5192</v>
      </c>
      <c r="E52" s="442">
        <v>5424</v>
      </c>
      <c r="F52" s="442">
        <v>6120</v>
      </c>
    </row>
    <row r="53" spans="1:6" ht="16.5" thickBot="1">
      <c r="A53" s="308">
        <v>44</v>
      </c>
      <c r="B53" s="308" t="s">
        <v>419</v>
      </c>
      <c r="C53" s="441">
        <v>4360</v>
      </c>
      <c r="D53" s="442">
        <v>4836</v>
      </c>
      <c r="E53" s="442">
        <v>5074</v>
      </c>
      <c r="F53" s="442">
        <v>5788</v>
      </c>
    </row>
    <row r="54" spans="1:6" ht="16.5" thickBot="1">
      <c r="A54" s="308">
        <v>45</v>
      </c>
      <c r="B54" s="308" t="s">
        <v>463</v>
      </c>
      <c r="C54" s="441">
        <v>4691</v>
      </c>
      <c r="D54" s="442">
        <v>5103</v>
      </c>
      <c r="E54" s="442">
        <v>5309</v>
      </c>
      <c r="F54" s="442">
        <v>5927</v>
      </c>
    </row>
    <row r="55" spans="1:6" ht="16.5" thickBot="1">
      <c r="A55" s="308">
        <v>46</v>
      </c>
      <c r="B55" s="308" t="s">
        <v>465</v>
      </c>
      <c r="C55" s="441">
        <v>3151</v>
      </c>
      <c r="D55" s="442">
        <v>3495</v>
      </c>
      <c r="E55" s="442">
        <v>3667</v>
      </c>
      <c r="F55" s="442">
        <v>4183</v>
      </c>
    </row>
    <row r="56" spans="1:6" ht="16.5" thickBot="1">
      <c r="A56" s="308">
        <v>47</v>
      </c>
      <c r="B56" s="308" t="s">
        <v>471</v>
      </c>
      <c r="C56" s="441">
        <v>3752</v>
      </c>
      <c r="D56" s="442">
        <v>4202</v>
      </c>
      <c r="E56" s="442">
        <v>4427</v>
      </c>
      <c r="F56" s="442">
        <v>5102</v>
      </c>
    </row>
    <row r="57" spans="1:6" ht="16.5" thickBot="1">
      <c r="A57" s="308">
        <v>48</v>
      </c>
      <c r="B57" s="308" t="s">
        <v>467</v>
      </c>
      <c r="C57" s="441">
        <v>3536</v>
      </c>
      <c r="D57" s="442">
        <v>3892</v>
      </c>
      <c r="E57" s="442">
        <v>4070</v>
      </c>
      <c r="F57" s="442">
        <v>4604</v>
      </c>
    </row>
    <row r="58" spans="1:6" ht="16.5" thickBot="1">
      <c r="A58" s="308">
        <v>49</v>
      </c>
      <c r="B58" s="308" t="s">
        <v>474</v>
      </c>
      <c r="C58" s="441">
        <v>7174</v>
      </c>
      <c r="D58" s="442">
        <v>7702</v>
      </c>
      <c r="E58" s="442">
        <v>7966</v>
      </c>
      <c r="F58" s="442">
        <v>8758</v>
      </c>
    </row>
    <row r="59" spans="1:6" ht="16.5" thickBot="1">
      <c r="A59" s="308">
        <v>50</v>
      </c>
      <c r="B59" s="308" t="s">
        <v>486</v>
      </c>
      <c r="C59" s="441">
        <v>3644</v>
      </c>
      <c r="D59" s="442">
        <v>4058</v>
      </c>
      <c r="E59" s="442">
        <v>4265</v>
      </c>
      <c r="F59" s="442">
        <v>4886</v>
      </c>
    </row>
    <row r="60" spans="1:6" ht="16.5" thickBot="1">
      <c r="A60" s="308">
        <v>51</v>
      </c>
      <c r="B60" s="308" t="s">
        <v>491</v>
      </c>
      <c r="C60" s="441">
        <v>5716</v>
      </c>
      <c r="D60" s="442">
        <v>6236</v>
      </c>
      <c r="E60" s="442">
        <v>6496</v>
      </c>
      <c r="F60" s="442">
        <v>7276</v>
      </c>
    </row>
    <row r="61" spans="1:6" ht="16.5" thickBot="1">
      <c r="A61" s="308">
        <v>52</v>
      </c>
      <c r="B61" s="308" t="s">
        <v>514</v>
      </c>
      <c r="C61" s="441">
        <v>3984</v>
      </c>
      <c r="D61" s="442">
        <v>4400</v>
      </c>
      <c r="E61" s="442">
        <v>4608</v>
      </c>
      <c r="F61" s="442">
        <v>5232</v>
      </c>
    </row>
    <row r="62" spans="1:6" ht="16.5" thickBot="1">
      <c r="A62" s="308">
        <v>53</v>
      </c>
      <c r="B62" s="308" t="s">
        <v>518</v>
      </c>
      <c r="C62" s="441">
        <v>3915</v>
      </c>
      <c r="D62" s="442">
        <v>4377</v>
      </c>
      <c r="E62" s="442">
        <v>4608</v>
      </c>
      <c r="F62" s="442">
        <v>5301</v>
      </c>
    </row>
    <row r="63" spans="1:6" ht="16.5" thickBot="1">
      <c r="A63" s="308">
        <v>54</v>
      </c>
      <c r="B63" s="308" t="s">
        <v>521</v>
      </c>
      <c r="C63" s="441">
        <v>5288</v>
      </c>
      <c r="D63" s="442">
        <v>5772</v>
      </c>
      <c r="E63" s="442">
        <v>6014</v>
      </c>
      <c r="F63" s="442">
        <v>6740</v>
      </c>
    </row>
    <row r="64" spans="1:6" ht="16.5" thickBot="1">
      <c r="A64" s="308">
        <v>55</v>
      </c>
      <c r="B64" s="308" t="s">
        <v>531</v>
      </c>
      <c r="C64" s="439">
        <v>5304</v>
      </c>
      <c r="D64" s="440">
        <v>5772</v>
      </c>
      <c r="E64" s="440">
        <v>6006</v>
      </c>
      <c r="F64" s="440">
        <v>6708</v>
      </c>
    </row>
    <row r="65" spans="1:6" ht="16.5" thickBot="1">
      <c r="A65" s="308">
        <v>56</v>
      </c>
      <c r="B65" s="308" t="s">
        <v>536</v>
      </c>
      <c r="C65" s="441">
        <v>4368</v>
      </c>
      <c r="D65" s="442">
        <v>4734</v>
      </c>
      <c r="E65" s="442">
        <v>4917</v>
      </c>
      <c r="F65" s="442">
        <v>5466</v>
      </c>
    </row>
    <row r="66" spans="1:6" ht="16.5" thickBot="1">
      <c r="A66" s="308">
        <v>57</v>
      </c>
      <c r="B66" s="308" t="s">
        <v>540</v>
      </c>
      <c r="C66" s="441">
        <v>3379</v>
      </c>
      <c r="D66" s="442">
        <v>3753</v>
      </c>
      <c r="E66" s="442">
        <v>3940</v>
      </c>
      <c r="F66" s="442">
        <v>4501</v>
      </c>
    </row>
    <row r="67" spans="1:6" ht="16.5" thickBot="1">
      <c r="A67" s="308">
        <v>58</v>
      </c>
      <c r="B67" s="308" t="s">
        <v>542</v>
      </c>
      <c r="C67" s="441">
        <v>3861</v>
      </c>
      <c r="D67" s="442">
        <v>4231</v>
      </c>
      <c r="E67" s="442">
        <v>4416</v>
      </c>
      <c r="F67" s="442">
        <v>4971</v>
      </c>
    </row>
    <row r="68" spans="1:6" ht="16.5" thickBot="1">
      <c r="A68" s="308">
        <v>59</v>
      </c>
      <c r="B68" s="308" t="s">
        <v>545</v>
      </c>
      <c r="C68" s="441">
        <v>4835</v>
      </c>
      <c r="D68" s="442">
        <v>5313</v>
      </c>
      <c r="E68" s="442">
        <v>5552</v>
      </c>
      <c r="F68" s="442">
        <v>6269</v>
      </c>
    </row>
    <row r="69" spans="1:6" ht="16.5" thickBot="1">
      <c r="A69" s="308">
        <v>60</v>
      </c>
      <c r="B69" s="308" t="s">
        <v>567</v>
      </c>
      <c r="C69" s="441">
        <v>3587</v>
      </c>
      <c r="D69" s="442">
        <v>4039</v>
      </c>
      <c r="E69" s="442">
        <v>4265</v>
      </c>
      <c r="F69" s="442">
        <v>4943</v>
      </c>
    </row>
    <row r="70" spans="1:6" ht="16.5" thickBot="1">
      <c r="A70" s="308">
        <v>61</v>
      </c>
      <c r="B70" s="308" t="s">
        <v>570</v>
      </c>
      <c r="C70" s="441">
        <v>2669</v>
      </c>
      <c r="D70" s="442">
        <v>3027</v>
      </c>
      <c r="E70" s="442">
        <v>3206</v>
      </c>
      <c r="F70" s="442">
        <v>3743</v>
      </c>
    </row>
    <row r="71" spans="1:6" ht="16.5" thickBot="1">
      <c r="A71" s="308">
        <v>62</v>
      </c>
      <c r="B71" s="308" t="s">
        <v>574</v>
      </c>
      <c r="C71" s="441">
        <v>3768</v>
      </c>
      <c r="D71" s="442">
        <v>4168</v>
      </c>
      <c r="E71" s="442">
        <v>4368</v>
      </c>
      <c r="F71" s="442">
        <v>4968</v>
      </c>
    </row>
    <row r="72" spans="1:6" ht="16.5" thickBot="1">
      <c r="A72" s="308">
        <v>63</v>
      </c>
      <c r="B72" s="308" t="s">
        <v>576</v>
      </c>
      <c r="C72" s="441">
        <v>4234</v>
      </c>
      <c r="D72" s="442">
        <v>4656</v>
      </c>
      <c r="E72" s="442">
        <v>4867</v>
      </c>
      <c r="F72" s="442">
        <v>5500</v>
      </c>
    </row>
    <row r="73" spans="1:6" ht="16.5" thickBot="1">
      <c r="A73" s="308">
        <v>64</v>
      </c>
      <c r="B73" s="308" t="s">
        <v>578</v>
      </c>
      <c r="C73" s="441">
        <v>3703</v>
      </c>
      <c r="D73" s="442">
        <v>4067</v>
      </c>
      <c r="E73" s="442">
        <v>4249</v>
      </c>
      <c r="F73" s="442">
        <v>4795</v>
      </c>
    </row>
    <row r="74" spans="1:6" ht="16.5" thickBot="1">
      <c r="A74" s="308">
        <v>65</v>
      </c>
      <c r="B74" s="308" t="s">
        <v>582</v>
      </c>
      <c r="C74" s="441">
        <v>4942</v>
      </c>
      <c r="D74" s="442">
        <v>5440</v>
      </c>
      <c r="E74" s="442">
        <v>5689</v>
      </c>
      <c r="F74" s="442">
        <v>6436</v>
      </c>
    </row>
    <row r="75" spans="1:6" ht="16.5" thickBot="1">
      <c r="A75" s="308">
        <v>66</v>
      </c>
      <c r="B75" s="308" t="s">
        <v>598</v>
      </c>
      <c r="C75" s="441">
        <v>4805</v>
      </c>
      <c r="D75" s="442">
        <v>5293</v>
      </c>
      <c r="E75" s="442">
        <v>5537</v>
      </c>
      <c r="F75" s="442">
        <v>6269</v>
      </c>
    </row>
    <row r="76" spans="1:6" ht="16.5" thickBot="1">
      <c r="A76" s="308">
        <v>67</v>
      </c>
      <c r="B76" s="308" t="s">
        <v>607</v>
      </c>
      <c r="C76" s="441">
        <v>3532</v>
      </c>
      <c r="D76" s="442">
        <v>3958</v>
      </c>
      <c r="E76" s="442">
        <v>4171</v>
      </c>
      <c r="F76" s="442">
        <v>4810</v>
      </c>
    </row>
    <row r="77" spans="1:6" ht="16.5" thickBot="1">
      <c r="A77" s="308">
        <v>68</v>
      </c>
      <c r="B77" s="308" t="s">
        <v>616</v>
      </c>
      <c r="C77" s="441">
        <v>3626</v>
      </c>
      <c r="D77" s="442">
        <v>3992</v>
      </c>
      <c r="E77" s="442">
        <v>4175</v>
      </c>
      <c r="F77" s="442">
        <v>4724</v>
      </c>
    </row>
    <row r="78" spans="1:6" ht="16.5" thickBot="1">
      <c r="A78" s="308">
        <v>69</v>
      </c>
      <c r="B78" s="308" t="s">
        <v>622</v>
      </c>
      <c r="C78" s="441">
        <v>3916</v>
      </c>
      <c r="D78" s="442">
        <v>4344</v>
      </c>
      <c r="E78" s="442">
        <v>4558</v>
      </c>
      <c r="F78" s="442">
        <v>5200</v>
      </c>
    </row>
    <row r="79" spans="1:6" ht="16.5" thickBot="1">
      <c r="A79" s="308">
        <v>70</v>
      </c>
      <c r="B79" s="308" t="s">
        <v>626</v>
      </c>
      <c r="C79" s="441">
        <v>5432</v>
      </c>
      <c r="D79" s="442">
        <v>5910</v>
      </c>
      <c r="E79" s="442">
        <v>6149</v>
      </c>
      <c r="F79" s="442">
        <v>6866</v>
      </c>
    </row>
    <row r="80" spans="1:6" ht="16.5" thickBot="1">
      <c r="A80" s="308">
        <v>71</v>
      </c>
      <c r="B80" s="308" t="s">
        <v>634</v>
      </c>
      <c r="C80" s="441">
        <v>3667</v>
      </c>
      <c r="D80" s="442">
        <v>4069</v>
      </c>
      <c r="E80" s="442">
        <v>4270</v>
      </c>
      <c r="F80" s="442">
        <v>4873</v>
      </c>
    </row>
    <row r="81" spans="1:6" ht="16.5" thickBot="1">
      <c r="A81" s="308">
        <v>72</v>
      </c>
      <c r="B81" s="308" t="s">
        <v>862</v>
      </c>
      <c r="C81" s="441">
        <v>4914</v>
      </c>
      <c r="D81" s="442">
        <v>5372</v>
      </c>
      <c r="E81" s="442">
        <v>5601</v>
      </c>
      <c r="F81" s="442">
        <v>6288</v>
      </c>
    </row>
    <row r="82" spans="1:6" ht="16.5" thickBot="1">
      <c r="A82" s="308">
        <v>73</v>
      </c>
      <c r="B82" s="308" t="s">
        <v>658</v>
      </c>
      <c r="C82" s="441">
        <v>4204</v>
      </c>
      <c r="D82" s="442">
        <v>4618</v>
      </c>
      <c r="E82" s="442">
        <v>4825</v>
      </c>
      <c r="F82" s="442">
        <v>5446</v>
      </c>
    </row>
    <row r="83" spans="1:6" ht="16.5" thickBot="1">
      <c r="A83" s="308">
        <v>74</v>
      </c>
      <c r="B83" s="308" t="s">
        <v>687</v>
      </c>
      <c r="C83" s="441">
        <v>4613</v>
      </c>
      <c r="D83" s="442">
        <v>5033</v>
      </c>
      <c r="E83" s="442">
        <v>5243</v>
      </c>
      <c r="F83" s="442">
        <v>5873</v>
      </c>
    </row>
    <row r="84" spans="1:6" ht="16.5" thickBot="1">
      <c r="A84" s="308">
        <v>75</v>
      </c>
      <c r="B84" s="308" t="s">
        <v>307</v>
      </c>
      <c r="C84" s="441">
        <v>6529</v>
      </c>
      <c r="D84" s="442">
        <v>7017</v>
      </c>
      <c r="E84" s="442">
        <v>7261</v>
      </c>
      <c r="F84" s="442">
        <v>7993</v>
      </c>
    </row>
    <row r="85" spans="1:6" ht="16.5" thickBot="1">
      <c r="A85" s="308">
        <v>76</v>
      </c>
      <c r="B85" s="308" t="s">
        <v>752</v>
      </c>
      <c r="C85" s="441">
        <v>4244</v>
      </c>
      <c r="D85" s="442">
        <v>4690</v>
      </c>
      <c r="E85" s="442">
        <v>4913</v>
      </c>
      <c r="F85" s="442">
        <v>5582</v>
      </c>
    </row>
    <row r="86" spans="1:6" ht="16.5" thickBot="1">
      <c r="A86" s="308">
        <v>77</v>
      </c>
      <c r="B86" s="308" t="s">
        <v>863</v>
      </c>
      <c r="C86" s="441">
        <v>3644</v>
      </c>
      <c r="D86" s="442">
        <v>4058</v>
      </c>
      <c r="E86" s="442">
        <v>4265</v>
      </c>
      <c r="F86" s="442">
        <v>4886</v>
      </c>
    </row>
    <row r="87" spans="1:6" ht="16.5" thickBot="1">
      <c r="A87" s="308">
        <v>78</v>
      </c>
      <c r="B87" s="308" t="s">
        <v>864</v>
      </c>
      <c r="C87" s="441">
        <v>3752</v>
      </c>
      <c r="D87" s="442">
        <v>4202</v>
      </c>
      <c r="E87" s="442">
        <v>4427</v>
      </c>
      <c r="F87" s="442">
        <v>5102</v>
      </c>
    </row>
    <row r="88" spans="1:6" ht="16.5" thickBot="1">
      <c r="A88" s="308">
        <v>79</v>
      </c>
      <c r="B88" s="308" t="s">
        <v>304</v>
      </c>
      <c r="C88" s="441">
        <v>5477</v>
      </c>
      <c r="D88" s="442">
        <v>5875</v>
      </c>
      <c r="E88" s="442">
        <v>6074</v>
      </c>
      <c r="F88" s="442">
        <v>6671</v>
      </c>
    </row>
    <row r="89" spans="1:6" ht="16.5" thickBot="1">
      <c r="A89" s="308">
        <v>83</v>
      </c>
      <c r="B89" s="308" t="s">
        <v>1034</v>
      </c>
      <c r="C89" s="441">
        <v>2623</v>
      </c>
      <c r="D89" s="442">
        <v>2947</v>
      </c>
      <c r="E89" s="442">
        <v>3109</v>
      </c>
      <c r="F89" s="442">
        <v>3595</v>
      </c>
    </row>
    <row r="90" spans="1:6" ht="16.5" thickBot="1">
      <c r="A90" s="308">
        <v>86</v>
      </c>
      <c r="B90" s="308" t="s">
        <v>1035</v>
      </c>
      <c r="C90" s="441">
        <v>2354</v>
      </c>
      <c r="D90" s="442">
        <v>2626</v>
      </c>
      <c r="E90" s="442">
        <v>2762</v>
      </c>
      <c r="F90" s="442">
        <v>3170</v>
      </c>
    </row>
    <row r="91" spans="1:6" ht="16.5" thickBot="1">
      <c r="A91" s="308">
        <v>87</v>
      </c>
      <c r="B91" s="308" t="s">
        <v>455</v>
      </c>
      <c r="C91" s="441">
        <v>1670</v>
      </c>
      <c r="D91" s="442">
        <v>2018</v>
      </c>
      <c r="E91" s="442">
        <v>2192</v>
      </c>
      <c r="F91" s="442">
        <v>2714</v>
      </c>
    </row>
    <row r="92" spans="1:6" ht="16.5" thickBot="1">
      <c r="A92" s="308">
        <v>89</v>
      </c>
      <c r="B92" s="308" t="s">
        <v>865</v>
      </c>
      <c r="C92" s="441">
        <v>6752</v>
      </c>
      <c r="D92" s="442">
        <v>7370</v>
      </c>
      <c r="E92" s="442">
        <v>7679</v>
      </c>
      <c r="F92" s="442">
        <v>8606</v>
      </c>
    </row>
    <row r="93" spans="1:6" ht="16.5" thickBot="1">
      <c r="A93" s="308">
        <v>91</v>
      </c>
      <c r="B93" s="308" t="s">
        <v>866</v>
      </c>
      <c r="C93" s="441">
        <v>6172</v>
      </c>
      <c r="D93" s="442">
        <v>6722</v>
      </c>
      <c r="E93" s="442">
        <v>6997</v>
      </c>
      <c r="F93" s="442">
        <v>7822</v>
      </c>
    </row>
    <row r="94" spans="1:6" ht="16.5" thickBot="1">
      <c r="A94" s="308">
        <v>92</v>
      </c>
      <c r="B94" s="308" t="s">
        <v>867</v>
      </c>
      <c r="C94" s="441">
        <v>8278</v>
      </c>
      <c r="D94" s="442">
        <v>8952</v>
      </c>
      <c r="E94" s="442">
        <v>9289</v>
      </c>
      <c r="F94" s="442">
        <v>10300</v>
      </c>
    </row>
    <row r="95" spans="1:6" ht="16.5" thickBot="1">
      <c r="A95" s="445">
        <v>93</v>
      </c>
      <c r="B95" s="308" t="s">
        <v>868</v>
      </c>
      <c r="C95" s="441">
        <v>7510</v>
      </c>
      <c r="D95" s="442">
        <v>8098</v>
      </c>
      <c r="E95" s="442">
        <v>8392</v>
      </c>
      <c r="F95" s="442">
        <v>9274</v>
      </c>
    </row>
    <row r="96" spans="1:6" ht="16.5" thickBot="1">
      <c r="A96" s="445">
        <v>94</v>
      </c>
      <c r="B96" s="308" t="s">
        <v>1036</v>
      </c>
      <c r="C96" s="441">
        <v>2094</v>
      </c>
      <c r="D96" s="442">
        <v>2388</v>
      </c>
      <c r="E96" s="442">
        <v>2535</v>
      </c>
      <c r="F96" s="442">
        <v>2976</v>
      </c>
    </row>
    <row r="97" spans="1:6" ht="16.5" thickBot="1">
      <c r="A97" s="445">
        <v>95</v>
      </c>
      <c r="B97" s="308" t="s">
        <v>1037</v>
      </c>
      <c r="C97" s="441">
        <v>2251</v>
      </c>
      <c r="D97" s="442">
        <v>2503</v>
      </c>
      <c r="E97" s="442">
        <v>2629</v>
      </c>
      <c r="F97" s="442">
        <v>3007</v>
      </c>
    </row>
    <row r="98" spans="1:6" ht="16.5" thickBot="1">
      <c r="A98" s="445">
        <v>96</v>
      </c>
      <c r="B98" s="308" t="s">
        <v>869</v>
      </c>
      <c r="C98" s="441">
        <v>1670</v>
      </c>
      <c r="D98" s="442">
        <v>2018</v>
      </c>
      <c r="E98" s="442">
        <v>2192</v>
      </c>
      <c r="F98" s="442">
        <v>2714</v>
      </c>
    </row>
    <row r="99" spans="1:6" ht="16.5" thickBot="1">
      <c r="A99" s="445">
        <v>97</v>
      </c>
      <c r="B99" s="445" t="s">
        <v>760</v>
      </c>
      <c r="C99" s="441">
        <v>2516</v>
      </c>
      <c r="D99" s="442">
        <v>2882</v>
      </c>
      <c r="E99" s="442">
        <v>3065</v>
      </c>
      <c r="F99" s="442">
        <v>3614</v>
      </c>
    </row>
  </sheetData>
  <mergeCells count="4">
    <mergeCell ref="A4:A5"/>
    <mergeCell ref="C4:F4"/>
    <mergeCell ref="A19:A21"/>
    <mergeCell ref="A31:A33"/>
  </mergeCell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F99"/>
  <sheetViews>
    <sheetView topLeftCell="A7" workbookViewId="0">
      <selection activeCell="J12" sqref="J12"/>
    </sheetView>
  </sheetViews>
  <sheetFormatPr defaultRowHeight="15"/>
  <cols>
    <col min="2" max="2" width="45.140625" customWidth="1"/>
  </cols>
  <sheetData>
    <row r="1" spans="1:6">
      <c r="A1" s="268" t="s">
        <v>1028</v>
      </c>
      <c r="B1" s="269"/>
      <c r="C1" s="269"/>
      <c r="D1" s="269"/>
      <c r="E1" s="269"/>
      <c r="F1" s="269"/>
    </row>
    <row r="2" spans="1:6">
      <c r="A2" s="272"/>
      <c r="B2" s="272"/>
      <c r="C2" s="272"/>
      <c r="D2" s="272"/>
      <c r="E2" s="272"/>
      <c r="F2" s="272"/>
    </row>
    <row r="3" spans="1:6">
      <c r="A3" s="272"/>
      <c r="B3" s="272">
        <f>VLOOKUP('1.Общие данные по зданию'!C7,Климатология2025!B6:F99,IF('1.Общие данные по зданию'!C17=18,2,IF('1.Общие данные по зданию'!C17=20,3,IF('1.Общие данные по зданию'!C17=21,4,5))),0)</f>
        <v>1851</v>
      </c>
      <c r="C3" s="272"/>
      <c r="D3" s="272"/>
      <c r="E3" s="272"/>
      <c r="F3" s="272"/>
    </row>
    <row r="4" spans="1:6" ht="15.75">
      <c r="A4" s="542"/>
      <c r="B4" s="310"/>
      <c r="C4" s="543" t="s">
        <v>848</v>
      </c>
      <c r="D4" s="543"/>
      <c r="E4" s="543"/>
      <c r="F4" s="543"/>
    </row>
    <row r="5" spans="1:6" ht="18.75">
      <c r="A5" s="542"/>
      <c r="B5" s="310" t="s">
        <v>755</v>
      </c>
      <c r="C5" s="307" t="s">
        <v>849</v>
      </c>
      <c r="D5" s="307" t="s">
        <v>850</v>
      </c>
      <c r="E5" s="307" t="s">
        <v>851</v>
      </c>
      <c r="F5" s="307" t="s">
        <v>852</v>
      </c>
    </row>
    <row r="6" spans="1:6" ht="15.75">
      <c r="A6" s="308">
        <v>1</v>
      </c>
      <c r="B6" s="446" t="s">
        <v>853</v>
      </c>
      <c r="C6" s="168">
        <v>2229</v>
      </c>
      <c r="D6" s="168">
        <v>2593</v>
      </c>
      <c r="E6" s="168">
        <v>2775</v>
      </c>
      <c r="F6" s="168">
        <v>3321</v>
      </c>
    </row>
    <row r="7" spans="1:6" ht="15.75">
      <c r="A7" s="308">
        <v>2</v>
      </c>
      <c r="B7" s="446" t="s">
        <v>261</v>
      </c>
      <c r="C7" s="168">
        <v>3888</v>
      </c>
      <c r="D7" s="168">
        <v>4288</v>
      </c>
      <c r="E7" s="168">
        <v>4488</v>
      </c>
      <c r="F7" s="168">
        <v>5088</v>
      </c>
    </row>
    <row r="8" spans="1:6" ht="15.75">
      <c r="A8" s="308">
        <v>3</v>
      </c>
      <c r="B8" s="446" t="s">
        <v>271</v>
      </c>
      <c r="C8" s="168">
        <v>6046</v>
      </c>
      <c r="D8" s="168">
        <v>6524</v>
      </c>
      <c r="E8" s="168">
        <v>6763</v>
      </c>
      <c r="F8" s="168">
        <v>7480</v>
      </c>
    </row>
    <row r="9" spans="1:6" ht="15.75">
      <c r="A9" s="308">
        <v>4</v>
      </c>
      <c r="B9" s="446" t="s">
        <v>223</v>
      </c>
      <c r="C9" s="168">
        <v>4825</v>
      </c>
      <c r="D9" s="168">
        <v>5303</v>
      </c>
      <c r="E9" s="168">
        <v>5542</v>
      </c>
      <c r="F9" s="168">
        <v>6259</v>
      </c>
    </row>
    <row r="10" spans="1:6" ht="15.75">
      <c r="A10" s="308">
        <v>5</v>
      </c>
      <c r="B10" s="446" t="s">
        <v>300</v>
      </c>
      <c r="C10" s="168">
        <v>1992</v>
      </c>
      <c r="D10" s="168">
        <v>2324</v>
      </c>
      <c r="E10" s="168">
        <v>2490</v>
      </c>
      <c r="F10" s="168">
        <v>2988</v>
      </c>
    </row>
    <row r="11" spans="1:6" ht="15.75">
      <c r="A11" s="308">
        <v>6</v>
      </c>
      <c r="B11" s="446" t="s">
        <v>326</v>
      </c>
      <c r="C11" s="168">
        <v>2424</v>
      </c>
      <c r="D11" s="168">
        <v>2770</v>
      </c>
      <c r="E11" s="168">
        <v>2943</v>
      </c>
      <c r="F11" s="168">
        <v>3462</v>
      </c>
    </row>
    <row r="12" spans="1:6" ht="15.75">
      <c r="A12" s="308">
        <v>7</v>
      </c>
      <c r="B12" s="446" t="s">
        <v>757</v>
      </c>
      <c r="C12" s="168">
        <v>2542</v>
      </c>
      <c r="D12" s="168">
        <v>2918</v>
      </c>
      <c r="E12" s="168">
        <v>3106</v>
      </c>
      <c r="F12" s="168">
        <v>3670</v>
      </c>
    </row>
    <row r="13" spans="1:6" ht="15.75">
      <c r="A13" s="308">
        <v>8</v>
      </c>
      <c r="B13" s="446" t="s">
        <v>360</v>
      </c>
      <c r="C13" s="168">
        <v>2731</v>
      </c>
      <c r="D13" s="168">
        <v>3097</v>
      </c>
      <c r="E13" s="168">
        <v>3280</v>
      </c>
      <c r="F13" s="168">
        <v>3829</v>
      </c>
    </row>
    <row r="14" spans="1:6" ht="15.75">
      <c r="A14" s="308">
        <v>9</v>
      </c>
      <c r="B14" s="446" t="s">
        <v>384</v>
      </c>
      <c r="C14" s="168">
        <v>2569</v>
      </c>
      <c r="D14" s="168">
        <v>2955</v>
      </c>
      <c r="E14" s="168">
        <v>3148</v>
      </c>
      <c r="F14" s="168">
        <v>3727</v>
      </c>
    </row>
    <row r="15" spans="1:6" ht="15.75">
      <c r="A15" s="308">
        <v>10</v>
      </c>
      <c r="B15" s="446" t="s">
        <v>386</v>
      </c>
      <c r="C15" s="168">
        <v>4161</v>
      </c>
      <c r="D15" s="168">
        <v>4627</v>
      </c>
      <c r="E15" s="168">
        <v>4860</v>
      </c>
      <c r="F15" s="168">
        <v>5559</v>
      </c>
    </row>
    <row r="16" spans="1:6" ht="15.75">
      <c r="A16" s="308">
        <v>11</v>
      </c>
      <c r="B16" s="446" t="s">
        <v>407</v>
      </c>
      <c r="C16" s="168">
        <v>5013</v>
      </c>
      <c r="D16" s="168">
        <v>5545</v>
      </c>
      <c r="E16" s="168">
        <v>5811</v>
      </c>
      <c r="F16" s="168">
        <v>6609</v>
      </c>
    </row>
    <row r="17" spans="1:6" ht="15.75">
      <c r="A17" s="308">
        <v>12</v>
      </c>
      <c r="B17" s="446" t="s">
        <v>482</v>
      </c>
      <c r="C17" s="168">
        <v>3637</v>
      </c>
      <c r="D17" s="168">
        <v>4031</v>
      </c>
      <c r="E17" s="168">
        <v>4228</v>
      </c>
      <c r="F17" s="168">
        <v>4819</v>
      </c>
    </row>
    <row r="18" spans="1:6" ht="15.75">
      <c r="A18" s="308">
        <v>13</v>
      </c>
      <c r="B18" s="446" t="s">
        <v>484</v>
      </c>
      <c r="C18" s="168">
        <v>3507</v>
      </c>
      <c r="D18" s="168">
        <v>3901</v>
      </c>
      <c r="E18" s="168">
        <v>4098</v>
      </c>
      <c r="F18" s="168">
        <v>4689</v>
      </c>
    </row>
    <row r="19" spans="1:6" ht="15.75">
      <c r="A19" s="544">
        <v>14</v>
      </c>
      <c r="B19" s="446" t="s">
        <v>854</v>
      </c>
      <c r="C19" s="168">
        <v>9352</v>
      </c>
      <c r="D19" s="168">
        <v>9886</v>
      </c>
      <c r="E19" s="168">
        <v>10153</v>
      </c>
      <c r="F19" s="168">
        <v>10954</v>
      </c>
    </row>
    <row r="20" spans="1:6" ht="15.75">
      <c r="A20" s="544"/>
      <c r="B20" s="446" t="s">
        <v>855</v>
      </c>
      <c r="C20" s="168">
        <v>9527</v>
      </c>
      <c r="D20" s="168">
        <v>10021</v>
      </c>
      <c r="E20" s="168">
        <v>10268</v>
      </c>
      <c r="F20" s="168">
        <v>11009</v>
      </c>
    </row>
    <row r="21" spans="1:6" ht="15.75">
      <c r="A21" s="544"/>
      <c r="B21" s="446" t="s">
        <v>856</v>
      </c>
      <c r="C21" s="168">
        <v>10165</v>
      </c>
      <c r="D21" s="168">
        <v>10745</v>
      </c>
      <c r="E21" s="168">
        <v>11035</v>
      </c>
      <c r="F21" s="168">
        <v>11905</v>
      </c>
    </row>
    <row r="22" spans="1:6" ht="15.75">
      <c r="A22" s="308">
        <v>15</v>
      </c>
      <c r="B22" s="446" t="s">
        <v>857</v>
      </c>
      <c r="C22" s="168">
        <v>2827</v>
      </c>
      <c r="D22" s="168">
        <v>3207</v>
      </c>
      <c r="E22" s="168">
        <v>3397</v>
      </c>
      <c r="F22" s="168">
        <v>3967</v>
      </c>
    </row>
    <row r="23" spans="1:6" ht="15.75">
      <c r="A23" s="308">
        <v>16</v>
      </c>
      <c r="B23" s="446" t="s">
        <v>618</v>
      </c>
      <c r="C23" s="168">
        <v>3634</v>
      </c>
      <c r="D23" s="168">
        <v>4028</v>
      </c>
      <c r="E23" s="168">
        <v>4225</v>
      </c>
      <c r="F23" s="168">
        <v>4816</v>
      </c>
    </row>
    <row r="24" spans="1:6" ht="15.75">
      <c r="A24" s="308">
        <v>17</v>
      </c>
      <c r="B24" s="446" t="s">
        <v>632</v>
      </c>
      <c r="C24" s="168">
        <v>6266</v>
      </c>
      <c r="D24" s="168">
        <v>6748</v>
      </c>
      <c r="E24" s="168">
        <v>6989</v>
      </c>
      <c r="F24" s="168">
        <v>7712</v>
      </c>
    </row>
    <row r="25" spans="1:6" ht="15.75">
      <c r="A25" s="308">
        <v>18</v>
      </c>
      <c r="B25" s="446" t="s">
        <v>759</v>
      </c>
      <c r="C25" s="168">
        <v>4250</v>
      </c>
      <c r="D25" s="168">
        <v>4700</v>
      </c>
      <c r="E25" s="168">
        <v>4925</v>
      </c>
      <c r="F25" s="168">
        <v>5600</v>
      </c>
    </row>
    <row r="26" spans="1:6" ht="15.75">
      <c r="A26" s="308">
        <v>19</v>
      </c>
      <c r="B26" s="446" t="s">
        <v>684</v>
      </c>
      <c r="C26" s="168">
        <v>5035</v>
      </c>
      <c r="D26" s="168">
        <v>5499</v>
      </c>
      <c r="E26" s="168">
        <v>5731</v>
      </c>
      <c r="F26" s="168">
        <v>6427</v>
      </c>
    </row>
    <row r="27" spans="1:6" ht="15.75">
      <c r="A27" s="308">
        <v>20</v>
      </c>
      <c r="B27" s="446"/>
      <c r="C27" s="168"/>
      <c r="D27" s="168"/>
      <c r="E27" s="168"/>
      <c r="F27" s="168"/>
    </row>
    <row r="28" spans="1:6" ht="15.75">
      <c r="A28" s="308">
        <v>21</v>
      </c>
      <c r="B28" s="446" t="s">
        <v>858</v>
      </c>
      <c r="C28" s="168">
        <v>3660</v>
      </c>
      <c r="D28" s="168">
        <v>4062</v>
      </c>
      <c r="E28" s="168">
        <v>4263</v>
      </c>
      <c r="F28" s="168">
        <v>4866</v>
      </c>
    </row>
    <row r="29" spans="1:6" ht="15.75">
      <c r="A29" s="308">
        <v>22</v>
      </c>
      <c r="B29" s="446" t="s">
        <v>214</v>
      </c>
      <c r="C29" s="168">
        <v>4779</v>
      </c>
      <c r="D29" s="168">
        <v>5243</v>
      </c>
      <c r="E29" s="168">
        <v>5475</v>
      </c>
      <c r="F29" s="168">
        <v>6171</v>
      </c>
    </row>
    <row r="30" spans="1:6" ht="15.75">
      <c r="A30" s="308">
        <v>23</v>
      </c>
      <c r="B30" s="446" t="s">
        <v>423</v>
      </c>
      <c r="C30" s="168">
        <v>1515</v>
      </c>
      <c r="D30" s="168">
        <v>1851</v>
      </c>
      <c r="E30" s="168">
        <v>2019</v>
      </c>
      <c r="F30" s="168">
        <v>2523</v>
      </c>
    </row>
    <row r="31" spans="1:6" ht="15.75">
      <c r="A31" s="544">
        <v>24</v>
      </c>
      <c r="B31" s="446" t="s">
        <v>859</v>
      </c>
      <c r="C31" s="168">
        <v>5297</v>
      </c>
      <c r="D31" s="168">
        <v>5795</v>
      </c>
      <c r="E31" s="168">
        <v>6044</v>
      </c>
      <c r="F31" s="168">
        <v>6791</v>
      </c>
    </row>
    <row r="32" spans="1:6" ht="15.75">
      <c r="A32" s="544"/>
      <c r="B32" s="446" t="s">
        <v>860</v>
      </c>
      <c r="C32" s="168">
        <v>8997</v>
      </c>
      <c r="D32" s="168">
        <v>9543</v>
      </c>
      <c r="E32" s="168">
        <v>9816</v>
      </c>
      <c r="F32" s="168">
        <v>10635</v>
      </c>
    </row>
    <row r="33" spans="1:6" ht="15.75">
      <c r="A33" s="544"/>
      <c r="B33" s="446" t="s">
        <v>861</v>
      </c>
      <c r="C33" s="168">
        <v>8890</v>
      </c>
      <c r="D33" s="168">
        <v>9460</v>
      </c>
      <c r="E33" s="168">
        <v>9745</v>
      </c>
      <c r="F33" s="168">
        <v>10600</v>
      </c>
    </row>
    <row r="34" spans="1:6" ht="15.75">
      <c r="A34" s="308">
        <v>25</v>
      </c>
      <c r="B34" s="446" t="s">
        <v>550</v>
      </c>
      <c r="C34" s="168">
        <v>4208</v>
      </c>
      <c r="D34" s="168">
        <v>4614</v>
      </c>
      <c r="E34" s="168">
        <v>4817</v>
      </c>
      <c r="F34" s="168">
        <v>5426</v>
      </c>
    </row>
    <row r="35" spans="1:6" ht="15.75">
      <c r="A35" s="308">
        <v>26</v>
      </c>
      <c r="B35" s="446" t="s">
        <v>610</v>
      </c>
      <c r="C35" s="168">
        <v>2709</v>
      </c>
      <c r="D35" s="168">
        <v>3095</v>
      </c>
      <c r="E35" s="168">
        <v>3288</v>
      </c>
      <c r="F35" s="168">
        <v>3867</v>
      </c>
    </row>
    <row r="36" spans="1:6" ht="15.75">
      <c r="A36" s="308">
        <v>27</v>
      </c>
      <c r="B36" s="446" t="s">
        <v>661</v>
      </c>
      <c r="C36" s="168">
        <v>5410</v>
      </c>
      <c r="D36" s="168">
        <v>5830</v>
      </c>
      <c r="E36" s="168">
        <v>6040</v>
      </c>
      <c r="F36" s="168">
        <v>6670</v>
      </c>
    </row>
    <row r="37" spans="1:6" ht="15.75">
      <c r="A37" s="308">
        <v>28</v>
      </c>
      <c r="B37" s="446" t="s">
        <v>164</v>
      </c>
      <c r="C37" s="168">
        <v>6024</v>
      </c>
      <c r="D37" s="168">
        <v>6488</v>
      </c>
      <c r="E37" s="168">
        <v>6720</v>
      </c>
      <c r="F37" s="168">
        <v>7416</v>
      </c>
    </row>
    <row r="38" spans="1:6" ht="15.75">
      <c r="A38" s="308">
        <v>29</v>
      </c>
      <c r="B38" s="446" t="s">
        <v>250</v>
      </c>
      <c r="C38" s="168">
        <v>4666</v>
      </c>
      <c r="D38" s="168">
        <v>5156</v>
      </c>
      <c r="E38" s="168">
        <v>5401</v>
      </c>
      <c r="F38" s="168">
        <v>6136</v>
      </c>
    </row>
    <row r="39" spans="1:6" ht="15.75">
      <c r="A39" s="308">
        <v>30</v>
      </c>
      <c r="B39" s="446" t="s">
        <v>258</v>
      </c>
      <c r="C39" s="168">
        <v>2520</v>
      </c>
      <c r="D39" s="168">
        <v>2868</v>
      </c>
      <c r="E39" s="168">
        <v>3042</v>
      </c>
      <c r="F39" s="168">
        <v>3564</v>
      </c>
    </row>
    <row r="40" spans="1:6" ht="15.75">
      <c r="A40" s="308">
        <v>31</v>
      </c>
      <c r="B40" s="446" t="s">
        <v>267</v>
      </c>
      <c r="C40" s="168">
        <v>2991</v>
      </c>
      <c r="D40" s="168">
        <v>3371</v>
      </c>
      <c r="E40" s="168">
        <v>3561</v>
      </c>
      <c r="F40" s="168">
        <v>4131</v>
      </c>
    </row>
    <row r="41" spans="1:6" ht="15.75">
      <c r="A41" s="308">
        <v>32</v>
      </c>
      <c r="B41" s="446" t="s">
        <v>269</v>
      </c>
      <c r="C41" s="168">
        <v>3142</v>
      </c>
      <c r="D41" s="168">
        <v>3526</v>
      </c>
      <c r="E41" s="168">
        <v>3718</v>
      </c>
      <c r="F41" s="168">
        <v>4294</v>
      </c>
    </row>
    <row r="42" spans="1:6" ht="15.75">
      <c r="A42" s="308">
        <v>33</v>
      </c>
      <c r="B42" s="446" t="s">
        <v>282</v>
      </c>
      <c r="C42" s="168">
        <v>3674</v>
      </c>
      <c r="D42" s="168">
        <v>4114</v>
      </c>
      <c r="E42" s="168">
        <v>4334</v>
      </c>
      <c r="F42" s="168">
        <v>4994</v>
      </c>
    </row>
    <row r="43" spans="1:6" ht="15.75">
      <c r="A43" s="308">
        <v>34</v>
      </c>
      <c r="B43" s="446" t="s">
        <v>285</v>
      </c>
      <c r="C43" s="168">
        <v>2884</v>
      </c>
      <c r="D43" s="168">
        <v>3244</v>
      </c>
      <c r="E43" s="168">
        <v>3424</v>
      </c>
      <c r="F43" s="168">
        <v>3964</v>
      </c>
    </row>
    <row r="44" spans="1:6" ht="15.75">
      <c r="A44" s="308">
        <v>35</v>
      </c>
      <c r="B44" s="446" t="s">
        <v>292</v>
      </c>
      <c r="C44" s="168">
        <v>4033</v>
      </c>
      <c r="D44" s="168">
        <v>4515</v>
      </c>
      <c r="E44" s="168">
        <v>4756</v>
      </c>
      <c r="F44" s="168">
        <v>5479</v>
      </c>
    </row>
    <row r="45" spans="1:6" ht="15.75">
      <c r="A45" s="308">
        <v>36</v>
      </c>
      <c r="B45" s="446" t="s">
        <v>298</v>
      </c>
      <c r="C45" s="168">
        <v>2986</v>
      </c>
      <c r="D45" s="168">
        <v>3358</v>
      </c>
      <c r="E45" s="168">
        <v>3544</v>
      </c>
      <c r="F45" s="168">
        <v>4102</v>
      </c>
    </row>
    <row r="46" spans="1:6" ht="15.75">
      <c r="A46" s="308">
        <v>37</v>
      </c>
      <c r="B46" s="446" t="s">
        <v>323</v>
      </c>
      <c r="C46" s="168">
        <v>3739</v>
      </c>
      <c r="D46" s="168">
        <v>4189</v>
      </c>
      <c r="E46" s="168">
        <v>4414</v>
      </c>
      <c r="F46" s="168">
        <v>5089</v>
      </c>
    </row>
    <row r="47" spans="1:6" ht="15.75">
      <c r="A47" s="308">
        <v>38</v>
      </c>
      <c r="B47" s="446" t="s">
        <v>329</v>
      </c>
      <c r="C47" s="168">
        <v>5562</v>
      </c>
      <c r="D47" s="168">
        <v>6038</v>
      </c>
      <c r="E47" s="168">
        <v>6276</v>
      </c>
      <c r="F47" s="168">
        <v>6990</v>
      </c>
    </row>
    <row r="48" spans="1:6" ht="15.75">
      <c r="A48" s="308">
        <v>39</v>
      </c>
      <c r="B48" s="446" t="s">
        <v>358</v>
      </c>
      <c r="C48" s="168">
        <v>2679</v>
      </c>
      <c r="D48" s="168">
        <v>3063</v>
      </c>
      <c r="E48" s="168">
        <v>3255</v>
      </c>
      <c r="F48" s="168">
        <v>3831</v>
      </c>
    </row>
    <row r="49" spans="1:6" ht="15.75">
      <c r="A49" s="308">
        <v>40</v>
      </c>
      <c r="B49" s="446" t="s">
        <v>362</v>
      </c>
      <c r="C49" s="168">
        <v>3517</v>
      </c>
      <c r="D49" s="168">
        <v>3965</v>
      </c>
      <c r="E49" s="168">
        <v>4189</v>
      </c>
      <c r="F49" s="168">
        <v>4861</v>
      </c>
    </row>
    <row r="50" spans="1:6" ht="15.75">
      <c r="A50" s="308">
        <v>41</v>
      </c>
      <c r="B50" s="446" t="s">
        <v>364</v>
      </c>
      <c r="C50" s="168">
        <v>4813</v>
      </c>
      <c r="D50" s="168">
        <v>5343</v>
      </c>
      <c r="E50" s="168">
        <v>5608</v>
      </c>
      <c r="F50" s="168">
        <v>6403</v>
      </c>
    </row>
    <row r="51" spans="1:6" ht="15.75">
      <c r="A51" s="308">
        <v>42</v>
      </c>
      <c r="B51" s="446" t="s">
        <v>394</v>
      </c>
      <c r="C51" s="168">
        <v>5049</v>
      </c>
      <c r="D51" s="168">
        <v>5527</v>
      </c>
      <c r="E51" s="168">
        <v>5766</v>
      </c>
      <c r="F51" s="168">
        <v>6483</v>
      </c>
    </row>
    <row r="52" spans="1:6" ht="15.75">
      <c r="A52" s="308">
        <v>43</v>
      </c>
      <c r="B52" s="446" t="s">
        <v>403</v>
      </c>
      <c r="C52" s="168">
        <v>4300</v>
      </c>
      <c r="D52" s="168">
        <v>4750</v>
      </c>
      <c r="E52" s="168">
        <v>4975</v>
      </c>
      <c r="F52" s="168">
        <v>5650</v>
      </c>
    </row>
    <row r="53" spans="1:6" ht="15.75">
      <c r="A53" s="308">
        <v>44</v>
      </c>
      <c r="B53" s="446" t="s">
        <v>419</v>
      </c>
      <c r="C53" s="168">
        <v>3926</v>
      </c>
      <c r="D53" s="168">
        <v>4396</v>
      </c>
      <c r="E53" s="168">
        <v>4631</v>
      </c>
      <c r="F53" s="168">
        <v>5336</v>
      </c>
    </row>
    <row r="54" spans="1:6" ht="15.75">
      <c r="A54" s="308">
        <v>45</v>
      </c>
      <c r="B54" s="446" t="s">
        <v>463</v>
      </c>
      <c r="C54" s="168">
        <v>4323</v>
      </c>
      <c r="D54" s="168">
        <v>4743</v>
      </c>
      <c r="E54" s="168">
        <v>4953</v>
      </c>
      <c r="F54" s="168">
        <v>5583</v>
      </c>
    </row>
    <row r="55" spans="1:6" ht="15.75">
      <c r="A55" s="308">
        <v>46</v>
      </c>
      <c r="B55" s="446" t="s">
        <v>465</v>
      </c>
      <c r="C55" s="168">
        <v>3015</v>
      </c>
      <c r="D55" s="168">
        <v>3381</v>
      </c>
      <c r="E55" s="168">
        <v>3564</v>
      </c>
      <c r="F55" s="168">
        <v>4113</v>
      </c>
    </row>
    <row r="56" spans="1:6" ht="15.75">
      <c r="A56" s="308">
        <v>47</v>
      </c>
      <c r="B56" s="446" t="s">
        <v>471</v>
      </c>
      <c r="C56" s="168">
        <v>3630</v>
      </c>
      <c r="D56" s="168">
        <v>4094</v>
      </c>
      <c r="E56" s="168">
        <v>4326</v>
      </c>
      <c r="F56" s="168">
        <v>5022</v>
      </c>
    </row>
    <row r="57" spans="1:6" ht="15.75">
      <c r="A57" s="308">
        <v>48</v>
      </c>
      <c r="B57" s="446" t="s">
        <v>467</v>
      </c>
      <c r="C57" s="168">
        <v>2967</v>
      </c>
      <c r="D57" s="168">
        <v>3299</v>
      </c>
      <c r="E57" s="168">
        <v>3465</v>
      </c>
      <c r="F57" s="168">
        <v>3963</v>
      </c>
    </row>
    <row r="58" spans="1:6" ht="15.75">
      <c r="A58" s="308">
        <v>49</v>
      </c>
      <c r="B58" s="446" t="s">
        <v>474</v>
      </c>
      <c r="C58" s="168">
        <v>6632</v>
      </c>
      <c r="D58" s="168">
        <v>7184</v>
      </c>
      <c r="E58" s="168">
        <v>7460</v>
      </c>
      <c r="F58" s="168">
        <v>8288</v>
      </c>
    </row>
    <row r="59" spans="1:6" ht="15.75">
      <c r="A59" s="308">
        <v>50</v>
      </c>
      <c r="B59" s="446" t="s">
        <v>486</v>
      </c>
      <c r="C59" s="168">
        <v>3534</v>
      </c>
      <c r="D59" s="168">
        <v>3992</v>
      </c>
      <c r="E59" s="168">
        <v>4221</v>
      </c>
      <c r="F59" s="168">
        <v>4908</v>
      </c>
    </row>
    <row r="60" spans="1:6" ht="15.75">
      <c r="A60" s="308">
        <v>51</v>
      </c>
      <c r="B60" s="446" t="s">
        <v>491</v>
      </c>
      <c r="C60" s="168">
        <v>5313</v>
      </c>
      <c r="D60" s="168">
        <v>5815</v>
      </c>
      <c r="E60" s="168">
        <v>6066</v>
      </c>
      <c r="F60" s="168">
        <v>6819</v>
      </c>
    </row>
    <row r="61" spans="1:6" ht="15.75">
      <c r="A61" s="308">
        <v>52</v>
      </c>
      <c r="B61" s="446" t="s">
        <v>514</v>
      </c>
      <c r="C61" s="168">
        <v>3590</v>
      </c>
      <c r="D61" s="168">
        <v>4024</v>
      </c>
      <c r="E61" s="168">
        <v>4241</v>
      </c>
      <c r="F61" s="168">
        <v>4892</v>
      </c>
    </row>
    <row r="62" spans="1:6" ht="15.75">
      <c r="A62" s="308">
        <v>53</v>
      </c>
      <c r="B62" s="446" t="s">
        <v>518</v>
      </c>
      <c r="C62" s="168">
        <v>3685</v>
      </c>
      <c r="D62" s="168">
        <v>4149</v>
      </c>
      <c r="E62" s="168">
        <v>4381</v>
      </c>
      <c r="F62" s="168">
        <v>5077</v>
      </c>
    </row>
    <row r="63" spans="1:6" ht="15.75">
      <c r="A63" s="308">
        <v>54</v>
      </c>
      <c r="B63" s="446" t="s">
        <v>521</v>
      </c>
      <c r="C63" s="168">
        <v>4934</v>
      </c>
      <c r="D63" s="168">
        <v>5402</v>
      </c>
      <c r="E63" s="168">
        <v>5636</v>
      </c>
      <c r="F63" s="168">
        <v>6338</v>
      </c>
    </row>
    <row r="64" spans="1:6" ht="15.75">
      <c r="A64" s="308">
        <v>55</v>
      </c>
      <c r="B64" s="446" t="s">
        <v>531</v>
      </c>
      <c r="C64" s="168">
        <v>4707</v>
      </c>
      <c r="D64" s="168">
        <v>5157</v>
      </c>
      <c r="E64" s="168">
        <v>5382</v>
      </c>
      <c r="F64" s="168">
        <v>6057</v>
      </c>
    </row>
    <row r="65" spans="1:6" ht="15.75">
      <c r="A65" s="308">
        <v>56</v>
      </c>
      <c r="B65" s="446" t="s">
        <v>536</v>
      </c>
      <c r="C65" s="168">
        <v>3672</v>
      </c>
      <c r="D65" s="168">
        <v>4034</v>
      </c>
      <c r="E65" s="168">
        <v>4215</v>
      </c>
      <c r="F65" s="168">
        <v>4758</v>
      </c>
    </row>
    <row r="66" spans="1:6" ht="15.75">
      <c r="A66" s="308">
        <v>57</v>
      </c>
      <c r="B66" s="446" t="s">
        <v>540</v>
      </c>
      <c r="C66" s="168">
        <v>3218</v>
      </c>
      <c r="D66" s="168">
        <v>3624</v>
      </c>
      <c r="E66" s="168">
        <v>3827</v>
      </c>
      <c r="F66" s="168">
        <v>4436</v>
      </c>
    </row>
    <row r="67" spans="1:6" ht="15.75">
      <c r="A67" s="308">
        <v>58</v>
      </c>
      <c r="B67" s="446" t="s">
        <v>542</v>
      </c>
      <c r="C67" s="168">
        <v>3330</v>
      </c>
      <c r="D67" s="168">
        <v>3708</v>
      </c>
      <c r="E67" s="168">
        <v>3897</v>
      </c>
      <c r="F67" s="168">
        <v>4464</v>
      </c>
    </row>
    <row r="68" spans="1:6" ht="15.75">
      <c r="A68" s="308">
        <v>59</v>
      </c>
      <c r="B68" s="446" t="s">
        <v>545</v>
      </c>
      <c r="C68" s="168">
        <v>4460</v>
      </c>
      <c r="D68" s="168">
        <v>4936</v>
      </c>
      <c r="E68" s="168">
        <v>5174</v>
      </c>
      <c r="F68" s="168">
        <v>5888</v>
      </c>
    </row>
    <row r="69" spans="1:6" ht="15.75">
      <c r="A69" s="308">
        <v>60</v>
      </c>
      <c r="B69" s="446" t="s">
        <v>567</v>
      </c>
      <c r="C69" s="168">
        <v>3462</v>
      </c>
      <c r="D69" s="168">
        <v>3916</v>
      </c>
      <c r="E69" s="168">
        <v>4143</v>
      </c>
      <c r="F69" s="168">
        <v>4824</v>
      </c>
    </row>
    <row r="70" spans="1:6" ht="15.75">
      <c r="A70" s="308">
        <v>61</v>
      </c>
      <c r="B70" s="446" t="s">
        <v>570</v>
      </c>
      <c r="C70" s="168">
        <v>2693</v>
      </c>
      <c r="D70" s="168">
        <v>3067</v>
      </c>
      <c r="E70" s="168">
        <v>3254</v>
      </c>
      <c r="F70" s="168">
        <v>3815</v>
      </c>
    </row>
    <row r="71" spans="1:6" ht="15.75">
      <c r="A71" s="308">
        <v>62</v>
      </c>
      <c r="B71" s="446" t="s">
        <v>574</v>
      </c>
      <c r="C71" s="168">
        <v>3379</v>
      </c>
      <c r="D71" s="168">
        <v>3773</v>
      </c>
      <c r="E71" s="168">
        <v>3970</v>
      </c>
      <c r="F71" s="168">
        <v>4561</v>
      </c>
    </row>
    <row r="72" spans="1:6" ht="15.75">
      <c r="A72" s="308">
        <v>63</v>
      </c>
      <c r="B72" s="446" t="s">
        <v>576</v>
      </c>
      <c r="C72" s="168">
        <v>3542</v>
      </c>
      <c r="D72" s="168">
        <v>3954</v>
      </c>
      <c r="E72" s="168">
        <v>4160</v>
      </c>
      <c r="F72" s="168">
        <v>4778</v>
      </c>
    </row>
    <row r="73" spans="1:6" ht="15.75">
      <c r="A73" s="308">
        <v>64</v>
      </c>
      <c r="B73" s="446" t="s">
        <v>578</v>
      </c>
      <c r="C73" s="168">
        <v>3032</v>
      </c>
      <c r="D73" s="168">
        <v>3384</v>
      </c>
      <c r="E73" s="168">
        <v>3560</v>
      </c>
      <c r="F73" s="168">
        <v>4088</v>
      </c>
    </row>
    <row r="74" spans="1:6" ht="15.75">
      <c r="A74" s="308">
        <v>65</v>
      </c>
      <c r="B74" s="446" t="s">
        <v>582</v>
      </c>
      <c r="C74" s="168">
        <v>4688</v>
      </c>
      <c r="D74" s="168">
        <v>5180</v>
      </c>
      <c r="E74" s="168">
        <v>5426</v>
      </c>
      <c r="F74" s="168">
        <v>6164</v>
      </c>
    </row>
    <row r="75" spans="1:6" ht="15.75">
      <c r="A75" s="308">
        <v>66</v>
      </c>
      <c r="B75" s="446" t="s">
        <v>598</v>
      </c>
      <c r="C75" s="168">
        <v>4435</v>
      </c>
      <c r="D75" s="168">
        <v>4913</v>
      </c>
      <c r="E75" s="168">
        <v>5152</v>
      </c>
      <c r="F75" s="168">
        <v>5869</v>
      </c>
    </row>
    <row r="76" spans="1:6" ht="15.75">
      <c r="A76" s="308">
        <v>67</v>
      </c>
      <c r="B76" s="446" t="s">
        <v>607</v>
      </c>
      <c r="C76" s="168">
        <v>3264</v>
      </c>
      <c r="D76" s="168">
        <v>3674</v>
      </c>
      <c r="E76" s="168">
        <v>3879</v>
      </c>
      <c r="F76" s="168">
        <v>4494</v>
      </c>
    </row>
    <row r="77" spans="1:6" ht="15.75">
      <c r="A77" s="308">
        <v>68</v>
      </c>
      <c r="B77" s="446" t="s">
        <v>616</v>
      </c>
      <c r="C77" s="168">
        <v>3226</v>
      </c>
      <c r="D77" s="168">
        <v>3604</v>
      </c>
      <c r="E77" s="168">
        <v>3793</v>
      </c>
      <c r="F77" s="168">
        <v>4360</v>
      </c>
    </row>
    <row r="78" spans="1:6" ht="15.75">
      <c r="A78" s="308">
        <v>69</v>
      </c>
      <c r="B78" s="446" t="s">
        <v>622</v>
      </c>
      <c r="C78" s="168">
        <v>3578</v>
      </c>
      <c r="D78" s="168">
        <v>4020</v>
      </c>
      <c r="E78" s="168">
        <v>4241</v>
      </c>
      <c r="F78" s="168">
        <v>4904</v>
      </c>
    </row>
    <row r="79" spans="1:6" ht="15.75">
      <c r="A79" s="308">
        <v>70</v>
      </c>
      <c r="B79" s="446" t="s">
        <v>626</v>
      </c>
      <c r="C79" s="168">
        <v>5190</v>
      </c>
      <c r="D79" s="168">
        <v>5664</v>
      </c>
      <c r="E79" s="168">
        <v>5901</v>
      </c>
      <c r="F79" s="168">
        <v>6612</v>
      </c>
    </row>
    <row r="80" spans="1:6" ht="15.75">
      <c r="A80" s="308">
        <v>71</v>
      </c>
      <c r="B80" s="446" t="s">
        <v>634</v>
      </c>
      <c r="C80" s="168">
        <v>3442</v>
      </c>
      <c r="D80" s="168">
        <v>3882</v>
      </c>
      <c r="E80" s="168">
        <v>4102</v>
      </c>
      <c r="F80" s="168">
        <v>4762</v>
      </c>
    </row>
    <row r="81" spans="1:6" ht="15.75">
      <c r="A81" s="308">
        <v>72</v>
      </c>
      <c r="B81" s="446" t="s">
        <v>862</v>
      </c>
      <c r="C81" s="168">
        <v>4721</v>
      </c>
      <c r="D81" s="168">
        <v>5185</v>
      </c>
      <c r="E81" s="168">
        <v>5417</v>
      </c>
      <c r="F81" s="168">
        <v>6113</v>
      </c>
    </row>
    <row r="82" spans="1:6" ht="15.75">
      <c r="A82" s="308">
        <v>73</v>
      </c>
      <c r="B82" s="446" t="s">
        <v>658</v>
      </c>
      <c r="C82" s="168">
        <v>3614</v>
      </c>
      <c r="D82" s="168">
        <v>4036</v>
      </c>
      <c r="E82" s="168">
        <v>4247</v>
      </c>
      <c r="F82" s="168">
        <v>4880</v>
      </c>
    </row>
    <row r="83" spans="1:6" ht="15.75">
      <c r="A83" s="308">
        <v>74</v>
      </c>
      <c r="B83" s="446" t="s">
        <v>687</v>
      </c>
      <c r="C83" s="168">
        <v>4180</v>
      </c>
      <c r="D83" s="168">
        <v>4592</v>
      </c>
      <c r="E83" s="168">
        <v>4798</v>
      </c>
      <c r="F83" s="168">
        <v>5416</v>
      </c>
    </row>
    <row r="84" spans="1:6" ht="15.75">
      <c r="A84" s="308">
        <v>75</v>
      </c>
      <c r="B84" s="446" t="s">
        <v>307</v>
      </c>
      <c r="C84" s="168">
        <v>6316</v>
      </c>
      <c r="D84" s="168">
        <v>6794</v>
      </c>
      <c r="E84" s="168">
        <v>7033</v>
      </c>
      <c r="F84" s="168">
        <v>7750</v>
      </c>
    </row>
    <row r="85" spans="1:6" ht="15.75">
      <c r="A85" s="308">
        <v>76</v>
      </c>
      <c r="B85" s="446" t="s">
        <v>752</v>
      </c>
      <c r="C85" s="168">
        <v>3747</v>
      </c>
      <c r="D85" s="168">
        <v>4195</v>
      </c>
      <c r="E85" s="168">
        <v>4419</v>
      </c>
      <c r="F85" s="168">
        <v>5091</v>
      </c>
    </row>
    <row r="86" spans="1:6" ht="15.75">
      <c r="A86" s="308">
        <v>77</v>
      </c>
      <c r="B86" s="446" t="s">
        <v>863</v>
      </c>
      <c r="C86" s="168">
        <v>3247</v>
      </c>
      <c r="D86" s="168">
        <v>3671</v>
      </c>
      <c r="E86" s="168">
        <v>3883</v>
      </c>
      <c r="F86" s="168">
        <v>4519</v>
      </c>
    </row>
    <row r="87" spans="1:6" ht="15.75">
      <c r="A87" s="308">
        <v>78</v>
      </c>
      <c r="B87" s="446" t="s">
        <v>864</v>
      </c>
      <c r="C87" s="168">
        <v>3392</v>
      </c>
      <c r="D87" s="168">
        <v>3828</v>
      </c>
      <c r="E87" s="168">
        <v>4046</v>
      </c>
      <c r="F87" s="168">
        <v>4700</v>
      </c>
    </row>
    <row r="88" spans="1:6" ht="15.75">
      <c r="A88" s="308">
        <v>79</v>
      </c>
      <c r="B88" s="446" t="s">
        <v>304</v>
      </c>
      <c r="C88" s="168">
        <v>5682</v>
      </c>
      <c r="D88" s="168">
        <v>6104</v>
      </c>
      <c r="E88" s="168">
        <v>6315</v>
      </c>
      <c r="F88" s="168">
        <v>6948</v>
      </c>
    </row>
    <row r="89" spans="1:6" ht="15.75">
      <c r="A89" s="308">
        <v>83</v>
      </c>
      <c r="B89" s="446" t="s">
        <v>1034</v>
      </c>
      <c r="C89" s="168">
        <v>2742</v>
      </c>
      <c r="D89" s="168">
        <v>3122</v>
      </c>
      <c r="E89" s="168">
        <v>3312</v>
      </c>
      <c r="F89" s="168">
        <v>3882</v>
      </c>
    </row>
    <row r="90" spans="1:6" ht="15.75">
      <c r="A90" s="308">
        <v>86</v>
      </c>
      <c r="B90" s="446" t="s">
        <v>1035</v>
      </c>
      <c r="C90" s="168">
        <v>2753</v>
      </c>
      <c r="D90" s="168">
        <v>3133</v>
      </c>
      <c r="E90" s="168">
        <v>3323</v>
      </c>
      <c r="F90" s="168">
        <v>3893</v>
      </c>
    </row>
    <row r="91" spans="1:6" ht="15.75">
      <c r="A91" s="308">
        <v>87</v>
      </c>
      <c r="B91" s="446" t="s">
        <v>455</v>
      </c>
      <c r="C91" s="168">
        <v>2172</v>
      </c>
      <c r="D91" s="168">
        <v>2538</v>
      </c>
      <c r="E91" s="168">
        <v>2721</v>
      </c>
      <c r="F91" s="168">
        <v>3270</v>
      </c>
    </row>
    <row r="92" spans="1:6" ht="15.75">
      <c r="A92" s="308">
        <v>89</v>
      </c>
      <c r="B92" s="446" t="s">
        <v>865</v>
      </c>
      <c r="C92" s="168">
        <v>6456</v>
      </c>
      <c r="D92" s="168">
        <v>7074</v>
      </c>
      <c r="E92" s="168">
        <v>7383</v>
      </c>
      <c r="F92" s="168">
        <v>8310</v>
      </c>
    </row>
    <row r="93" spans="1:6" ht="15.75">
      <c r="A93" s="308">
        <v>91</v>
      </c>
      <c r="B93" s="446" t="s">
        <v>866</v>
      </c>
      <c r="C93" s="168">
        <v>6034</v>
      </c>
      <c r="D93" s="168">
        <v>6570</v>
      </c>
      <c r="E93" s="168">
        <v>6838</v>
      </c>
      <c r="F93" s="168">
        <v>7642</v>
      </c>
    </row>
    <row r="94" spans="1:6" ht="15.75">
      <c r="A94" s="308">
        <v>92</v>
      </c>
      <c r="B94" s="446" t="s">
        <v>867</v>
      </c>
      <c r="C94" s="168">
        <v>8668</v>
      </c>
      <c r="D94" s="168">
        <v>9326</v>
      </c>
      <c r="E94" s="168">
        <v>9655</v>
      </c>
      <c r="F94" s="168">
        <v>10642</v>
      </c>
    </row>
    <row r="95" spans="1:6" ht="15.75">
      <c r="A95" s="308">
        <v>93</v>
      </c>
      <c r="B95" s="446" t="s">
        <v>868</v>
      </c>
      <c r="C95" s="168">
        <v>7520</v>
      </c>
      <c r="D95" s="168">
        <v>8090</v>
      </c>
      <c r="E95" s="168">
        <v>8375</v>
      </c>
      <c r="F95" s="168">
        <v>9230</v>
      </c>
    </row>
    <row r="96" spans="1:6" ht="15.75">
      <c r="A96" s="308">
        <v>94</v>
      </c>
      <c r="B96" s="446" t="s">
        <v>1036</v>
      </c>
      <c r="C96" s="168">
        <v>2251</v>
      </c>
      <c r="D96" s="168">
        <v>2607</v>
      </c>
      <c r="E96" s="168">
        <v>2785</v>
      </c>
      <c r="F96" s="168">
        <v>3319</v>
      </c>
    </row>
    <row r="97" spans="1:6" ht="15.75">
      <c r="A97" s="308">
        <v>95</v>
      </c>
      <c r="B97" s="446" t="s">
        <v>1037</v>
      </c>
      <c r="C97" s="168">
        <v>2500</v>
      </c>
      <c r="D97" s="168">
        <v>2856</v>
      </c>
      <c r="E97" s="168">
        <v>3034</v>
      </c>
      <c r="F97" s="168">
        <v>3568</v>
      </c>
    </row>
    <row r="98" spans="1:6" ht="15.75">
      <c r="A98" s="308">
        <v>96</v>
      </c>
      <c r="B98" s="446" t="s">
        <v>869</v>
      </c>
      <c r="C98" s="168">
        <v>1935</v>
      </c>
      <c r="D98" s="168">
        <v>2337</v>
      </c>
      <c r="E98" s="168">
        <v>2538</v>
      </c>
      <c r="F98" s="168">
        <v>3141</v>
      </c>
    </row>
    <row r="99" spans="1:6" ht="15.75">
      <c r="A99" s="308">
        <v>97</v>
      </c>
      <c r="B99" s="446" t="s">
        <v>760</v>
      </c>
      <c r="C99" s="168">
        <v>2485</v>
      </c>
      <c r="D99" s="168">
        <v>2849</v>
      </c>
      <c r="E99" s="168">
        <v>3031</v>
      </c>
      <c r="F99" s="168">
        <v>3577</v>
      </c>
    </row>
  </sheetData>
  <mergeCells count="4">
    <mergeCell ref="A4:A5"/>
    <mergeCell ref="C4:F4"/>
    <mergeCell ref="A19:A21"/>
    <mergeCell ref="A31:A33"/>
  </mergeCells>
  <pageMargins left="0.7" right="0.7" top="0.75" bottom="0.75" header="0.3" footer="0.3"/>
  <pageSetup paperSize="9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 codeName="Лист25"/>
  <dimension ref="A1:X582"/>
  <sheetViews>
    <sheetView topLeftCell="A436" workbookViewId="0">
      <selection activeCell="B1" sqref="B1"/>
    </sheetView>
  </sheetViews>
  <sheetFormatPr defaultColWidth="3.28515625" defaultRowHeight="15"/>
  <cols>
    <col min="1" max="1" width="23.140625" style="275" customWidth="1"/>
    <col min="2" max="2" width="20" style="275" customWidth="1"/>
    <col min="3" max="3" width="13.42578125" style="275" customWidth="1"/>
    <col min="4" max="5" width="3.28515625" style="275" customWidth="1"/>
    <col min="6" max="6" width="34.7109375" style="275" customWidth="1"/>
    <col min="7" max="7" width="26.85546875" style="275" customWidth="1"/>
    <col min="8" max="15" width="3.28515625" style="275"/>
    <col min="16" max="16" width="10.140625" style="275" customWidth="1"/>
    <col min="17" max="17" width="10.42578125" style="275" customWidth="1"/>
    <col min="18" max="18" width="3.28515625" style="275"/>
    <col min="19" max="19" width="7.28515625" style="275" bestFit="1" customWidth="1"/>
    <col min="20" max="16384" width="3.28515625" style="275"/>
  </cols>
  <sheetData>
    <row r="1" spans="2:24">
      <c r="B1" s="275" t="s">
        <v>754</v>
      </c>
    </row>
    <row r="2" spans="2:24">
      <c r="B2" s="276" t="s">
        <v>755</v>
      </c>
      <c r="C2" s="277" t="s">
        <v>755</v>
      </c>
      <c r="F2" s="278" t="s">
        <v>211</v>
      </c>
      <c r="G2" s="279" t="s">
        <v>756</v>
      </c>
    </row>
    <row r="3" spans="2:24" ht="15.75">
      <c r="B3" s="280" t="s">
        <v>214</v>
      </c>
      <c r="C3" s="281">
        <v>3</v>
      </c>
      <c r="F3" s="282" t="s">
        <v>755</v>
      </c>
      <c r="G3" s="282" t="s">
        <v>755</v>
      </c>
      <c r="Q3" s="299" t="s">
        <v>755</v>
      </c>
    </row>
    <row r="4" spans="2:24" ht="15.75">
      <c r="B4" s="283" t="s">
        <v>164</v>
      </c>
      <c r="C4" s="284">
        <v>4</v>
      </c>
      <c r="F4" s="285" t="s">
        <v>214</v>
      </c>
      <c r="G4" s="286" t="s">
        <v>215</v>
      </c>
      <c r="Q4" s="300" t="s">
        <v>770</v>
      </c>
    </row>
    <row r="5" spans="2:24" ht="15.75">
      <c r="B5" s="281" t="s">
        <v>250</v>
      </c>
      <c r="C5" s="281">
        <v>5</v>
      </c>
      <c r="F5" s="285" t="s">
        <v>214</v>
      </c>
      <c r="G5" s="287" t="s">
        <v>216</v>
      </c>
      <c r="Q5" s="300" t="s">
        <v>771</v>
      </c>
    </row>
    <row r="6" spans="2:24" ht="15.75">
      <c r="B6" s="283" t="s">
        <v>258</v>
      </c>
      <c r="C6" s="284">
        <v>6</v>
      </c>
      <c r="F6" s="285" t="s">
        <v>214</v>
      </c>
      <c r="G6" s="286" t="s">
        <v>217</v>
      </c>
    </row>
    <row r="7" spans="2:24" ht="15.75">
      <c r="B7" s="280" t="s">
        <v>267</v>
      </c>
      <c r="C7" s="281">
        <v>7</v>
      </c>
      <c r="F7" s="285" t="s">
        <v>214</v>
      </c>
      <c r="G7" s="286" t="s">
        <v>218</v>
      </c>
      <c r="Q7" s="299" t="s">
        <v>755</v>
      </c>
      <c r="X7" s="314" t="s">
        <v>930</v>
      </c>
    </row>
    <row r="8" spans="2:24" ht="15.75">
      <c r="B8" s="283" t="s">
        <v>269</v>
      </c>
      <c r="C8" s="284">
        <v>8</v>
      </c>
      <c r="F8" s="285" t="s">
        <v>214</v>
      </c>
      <c r="G8" s="286" t="s">
        <v>219</v>
      </c>
      <c r="Q8" s="306" t="s">
        <v>833</v>
      </c>
      <c r="X8" s="314" t="s">
        <v>931</v>
      </c>
    </row>
    <row r="9" spans="2:24" ht="15.75">
      <c r="B9" s="280" t="s">
        <v>282</v>
      </c>
      <c r="C9" s="281">
        <v>9</v>
      </c>
      <c r="F9" s="285" t="s">
        <v>214</v>
      </c>
      <c r="G9" s="286" t="s">
        <v>220</v>
      </c>
      <c r="Q9" s="306" t="s">
        <v>834</v>
      </c>
      <c r="X9" s="314" t="s">
        <v>834</v>
      </c>
    </row>
    <row r="10" spans="2:24" ht="15.75">
      <c r="B10" s="283" t="s">
        <v>285</v>
      </c>
      <c r="C10" s="284">
        <v>10</v>
      </c>
      <c r="F10" s="285" t="s">
        <v>214</v>
      </c>
      <c r="G10" s="286" t="s">
        <v>221</v>
      </c>
    </row>
    <row r="11" spans="2:24" ht="15.75">
      <c r="B11" s="280" t="s">
        <v>292</v>
      </c>
      <c r="C11" s="281">
        <v>11</v>
      </c>
      <c r="F11" s="285" t="s">
        <v>214</v>
      </c>
      <c r="G11" s="286" t="s">
        <v>222</v>
      </c>
    </row>
    <row r="12" spans="2:24" ht="15.75">
      <c r="B12" s="283" t="s">
        <v>298</v>
      </c>
      <c r="C12" s="284">
        <v>12</v>
      </c>
      <c r="F12" s="285" t="s">
        <v>164</v>
      </c>
      <c r="G12" s="286" t="s">
        <v>227</v>
      </c>
    </row>
    <row r="13" spans="2:24" ht="15.75">
      <c r="B13" s="280" t="s">
        <v>304</v>
      </c>
      <c r="C13" s="281">
        <v>13</v>
      </c>
      <c r="F13" s="285" t="s">
        <v>164</v>
      </c>
      <c r="G13" s="286" t="s">
        <v>228</v>
      </c>
    </row>
    <row r="14" spans="2:24" ht="15.75">
      <c r="B14" s="283" t="s">
        <v>307</v>
      </c>
      <c r="C14" s="284">
        <v>14</v>
      </c>
      <c r="F14" s="285" t="s">
        <v>164</v>
      </c>
      <c r="G14" s="286" t="s">
        <v>163</v>
      </c>
    </row>
    <row r="15" spans="2:24" ht="15.75">
      <c r="B15" s="280" t="s">
        <v>323</v>
      </c>
      <c r="C15" s="281">
        <v>15</v>
      </c>
      <c r="F15" s="285" t="s">
        <v>164</v>
      </c>
      <c r="G15" s="286" t="s">
        <v>229</v>
      </c>
    </row>
    <row r="16" spans="2:24" ht="15.75">
      <c r="B16" s="283" t="s">
        <v>329</v>
      </c>
      <c r="C16" s="284">
        <v>16</v>
      </c>
      <c r="F16" s="285" t="s">
        <v>164</v>
      </c>
      <c r="G16" s="286" t="s">
        <v>230</v>
      </c>
    </row>
    <row r="17" spans="1:7" ht="15.75">
      <c r="B17" s="280" t="s">
        <v>757</v>
      </c>
      <c r="C17" s="281">
        <v>17</v>
      </c>
      <c r="F17" s="285" t="s">
        <v>164</v>
      </c>
      <c r="G17" s="286" t="s">
        <v>231</v>
      </c>
    </row>
    <row r="18" spans="1:7" ht="15.75">
      <c r="B18" s="283" t="s">
        <v>358</v>
      </c>
      <c r="C18" s="284">
        <v>18</v>
      </c>
      <c r="F18" s="285" t="s">
        <v>164</v>
      </c>
      <c r="G18" s="286" t="s">
        <v>232</v>
      </c>
    </row>
    <row r="19" spans="1:7" ht="15.75">
      <c r="B19" s="280" t="s">
        <v>362</v>
      </c>
      <c r="C19" s="281">
        <v>19</v>
      </c>
      <c r="F19" s="285" t="s">
        <v>164</v>
      </c>
      <c r="G19" s="286" t="s">
        <v>233</v>
      </c>
    </row>
    <row r="20" spans="1:7" ht="15.75">
      <c r="B20" s="283" t="s">
        <v>364</v>
      </c>
      <c r="C20" s="284">
        <v>20</v>
      </c>
      <c r="F20" s="285" t="s">
        <v>164</v>
      </c>
      <c r="G20" s="286" t="s">
        <v>234</v>
      </c>
    </row>
    <row r="21" spans="1:7" ht="15.75">
      <c r="B21" s="280" t="s">
        <v>384</v>
      </c>
      <c r="C21" s="281">
        <v>21</v>
      </c>
      <c r="F21" s="285" t="s">
        <v>164</v>
      </c>
      <c r="G21" s="286" t="s">
        <v>235</v>
      </c>
    </row>
    <row r="22" spans="1:7" ht="36" customHeight="1">
      <c r="B22" s="283" t="s">
        <v>394</v>
      </c>
      <c r="C22" s="284">
        <v>22</v>
      </c>
      <c r="F22" s="285" t="s">
        <v>164</v>
      </c>
      <c r="G22" s="286" t="s">
        <v>236</v>
      </c>
    </row>
    <row r="23" spans="1:7" ht="15.75">
      <c r="B23" s="280" t="s">
        <v>403</v>
      </c>
      <c r="C23" s="281">
        <v>23</v>
      </c>
      <c r="F23" s="285" t="s">
        <v>164</v>
      </c>
      <c r="G23" s="286" t="s">
        <v>237</v>
      </c>
    </row>
    <row r="24" spans="1:7" ht="15.75">
      <c r="B24" s="283" t="s">
        <v>419</v>
      </c>
      <c r="C24" s="284">
        <v>24</v>
      </c>
      <c r="F24" s="285" t="s">
        <v>164</v>
      </c>
      <c r="G24" s="286" t="s">
        <v>238</v>
      </c>
    </row>
    <row r="25" spans="1:7" ht="15.75">
      <c r="B25" s="280" t="s">
        <v>423</v>
      </c>
      <c r="C25" s="281">
        <v>25</v>
      </c>
      <c r="F25" s="285" t="s">
        <v>164</v>
      </c>
      <c r="G25" s="286" t="s">
        <v>239</v>
      </c>
    </row>
    <row r="26" spans="1:7" ht="15.75">
      <c r="B26" s="283" t="s">
        <v>429</v>
      </c>
      <c r="C26" s="284">
        <v>26</v>
      </c>
      <c r="F26" s="285" t="s">
        <v>164</v>
      </c>
      <c r="G26" s="286" t="s">
        <v>240</v>
      </c>
    </row>
    <row r="27" spans="1:7" ht="15.75">
      <c r="B27" s="288" t="s">
        <v>463</v>
      </c>
      <c r="C27" s="281">
        <v>27</v>
      </c>
      <c r="F27" s="285" t="s">
        <v>164</v>
      </c>
      <c r="G27" s="286" t="s">
        <v>241</v>
      </c>
    </row>
    <row r="28" spans="1:7" ht="15.75">
      <c r="B28" s="283" t="s">
        <v>465</v>
      </c>
      <c r="C28" s="284">
        <v>28</v>
      </c>
      <c r="F28" s="285" t="s">
        <v>164</v>
      </c>
      <c r="G28" s="286" t="s">
        <v>242</v>
      </c>
    </row>
    <row r="29" spans="1:7" ht="15.75" customHeight="1">
      <c r="A29" s="275" t="str">
        <f>CONCATENATE(списки!Q552,CHAR(10),списки!Q553,CHAR(10),списки!Q554,CHAR(10),списки!Q555,CHAR(10))</f>
        <v xml:space="preserve">
</v>
      </c>
      <c r="B29" s="280" t="s">
        <v>471</v>
      </c>
      <c r="C29" s="281">
        <v>29</v>
      </c>
      <c r="F29" s="285" t="s">
        <v>164</v>
      </c>
      <c r="G29" s="286" t="s">
        <v>243</v>
      </c>
    </row>
    <row r="30" spans="1:7" ht="15.75">
      <c r="B30" s="283" t="s">
        <v>467</v>
      </c>
      <c r="C30" s="284">
        <v>30</v>
      </c>
      <c r="F30" s="285" t="s">
        <v>164</v>
      </c>
      <c r="G30" s="286" t="s">
        <v>244</v>
      </c>
    </row>
    <row r="31" spans="1:7" ht="15.75">
      <c r="B31" s="280" t="s">
        <v>474</v>
      </c>
      <c r="C31" s="281">
        <v>31</v>
      </c>
      <c r="F31" s="285" t="s">
        <v>164</v>
      </c>
      <c r="G31" s="286" t="s">
        <v>245</v>
      </c>
    </row>
    <row r="32" spans="1:7" ht="15.75">
      <c r="B32" s="283" t="s">
        <v>489</v>
      </c>
      <c r="C32" s="284">
        <v>32</v>
      </c>
      <c r="F32" s="285" t="s">
        <v>164</v>
      </c>
      <c r="G32" s="286" t="s">
        <v>246</v>
      </c>
    </row>
    <row r="33" spans="1:7" ht="15.75">
      <c r="B33" s="280" t="s">
        <v>486</v>
      </c>
      <c r="C33" s="281">
        <v>33</v>
      </c>
      <c r="F33" s="285" t="s">
        <v>164</v>
      </c>
      <c r="G33" s="286" t="s">
        <v>247</v>
      </c>
    </row>
    <row r="34" spans="1:7" ht="15.75">
      <c r="B34" s="283" t="s">
        <v>491</v>
      </c>
      <c r="C34" s="284">
        <v>34</v>
      </c>
      <c r="F34" s="285" t="s">
        <v>164</v>
      </c>
      <c r="G34" s="286" t="s">
        <v>248</v>
      </c>
    </row>
    <row r="35" spans="1:7" ht="15.75">
      <c r="B35" s="280" t="s">
        <v>506</v>
      </c>
      <c r="C35" s="281">
        <v>35</v>
      </c>
      <c r="F35" s="285" t="s">
        <v>164</v>
      </c>
      <c r="G35" s="286" t="s">
        <v>249</v>
      </c>
    </row>
    <row r="36" spans="1:7" ht="15.75">
      <c r="B36" s="283" t="s">
        <v>514</v>
      </c>
      <c r="C36" s="284">
        <v>36</v>
      </c>
      <c r="F36" s="285" t="s">
        <v>250</v>
      </c>
      <c r="G36" s="286" t="s">
        <v>251</v>
      </c>
    </row>
    <row r="37" spans="1:7" ht="15.75">
      <c r="B37" s="280" t="s">
        <v>518</v>
      </c>
      <c r="C37" s="281">
        <v>37</v>
      </c>
      <c r="F37" s="285" t="s">
        <v>250</v>
      </c>
      <c r="G37" s="286" t="s">
        <v>252</v>
      </c>
    </row>
    <row r="38" spans="1:7" ht="15.75">
      <c r="A38" s="289"/>
      <c r="B38" s="283" t="s">
        <v>521</v>
      </c>
      <c r="C38" s="284">
        <v>38</v>
      </c>
      <c r="F38" s="285" t="s">
        <v>250</v>
      </c>
      <c r="G38" s="286" t="s">
        <v>253</v>
      </c>
    </row>
    <row r="39" spans="1:7" ht="15.75">
      <c r="B39" s="280" t="s">
        <v>531</v>
      </c>
      <c r="C39" s="281">
        <v>39</v>
      </c>
      <c r="F39" s="285" t="s">
        <v>250</v>
      </c>
      <c r="G39" s="286" t="s">
        <v>254</v>
      </c>
    </row>
    <row r="40" spans="1:7" ht="15.75">
      <c r="B40" s="283" t="s">
        <v>536</v>
      </c>
      <c r="C40" s="284">
        <v>40</v>
      </c>
      <c r="F40" s="285" t="s">
        <v>250</v>
      </c>
      <c r="G40" s="286" t="s">
        <v>255</v>
      </c>
    </row>
    <row r="41" spans="1:7" ht="15.75">
      <c r="B41" s="280" t="s">
        <v>540</v>
      </c>
      <c r="C41" s="281">
        <v>41</v>
      </c>
      <c r="F41" s="285" t="s">
        <v>250</v>
      </c>
      <c r="G41" s="286" t="s">
        <v>256</v>
      </c>
    </row>
    <row r="42" spans="1:7" ht="15.75">
      <c r="B42" s="283" t="s">
        <v>542</v>
      </c>
      <c r="C42" s="284">
        <v>42</v>
      </c>
      <c r="F42" s="285" t="s">
        <v>250</v>
      </c>
      <c r="G42" s="286" t="s">
        <v>257</v>
      </c>
    </row>
    <row r="43" spans="1:7" ht="15.75">
      <c r="B43" s="290" t="s">
        <v>545</v>
      </c>
      <c r="C43" s="281">
        <v>43</v>
      </c>
      <c r="F43" s="291" t="s">
        <v>258</v>
      </c>
      <c r="G43" s="286" t="s">
        <v>259</v>
      </c>
    </row>
    <row r="44" spans="1:7" ht="15.75">
      <c r="B44" s="283" t="s">
        <v>550</v>
      </c>
      <c r="C44" s="284">
        <v>44</v>
      </c>
      <c r="F44" s="291" t="s">
        <v>258</v>
      </c>
      <c r="G44" s="286" t="s">
        <v>260</v>
      </c>
    </row>
    <row r="45" spans="1:7" ht="15.75">
      <c r="B45" s="280" t="s">
        <v>567</v>
      </c>
      <c r="C45" s="281">
        <v>45</v>
      </c>
      <c r="F45" s="291" t="s">
        <v>267</v>
      </c>
      <c r="G45" s="286" t="s">
        <v>268</v>
      </c>
    </row>
    <row r="46" spans="1:7" ht="15.75">
      <c r="B46" s="283" t="s">
        <v>212</v>
      </c>
      <c r="C46" s="284">
        <v>46</v>
      </c>
      <c r="F46" s="291" t="s">
        <v>269</v>
      </c>
      <c r="G46" s="286" t="s">
        <v>270</v>
      </c>
    </row>
    <row r="47" spans="1:7" ht="15.75">
      <c r="B47" s="280" t="s">
        <v>758</v>
      </c>
      <c r="C47" s="281">
        <v>47</v>
      </c>
      <c r="F47" s="291" t="s">
        <v>282</v>
      </c>
      <c r="G47" s="286" t="s">
        <v>283</v>
      </c>
    </row>
    <row r="48" spans="1:7" ht="15.75">
      <c r="B48" s="283" t="s">
        <v>261</v>
      </c>
      <c r="C48" s="284">
        <v>48</v>
      </c>
      <c r="F48" s="291" t="s">
        <v>282</v>
      </c>
      <c r="G48" s="286" t="s">
        <v>284</v>
      </c>
    </row>
    <row r="49" spans="2:7" ht="15.75">
      <c r="B49" s="280" t="s">
        <v>271</v>
      </c>
      <c r="C49" s="281">
        <v>49</v>
      </c>
      <c r="F49" s="291" t="s">
        <v>285</v>
      </c>
      <c r="G49" s="286" t="s">
        <v>286</v>
      </c>
    </row>
    <row r="50" spans="2:7" ht="15.75">
      <c r="B50" s="283" t="s">
        <v>300</v>
      </c>
      <c r="C50" s="284">
        <v>50</v>
      </c>
      <c r="F50" s="291" t="s">
        <v>285</v>
      </c>
      <c r="G50" s="286" t="s">
        <v>287</v>
      </c>
    </row>
    <row r="51" spans="2:7" ht="15.75">
      <c r="B51" s="280" t="s">
        <v>326</v>
      </c>
      <c r="C51" s="281">
        <v>51</v>
      </c>
      <c r="F51" s="291" t="s">
        <v>285</v>
      </c>
      <c r="G51" s="286" t="s">
        <v>288</v>
      </c>
    </row>
    <row r="52" spans="2:7" ht="15.75">
      <c r="B52" s="283" t="s">
        <v>356</v>
      </c>
      <c r="C52" s="284">
        <v>52</v>
      </c>
      <c r="F52" s="291" t="s">
        <v>285</v>
      </c>
      <c r="G52" s="286" t="s">
        <v>289</v>
      </c>
    </row>
    <row r="53" spans="2:7" ht="15.75">
      <c r="B53" s="280" t="s">
        <v>360</v>
      </c>
      <c r="C53" s="281">
        <v>53</v>
      </c>
      <c r="F53" s="291" t="s">
        <v>285</v>
      </c>
      <c r="G53" s="286" t="s">
        <v>290</v>
      </c>
    </row>
    <row r="54" spans="2:7" ht="15.75">
      <c r="B54" s="283" t="s">
        <v>386</v>
      </c>
      <c r="C54" s="284">
        <v>54</v>
      </c>
      <c r="F54" s="291" t="s">
        <v>285</v>
      </c>
      <c r="G54" s="286" t="s">
        <v>291</v>
      </c>
    </row>
    <row r="55" spans="2:7" ht="15.75">
      <c r="B55" s="280" t="s">
        <v>407</v>
      </c>
      <c r="C55" s="281">
        <v>55</v>
      </c>
      <c r="F55" s="291" t="s">
        <v>292</v>
      </c>
      <c r="G55" s="286" t="s">
        <v>293</v>
      </c>
    </row>
    <row r="56" spans="2:7" ht="15.75">
      <c r="B56" s="283" t="s">
        <v>482</v>
      </c>
      <c r="C56" s="284">
        <v>56</v>
      </c>
      <c r="F56" s="291" t="s">
        <v>292</v>
      </c>
      <c r="G56" s="286" t="s">
        <v>294</v>
      </c>
    </row>
    <row r="57" spans="2:7" ht="15.75">
      <c r="B57" s="280" t="s">
        <v>484</v>
      </c>
      <c r="C57" s="281">
        <v>57</v>
      </c>
      <c r="F57" s="291" t="s">
        <v>292</v>
      </c>
      <c r="G57" s="286" t="s">
        <v>295</v>
      </c>
    </row>
    <row r="58" spans="2:7" ht="15.75">
      <c r="B58" s="283" t="s">
        <v>701</v>
      </c>
      <c r="C58" s="284">
        <v>58</v>
      </c>
      <c r="F58" s="291" t="s">
        <v>292</v>
      </c>
      <c r="G58" s="286" t="s">
        <v>296</v>
      </c>
    </row>
    <row r="59" spans="2:7" ht="15.75">
      <c r="B59" s="280" t="s">
        <v>605</v>
      </c>
      <c r="C59" s="281">
        <v>59</v>
      </c>
      <c r="F59" s="291" t="s">
        <v>292</v>
      </c>
      <c r="G59" s="286" t="s">
        <v>297</v>
      </c>
    </row>
    <row r="60" spans="2:7" ht="15.75">
      <c r="B60" s="283" t="s">
        <v>618</v>
      </c>
      <c r="C60" s="284">
        <v>60</v>
      </c>
      <c r="F60" s="291" t="s">
        <v>298</v>
      </c>
      <c r="G60" s="286" t="s">
        <v>299</v>
      </c>
    </row>
    <row r="61" spans="2:7" ht="15.75">
      <c r="B61" s="280" t="s">
        <v>632</v>
      </c>
      <c r="C61" s="281">
        <v>61</v>
      </c>
      <c r="F61" s="291" t="s">
        <v>304</v>
      </c>
      <c r="G61" s="286" t="s">
        <v>305</v>
      </c>
    </row>
    <row r="62" spans="2:7" ht="15.75">
      <c r="B62" s="283" t="s">
        <v>684</v>
      </c>
      <c r="C62" s="284">
        <v>62</v>
      </c>
      <c r="F62" s="291" t="s">
        <v>304</v>
      </c>
      <c r="G62" s="286" t="s">
        <v>306</v>
      </c>
    </row>
    <row r="63" spans="2:7" ht="15.75">
      <c r="B63" s="280" t="s">
        <v>570</v>
      </c>
      <c r="C63" s="281">
        <v>63</v>
      </c>
      <c r="F63" s="291" t="s">
        <v>307</v>
      </c>
      <c r="G63" s="286" t="s">
        <v>308</v>
      </c>
    </row>
    <row r="64" spans="2:7" ht="15.75">
      <c r="B64" s="283" t="s">
        <v>574</v>
      </c>
      <c r="C64" s="284">
        <v>64</v>
      </c>
      <c r="F64" s="291" t="s">
        <v>307</v>
      </c>
      <c r="G64" s="286" t="s">
        <v>309</v>
      </c>
    </row>
    <row r="65" spans="2:7" ht="45" customHeight="1">
      <c r="B65" s="280" t="s">
        <v>576</v>
      </c>
      <c r="C65" s="281">
        <v>65</v>
      </c>
      <c r="F65" s="291" t="s">
        <v>307</v>
      </c>
      <c r="G65" s="286" t="s">
        <v>310</v>
      </c>
    </row>
    <row r="66" spans="2:7" ht="15.75">
      <c r="B66" s="283" t="s">
        <v>469</v>
      </c>
      <c r="C66" s="284">
        <v>66</v>
      </c>
      <c r="F66" s="291" t="s">
        <v>307</v>
      </c>
      <c r="G66" s="286" t="s">
        <v>311</v>
      </c>
    </row>
    <row r="67" spans="2:7" ht="15.75">
      <c r="B67" s="280" t="s">
        <v>578</v>
      </c>
      <c r="C67" s="281">
        <v>67</v>
      </c>
      <c r="F67" s="291" t="s">
        <v>307</v>
      </c>
      <c r="G67" s="286" t="s">
        <v>312</v>
      </c>
    </row>
    <row r="68" spans="2:7" ht="15.75">
      <c r="B68" s="283" t="s">
        <v>582</v>
      </c>
      <c r="C68" s="284">
        <v>68</v>
      </c>
      <c r="F68" s="291" t="s">
        <v>307</v>
      </c>
      <c r="G68" s="286" t="s">
        <v>313</v>
      </c>
    </row>
    <row r="69" spans="2:7" ht="15.75">
      <c r="B69" s="280" t="s">
        <v>598</v>
      </c>
      <c r="C69" s="281">
        <v>69</v>
      </c>
      <c r="F69" s="291" t="s">
        <v>307</v>
      </c>
      <c r="G69" s="286" t="s">
        <v>314</v>
      </c>
    </row>
    <row r="70" spans="2:7" ht="15.75">
      <c r="B70" s="283" t="s">
        <v>607</v>
      </c>
      <c r="C70" s="284">
        <v>70</v>
      </c>
      <c r="F70" s="291" t="s">
        <v>307</v>
      </c>
      <c r="G70" s="286" t="s">
        <v>315</v>
      </c>
    </row>
    <row r="71" spans="2:7" ht="15.75">
      <c r="B71" s="280" t="s">
        <v>610</v>
      </c>
      <c r="C71" s="281">
        <v>71</v>
      </c>
      <c r="F71" s="291" t="s">
        <v>307</v>
      </c>
      <c r="G71" s="286" t="s">
        <v>316</v>
      </c>
    </row>
    <row r="72" spans="2:7" ht="15.75">
      <c r="B72" s="283" t="s">
        <v>616</v>
      </c>
      <c r="C72" s="284">
        <v>72</v>
      </c>
      <c r="F72" s="291" t="s">
        <v>307</v>
      </c>
      <c r="G72" s="286" t="s">
        <v>317</v>
      </c>
    </row>
    <row r="73" spans="2:7" ht="15.75">
      <c r="B73" s="280" t="s">
        <v>622</v>
      </c>
      <c r="C73" s="281">
        <v>73</v>
      </c>
      <c r="F73" s="291" t="s">
        <v>307</v>
      </c>
      <c r="G73" s="286" t="s">
        <v>318</v>
      </c>
    </row>
    <row r="74" spans="2:7" ht="15.75">
      <c r="B74" s="283" t="s">
        <v>626</v>
      </c>
      <c r="C74" s="284">
        <v>74</v>
      </c>
      <c r="F74" s="291" t="s">
        <v>307</v>
      </c>
      <c r="G74" s="286" t="s">
        <v>319</v>
      </c>
    </row>
    <row r="75" spans="2:7" ht="15.75">
      <c r="B75" s="280" t="s">
        <v>634</v>
      </c>
      <c r="C75" s="281">
        <v>75</v>
      </c>
      <c r="F75" s="291" t="s">
        <v>307</v>
      </c>
      <c r="G75" s="286" t="s">
        <v>320</v>
      </c>
    </row>
    <row r="76" spans="2:7" ht="15.75">
      <c r="B76" s="283" t="s">
        <v>638</v>
      </c>
      <c r="C76" s="284">
        <v>76</v>
      </c>
      <c r="F76" s="291" t="s">
        <v>307</v>
      </c>
      <c r="G76" s="286" t="s">
        <v>321</v>
      </c>
    </row>
    <row r="77" spans="2:7" ht="15.75">
      <c r="B77" s="292" t="s">
        <v>759</v>
      </c>
      <c r="C77" s="281">
        <v>77</v>
      </c>
      <c r="F77" s="291" t="s">
        <v>307</v>
      </c>
      <c r="G77" s="286" t="s">
        <v>322</v>
      </c>
    </row>
    <row r="78" spans="2:7" ht="15.75">
      <c r="B78" s="283" t="s">
        <v>658</v>
      </c>
      <c r="C78" s="284">
        <v>78</v>
      </c>
      <c r="F78" s="291" t="s">
        <v>323</v>
      </c>
      <c r="G78" s="286" t="s">
        <v>324</v>
      </c>
    </row>
    <row r="79" spans="2:7" ht="15.75">
      <c r="B79" s="280" t="s">
        <v>661</v>
      </c>
      <c r="C79" s="281">
        <v>79</v>
      </c>
      <c r="F79" s="291" t="s">
        <v>323</v>
      </c>
      <c r="G79" s="286" t="s">
        <v>325</v>
      </c>
    </row>
    <row r="80" spans="2:7" ht="15.75">
      <c r="B80" s="283" t="s">
        <v>636</v>
      </c>
      <c r="C80" s="284">
        <v>80</v>
      </c>
      <c r="F80" s="291" t="s">
        <v>329</v>
      </c>
      <c r="G80" s="286" t="s">
        <v>330</v>
      </c>
    </row>
    <row r="81" spans="2:7" ht="15.75">
      <c r="B81" s="280" t="s">
        <v>687</v>
      </c>
      <c r="C81" s="281">
        <v>81</v>
      </c>
      <c r="F81" s="291" t="s">
        <v>329</v>
      </c>
      <c r="G81" s="286" t="s">
        <v>331</v>
      </c>
    </row>
    <row r="82" spans="2:7" ht="15.75">
      <c r="B82" s="283" t="s">
        <v>760</v>
      </c>
      <c r="C82" s="284">
        <v>82</v>
      </c>
      <c r="F82" s="291" t="s">
        <v>329</v>
      </c>
      <c r="G82" s="286" t="s">
        <v>332</v>
      </c>
    </row>
    <row r="83" spans="2:7" ht="15.75">
      <c r="B83" s="280" t="s">
        <v>761</v>
      </c>
      <c r="C83" s="281">
        <v>83</v>
      </c>
      <c r="F83" s="291" t="s">
        <v>329</v>
      </c>
      <c r="G83" s="286" t="s">
        <v>333</v>
      </c>
    </row>
    <row r="84" spans="2:7" ht="15.75">
      <c r="B84" s="283" t="s">
        <v>695</v>
      </c>
      <c r="C84" s="284">
        <v>84</v>
      </c>
      <c r="F84" s="291" t="s">
        <v>329</v>
      </c>
      <c r="G84" s="286" t="s">
        <v>334</v>
      </c>
    </row>
    <row r="85" spans="2:7" ht="15.75">
      <c r="B85" s="280" t="s">
        <v>643</v>
      </c>
      <c r="C85" s="281">
        <v>85</v>
      </c>
      <c r="F85" s="291" t="s">
        <v>329</v>
      </c>
      <c r="G85" s="286" t="s">
        <v>335</v>
      </c>
    </row>
    <row r="86" spans="2:7" ht="15.75">
      <c r="B86" s="275" t="s">
        <v>752</v>
      </c>
      <c r="C86" s="284">
        <v>86</v>
      </c>
      <c r="F86" s="291" t="s">
        <v>329</v>
      </c>
      <c r="G86" s="286" t="s">
        <v>336</v>
      </c>
    </row>
    <row r="87" spans="2:7" ht="15.75">
      <c r="B87" s="275" t="s">
        <v>455</v>
      </c>
      <c r="C87" s="281">
        <v>87</v>
      </c>
      <c r="F87" s="291" t="s">
        <v>329</v>
      </c>
      <c r="G87" s="286" t="s">
        <v>337</v>
      </c>
    </row>
    <row r="88" spans="2:7" ht="15.75">
      <c r="B88" s="275" t="s">
        <v>461</v>
      </c>
      <c r="C88" s="284">
        <v>88</v>
      </c>
      <c r="F88" s="291" t="s">
        <v>329</v>
      </c>
      <c r="G88" s="286" t="s">
        <v>338</v>
      </c>
    </row>
    <row r="89" spans="2:7" ht="15.75">
      <c r="B89" s="308" t="s">
        <v>869</v>
      </c>
      <c r="F89" s="291" t="s">
        <v>329</v>
      </c>
      <c r="G89" s="286" t="s">
        <v>339</v>
      </c>
    </row>
    <row r="90" spans="2:7" ht="15.75">
      <c r="B90" s="445" t="s">
        <v>760</v>
      </c>
      <c r="F90" s="291" t="s">
        <v>329</v>
      </c>
      <c r="G90" s="286" t="s">
        <v>340</v>
      </c>
    </row>
    <row r="91" spans="2:7" ht="15.75">
      <c r="F91" s="291" t="s">
        <v>329</v>
      </c>
      <c r="G91" s="286" t="s">
        <v>341</v>
      </c>
    </row>
    <row r="92" spans="2:7" ht="15.75">
      <c r="F92" s="291" t="s">
        <v>329</v>
      </c>
      <c r="G92" s="286" t="s">
        <v>342</v>
      </c>
    </row>
    <row r="93" spans="2:7" ht="15.75">
      <c r="F93" s="291" t="s">
        <v>329</v>
      </c>
      <c r="G93" s="286" t="s">
        <v>343</v>
      </c>
    </row>
    <row r="94" spans="2:7" ht="15.75">
      <c r="F94" s="291" t="s">
        <v>329</v>
      </c>
      <c r="G94" s="286" t="s">
        <v>344</v>
      </c>
    </row>
    <row r="95" spans="2:7" ht="15.75">
      <c r="F95" s="291" t="s">
        <v>329</v>
      </c>
      <c r="G95" s="286" t="s">
        <v>345</v>
      </c>
    </row>
    <row r="96" spans="2:7" ht="15.75">
      <c r="F96" s="291" t="s">
        <v>329</v>
      </c>
      <c r="G96" s="286" t="s">
        <v>346</v>
      </c>
    </row>
    <row r="97" spans="6:7" ht="15.75">
      <c r="F97" s="291" t="s">
        <v>329</v>
      </c>
      <c r="G97" s="286" t="s">
        <v>347</v>
      </c>
    </row>
    <row r="98" spans="6:7" ht="15.75">
      <c r="F98" s="291" t="s">
        <v>329</v>
      </c>
      <c r="G98" s="286" t="s">
        <v>348</v>
      </c>
    </row>
    <row r="99" spans="6:7" ht="15.75">
      <c r="F99" s="291" t="s">
        <v>329</v>
      </c>
      <c r="G99" s="286" t="s">
        <v>349</v>
      </c>
    </row>
    <row r="100" spans="6:7" ht="15.75">
      <c r="F100" s="291" t="s">
        <v>329</v>
      </c>
      <c r="G100" s="286" t="s">
        <v>350</v>
      </c>
    </row>
    <row r="101" spans="6:7" ht="15.75">
      <c r="F101" s="291" t="s">
        <v>329</v>
      </c>
      <c r="G101" s="286" t="s">
        <v>351</v>
      </c>
    </row>
    <row r="102" spans="6:7" ht="15.75">
      <c r="F102" s="291" t="s">
        <v>329</v>
      </c>
      <c r="G102" s="286" t="s">
        <v>352</v>
      </c>
    </row>
    <row r="103" spans="6:7" ht="15.75">
      <c r="F103" s="291" t="s">
        <v>329</v>
      </c>
      <c r="G103" s="286" t="s">
        <v>353</v>
      </c>
    </row>
    <row r="104" spans="6:7" ht="15.75">
      <c r="F104" s="291" t="s">
        <v>329</v>
      </c>
      <c r="G104" s="286" t="s">
        <v>354</v>
      </c>
    </row>
    <row r="105" spans="6:7" ht="15.75">
      <c r="F105" s="291" t="s">
        <v>329</v>
      </c>
      <c r="G105" s="286" t="s">
        <v>355</v>
      </c>
    </row>
    <row r="106" spans="6:7" ht="15.75">
      <c r="F106" s="291" t="s">
        <v>757</v>
      </c>
      <c r="G106" s="286" t="s">
        <v>357</v>
      </c>
    </row>
    <row r="107" spans="6:7" ht="15.75">
      <c r="F107" s="291" t="s">
        <v>358</v>
      </c>
      <c r="G107" s="286" t="s">
        <v>359</v>
      </c>
    </row>
    <row r="108" spans="6:7" ht="15.75">
      <c r="F108" s="291" t="s">
        <v>362</v>
      </c>
      <c r="G108" s="286" t="s">
        <v>363</v>
      </c>
    </row>
    <row r="109" spans="6:7" ht="15.75">
      <c r="F109" s="291" t="s">
        <v>364</v>
      </c>
      <c r="G109" s="286" t="s">
        <v>365</v>
      </c>
    </row>
    <row r="110" spans="6:7" ht="15.75">
      <c r="F110" s="291" t="s">
        <v>364</v>
      </c>
      <c r="G110" s="286" t="s">
        <v>366</v>
      </c>
    </row>
    <row r="111" spans="6:7" ht="15.75">
      <c r="F111" s="291" t="s">
        <v>364</v>
      </c>
      <c r="G111" s="286" t="s">
        <v>367</v>
      </c>
    </row>
    <row r="112" spans="6:7" ht="15.75">
      <c r="F112" s="291" t="s">
        <v>364</v>
      </c>
      <c r="G112" s="286" t="s">
        <v>368</v>
      </c>
    </row>
    <row r="113" spans="6:7" ht="15.75">
      <c r="F113" s="291" t="s">
        <v>364</v>
      </c>
      <c r="G113" s="286" t="s">
        <v>369</v>
      </c>
    </row>
    <row r="114" spans="6:7" ht="15.75">
      <c r="F114" s="291" t="s">
        <v>364</v>
      </c>
      <c r="G114" s="286" t="s">
        <v>370</v>
      </c>
    </row>
    <row r="115" spans="6:7" ht="15.75">
      <c r="F115" s="291" t="s">
        <v>364</v>
      </c>
      <c r="G115" s="286" t="s">
        <v>371</v>
      </c>
    </row>
    <row r="116" spans="6:7" ht="15.75">
      <c r="F116" s="291" t="s">
        <v>364</v>
      </c>
      <c r="G116" s="286" t="s">
        <v>372</v>
      </c>
    </row>
    <row r="117" spans="6:7" ht="15.75">
      <c r="F117" s="291" t="s">
        <v>364</v>
      </c>
      <c r="G117" s="286" t="s">
        <v>373</v>
      </c>
    </row>
    <row r="118" spans="6:7" ht="15.75">
      <c r="F118" s="291" t="s">
        <v>364</v>
      </c>
      <c r="G118" s="286" t="s">
        <v>374</v>
      </c>
    </row>
    <row r="119" spans="6:7" ht="15.75">
      <c r="F119" s="291" t="s">
        <v>364</v>
      </c>
      <c r="G119" s="286" t="s">
        <v>376</v>
      </c>
    </row>
    <row r="120" spans="6:7" ht="15.75">
      <c r="F120" s="291" t="s">
        <v>364</v>
      </c>
      <c r="G120" s="286" t="s">
        <v>375</v>
      </c>
    </row>
    <row r="121" spans="6:7" ht="15.75">
      <c r="F121" s="291" t="s">
        <v>364</v>
      </c>
      <c r="G121" s="286" t="s">
        <v>377</v>
      </c>
    </row>
    <row r="122" spans="6:7" ht="15.75">
      <c r="F122" s="291" t="s">
        <v>364</v>
      </c>
      <c r="G122" s="286" t="s">
        <v>378</v>
      </c>
    </row>
    <row r="123" spans="6:7" ht="15.75">
      <c r="F123" s="291" t="s">
        <v>364</v>
      </c>
      <c r="G123" s="286" t="s">
        <v>379</v>
      </c>
    </row>
    <row r="124" spans="6:7" ht="15.75">
      <c r="F124" s="291" t="s">
        <v>364</v>
      </c>
      <c r="G124" s="286" t="s">
        <v>380</v>
      </c>
    </row>
    <row r="125" spans="6:7" ht="15.75">
      <c r="F125" s="291" t="s">
        <v>364</v>
      </c>
      <c r="G125" s="286" t="s">
        <v>381</v>
      </c>
    </row>
    <row r="126" spans="6:7" ht="15.75">
      <c r="F126" s="291" t="s">
        <v>364</v>
      </c>
      <c r="G126" s="286" t="s">
        <v>383</v>
      </c>
    </row>
    <row r="127" spans="6:7" ht="15.75">
      <c r="F127" s="291" t="s">
        <v>364</v>
      </c>
      <c r="G127" s="288" t="s">
        <v>382</v>
      </c>
    </row>
    <row r="128" spans="6:7" ht="15.75">
      <c r="F128" s="291" t="s">
        <v>384</v>
      </c>
      <c r="G128" s="286" t="s">
        <v>385</v>
      </c>
    </row>
    <row r="129" spans="6:7" ht="15.75">
      <c r="F129" s="291" t="s">
        <v>394</v>
      </c>
      <c r="G129" s="286" t="s">
        <v>395</v>
      </c>
    </row>
    <row r="130" spans="6:7" ht="15.75">
      <c r="F130" s="291" t="s">
        <v>394</v>
      </c>
      <c r="G130" s="286" t="s">
        <v>396</v>
      </c>
    </row>
    <row r="131" spans="6:7" ht="15.75">
      <c r="F131" s="291" t="s">
        <v>394</v>
      </c>
      <c r="G131" s="286" t="s">
        <v>397</v>
      </c>
    </row>
    <row r="132" spans="6:7" ht="15.75">
      <c r="F132" s="291" t="s">
        <v>394</v>
      </c>
      <c r="G132" s="286" t="s">
        <v>398</v>
      </c>
    </row>
    <row r="133" spans="6:7" ht="15.75">
      <c r="F133" s="291" t="s">
        <v>394</v>
      </c>
      <c r="G133" s="286" t="s">
        <v>399</v>
      </c>
    </row>
    <row r="134" spans="6:7" ht="15.75">
      <c r="F134" s="291" t="s">
        <v>394</v>
      </c>
      <c r="G134" s="286" t="s">
        <v>400</v>
      </c>
    </row>
    <row r="135" spans="6:7" ht="15.75">
      <c r="F135" s="291" t="s">
        <v>394</v>
      </c>
      <c r="G135" s="293" t="s">
        <v>401</v>
      </c>
    </row>
    <row r="136" spans="6:7" ht="15.75">
      <c r="F136" s="291" t="s">
        <v>394</v>
      </c>
      <c r="G136" s="293" t="s">
        <v>402</v>
      </c>
    </row>
    <row r="137" spans="6:7" ht="15.75">
      <c r="F137" s="291" t="s">
        <v>403</v>
      </c>
      <c r="G137" s="288" t="s">
        <v>404</v>
      </c>
    </row>
    <row r="138" spans="6:7" ht="15.75">
      <c r="F138" s="291" t="s">
        <v>403</v>
      </c>
      <c r="G138" s="288" t="s">
        <v>405</v>
      </c>
    </row>
    <row r="139" spans="6:7" ht="15.75">
      <c r="F139" s="291" t="s">
        <v>403</v>
      </c>
      <c r="G139" s="288" t="s">
        <v>406</v>
      </c>
    </row>
    <row r="140" spans="6:7" ht="15.75">
      <c r="F140" s="291" t="s">
        <v>419</v>
      </c>
      <c r="G140" s="288" t="s">
        <v>420</v>
      </c>
    </row>
    <row r="141" spans="6:7" ht="15.75">
      <c r="F141" s="291" t="s">
        <v>419</v>
      </c>
      <c r="G141" s="288" t="s">
        <v>421</v>
      </c>
    </row>
    <row r="142" spans="6:7" ht="15.75">
      <c r="F142" s="291" t="s">
        <v>419</v>
      </c>
      <c r="G142" s="288" t="s">
        <v>422</v>
      </c>
    </row>
    <row r="143" spans="6:7" ht="15.75">
      <c r="F143" s="291" t="s">
        <v>423</v>
      </c>
      <c r="G143" s="288" t="s">
        <v>424</v>
      </c>
    </row>
    <row r="144" spans="6:7" ht="15.75">
      <c r="F144" s="291" t="s">
        <v>423</v>
      </c>
      <c r="G144" s="288" t="s">
        <v>425</v>
      </c>
    </row>
    <row r="145" spans="6:7" ht="15.75">
      <c r="F145" s="291" t="s">
        <v>423</v>
      </c>
      <c r="G145" s="288" t="s">
        <v>426</v>
      </c>
    </row>
    <row r="146" spans="6:7" ht="15.75">
      <c r="F146" s="291" t="s">
        <v>423</v>
      </c>
      <c r="G146" s="288" t="s">
        <v>427</v>
      </c>
    </row>
    <row r="147" spans="6:7" ht="15.75">
      <c r="F147" s="291" t="s">
        <v>423</v>
      </c>
      <c r="G147" s="288" t="s">
        <v>428</v>
      </c>
    </row>
    <row r="148" spans="6:7" ht="15.75">
      <c r="F148" s="291" t="s">
        <v>429</v>
      </c>
      <c r="G148" s="288" t="s">
        <v>430</v>
      </c>
    </row>
    <row r="149" spans="6:7" ht="15.75">
      <c r="F149" s="291" t="s">
        <v>429</v>
      </c>
      <c r="G149" s="288" t="s">
        <v>431</v>
      </c>
    </row>
    <row r="150" spans="6:7" ht="15.75">
      <c r="F150" s="291" t="s">
        <v>429</v>
      </c>
      <c r="G150" s="288" t="s">
        <v>432</v>
      </c>
    </row>
    <row r="151" spans="6:7" ht="15.75">
      <c r="F151" s="291" t="s">
        <v>429</v>
      </c>
      <c r="G151" s="288" t="s">
        <v>433</v>
      </c>
    </row>
    <row r="152" spans="6:7" ht="15.75">
      <c r="F152" s="291" t="s">
        <v>429</v>
      </c>
      <c r="G152" s="288" t="s">
        <v>434</v>
      </c>
    </row>
    <row r="153" spans="6:7" ht="15.75">
      <c r="F153" s="291" t="s">
        <v>429</v>
      </c>
      <c r="G153" s="288" t="s">
        <v>435</v>
      </c>
    </row>
    <row r="154" spans="6:7" ht="15.75">
      <c r="F154" s="291" t="s">
        <v>429</v>
      </c>
      <c r="G154" s="286" t="s">
        <v>436</v>
      </c>
    </row>
    <row r="155" spans="6:7" ht="15.75">
      <c r="F155" s="291" t="s">
        <v>429</v>
      </c>
      <c r="G155" s="288" t="s">
        <v>437</v>
      </c>
    </row>
    <row r="156" spans="6:7" ht="15.75">
      <c r="F156" s="291" t="s">
        <v>429</v>
      </c>
      <c r="G156" s="286" t="s">
        <v>438</v>
      </c>
    </row>
    <row r="157" spans="6:7" ht="15.75">
      <c r="F157" s="291" t="s">
        <v>429</v>
      </c>
      <c r="G157" s="286" t="s">
        <v>439</v>
      </c>
    </row>
    <row r="158" spans="6:7" ht="15.75">
      <c r="F158" s="291" t="s">
        <v>429</v>
      </c>
      <c r="G158" s="286" t="s">
        <v>440</v>
      </c>
    </row>
    <row r="159" spans="6:7" ht="15.75">
      <c r="F159" s="291" t="s">
        <v>429</v>
      </c>
      <c r="G159" s="286" t="s">
        <v>441</v>
      </c>
    </row>
    <row r="160" spans="6:7" ht="15.75">
      <c r="F160" s="291" t="s">
        <v>429</v>
      </c>
      <c r="G160" s="286" t="s">
        <v>442</v>
      </c>
    </row>
    <row r="161" spans="6:7" ht="15.75">
      <c r="F161" s="291" t="s">
        <v>429</v>
      </c>
      <c r="G161" s="286" t="s">
        <v>443</v>
      </c>
    </row>
    <row r="162" spans="6:7" ht="15.75">
      <c r="F162" s="291" t="s">
        <v>429</v>
      </c>
      <c r="G162" s="286" t="s">
        <v>444</v>
      </c>
    </row>
    <row r="163" spans="6:7" ht="15.75">
      <c r="F163" s="291" t="s">
        <v>429</v>
      </c>
      <c r="G163" s="286" t="s">
        <v>445</v>
      </c>
    </row>
    <row r="164" spans="6:7" ht="15.75">
      <c r="F164" s="291" t="s">
        <v>429</v>
      </c>
      <c r="G164" s="286" t="s">
        <v>367</v>
      </c>
    </row>
    <row r="165" spans="6:7" ht="15.75">
      <c r="F165" s="291" t="s">
        <v>429</v>
      </c>
      <c r="G165" s="286" t="s">
        <v>446</v>
      </c>
    </row>
    <row r="166" spans="6:7" ht="15.75">
      <c r="F166" s="291" t="s">
        <v>429</v>
      </c>
      <c r="G166" s="286" t="s">
        <v>447</v>
      </c>
    </row>
    <row r="167" spans="6:7" ht="15.75">
      <c r="F167" s="291" t="s">
        <v>429</v>
      </c>
      <c r="G167" s="286" t="s">
        <v>448</v>
      </c>
    </row>
    <row r="168" spans="6:7" ht="15.75">
      <c r="F168" s="291" t="s">
        <v>429</v>
      </c>
      <c r="G168" s="286" t="s">
        <v>449</v>
      </c>
    </row>
    <row r="169" spans="6:7" ht="15.75">
      <c r="F169" s="291" t="s">
        <v>429</v>
      </c>
      <c r="G169" s="286" t="s">
        <v>450</v>
      </c>
    </row>
    <row r="170" spans="6:7" ht="15.75">
      <c r="F170" s="291" t="s">
        <v>429</v>
      </c>
      <c r="G170" s="286" t="s">
        <v>451</v>
      </c>
    </row>
    <row r="171" spans="6:7" ht="15.75">
      <c r="F171" s="291" t="s">
        <v>429</v>
      </c>
      <c r="G171" s="286" t="s">
        <v>452</v>
      </c>
    </row>
    <row r="172" spans="6:7" ht="15.75">
      <c r="F172" s="291" t="s">
        <v>429</v>
      </c>
      <c r="G172" s="286" t="s">
        <v>453</v>
      </c>
    </row>
    <row r="173" spans="6:7" ht="15.75">
      <c r="F173" s="291" t="s">
        <v>429</v>
      </c>
      <c r="G173" s="286" t="s">
        <v>454</v>
      </c>
    </row>
    <row r="174" spans="6:7" ht="15.75">
      <c r="F174" s="291" t="s">
        <v>463</v>
      </c>
      <c r="G174" s="286" t="s">
        <v>464</v>
      </c>
    </row>
    <row r="175" spans="6:7" ht="15.75">
      <c r="F175" s="291" t="s">
        <v>465</v>
      </c>
      <c r="G175" s="286" t="s">
        <v>466</v>
      </c>
    </row>
    <row r="176" spans="6:7" ht="15.75">
      <c r="F176" s="291" t="s">
        <v>471</v>
      </c>
      <c r="G176" s="286" t="s">
        <v>472</v>
      </c>
    </row>
    <row r="177" spans="6:7" ht="15.75">
      <c r="F177" s="291" t="s">
        <v>471</v>
      </c>
      <c r="G177" s="286" t="s">
        <v>473</v>
      </c>
    </row>
    <row r="178" spans="6:7" ht="15.75">
      <c r="F178" s="291" t="s">
        <v>467</v>
      </c>
      <c r="G178" s="286" t="s">
        <v>468</v>
      </c>
    </row>
    <row r="179" spans="6:7" ht="15.75">
      <c r="F179" s="291" t="s">
        <v>474</v>
      </c>
      <c r="G179" s="286" t="s">
        <v>475</v>
      </c>
    </row>
    <row r="180" spans="6:7" ht="15.75">
      <c r="F180" s="291" t="s">
        <v>474</v>
      </c>
      <c r="G180" s="286" t="s">
        <v>476</v>
      </c>
    </row>
    <row r="181" spans="6:7" ht="15.75">
      <c r="F181" s="291" t="s">
        <v>474</v>
      </c>
      <c r="G181" s="286" t="s">
        <v>477</v>
      </c>
    </row>
    <row r="182" spans="6:7" ht="15.75">
      <c r="F182" s="291" t="s">
        <v>474</v>
      </c>
      <c r="G182" s="286" t="s">
        <v>478</v>
      </c>
    </row>
    <row r="183" spans="6:7" ht="15.75">
      <c r="F183" s="291" t="s">
        <v>474</v>
      </c>
      <c r="G183" s="286" t="s">
        <v>479</v>
      </c>
    </row>
    <row r="184" spans="6:7" ht="15.75">
      <c r="F184" s="291" t="s">
        <v>474</v>
      </c>
      <c r="G184" s="286" t="s">
        <v>480</v>
      </c>
    </row>
    <row r="185" spans="6:7" ht="15.75">
      <c r="F185" s="291" t="s">
        <v>474</v>
      </c>
      <c r="G185" s="286" t="s">
        <v>481</v>
      </c>
    </row>
    <row r="186" spans="6:7" ht="15.75">
      <c r="F186" s="291" t="s">
        <v>489</v>
      </c>
      <c r="G186" s="286" t="s">
        <v>490</v>
      </c>
    </row>
    <row r="187" spans="6:7" ht="15.75">
      <c r="F187" s="291" t="s">
        <v>486</v>
      </c>
      <c r="G187" s="286" t="s">
        <v>487</v>
      </c>
    </row>
    <row r="188" spans="6:7" ht="15.75">
      <c r="F188" s="291" t="s">
        <v>486</v>
      </c>
      <c r="G188" s="286" t="s">
        <v>488</v>
      </c>
    </row>
    <row r="189" spans="6:7" ht="15.75">
      <c r="F189" s="291" t="s">
        <v>491</v>
      </c>
      <c r="G189" s="286" t="s">
        <v>492</v>
      </c>
    </row>
    <row r="190" spans="6:7" ht="15.75">
      <c r="F190" s="291" t="s">
        <v>491</v>
      </c>
      <c r="G190" s="286" t="s">
        <v>493</v>
      </c>
    </row>
    <row r="191" spans="6:7" ht="15.75">
      <c r="F191" s="291" t="s">
        <v>491</v>
      </c>
      <c r="G191" s="286" t="s">
        <v>494</v>
      </c>
    </row>
    <row r="192" spans="6:7" ht="15.75">
      <c r="F192" s="291" t="s">
        <v>491</v>
      </c>
      <c r="G192" s="286" t="s">
        <v>495</v>
      </c>
    </row>
    <row r="193" spans="6:7" ht="15.75">
      <c r="F193" s="291" t="s">
        <v>491</v>
      </c>
      <c r="G193" s="286" t="s">
        <v>496</v>
      </c>
    </row>
    <row r="194" spans="6:7" ht="15.75">
      <c r="F194" s="291" t="s">
        <v>491</v>
      </c>
      <c r="G194" s="286" t="s">
        <v>497</v>
      </c>
    </row>
    <row r="195" spans="6:7" ht="15.75">
      <c r="F195" s="291" t="s">
        <v>491</v>
      </c>
      <c r="G195" s="286" t="s">
        <v>498</v>
      </c>
    </row>
    <row r="196" spans="6:7" ht="15.75">
      <c r="F196" s="291" t="s">
        <v>491</v>
      </c>
      <c r="G196" s="286" t="s">
        <v>499</v>
      </c>
    </row>
    <row r="197" spans="6:7" ht="15.75">
      <c r="F197" s="291" t="s">
        <v>491</v>
      </c>
      <c r="G197" s="286" t="s">
        <v>500</v>
      </c>
    </row>
    <row r="198" spans="6:7" ht="15.75">
      <c r="F198" s="291" t="s">
        <v>491</v>
      </c>
      <c r="G198" s="286" t="s">
        <v>501</v>
      </c>
    </row>
    <row r="199" spans="6:7" ht="15.75">
      <c r="F199" s="291" t="s">
        <v>491</v>
      </c>
      <c r="G199" s="286" t="s">
        <v>502</v>
      </c>
    </row>
    <row r="200" spans="6:7" ht="15.75">
      <c r="F200" s="291" t="s">
        <v>491</v>
      </c>
      <c r="G200" s="288" t="s">
        <v>503</v>
      </c>
    </row>
    <row r="201" spans="6:7" ht="15.75">
      <c r="F201" s="291" t="s">
        <v>491</v>
      </c>
      <c r="G201" s="288" t="s">
        <v>504</v>
      </c>
    </row>
    <row r="202" spans="6:7" ht="15.75">
      <c r="F202" s="291" t="s">
        <v>491</v>
      </c>
      <c r="G202" s="288" t="s">
        <v>505</v>
      </c>
    </row>
    <row r="203" spans="6:7" ht="15.75">
      <c r="F203" s="291" t="s">
        <v>506</v>
      </c>
      <c r="G203" s="288" t="s">
        <v>507</v>
      </c>
    </row>
    <row r="204" spans="6:7" ht="15.75">
      <c r="F204" s="291" t="s">
        <v>506</v>
      </c>
      <c r="G204" s="288" t="s">
        <v>508</v>
      </c>
    </row>
    <row r="205" spans="6:7" ht="15.75">
      <c r="F205" s="291" t="s">
        <v>506</v>
      </c>
      <c r="G205" s="288" t="s">
        <v>509</v>
      </c>
    </row>
    <row r="206" spans="6:7" ht="15.75">
      <c r="F206" s="291" t="s">
        <v>506</v>
      </c>
      <c r="G206" s="288" t="s">
        <v>510</v>
      </c>
    </row>
    <row r="207" spans="6:7" ht="15.75">
      <c r="F207" s="291" t="s">
        <v>506</v>
      </c>
      <c r="G207" s="288" t="s">
        <v>511</v>
      </c>
    </row>
    <row r="208" spans="6:7" ht="15.75">
      <c r="F208" s="291" t="s">
        <v>506</v>
      </c>
      <c r="G208" s="288" t="s">
        <v>512</v>
      </c>
    </row>
    <row r="209" spans="6:7" ht="15.75">
      <c r="F209" s="291" t="s">
        <v>506</v>
      </c>
      <c r="G209" s="288" t="s">
        <v>513</v>
      </c>
    </row>
    <row r="210" spans="6:7" ht="15.75">
      <c r="F210" s="291" t="s">
        <v>514</v>
      </c>
      <c r="G210" s="288" t="s">
        <v>515</v>
      </c>
    </row>
    <row r="211" spans="6:7" ht="15.75">
      <c r="F211" s="291" t="s">
        <v>514</v>
      </c>
      <c r="G211" s="288" t="s">
        <v>516</v>
      </c>
    </row>
    <row r="212" spans="6:7" ht="15.75">
      <c r="F212" s="291" t="s">
        <v>514</v>
      </c>
      <c r="G212" s="288" t="s">
        <v>517</v>
      </c>
    </row>
    <row r="213" spans="6:7" ht="15.75">
      <c r="F213" s="291" t="s">
        <v>518</v>
      </c>
      <c r="G213" s="288" t="s">
        <v>519</v>
      </c>
    </row>
    <row r="214" spans="6:7" ht="15.75">
      <c r="F214" s="291" t="s">
        <v>518</v>
      </c>
      <c r="G214" s="288" t="s">
        <v>520</v>
      </c>
    </row>
    <row r="215" spans="6:7" ht="15.75">
      <c r="F215" s="291" t="s">
        <v>521</v>
      </c>
      <c r="G215" s="288" t="s">
        <v>522</v>
      </c>
    </row>
    <row r="216" spans="6:7" ht="15.75">
      <c r="F216" s="291" t="s">
        <v>521</v>
      </c>
      <c r="G216" s="288" t="s">
        <v>523</v>
      </c>
    </row>
    <row r="217" spans="6:7" ht="15.75">
      <c r="F217" s="291" t="s">
        <v>521</v>
      </c>
      <c r="G217" s="288" t="s">
        <v>524</v>
      </c>
    </row>
    <row r="218" spans="6:7" ht="15.75">
      <c r="F218" s="291" t="s">
        <v>521</v>
      </c>
      <c r="G218" s="288" t="s">
        <v>525</v>
      </c>
    </row>
    <row r="219" spans="6:7" ht="15.75">
      <c r="F219" s="291" t="s">
        <v>521</v>
      </c>
      <c r="G219" s="288" t="s">
        <v>526</v>
      </c>
    </row>
    <row r="220" spans="6:7" ht="15.75">
      <c r="F220" s="291" t="s">
        <v>521</v>
      </c>
      <c r="G220" s="288" t="s">
        <v>527</v>
      </c>
    </row>
    <row r="221" spans="6:7" ht="15.75">
      <c r="F221" s="291" t="s">
        <v>521</v>
      </c>
      <c r="G221" s="288" t="s">
        <v>528</v>
      </c>
    </row>
    <row r="222" spans="6:7" ht="15.75">
      <c r="F222" s="291" t="s">
        <v>521</v>
      </c>
      <c r="G222" s="288" t="s">
        <v>529</v>
      </c>
    </row>
    <row r="223" spans="6:7" ht="15.75">
      <c r="F223" s="291" t="s">
        <v>521</v>
      </c>
      <c r="G223" s="288" t="s">
        <v>530</v>
      </c>
    </row>
    <row r="224" spans="6:7" ht="15.75">
      <c r="F224" s="291" t="s">
        <v>531</v>
      </c>
      <c r="G224" s="288" t="s">
        <v>532</v>
      </c>
    </row>
    <row r="225" spans="6:7" ht="15.75">
      <c r="F225" s="291" t="s">
        <v>531</v>
      </c>
      <c r="G225" s="288" t="s">
        <v>533</v>
      </c>
    </row>
    <row r="226" spans="6:7" ht="15.75">
      <c r="F226" s="291" t="s">
        <v>531</v>
      </c>
      <c r="G226" s="286" t="s">
        <v>534</v>
      </c>
    </row>
    <row r="227" spans="6:7" ht="15.75">
      <c r="F227" s="291" t="s">
        <v>531</v>
      </c>
      <c r="G227" s="286" t="s">
        <v>535</v>
      </c>
    </row>
    <row r="228" spans="6:7" ht="15.75">
      <c r="F228" s="291" t="s">
        <v>536</v>
      </c>
      <c r="G228" s="286" t="s">
        <v>537</v>
      </c>
    </row>
    <row r="229" spans="6:7" ht="15.75">
      <c r="F229" s="291" t="s">
        <v>536</v>
      </c>
      <c r="G229" s="286" t="s">
        <v>538</v>
      </c>
    </row>
    <row r="230" spans="6:7" ht="15.75">
      <c r="F230" s="291" t="s">
        <v>536</v>
      </c>
      <c r="G230" s="286" t="s">
        <v>539</v>
      </c>
    </row>
    <row r="231" spans="6:7" ht="15.75">
      <c r="F231" s="291" t="s">
        <v>540</v>
      </c>
      <c r="G231" s="286" t="s">
        <v>541</v>
      </c>
    </row>
    <row r="232" spans="6:7" ht="15.75">
      <c r="F232" s="291" t="s">
        <v>542</v>
      </c>
      <c r="G232" s="286" t="s">
        <v>543</v>
      </c>
    </row>
    <row r="233" spans="6:7" ht="15.75">
      <c r="F233" s="291" t="s">
        <v>542</v>
      </c>
      <c r="G233" s="286" t="s">
        <v>544</v>
      </c>
    </row>
    <row r="234" spans="6:7" ht="15.75">
      <c r="F234" s="291" t="s">
        <v>545</v>
      </c>
      <c r="G234" s="286" t="s">
        <v>546</v>
      </c>
    </row>
    <row r="235" spans="6:7" ht="15.75">
      <c r="F235" s="291" t="s">
        <v>545</v>
      </c>
      <c r="G235" s="286" t="s">
        <v>547</v>
      </c>
    </row>
    <row r="236" spans="6:7" ht="15.75">
      <c r="F236" s="291" t="s">
        <v>545</v>
      </c>
      <c r="G236" s="286" t="s">
        <v>548</v>
      </c>
    </row>
    <row r="237" spans="6:7" ht="15.75">
      <c r="F237" s="291" t="s">
        <v>545</v>
      </c>
      <c r="G237" s="286" t="s">
        <v>549</v>
      </c>
    </row>
    <row r="238" spans="6:7" ht="15.75">
      <c r="F238" s="291" t="s">
        <v>550</v>
      </c>
      <c r="G238" s="286" t="s">
        <v>551</v>
      </c>
    </row>
    <row r="239" spans="6:7" ht="15.75">
      <c r="F239" s="291" t="s">
        <v>550</v>
      </c>
      <c r="G239" s="286" t="s">
        <v>552</v>
      </c>
    </row>
    <row r="240" spans="6:7" ht="15.75">
      <c r="F240" s="291" t="s">
        <v>550</v>
      </c>
      <c r="G240" s="286" t="s">
        <v>553</v>
      </c>
    </row>
    <row r="241" spans="6:7" ht="15.75">
      <c r="F241" s="291" t="s">
        <v>550</v>
      </c>
      <c r="G241" s="286" t="s">
        <v>554</v>
      </c>
    </row>
    <row r="242" spans="6:7" ht="15.75">
      <c r="F242" s="291" t="s">
        <v>550</v>
      </c>
      <c r="G242" s="286" t="s">
        <v>555</v>
      </c>
    </row>
    <row r="243" spans="6:7" ht="15.75">
      <c r="F243" s="291" t="s">
        <v>550</v>
      </c>
      <c r="G243" s="286" t="s">
        <v>556</v>
      </c>
    </row>
    <row r="244" spans="6:7" ht="15.75">
      <c r="F244" s="291" t="s">
        <v>550</v>
      </c>
      <c r="G244" s="286" t="s">
        <v>557</v>
      </c>
    </row>
    <row r="245" spans="6:7" ht="15.75">
      <c r="F245" s="291" t="s">
        <v>550</v>
      </c>
      <c r="G245" s="286" t="s">
        <v>558</v>
      </c>
    </row>
    <row r="246" spans="6:7" ht="15.75">
      <c r="F246" s="291" t="s">
        <v>550</v>
      </c>
      <c r="G246" s="286" t="s">
        <v>559</v>
      </c>
    </row>
    <row r="247" spans="6:7" ht="15.75">
      <c r="F247" s="291" t="s">
        <v>550</v>
      </c>
      <c r="G247" s="286" t="s">
        <v>560</v>
      </c>
    </row>
    <row r="248" spans="6:7" ht="15.75">
      <c r="F248" s="291" t="s">
        <v>550</v>
      </c>
      <c r="G248" s="286" t="s">
        <v>561</v>
      </c>
    </row>
    <row r="249" spans="6:7" ht="15.75">
      <c r="F249" s="291" t="s">
        <v>550</v>
      </c>
      <c r="G249" s="286" t="s">
        <v>562</v>
      </c>
    </row>
    <row r="250" spans="6:7" ht="15.75">
      <c r="F250" s="291" t="s">
        <v>550</v>
      </c>
      <c r="G250" s="286" t="s">
        <v>563</v>
      </c>
    </row>
    <row r="251" spans="6:7" ht="15.75">
      <c r="F251" s="291" t="s">
        <v>550</v>
      </c>
      <c r="G251" s="286" t="s">
        <v>564</v>
      </c>
    </row>
    <row r="252" spans="6:7" ht="15.75">
      <c r="F252" s="291" t="s">
        <v>550</v>
      </c>
      <c r="G252" s="286" t="s">
        <v>565</v>
      </c>
    </row>
    <row r="253" spans="6:7" ht="15.75">
      <c r="F253" s="291" t="s">
        <v>550</v>
      </c>
      <c r="G253" s="286" t="s">
        <v>566</v>
      </c>
    </row>
    <row r="254" spans="6:7" ht="15.75">
      <c r="F254" s="291" t="s">
        <v>567</v>
      </c>
      <c r="G254" s="286" t="s">
        <v>568</v>
      </c>
    </row>
    <row r="255" spans="6:7" ht="15.75">
      <c r="F255" s="291" t="s">
        <v>567</v>
      </c>
      <c r="G255" s="286" t="s">
        <v>569</v>
      </c>
    </row>
    <row r="256" spans="6:7" ht="15.75">
      <c r="F256" s="291" t="s">
        <v>212</v>
      </c>
      <c r="G256" s="286" t="s">
        <v>213</v>
      </c>
    </row>
    <row r="257" spans="6:7" ht="15.75">
      <c r="F257" s="291" t="s">
        <v>758</v>
      </c>
      <c r="G257" s="286" t="s">
        <v>224</v>
      </c>
    </row>
    <row r="258" spans="6:7" ht="15.75">
      <c r="F258" s="291" t="s">
        <v>758</v>
      </c>
      <c r="G258" s="286" t="s">
        <v>225</v>
      </c>
    </row>
    <row r="259" spans="6:7" ht="15.75">
      <c r="F259" s="291" t="s">
        <v>758</v>
      </c>
      <c r="G259" s="286" t="s">
        <v>226</v>
      </c>
    </row>
    <row r="260" spans="6:7" ht="15.75">
      <c r="F260" s="291" t="s">
        <v>261</v>
      </c>
      <c r="G260" s="286" t="s">
        <v>262</v>
      </c>
    </row>
    <row r="261" spans="6:7" ht="15.75">
      <c r="F261" s="291" t="s">
        <v>261</v>
      </c>
      <c r="G261" s="286" t="s">
        <v>263</v>
      </c>
    </row>
    <row r="262" spans="6:7" ht="15.75">
      <c r="F262" s="291" t="s">
        <v>261</v>
      </c>
      <c r="G262" s="286" t="s">
        <v>264</v>
      </c>
    </row>
    <row r="263" spans="6:7" ht="15.75">
      <c r="F263" s="291" t="s">
        <v>261</v>
      </c>
      <c r="G263" s="286" t="s">
        <v>265</v>
      </c>
    </row>
    <row r="264" spans="6:7" ht="15.75">
      <c r="F264" s="291" t="s">
        <v>261</v>
      </c>
      <c r="G264" s="286" t="s">
        <v>266</v>
      </c>
    </row>
    <row r="265" spans="6:7" ht="15.75">
      <c r="F265" s="291" t="s">
        <v>271</v>
      </c>
      <c r="G265" s="286" t="s">
        <v>272</v>
      </c>
    </row>
    <row r="266" spans="6:7" ht="15.75">
      <c r="F266" s="291" t="s">
        <v>271</v>
      </c>
      <c r="G266" s="286" t="s">
        <v>273</v>
      </c>
    </row>
    <row r="267" spans="6:7" ht="15.75">
      <c r="F267" s="291" t="s">
        <v>271</v>
      </c>
      <c r="G267" s="286" t="s">
        <v>274</v>
      </c>
    </row>
    <row r="268" spans="6:7" ht="15.75">
      <c r="F268" s="291" t="s">
        <v>271</v>
      </c>
      <c r="G268" s="286" t="s">
        <v>275</v>
      </c>
    </row>
    <row r="269" spans="6:7" ht="15.75">
      <c r="F269" s="291" t="s">
        <v>271</v>
      </c>
      <c r="G269" s="286" t="s">
        <v>276</v>
      </c>
    </row>
    <row r="270" spans="6:7" ht="15.75">
      <c r="F270" s="291" t="s">
        <v>271</v>
      </c>
      <c r="G270" s="286" t="s">
        <v>277</v>
      </c>
    </row>
    <row r="271" spans="6:7" ht="15.75">
      <c r="F271" s="291" t="s">
        <v>271</v>
      </c>
      <c r="G271" s="286" t="s">
        <v>278</v>
      </c>
    </row>
    <row r="272" spans="6:7" ht="15.75">
      <c r="F272" s="291" t="s">
        <v>271</v>
      </c>
      <c r="G272" s="286" t="s">
        <v>279</v>
      </c>
    </row>
    <row r="273" spans="6:7" ht="15.75">
      <c r="F273" s="291" t="s">
        <v>271</v>
      </c>
      <c r="G273" s="286" t="s">
        <v>280</v>
      </c>
    </row>
    <row r="274" spans="6:7" ht="15.75">
      <c r="F274" s="291" t="s">
        <v>271</v>
      </c>
      <c r="G274" s="286" t="s">
        <v>281</v>
      </c>
    </row>
    <row r="275" spans="6:7" ht="15.75">
      <c r="F275" s="291" t="s">
        <v>300</v>
      </c>
      <c r="G275" s="286" t="s">
        <v>301</v>
      </c>
    </row>
    <row r="276" spans="6:7" ht="15.75">
      <c r="F276" s="291" t="s">
        <v>300</v>
      </c>
      <c r="G276" s="286" t="s">
        <v>302</v>
      </c>
    </row>
    <row r="277" spans="6:7" ht="15.75">
      <c r="F277" s="291" t="s">
        <v>300</v>
      </c>
      <c r="G277" s="286" t="s">
        <v>303</v>
      </c>
    </row>
    <row r="278" spans="6:7" ht="15.75">
      <c r="F278" s="291" t="s">
        <v>326</v>
      </c>
      <c r="G278" s="286" t="s">
        <v>327</v>
      </c>
    </row>
    <row r="279" spans="6:7" ht="15.75">
      <c r="F279" s="291" t="s">
        <v>326</v>
      </c>
      <c r="G279" s="286" t="s">
        <v>328</v>
      </c>
    </row>
    <row r="280" spans="6:7" ht="15.75">
      <c r="F280" s="291" t="s">
        <v>356</v>
      </c>
      <c r="G280" s="286" t="s">
        <v>357</v>
      </c>
    </row>
    <row r="281" spans="6:7" ht="15.75">
      <c r="F281" s="291" t="s">
        <v>360</v>
      </c>
      <c r="G281" s="286" t="s">
        <v>361</v>
      </c>
    </row>
    <row r="282" spans="6:7" ht="15.75">
      <c r="F282" s="291" t="s">
        <v>386</v>
      </c>
      <c r="G282" s="286" t="s">
        <v>387</v>
      </c>
    </row>
    <row r="283" spans="6:7" ht="15.75">
      <c r="F283" s="291" t="s">
        <v>386</v>
      </c>
      <c r="G283" s="286" t="s">
        <v>388</v>
      </c>
    </row>
    <row r="284" spans="6:7" ht="15.75">
      <c r="F284" s="291" t="s">
        <v>386</v>
      </c>
      <c r="G284" s="286" t="s">
        <v>389</v>
      </c>
    </row>
    <row r="285" spans="6:7" ht="15.75">
      <c r="F285" s="291" t="s">
        <v>386</v>
      </c>
      <c r="G285" s="286" t="s">
        <v>390</v>
      </c>
    </row>
    <row r="286" spans="6:7" ht="15.75">
      <c r="F286" s="291" t="s">
        <v>386</v>
      </c>
      <c r="G286" s="286" t="s">
        <v>391</v>
      </c>
    </row>
    <row r="287" spans="6:7" ht="15.75">
      <c r="F287" s="291" t="s">
        <v>386</v>
      </c>
      <c r="G287" s="286" t="s">
        <v>392</v>
      </c>
    </row>
    <row r="288" spans="6:7" ht="15.75">
      <c r="F288" s="291" t="s">
        <v>386</v>
      </c>
      <c r="G288" s="286" t="s">
        <v>393</v>
      </c>
    </row>
    <row r="289" spans="6:7" ht="15.75">
      <c r="F289" s="291" t="s">
        <v>407</v>
      </c>
      <c r="G289" s="286" t="s">
        <v>408</v>
      </c>
    </row>
    <row r="290" spans="6:7" ht="15.75">
      <c r="F290" s="291" t="s">
        <v>407</v>
      </c>
      <c r="G290" s="286" t="s">
        <v>409</v>
      </c>
    </row>
    <row r="291" spans="6:7" ht="15.75">
      <c r="F291" s="291" t="s">
        <v>407</v>
      </c>
      <c r="G291" s="286" t="s">
        <v>410</v>
      </c>
    </row>
    <row r="292" spans="6:7" ht="15.75">
      <c r="F292" s="291" t="s">
        <v>407</v>
      </c>
      <c r="G292" s="286" t="s">
        <v>411</v>
      </c>
    </row>
    <row r="293" spans="6:7" ht="15.75">
      <c r="F293" s="291" t="s">
        <v>407</v>
      </c>
      <c r="G293" s="286" t="s">
        <v>412</v>
      </c>
    </row>
    <row r="294" spans="6:7" ht="15.75">
      <c r="F294" s="291" t="s">
        <v>407</v>
      </c>
      <c r="G294" s="286" t="s">
        <v>413</v>
      </c>
    </row>
    <row r="295" spans="6:7" ht="15.75">
      <c r="F295" s="291" t="s">
        <v>407</v>
      </c>
      <c r="G295" s="286" t="s">
        <v>414</v>
      </c>
    </row>
    <row r="296" spans="6:7" ht="15.75">
      <c r="F296" s="291" t="s">
        <v>407</v>
      </c>
      <c r="G296" s="286" t="s">
        <v>415</v>
      </c>
    </row>
    <row r="297" spans="6:7" ht="15.75">
      <c r="F297" s="291" t="s">
        <v>407</v>
      </c>
      <c r="G297" s="286" t="s">
        <v>416</v>
      </c>
    </row>
    <row r="298" spans="6:7" ht="15.75">
      <c r="F298" s="291" t="s">
        <v>407</v>
      </c>
      <c r="G298" s="286" t="s">
        <v>417</v>
      </c>
    </row>
    <row r="299" spans="6:7" ht="15.75">
      <c r="F299" s="291" t="s">
        <v>407</v>
      </c>
      <c r="G299" s="286" t="s">
        <v>418</v>
      </c>
    </row>
    <row r="300" spans="6:7" ht="15.75">
      <c r="F300" s="291" t="s">
        <v>482</v>
      </c>
      <c r="G300" s="286" t="s">
        <v>483</v>
      </c>
    </row>
    <row r="301" spans="6:7" ht="15.75">
      <c r="F301" s="291" t="s">
        <v>484</v>
      </c>
      <c r="G301" s="286" t="s">
        <v>485</v>
      </c>
    </row>
    <row r="302" spans="6:7" ht="15.75">
      <c r="F302" s="291" t="s">
        <v>701</v>
      </c>
      <c r="G302" s="286" t="s">
        <v>702</v>
      </c>
    </row>
    <row r="303" spans="6:7" ht="15.75">
      <c r="F303" s="291" t="s">
        <v>701</v>
      </c>
      <c r="G303" s="286" t="s">
        <v>703</v>
      </c>
    </row>
    <row r="304" spans="6:7" ht="15.75">
      <c r="F304" s="291" t="s">
        <v>701</v>
      </c>
      <c r="G304" s="286" t="s">
        <v>704</v>
      </c>
    </row>
    <row r="305" spans="6:7" ht="15.75">
      <c r="F305" s="291" t="s">
        <v>701</v>
      </c>
      <c r="G305" s="286" t="s">
        <v>705</v>
      </c>
    </row>
    <row r="306" spans="6:7" ht="15.75">
      <c r="F306" s="291" t="s">
        <v>701</v>
      </c>
      <c r="G306" s="286" t="s">
        <v>706</v>
      </c>
    </row>
    <row r="307" spans="6:7" ht="15.75">
      <c r="F307" s="291" t="s">
        <v>701</v>
      </c>
      <c r="G307" s="286" t="s">
        <v>707</v>
      </c>
    </row>
    <row r="308" spans="6:7" ht="15.75">
      <c r="F308" s="291" t="s">
        <v>701</v>
      </c>
      <c r="G308" s="286" t="s">
        <v>708</v>
      </c>
    </row>
    <row r="309" spans="6:7" ht="15.75">
      <c r="F309" s="291" t="s">
        <v>701</v>
      </c>
      <c r="G309" s="286" t="s">
        <v>709</v>
      </c>
    </row>
    <row r="310" spans="6:7" ht="15.75">
      <c r="F310" s="291" t="s">
        <v>701</v>
      </c>
      <c r="G310" s="286" t="s">
        <v>710</v>
      </c>
    </row>
    <row r="311" spans="6:7" ht="15.75">
      <c r="F311" s="291" t="s">
        <v>701</v>
      </c>
      <c r="G311" s="286" t="s">
        <v>711</v>
      </c>
    </row>
    <row r="312" spans="6:7" ht="15.75">
      <c r="F312" s="291" t="s">
        <v>701</v>
      </c>
      <c r="G312" s="286" t="s">
        <v>712</v>
      </c>
    </row>
    <row r="313" spans="6:7" ht="15.75">
      <c r="F313" s="291" t="s">
        <v>701</v>
      </c>
      <c r="G313" s="286" t="s">
        <v>713</v>
      </c>
    </row>
    <row r="314" spans="6:7" ht="15.75">
      <c r="F314" s="291" t="s">
        <v>701</v>
      </c>
      <c r="G314" s="286" t="s">
        <v>714</v>
      </c>
    </row>
    <row r="315" spans="6:7" ht="15.75">
      <c r="F315" s="291" t="s">
        <v>701</v>
      </c>
      <c r="G315" s="286" t="s">
        <v>715</v>
      </c>
    </row>
    <row r="316" spans="6:7" ht="15.75">
      <c r="F316" s="291" t="s">
        <v>701</v>
      </c>
      <c r="G316" s="286" t="s">
        <v>716</v>
      </c>
    </row>
    <row r="317" spans="6:7" ht="15.75">
      <c r="F317" s="291" t="s">
        <v>701</v>
      </c>
      <c r="G317" s="286" t="s">
        <v>717</v>
      </c>
    </row>
    <row r="318" spans="6:7" ht="15.75">
      <c r="F318" s="291" t="s">
        <v>701</v>
      </c>
      <c r="G318" s="286" t="s">
        <v>718</v>
      </c>
    </row>
    <row r="319" spans="6:7" ht="15.75">
      <c r="F319" s="291" t="s">
        <v>701</v>
      </c>
      <c r="G319" s="286" t="s">
        <v>719</v>
      </c>
    </row>
    <row r="320" spans="6:7" ht="15.75">
      <c r="F320" s="291" t="s">
        <v>701</v>
      </c>
      <c r="G320" s="286" t="s">
        <v>720</v>
      </c>
    </row>
    <row r="321" spans="6:7" ht="15.75">
      <c r="F321" s="291" t="s">
        <v>701</v>
      </c>
      <c r="G321" s="286" t="s">
        <v>721</v>
      </c>
    </row>
    <row r="322" spans="6:7" ht="15.75">
      <c r="F322" s="291" t="s">
        <v>701</v>
      </c>
      <c r="G322" s="286" t="s">
        <v>722</v>
      </c>
    </row>
    <row r="323" spans="6:7" ht="15.75">
      <c r="F323" s="291" t="s">
        <v>701</v>
      </c>
      <c r="G323" s="286" t="s">
        <v>723</v>
      </c>
    </row>
    <row r="324" spans="6:7" ht="15.75">
      <c r="F324" s="291" t="s">
        <v>701</v>
      </c>
      <c r="G324" s="286" t="s">
        <v>724</v>
      </c>
    </row>
    <row r="325" spans="6:7" ht="15.75">
      <c r="F325" s="291" t="s">
        <v>701</v>
      </c>
      <c r="G325" s="286" t="s">
        <v>725</v>
      </c>
    </row>
    <row r="326" spans="6:7" ht="15.75">
      <c r="F326" s="291" t="s">
        <v>701</v>
      </c>
      <c r="G326" s="286" t="s">
        <v>726</v>
      </c>
    </row>
    <row r="327" spans="6:7" ht="15.75">
      <c r="F327" s="291" t="s">
        <v>701</v>
      </c>
      <c r="G327" s="286" t="s">
        <v>727</v>
      </c>
    </row>
    <row r="328" spans="6:7" ht="15.75">
      <c r="F328" s="291" t="s">
        <v>701</v>
      </c>
      <c r="G328" s="286" t="s">
        <v>728</v>
      </c>
    </row>
    <row r="329" spans="6:7" ht="15.75">
      <c r="F329" s="291" t="s">
        <v>701</v>
      </c>
      <c r="G329" s="286" t="s">
        <v>729</v>
      </c>
    </row>
    <row r="330" spans="6:7" ht="15.75">
      <c r="F330" s="291" t="s">
        <v>701</v>
      </c>
      <c r="G330" s="286" t="s">
        <v>730</v>
      </c>
    </row>
    <row r="331" spans="6:7" ht="15.75">
      <c r="F331" s="291" t="s">
        <v>701</v>
      </c>
      <c r="G331" s="286" t="s">
        <v>731</v>
      </c>
    </row>
    <row r="332" spans="6:7" ht="15.75">
      <c r="F332" s="291" t="s">
        <v>701</v>
      </c>
      <c r="G332" s="286" t="s">
        <v>732</v>
      </c>
    </row>
    <row r="333" spans="6:7" ht="15.75">
      <c r="F333" s="291" t="s">
        <v>701</v>
      </c>
      <c r="G333" s="286" t="s">
        <v>733</v>
      </c>
    </row>
    <row r="334" spans="6:7" ht="15.75">
      <c r="F334" s="291" t="s">
        <v>701</v>
      </c>
      <c r="G334" s="286" t="s">
        <v>734</v>
      </c>
    </row>
    <row r="335" spans="6:7" ht="15.75">
      <c r="F335" s="291" t="s">
        <v>701</v>
      </c>
      <c r="G335" s="286" t="s">
        <v>735</v>
      </c>
    </row>
    <row r="336" spans="6:7" ht="15.75">
      <c r="F336" s="291" t="s">
        <v>701</v>
      </c>
      <c r="G336" s="286" t="s">
        <v>736</v>
      </c>
    </row>
    <row r="337" spans="6:7" ht="15.75">
      <c r="F337" s="291" t="s">
        <v>701</v>
      </c>
      <c r="G337" s="286" t="s">
        <v>737</v>
      </c>
    </row>
    <row r="338" spans="6:7" ht="15.75">
      <c r="F338" s="291" t="s">
        <v>701</v>
      </c>
      <c r="G338" s="286" t="s">
        <v>738</v>
      </c>
    </row>
    <row r="339" spans="6:7" ht="15.75">
      <c r="F339" s="291" t="s">
        <v>701</v>
      </c>
      <c r="G339" s="286" t="s">
        <v>739</v>
      </c>
    </row>
    <row r="340" spans="6:7" ht="15.75">
      <c r="F340" s="291" t="s">
        <v>701</v>
      </c>
      <c r="G340" s="286" t="s">
        <v>740</v>
      </c>
    </row>
    <row r="341" spans="6:7" ht="15.75">
      <c r="F341" s="291" t="s">
        <v>701</v>
      </c>
      <c r="G341" s="286" t="s">
        <v>741</v>
      </c>
    </row>
    <row r="342" spans="6:7" ht="15.75">
      <c r="F342" s="291" t="s">
        <v>701</v>
      </c>
      <c r="G342" s="286" t="s">
        <v>742</v>
      </c>
    </row>
    <row r="343" spans="6:7" ht="15.75">
      <c r="F343" s="291" t="s">
        <v>701</v>
      </c>
      <c r="G343" s="286" t="s">
        <v>743</v>
      </c>
    </row>
    <row r="344" spans="6:7" ht="15.75">
      <c r="F344" s="291" t="s">
        <v>701</v>
      </c>
      <c r="G344" s="286" t="s">
        <v>744</v>
      </c>
    </row>
    <row r="345" spans="6:7" ht="15.75">
      <c r="F345" s="291" t="s">
        <v>701</v>
      </c>
      <c r="G345" s="286" t="s">
        <v>745</v>
      </c>
    </row>
    <row r="346" spans="6:7" ht="15.75">
      <c r="F346" s="291" t="s">
        <v>701</v>
      </c>
      <c r="G346" s="286" t="s">
        <v>746</v>
      </c>
    </row>
    <row r="347" spans="6:7" ht="15.75">
      <c r="F347" s="291" t="s">
        <v>701</v>
      </c>
      <c r="G347" s="286" t="s">
        <v>747</v>
      </c>
    </row>
    <row r="348" spans="6:7" ht="15.75">
      <c r="F348" s="291" t="s">
        <v>701</v>
      </c>
      <c r="G348" s="286" t="s">
        <v>748</v>
      </c>
    </row>
    <row r="349" spans="6:7" ht="15.75">
      <c r="F349" s="291" t="s">
        <v>701</v>
      </c>
      <c r="G349" s="286" t="s">
        <v>749</v>
      </c>
    </row>
    <row r="350" spans="6:7" ht="15.75">
      <c r="F350" s="291" t="s">
        <v>701</v>
      </c>
      <c r="G350" s="286" t="s">
        <v>750</v>
      </c>
    </row>
    <row r="351" spans="6:7" ht="15.75">
      <c r="F351" s="291" t="s">
        <v>701</v>
      </c>
      <c r="G351" s="286" t="s">
        <v>751</v>
      </c>
    </row>
    <row r="352" spans="6:7" ht="15.75">
      <c r="F352" s="291" t="s">
        <v>605</v>
      </c>
      <c r="G352" s="286" t="s">
        <v>606</v>
      </c>
    </row>
    <row r="353" spans="6:7" ht="15.75">
      <c r="F353" s="291" t="s">
        <v>618</v>
      </c>
      <c r="G353" s="286" t="s">
        <v>619</v>
      </c>
    </row>
    <row r="354" spans="6:7" ht="15.75">
      <c r="F354" s="291" t="s">
        <v>618</v>
      </c>
      <c r="G354" s="286" t="s">
        <v>620</v>
      </c>
    </row>
    <row r="355" spans="6:7" ht="15.75">
      <c r="F355" s="291" t="s">
        <v>618</v>
      </c>
      <c r="G355" s="286" t="s">
        <v>621</v>
      </c>
    </row>
    <row r="356" spans="6:7" ht="15.75">
      <c r="F356" s="291" t="s">
        <v>632</v>
      </c>
      <c r="G356" s="286" t="s">
        <v>633</v>
      </c>
    </row>
    <row r="357" spans="6:7" ht="15.75">
      <c r="F357" s="291" t="s">
        <v>684</v>
      </c>
      <c r="G357" s="286" t="s">
        <v>685</v>
      </c>
    </row>
    <row r="358" spans="6:7" ht="15.75">
      <c r="F358" s="291" t="s">
        <v>684</v>
      </c>
      <c r="G358" s="286" t="s">
        <v>686</v>
      </c>
    </row>
    <row r="359" spans="6:7" ht="15.75">
      <c r="F359" s="291" t="s">
        <v>570</v>
      </c>
      <c r="G359" s="286" t="s">
        <v>571</v>
      </c>
    </row>
    <row r="360" spans="6:7" ht="15.75">
      <c r="F360" s="291" t="s">
        <v>570</v>
      </c>
      <c r="G360" s="286" t="s">
        <v>572</v>
      </c>
    </row>
    <row r="361" spans="6:7" ht="15.75">
      <c r="F361" s="291" t="s">
        <v>570</v>
      </c>
      <c r="G361" s="286" t="s">
        <v>573</v>
      </c>
    </row>
    <row r="362" spans="6:7" ht="15.75">
      <c r="F362" s="291" t="s">
        <v>574</v>
      </c>
      <c r="G362" s="286" t="s">
        <v>575</v>
      </c>
    </row>
    <row r="363" spans="6:7" ht="15.75">
      <c r="F363" s="291" t="s">
        <v>576</v>
      </c>
      <c r="G363" s="286" t="s">
        <v>577</v>
      </c>
    </row>
    <row r="364" spans="6:7" ht="15.75">
      <c r="F364" s="291" t="s">
        <v>469</v>
      </c>
      <c r="G364" s="286" t="s">
        <v>470</v>
      </c>
    </row>
    <row r="365" spans="6:7" ht="15.75">
      <c r="F365" s="291" t="s">
        <v>578</v>
      </c>
      <c r="G365" s="286" t="s">
        <v>579</v>
      </c>
    </row>
    <row r="366" spans="6:7" ht="15.75">
      <c r="F366" s="291" t="s">
        <v>578</v>
      </c>
      <c r="G366" s="291" t="s">
        <v>580</v>
      </c>
    </row>
    <row r="367" spans="6:7" ht="15.75">
      <c r="F367" s="291" t="s">
        <v>578</v>
      </c>
      <c r="G367" s="286" t="s">
        <v>581</v>
      </c>
    </row>
    <row r="368" spans="6:7" ht="15.75">
      <c r="F368" s="291" t="s">
        <v>582</v>
      </c>
      <c r="G368" s="286" t="s">
        <v>583</v>
      </c>
    </row>
    <row r="369" spans="6:7" ht="15.75">
      <c r="F369" s="291" t="s">
        <v>582</v>
      </c>
      <c r="G369" s="286" t="s">
        <v>584</v>
      </c>
    </row>
    <row r="370" spans="6:7" ht="15.75">
      <c r="F370" s="291" t="s">
        <v>582</v>
      </c>
      <c r="G370" s="286" t="s">
        <v>585</v>
      </c>
    </row>
    <row r="371" spans="6:7" ht="15.75">
      <c r="F371" s="291" t="s">
        <v>582</v>
      </c>
      <c r="G371" s="286" t="s">
        <v>586</v>
      </c>
    </row>
    <row r="372" spans="6:7" ht="15.75">
      <c r="F372" s="291" t="s">
        <v>582</v>
      </c>
      <c r="G372" s="286" t="s">
        <v>587</v>
      </c>
    </row>
    <row r="373" spans="6:7" ht="15.75">
      <c r="F373" s="291" t="s">
        <v>582</v>
      </c>
      <c r="G373" s="286" t="s">
        <v>588</v>
      </c>
    </row>
    <row r="374" spans="6:7" ht="15.75">
      <c r="F374" s="291" t="s">
        <v>582</v>
      </c>
      <c r="G374" s="286" t="s">
        <v>589</v>
      </c>
    </row>
    <row r="375" spans="6:7" ht="15.75">
      <c r="F375" s="291" t="s">
        <v>582</v>
      </c>
      <c r="G375" s="286" t="s">
        <v>590</v>
      </c>
    </row>
    <row r="376" spans="6:7" ht="15.75">
      <c r="F376" s="291" t="s">
        <v>582</v>
      </c>
      <c r="G376" s="286" t="s">
        <v>591</v>
      </c>
    </row>
    <row r="377" spans="6:7" ht="15.75">
      <c r="F377" s="291" t="s">
        <v>582</v>
      </c>
      <c r="G377" s="286" t="s">
        <v>592</v>
      </c>
    </row>
    <row r="378" spans="6:7" ht="15.75">
      <c r="F378" s="291" t="s">
        <v>582</v>
      </c>
      <c r="G378" s="286" t="s">
        <v>593</v>
      </c>
    </row>
    <row r="379" spans="6:7" ht="15.75">
      <c r="F379" s="291" t="s">
        <v>582</v>
      </c>
      <c r="G379" s="286" t="s">
        <v>594</v>
      </c>
    </row>
    <row r="380" spans="6:7" ht="15.75">
      <c r="F380" s="291" t="s">
        <v>582</v>
      </c>
      <c r="G380" s="286" t="s">
        <v>595</v>
      </c>
    </row>
    <row r="381" spans="6:7" ht="15.75">
      <c r="F381" s="291" t="s">
        <v>582</v>
      </c>
      <c r="G381" s="286" t="s">
        <v>596</v>
      </c>
    </row>
    <row r="382" spans="6:7" ht="15.75">
      <c r="F382" s="291" t="s">
        <v>582</v>
      </c>
      <c r="G382" s="286" t="s">
        <v>597</v>
      </c>
    </row>
    <row r="383" spans="6:7" ht="15.75">
      <c r="F383" s="291" t="s">
        <v>598</v>
      </c>
      <c r="G383" s="286" t="s">
        <v>599</v>
      </c>
    </row>
    <row r="384" spans="6:7" ht="15.75">
      <c r="F384" s="291" t="s">
        <v>598</v>
      </c>
      <c r="G384" s="286" t="s">
        <v>600</v>
      </c>
    </row>
    <row r="385" spans="6:7" ht="15.75">
      <c r="F385" s="291" t="s">
        <v>598</v>
      </c>
      <c r="G385" s="286" t="s">
        <v>601</v>
      </c>
    </row>
    <row r="386" spans="6:7" ht="15.75">
      <c r="F386" s="291" t="s">
        <v>598</v>
      </c>
      <c r="G386" s="286" t="s">
        <v>602</v>
      </c>
    </row>
    <row r="387" spans="6:7" ht="15.75">
      <c r="F387" s="291" t="s">
        <v>598</v>
      </c>
      <c r="G387" s="286" t="s">
        <v>603</v>
      </c>
    </row>
    <row r="388" spans="6:7" ht="15.75">
      <c r="F388" s="291" t="s">
        <v>598</v>
      </c>
      <c r="G388" s="286" t="s">
        <v>604</v>
      </c>
    </row>
    <row r="389" spans="6:7" ht="15.75">
      <c r="F389" s="291" t="s">
        <v>607</v>
      </c>
      <c r="G389" s="286" t="s">
        <v>608</v>
      </c>
    </row>
    <row r="390" spans="6:7" ht="15.75">
      <c r="F390" s="291" t="s">
        <v>607</v>
      </c>
      <c r="G390" s="286" t="s">
        <v>609</v>
      </c>
    </row>
    <row r="391" spans="6:7" ht="15.75">
      <c r="F391" s="291" t="s">
        <v>610</v>
      </c>
      <c r="G391" s="286" t="s">
        <v>611</v>
      </c>
    </row>
    <row r="392" spans="6:7" ht="15.75">
      <c r="F392" s="291" t="s">
        <v>610</v>
      </c>
      <c r="G392" s="286" t="s">
        <v>612</v>
      </c>
    </row>
    <row r="393" spans="6:7" ht="15.75">
      <c r="F393" s="291" t="s">
        <v>610</v>
      </c>
      <c r="G393" s="286" t="s">
        <v>613</v>
      </c>
    </row>
    <row r="394" spans="6:7" ht="15.75">
      <c r="F394" s="291" t="s">
        <v>610</v>
      </c>
      <c r="G394" s="286" t="s">
        <v>614</v>
      </c>
    </row>
    <row r="395" spans="6:7" ht="15.75">
      <c r="F395" s="291" t="s">
        <v>610</v>
      </c>
      <c r="G395" s="286" t="s">
        <v>615</v>
      </c>
    </row>
    <row r="396" spans="6:7" ht="15.75">
      <c r="F396" s="291" t="s">
        <v>616</v>
      </c>
      <c r="G396" s="286" t="s">
        <v>617</v>
      </c>
    </row>
    <row r="397" spans="6:7" ht="15.75">
      <c r="F397" s="291" t="s">
        <v>622</v>
      </c>
      <c r="G397" s="286" t="s">
        <v>623</v>
      </c>
    </row>
    <row r="398" spans="6:7" ht="15.75">
      <c r="F398" s="291" t="s">
        <v>622</v>
      </c>
      <c r="G398" s="286" t="s">
        <v>624</v>
      </c>
    </row>
    <row r="399" spans="6:7" ht="15.75">
      <c r="F399" s="291" t="s">
        <v>622</v>
      </c>
      <c r="G399" s="286" t="s">
        <v>625</v>
      </c>
    </row>
    <row r="400" spans="6:7" ht="15.75">
      <c r="F400" s="291" t="s">
        <v>626</v>
      </c>
      <c r="G400" s="286" t="s">
        <v>627</v>
      </c>
    </row>
    <row r="401" spans="6:7" ht="15.75">
      <c r="F401" s="291" t="s">
        <v>626</v>
      </c>
      <c r="G401" s="286" t="s">
        <v>628</v>
      </c>
    </row>
    <row r="402" spans="6:7" ht="15.75">
      <c r="F402" s="291" t="s">
        <v>626</v>
      </c>
      <c r="G402" s="286" t="s">
        <v>629</v>
      </c>
    </row>
    <row r="403" spans="6:7" ht="15.75">
      <c r="F403" s="291" t="s">
        <v>626</v>
      </c>
      <c r="G403" s="286" t="s">
        <v>630</v>
      </c>
    </row>
    <row r="404" spans="6:7" ht="15.75">
      <c r="F404" s="291" t="s">
        <v>626</v>
      </c>
      <c r="G404" s="286" t="s">
        <v>631</v>
      </c>
    </row>
    <row r="405" spans="6:7" ht="15.75">
      <c r="F405" s="291" t="s">
        <v>634</v>
      </c>
      <c r="G405" s="286" t="s">
        <v>635</v>
      </c>
    </row>
    <row r="406" spans="6:7" ht="15.75">
      <c r="F406" s="291" t="s">
        <v>638</v>
      </c>
      <c r="G406" s="286" t="s">
        <v>639</v>
      </c>
    </row>
    <row r="407" spans="6:7" ht="15.75">
      <c r="F407" s="291" t="s">
        <v>638</v>
      </c>
      <c r="G407" s="286" t="s">
        <v>641</v>
      </c>
    </row>
    <row r="408" spans="6:7" ht="15.75">
      <c r="F408" s="291" t="s">
        <v>638</v>
      </c>
      <c r="G408" s="286" t="s">
        <v>642</v>
      </c>
    </row>
    <row r="409" spans="6:7" ht="15.75">
      <c r="F409" s="291" t="s">
        <v>638</v>
      </c>
      <c r="G409" s="286" t="s">
        <v>645</v>
      </c>
    </row>
    <row r="410" spans="6:7" ht="15.75">
      <c r="F410" s="291" t="s">
        <v>638</v>
      </c>
      <c r="G410" s="286" t="s">
        <v>647</v>
      </c>
    </row>
    <row r="411" spans="6:7" ht="15.75">
      <c r="F411" s="291" t="s">
        <v>638</v>
      </c>
      <c r="G411" s="286" t="s">
        <v>650</v>
      </c>
    </row>
    <row r="412" spans="6:7" ht="15.75">
      <c r="F412" s="291" t="s">
        <v>638</v>
      </c>
      <c r="G412" s="286" t="s">
        <v>651</v>
      </c>
    </row>
    <row r="413" spans="6:7" ht="15.75">
      <c r="F413" s="291" t="s">
        <v>638</v>
      </c>
      <c r="G413" s="286" t="s">
        <v>652</v>
      </c>
    </row>
    <row r="414" spans="6:7" ht="15.75">
      <c r="F414" s="291" t="s">
        <v>759</v>
      </c>
      <c r="G414" s="286" t="s">
        <v>655</v>
      </c>
    </row>
    <row r="415" spans="6:7" ht="15.75">
      <c r="F415" s="291" t="s">
        <v>759</v>
      </c>
      <c r="G415" s="286" t="s">
        <v>656</v>
      </c>
    </row>
    <row r="416" spans="6:7" ht="15.75">
      <c r="F416" s="291" t="s">
        <v>759</v>
      </c>
      <c r="G416" s="286" t="s">
        <v>657</v>
      </c>
    </row>
    <row r="417" spans="6:7" ht="15.75">
      <c r="F417" s="291" t="s">
        <v>658</v>
      </c>
      <c r="G417" s="286" t="s">
        <v>659</v>
      </c>
    </row>
    <row r="418" spans="6:7" ht="15.75">
      <c r="F418" s="291" t="s">
        <v>658</v>
      </c>
      <c r="G418" s="286" t="s">
        <v>660</v>
      </c>
    </row>
    <row r="419" spans="6:7" ht="15.75">
      <c r="F419" s="291" t="s">
        <v>661</v>
      </c>
      <c r="G419" s="286" t="s">
        <v>662</v>
      </c>
    </row>
    <row r="420" spans="6:7" ht="15.75">
      <c r="F420" s="291" t="s">
        <v>661</v>
      </c>
      <c r="G420" s="286" t="s">
        <v>663</v>
      </c>
    </row>
    <row r="421" spans="6:7" ht="15.75">
      <c r="F421" s="291" t="s">
        <v>661</v>
      </c>
      <c r="G421" s="286" t="s">
        <v>664</v>
      </c>
    </row>
    <row r="422" spans="6:7" ht="15.75">
      <c r="F422" s="291" t="s">
        <v>661</v>
      </c>
      <c r="G422" s="286" t="s">
        <v>665</v>
      </c>
    </row>
    <row r="423" spans="6:7" ht="15.75">
      <c r="F423" s="291" t="s">
        <v>661</v>
      </c>
      <c r="G423" s="286" t="s">
        <v>666</v>
      </c>
    </row>
    <row r="424" spans="6:7" ht="15.75">
      <c r="F424" s="291" t="s">
        <v>661</v>
      </c>
      <c r="G424" s="286" t="s">
        <v>667</v>
      </c>
    </row>
    <row r="425" spans="6:7" ht="15.75">
      <c r="F425" s="291" t="s">
        <v>661</v>
      </c>
      <c r="G425" s="286" t="s">
        <v>668</v>
      </c>
    </row>
    <row r="426" spans="6:7" ht="15.75">
      <c r="F426" s="291" t="s">
        <v>661</v>
      </c>
      <c r="G426" s="286" t="s">
        <v>669</v>
      </c>
    </row>
    <row r="427" spans="6:7" ht="15.75">
      <c r="F427" s="291" t="s">
        <v>661</v>
      </c>
      <c r="G427" s="286" t="s">
        <v>670</v>
      </c>
    </row>
    <row r="428" spans="6:7" ht="15.75">
      <c r="F428" s="291" t="s">
        <v>661</v>
      </c>
      <c r="G428" s="286" t="s">
        <v>671</v>
      </c>
    </row>
    <row r="429" spans="6:7" ht="15.75">
      <c r="F429" s="291" t="s">
        <v>661</v>
      </c>
      <c r="G429" s="286" t="s">
        <v>672</v>
      </c>
    </row>
    <row r="430" spans="6:7" ht="15.75">
      <c r="F430" s="291" t="s">
        <v>661</v>
      </c>
      <c r="G430" s="286" t="s">
        <v>673</v>
      </c>
    </row>
    <row r="431" spans="6:7" ht="15.75">
      <c r="F431" s="291" t="s">
        <v>661</v>
      </c>
      <c r="G431" s="286" t="s">
        <v>674</v>
      </c>
    </row>
    <row r="432" spans="6:7" ht="15.75">
      <c r="F432" s="291" t="s">
        <v>661</v>
      </c>
      <c r="G432" s="286" t="s">
        <v>675</v>
      </c>
    </row>
    <row r="433" spans="6:7" ht="15.75">
      <c r="F433" s="291" t="s">
        <v>661</v>
      </c>
      <c r="G433" s="286" t="s">
        <v>676</v>
      </c>
    </row>
    <row r="434" spans="6:7" ht="15.75">
      <c r="F434" s="291" t="s">
        <v>661</v>
      </c>
      <c r="G434" s="286" t="s">
        <v>677</v>
      </c>
    </row>
    <row r="435" spans="6:7" ht="15.75">
      <c r="F435" s="291" t="s">
        <v>661</v>
      </c>
      <c r="G435" s="286" t="s">
        <v>678</v>
      </c>
    </row>
    <row r="436" spans="6:7" ht="15.75">
      <c r="F436" s="291" t="s">
        <v>661</v>
      </c>
      <c r="G436" s="286" t="s">
        <v>679</v>
      </c>
    </row>
    <row r="437" spans="6:7" ht="15.75">
      <c r="F437" s="291" t="s">
        <v>661</v>
      </c>
      <c r="G437" s="286" t="s">
        <v>680</v>
      </c>
    </row>
    <row r="438" spans="6:7" ht="15.75">
      <c r="F438" s="291" t="s">
        <v>661</v>
      </c>
      <c r="G438" s="286" t="s">
        <v>449</v>
      </c>
    </row>
    <row r="439" spans="6:7" ht="15.75">
      <c r="F439" s="291" t="s">
        <v>661</v>
      </c>
      <c r="G439" s="286" t="s">
        <v>681</v>
      </c>
    </row>
    <row r="440" spans="6:7" ht="15.75">
      <c r="F440" s="291" t="s">
        <v>661</v>
      </c>
      <c r="G440" s="286" t="s">
        <v>682</v>
      </c>
    </row>
    <row r="441" spans="6:7" ht="15.75">
      <c r="F441" s="291" t="s">
        <v>661</v>
      </c>
      <c r="G441" s="286" t="s">
        <v>683</v>
      </c>
    </row>
    <row r="442" spans="6:7" ht="15.75">
      <c r="F442" s="291" t="s">
        <v>636</v>
      </c>
      <c r="G442" s="286" t="s">
        <v>637</v>
      </c>
    </row>
    <row r="443" spans="6:7" ht="15.75">
      <c r="F443" s="291" t="s">
        <v>636</v>
      </c>
      <c r="G443" s="286" t="s">
        <v>640</v>
      </c>
    </row>
    <row r="444" spans="6:7" ht="15.75">
      <c r="F444" s="291" t="s">
        <v>636</v>
      </c>
      <c r="G444" s="286" t="s">
        <v>648</v>
      </c>
    </row>
    <row r="445" spans="6:7" ht="15.75">
      <c r="F445" s="291" t="s">
        <v>636</v>
      </c>
      <c r="G445" s="286" t="s">
        <v>654</v>
      </c>
    </row>
    <row r="446" spans="6:7" ht="15.75">
      <c r="F446" s="291" t="s">
        <v>687</v>
      </c>
      <c r="G446" s="286" t="s">
        <v>688</v>
      </c>
    </row>
    <row r="447" spans="6:7" ht="15.75">
      <c r="F447" s="291" t="s">
        <v>687</v>
      </c>
      <c r="G447" s="286" t="s">
        <v>689</v>
      </c>
    </row>
    <row r="448" spans="6:7" ht="15.75">
      <c r="F448" s="291" t="s">
        <v>687</v>
      </c>
      <c r="G448" s="286" t="s">
        <v>690</v>
      </c>
    </row>
    <row r="449" spans="6:7" ht="15.75">
      <c r="F449" s="291" t="s">
        <v>760</v>
      </c>
      <c r="G449" s="286" t="s">
        <v>691</v>
      </c>
    </row>
    <row r="450" spans="6:7" ht="15.75">
      <c r="F450" s="291" t="s">
        <v>692</v>
      </c>
      <c r="G450" s="286" t="s">
        <v>693</v>
      </c>
    </row>
    <row r="451" spans="6:7" ht="15.75">
      <c r="F451" s="291" t="s">
        <v>692</v>
      </c>
      <c r="G451" s="286" t="s">
        <v>694</v>
      </c>
    </row>
    <row r="452" spans="6:7" ht="15.75">
      <c r="F452" s="291" t="s">
        <v>695</v>
      </c>
      <c r="G452" s="286" t="s">
        <v>696</v>
      </c>
    </row>
    <row r="453" spans="6:7" ht="15.75">
      <c r="F453" s="291" t="s">
        <v>695</v>
      </c>
      <c r="G453" s="286" t="s">
        <v>637</v>
      </c>
    </row>
    <row r="454" spans="6:7" ht="15.75">
      <c r="F454" s="291" t="s">
        <v>695</v>
      </c>
      <c r="G454" s="286" t="s">
        <v>344</v>
      </c>
    </row>
    <row r="455" spans="6:7" ht="15.75">
      <c r="F455" s="291" t="s">
        <v>695</v>
      </c>
      <c r="G455" s="286" t="s">
        <v>697</v>
      </c>
    </row>
    <row r="456" spans="6:7" ht="15.75">
      <c r="F456" s="291" t="s">
        <v>695</v>
      </c>
      <c r="G456" s="286" t="s">
        <v>698</v>
      </c>
    </row>
    <row r="457" spans="6:7" ht="15.75">
      <c r="F457" s="291" t="s">
        <v>695</v>
      </c>
      <c r="G457" s="286" t="s">
        <v>699</v>
      </c>
    </row>
    <row r="458" spans="6:7" ht="15.75">
      <c r="F458" s="291" t="s">
        <v>695</v>
      </c>
      <c r="G458" s="286" t="s">
        <v>700</v>
      </c>
    </row>
    <row r="459" spans="6:7" ht="15.75">
      <c r="F459" s="291" t="s">
        <v>643</v>
      </c>
      <c r="G459" s="286" t="s">
        <v>644</v>
      </c>
    </row>
    <row r="460" spans="6:7" ht="15.75">
      <c r="F460" s="291" t="s">
        <v>643</v>
      </c>
      <c r="G460" s="286" t="s">
        <v>646</v>
      </c>
    </row>
    <row r="461" spans="6:7" ht="15.75">
      <c r="F461" s="291" t="s">
        <v>643</v>
      </c>
      <c r="G461" s="286" t="s">
        <v>649</v>
      </c>
    </row>
    <row r="462" spans="6:7" ht="15.75">
      <c r="F462" s="291" t="s">
        <v>643</v>
      </c>
      <c r="G462" s="286" t="s">
        <v>653</v>
      </c>
    </row>
    <row r="463" spans="6:7" ht="15.75">
      <c r="F463" s="291" t="s">
        <v>752</v>
      </c>
      <c r="G463" s="286" t="s">
        <v>753</v>
      </c>
    </row>
    <row r="464" spans="6:7" ht="15.75">
      <c r="F464" s="291" t="s">
        <v>455</v>
      </c>
      <c r="G464" s="286" t="s">
        <v>456</v>
      </c>
    </row>
    <row r="465" spans="6:7" ht="15.75">
      <c r="F465" s="291" t="s">
        <v>455</v>
      </c>
      <c r="G465" s="286" t="s">
        <v>457</v>
      </c>
    </row>
    <row r="466" spans="6:7" ht="15.75">
      <c r="F466" s="291" t="s">
        <v>455</v>
      </c>
      <c r="G466" s="286" t="s">
        <v>458</v>
      </c>
    </row>
    <row r="467" spans="6:7" ht="15.75">
      <c r="F467" s="291" t="s">
        <v>455</v>
      </c>
      <c r="G467" s="286" t="s">
        <v>459</v>
      </c>
    </row>
    <row r="468" spans="6:7" ht="15.75">
      <c r="F468" s="291" t="s">
        <v>455</v>
      </c>
      <c r="G468" s="286" t="s">
        <v>460</v>
      </c>
    </row>
    <row r="469" spans="6:7" ht="15.75">
      <c r="F469" s="291" t="s">
        <v>461</v>
      </c>
      <c r="G469" s="286" t="s">
        <v>462</v>
      </c>
    </row>
    <row r="470" spans="6:7" ht="15.75">
      <c r="F470" s="291"/>
      <c r="G470" s="286"/>
    </row>
    <row r="471" spans="6:7" ht="15.75">
      <c r="F471" s="291"/>
      <c r="G471" s="286"/>
    </row>
    <row r="472" spans="6:7" ht="15.75">
      <c r="F472" s="291"/>
      <c r="G472" s="286"/>
    </row>
    <row r="473" spans="6:7" ht="15.75">
      <c r="F473" s="291"/>
      <c r="G473" s="286"/>
    </row>
    <row r="474" spans="6:7" ht="15.75">
      <c r="F474" s="291"/>
      <c r="G474" s="286"/>
    </row>
    <row r="475" spans="6:7" ht="15.75">
      <c r="F475" s="291"/>
      <c r="G475" s="286"/>
    </row>
    <row r="476" spans="6:7" ht="15.75">
      <c r="F476" s="291"/>
      <c r="G476" s="286"/>
    </row>
    <row r="477" spans="6:7" ht="15.75">
      <c r="F477" s="291"/>
      <c r="G477" s="286"/>
    </row>
    <row r="478" spans="6:7" ht="15.75">
      <c r="F478" s="291"/>
      <c r="G478" s="286"/>
    </row>
    <row r="479" spans="6:7" ht="15.75">
      <c r="F479" s="291"/>
      <c r="G479" s="286"/>
    </row>
    <row r="480" spans="6:7" ht="15.75">
      <c r="F480" s="291"/>
      <c r="G480" s="286"/>
    </row>
    <row r="481" spans="6:7" ht="15.75">
      <c r="F481" s="291"/>
      <c r="G481" s="286"/>
    </row>
    <row r="482" spans="6:7" ht="15.75">
      <c r="F482" s="291"/>
      <c r="G482" s="286"/>
    </row>
    <row r="483" spans="6:7" ht="15.75">
      <c r="F483" s="291"/>
      <c r="G483" s="286"/>
    </row>
    <row r="484" spans="6:7" ht="15.75">
      <c r="F484" s="291"/>
      <c r="G484" s="286"/>
    </row>
    <row r="485" spans="6:7" ht="15.75">
      <c r="F485" s="291"/>
      <c r="G485" s="286"/>
    </row>
    <row r="486" spans="6:7" ht="15.75">
      <c r="F486" s="291"/>
      <c r="G486" s="286"/>
    </row>
    <row r="487" spans="6:7" ht="15.75">
      <c r="F487" s="291"/>
      <c r="G487" s="286"/>
    </row>
    <row r="488" spans="6:7" ht="15.75">
      <c r="F488" s="291"/>
      <c r="G488" s="286"/>
    </row>
    <row r="489" spans="6:7" ht="15.75">
      <c r="F489" s="291"/>
      <c r="G489" s="286"/>
    </row>
    <row r="490" spans="6:7" ht="15.75">
      <c r="F490" s="291"/>
      <c r="G490" s="286"/>
    </row>
    <row r="491" spans="6:7" ht="15.75">
      <c r="F491" s="291"/>
      <c r="G491" s="286"/>
    </row>
    <row r="492" spans="6:7" ht="15.75">
      <c r="F492" s="291"/>
      <c r="G492" s="286"/>
    </row>
    <row r="493" spans="6:7" ht="15.75">
      <c r="F493" s="291"/>
      <c r="G493" s="286"/>
    </row>
    <row r="494" spans="6:7" ht="15.75">
      <c r="F494" s="291"/>
      <c r="G494" s="286"/>
    </row>
    <row r="495" spans="6:7" ht="15.75">
      <c r="F495" s="291"/>
      <c r="G495" s="286"/>
    </row>
    <row r="496" spans="6:7" ht="15.75">
      <c r="F496" s="291"/>
      <c r="G496" s="286"/>
    </row>
    <row r="497" spans="6:7" ht="15.75">
      <c r="F497" s="291"/>
      <c r="G497" s="286"/>
    </row>
    <row r="498" spans="6:7" ht="15.75">
      <c r="F498" s="291"/>
      <c r="G498" s="286"/>
    </row>
    <row r="499" spans="6:7" ht="15.75">
      <c r="F499" s="291"/>
      <c r="G499" s="286"/>
    </row>
    <row r="500" spans="6:7" ht="15.75">
      <c r="F500" s="291"/>
      <c r="G500" s="286"/>
    </row>
    <row r="501" spans="6:7" ht="15.75">
      <c r="F501" s="291"/>
      <c r="G501" s="286"/>
    </row>
    <row r="502" spans="6:7" ht="15.75">
      <c r="F502" s="291"/>
      <c r="G502" s="286"/>
    </row>
    <row r="503" spans="6:7" ht="15.75">
      <c r="F503" s="291"/>
      <c r="G503" s="286"/>
    </row>
    <row r="504" spans="6:7" ht="15.75">
      <c r="F504" s="291"/>
      <c r="G504" s="286"/>
    </row>
    <row r="505" spans="6:7" ht="15.75">
      <c r="F505" s="291"/>
      <c r="G505" s="286"/>
    </row>
    <row r="506" spans="6:7" ht="15.75">
      <c r="F506" s="291"/>
      <c r="G506" s="286"/>
    </row>
    <row r="507" spans="6:7" ht="15.75">
      <c r="F507" s="291"/>
      <c r="G507" s="286"/>
    </row>
    <row r="508" spans="6:7" ht="15.75">
      <c r="F508" s="291"/>
      <c r="G508" s="286"/>
    </row>
    <row r="509" spans="6:7" ht="15.75">
      <c r="F509" s="291"/>
      <c r="G509" s="286"/>
    </row>
    <row r="510" spans="6:7" ht="15.75">
      <c r="F510" s="291"/>
      <c r="G510" s="286"/>
    </row>
    <row r="511" spans="6:7" ht="15.75">
      <c r="F511" s="291"/>
      <c r="G511" s="286"/>
    </row>
    <row r="512" spans="6:7" ht="15.75">
      <c r="F512" s="291"/>
      <c r="G512" s="286"/>
    </row>
    <row r="513" spans="6:7" ht="15.75">
      <c r="F513" s="291"/>
      <c r="G513" s="286"/>
    </row>
    <row r="514" spans="6:7" ht="15.75">
      <c r="F514" s="291"/>
      <c r="G514" s="286"/>
    </row>
    <row r="515" spans="6:7" ht="15.75">
      <c r="F515" s="291"/>
      <c r="G515" s="286"/>
    </row>
    <row r="516" spans="6:7" ht="15.75">
      <c r="F516" s="291"/>
      <c r="G516" s="286"/>
    </row>
    <row r="517" spans="6:7" ht="15.75">
      <c r="F517" s="291"/>
      <c r="G517" s="286"/>
    </row>
    <row r="518" spans="6:7" ht="15.75">
      <c r="F518" s="291"/>
      <c r="G518" s="286"/>
    </row>
    <row r="519" spans="6:7" ht="15.75">
      <c r="F519" s="291"/>
      <c r="G519" s="286"/>
    </row>
    <row r="520" spans="6:7" ht="15.75">
      <c r="F520" s="291"/>
      <c r="G520" s="286"/>
    </row>
    <row r="521" spans="6:7" ht="15.75">
      <c r="F521" s="291"/>
      <c r="G521" s="286"/>
    </row>
    <row r="522" spans="6:7" ht="15.75">
      <c r="F522" s="291"/>
      <c r="G522" s="286"/>
    </row>
    <row r="523" spans="6:7" ht="15.75">
      <c r="F523" s="291"/>
      <c r="G523" s="286"/>
    </row>
    <row r="524" spans="6:7" ht="15.75">
      <c r="F524" s="291"/>
      <c r="G524" s="286"/>
    </row>
    <row r="525" spans="6:7" ht="15.75">
      <c r="F525" s="291"/>
      <c r="G525" s="286"/>
    </row>
    <row r="526" spans="6:7" ht="15.75">
      <c r="F526" s="291"/>
      <c r="G526" s="286"/>
    </row>
    <row r="527" spans="6:7" ht="15.75">
      <c r="F527" s="291"/>
      <c r="G527" s="286"/>
    </row>
    <row r="528" spans="6:7" ht="15.75">
      <c r="F528" s="291"/>
      <c r="G528" s="286"/>
    </row>
    <row r="529" spans="6:7" ht="15.75">
      <c r="F529" s="291"/>
      <c r="G529" s="286"/>
    </row>
    <row r="530" spans="6:7" ht="15.75">
      <c r="F530" s="291"/>
      <c r="G530" s="286"/>
    </row>
    <row r="531" spans="6:7" ht="15.75">
      <c r="F531" s="291"/>
      <c r="G531" s="286"/>
    </row>
    <row r="532" spans="6:7" ht="15.75">
      <c r="F532" s="291"/>
      <c r="G532" s="286"/>
    </row>
    <row r="533" spans="6:7" ht="15.75">
      <c r="F533" s="291"/>
      <c r="G533" s="286"/>
    </row>
    <row r="534" spans="6:7" ht="15.75">
      <c r="F534" s="291"/>
      <c r="G534" s="286"/>
    </row>
    <row r="535" spans="6:7" ht="15.75">
      <c r="F535" s="291"/>
      <c r="G535" s="294"/>
    </row>
    <row r="536" spans="6:7" ht="15.75">
      <c r="F536" s="291"/>
      <c r="G536" s="286"/>
    </row>
    <row r="537" spans="6:7" ht="15.75">
      <c r="F537" s="291"/>
      <c r="G537" s="286"/>
    </row>
    <row r="538" spans="6:7" ht="15.75">
      <c r="F538" s="291"/>
      <c r="G538" s="286"/>
    </row>
    <row r="539" spans="6:7" ht="15.75">
      <c r="F539" s="291"/>
      <c r="G539" s="286"/>
    </row>
    <row r="540" spans="6:7" ht="15.75">
      <c r="F540" s="291"/>
      <c r="G540" s="286"/>
    </row>
    <row r="541" spans="6:7" ht="15.75">
      <c r="F541" s="291"/>
      <c r="G541" s="286"/>
    </row>
    <row r="542" spans="6:7" ht="15.75">
      <c r="F542" s="291"/>
      <c r="G542" s="286"/>
    </row>
    <row r="551" spans="1:19">
      <c r="Q551" s="311" t="s">
        <v>887</v>
      </c>
    </row>
    <row r="552" spans="1:19" customFormat="1">
      <c r="A552" s="545" t="s">
        <v>835</v>
      </c>
      <c r="B552" s="546"/>
      <c r="C552" s="547"/>
      <c r="D552" s="274"/>
      <c r="E552" s="274"/>
      <c r="F552" s="274"/>
      <c r="G552" s="274"/>
      <c r="H552" s="274"/>
      <c r="I552" s="274"/>
      <c r="J552" s="274"/>
      <c r="P552" t="s">
        <v>888</v>
      </c>
      <c r="Q552" t="str">
        <f>IF(AND('2.УР ТЭ на нужды ОиВ'!$B$4="да",'2.УР ТЭ на нужды ОиВ'!$B$5="нет"),"Рекомендуется к установке ПУ теплоэнергии","")</f>
        <v/>
      </c>
    </row>
    <row r="553" spans="1:19" customFormat="1">
      <c r="A553" s="304" t="s">
        <v>755</v>
      </c>
      <c r="B553" s="303" t="s">
        <v>807</v>
      </c>
      <c r="C553" s="303" t="s">
        <v>808</v>
      </c>
      <c r="D553" s="274"/>
      <c r="E553" s="274"/>
      <c r="F553" s="274"/>
      <c r="G553" s="274"/>
      <c r="H553" s="274"/>
      <c r="I553" s="274"/>
      <c r="J553" s="274"/>
      <c r="P553" t="s">
        <v>889</v>
      </c>
      <c r="Q553" t="str">
        <f>IF(AND('3.УР горячей воды'!$B$4="да",'3.УР горячей воды'!$B$5="нет"),"Рекомендуется к установке ПУ горячей воды","")</f>
        <v/>
      </c>
    </row>
    <row r="554" spans="1:19" customFormat="1" ht="16.5" customHeight="1">
      <c r="A554" s="302" t="s">
        <v>825</v>
      </c>
      <c r="B554" s="303" t="s">
        <v>803</v>
      </c>
      <c r="C554" s="313">
        <v>1.57</v>
      </c>
      <c r="D554" s="274"/>
      <c r="E554" s="274"/>
      <c r="F554" s="305"/>
      <c r="G554" s="305"/>
      <c r="H554" s="305"/>
      <c r="I554" s="305"/>
      <c r="J554" s="305"/>
      <c r="P554" t="s">
        <v>890</v>
      </c>
      <c r="Q554" t="str">
        <f>IF(AND('4.УР холодной воды'!$B$4="да",'4.УР холодной воды'!$B$5="нет"),"Рекомендуется к установке ПУ холодной воды","")</f>
        <v/>
      </c>
    </row>
    <row r="555" spans="1:19" customFormat="1">
      <c r="A555" s="302" t="s">
        <v>830</v>
      </c>
      <c r="B555" s="303" t="s">
        <v>831</v>
      </c>
      <c r="C555" s="313">
        <v>1.1539999999999999</v>
      </c>
      <c r="D555" s="274"/>
      <c r="E555" s="274"/>
      <c r="F555" s="274"/>
      <c r="G555" s="274"/>
      <c r="H555" s="274"/>
      <c r="I555" s="274"/>
      <c r="J555" s="274"/>
      <c r="P555" t="s">
        <v>891</v>
      </c>
      <c r="Q555" t="str">
        <f>IF('5.УР ЭЭ'!$B$4="нет","Рекомендуется к установке ПУ электроэнергии","")</f>
        <v/>
      </c>
    </row>
    <row r="556" spans="1:19" customFormat="1" ht="15.75" customHeight="1">
      <c r="A556" s="302" t="s">
        <v>988</v>
      </c>
      <c r="B556" s="303" t="s">
        <v>803</v>
      </c>
      <c r="C556" s="313">
        <v>1.57</v>
      </c>
      <c r="D556" s="274"/>
      <c r="E556" s="274"/>
      <c r="F556" s="274"/>
      <c r="G556" s="274"/>
      <c r="H556" s="274"/>
      <c r="I556" s="274"/>
      <c r="J556" s="274"/>
      <c r="P556" t="s">
        <v>892</v>
      </c>
      <c r="Q556" t="str">
        <f>IF(AND('6.УР природного газа на цели ПП'!$B$4="да",'6.УР природного газа на цели ПП'!$B$5="нет"),"Рекомендуется к установке ПУ природного газа","")</f>
        <v/>
      </c>
    </row>
    <row r="557" spans="1:19" customFormat="1">
      <c r="A557" s="302" t="s">
        <v>804</v>
      </c>
      <c r="B557" s="303" t="s">
        <v>803</v>
      </c>
      <c r="C557" s="313">
        <v>1.45</v>
      </c>
      <c r="D557" s="274"/>
      <c r="E557" s="274"/>
      <c r="F557" s="274"/>
      <c r="G557" s="274"/>
      <c r="H557" s="274"/>
      <c r="I557" s="274"/>
      <c r="J557" s="274"/>
      <c r="P557" t="s">
        <v>893</v>
      </c>
      <c r="Q557" t="str">
        <f>IF('1.Общие данные по зданию'!C6="Нетиповое учреждение","Здание не принадлежит ни к одной из функционально-типологических групп объектов. Рекомендуется проведение энергетического обследования для уточнения потенциала ресурсосбережения","")</f>
        <v/>
      </c>
      <c r="S557" s="315">
        <f>1.36*1.154</f>
        <v>1.5694399999999999</v>
      </c>
    </row>
    <row r="558" spans="1:19" customFormat="1">
      <c r="A558" s="302" t="s">
        <v>805</v>
      </c>
      <c r="B558" s="303" t="s">
        <v>803</v>
      </c>
      <c r="C558" s="313">
        <v>1.43</v>
      </c>
      <c r="D558" s="274"/>
      <c r="E558" s="274"/>
      <c r="F558" s="274"/>
      <c r="G558" s="274"/>
      <c r="H558" s="274"/>
      <c r="I558" s="274"/>
      <c r="J558" s="274"/>
      <c r="P558" t="s">
        <v>894</v>
      </c>
      <c r="Q558" t="str">
        <f>IF('1.Общие данные по зданию'!C8&gt;=2014,"Потенциалы и задания для здания моложе 5 лет могут быть приравнены к 0","")</f>
        <v>Потенциалы и задания для здания моложе 5 лет могут быть приравнены к 0</v>
      </c>
    </row>
    <row r="559" spans="1:19" customFormat="1">
      <c r="A559" s="302" t="s">
        <v>1</v>
      </c>
      <c r="B559" s="303" t="s">
        <v>832</v>
      </c>
      <c r="C559" s="313">
        <f>0.123/1000</f>
        <v>1.2300000000000001E-4</v>
      </c>
      <c r="D559" s="274"/>
      <c r="E559" s="274"/>
      <c r="F559" s="274"/>
      <c r="G559" s="274"/>
      <c r="H559" s="274"/>
      <c r="I559" s="274"/>
      <c r="J559" s="274"/>
      <c r="P559" t="s">
        <v>895</v>
      </c>
      <c r="Q559" t="str">
        <f>IF('1.Общие данные по зданию'!C18="нет","Необходимо провести мероприятия для обеспечения соответствия температуры внутреннего воздуха минимально-нормативным требованиям","")</f>
        <v/>
      </c>
    </row>
    <row r="560" spans="1:19">
      <c r="A560" s="302" t="s">
        <v>806</v>
      </c>
      <c r="B560" s="303" t="s">
        <v>803</v>
      </c>
      <c r="C560" s="313">
        <v>1.49</v>
      </c>
      <c r="D560" s="274"/>
      <c r="E560" s="274"/>
      <c r="F560" s="274"/>
      <c r="G560" s="274"/>
      <c r="H560" s="274"/>
      <c r="I560" s="274"/>
      <c r="J560" s="274"/>
    </row>
    <row r="563" spans="1:3" ht="15.75">
      <c r="A563" s="308" t="s">
        <v>932</v>
      </c>
      <c r="B563" s="307" t="s">
        <v>933</v>
      </c>
      <c r="C563" s="307" t="s">
        <v>934</v>
      </c>
    </row>
    <row r="564" spans="1:3" ht="15.75">
      <c r="A564" s="308" t="s">
        <v>935</v>
      </c>
      <c r="B564" s="307" t="s">
        <v>803</v>
      </c>
      <c r="C564" s="307">
        <v>0.76800000000000002</v>
      </c>
    </row>
    <row r="565" spans="1:3" ht="15.75">
      <c r="A565" s="308" t="s">
        <v>936</v>
      </c>
      <c r="B565" s="307" t="s">
        <v>803</v>
      </c>
      <c r="C565" s="307">
        <v>0.46700000000000003</v>
      </c>
    </row>
    <row r="566" spans="1:3" ht="15.75">
      <c r="A566" s="308" t="s">
        <v>937</v>
      </c>
      <c r="B566" s="307" t="s">
        <v>803</v>
      </c>
      <c r="C566" s="307">
        <v>0.3</v>
      </c>
    </row>
    <row r="567" spans="1:3" ht="15.75">
      <c r="A567" s="308" t="s">
        <v>938</v>
      </c>
      <c r="B567" s="307" t="s">
        <v>803</v>
      </c>
      <c r="C567" s="307">
        <v>0.34</v>
      </c>
    </row>
    <row r="568" spans="1:3" ht="18.75">
      <c r="A568" s="308" t="s">
        <v>939</v>
      </c>
      <c r="B568" s="307" t="s">
        <v>940</v>
      </c>
      <c r="C568" s="307">
        <v>0.26600000000000001</v>
      </c>
    </row>
    <row r="569" spans="1:3" ht="15.75">
      <c r="A569" s="308" t="s">
        <v>941</v>
      </c>
      <c r="B569" s="307" t="s">
        <v>803</v>
      </c>
      <c r="C569" s="307">
        <v>0.99</v>
      </c>
    </row>
    <row r="570" spans="1:3" ht="15.75">
      <c r="A570" s="308" t="s">
        <v>942</v>
      </c>
      <c r="B570" s="307" t="s">
        <v>803</v>
      </c>
      <c r="C570" s="307">
        <v>0.60499999999999998</v>
      </c>
    </row>
    <row r="571" spans="1:3" ht="15.75">
      <c r="A571" s="308" t="s">
        <v>943</v>
      </c>
      <c r="B571" s="307" t="s">
        <v>803</v>
      </c>
      <c r="C571" s="307">
        <v>0.6</v>
      </c>
    </row>
    <row r="575" spans="1:3">
      <c r="A575" s="429" t="s">
        <v>1033</v>
      </c>
    </row>
    <row r="576" spans="1:3">
      <c r="A576" s="275">
        <v>2019</v>
      </c>
      <c r="B576" s="275">
        <f>Климатология2019!B3</f>
        <v>2318</v>
      </c>
    </row>
    <row r="577" spans="1:2">
      <c r="A577" s="275">
        <v>2020</v>
      </c>
      <c r="B577" s="275">
        <f>Климатология2020!$B$3</f>
        <v>1904</v>
      </c>
    </row>
    <row r="578" spans="1:2">
      <c r="A578" s="275">
        <v>2021</v>
      </c>
      <c r="B578" s="275">
        <f>Климатология2021!$B$3</f>
        <v>2502</v>
      </c>
    </row>
    <row r="579" spans="1:2">
      <c r="A579" s="275">
        <v>2022</v>
      </c>
      <c r="B579" s="275">
        <f>Климатология2022!$B$3</f>
        <v>2655</v>
      </c>
    </row>
    <row r="580" spans="1:2">
      <c r="A580" s="275">
        <v>2023</v>
      </c>
      <c r="B580" s="275">
        <f>Климатология2023!$B$3</f>
        <v>2398</v>
      </c>
    </row>
    <row r="581" spans="1:2">
      <c r="A581" s="275">
        <v>2024</v>
      </c>
      <c r="B581" s="275">
        <f>Климатология2024!$B$3</f>
        <v>2409</v>
      </c>
    </row>
    <row r="582" spans="1:2">
      <c r="A582" s="275">
        <v>2025</v>
      </c>
      <c r="B582" s="275">
        <f>Климатология2025!$B$3</f>
        <v>1851</v>
      </c>
    </row>
  </sheetData>
  <mergeCells count="1">
    <mergeCell ref="A552:C552"/>
  </mergeCells>
  <pageMargins left="0.7" right="0.7" top="0.75" bottom="0.75" header="0.3" footer="0.3"/>
  <pageSetup paperSize="9" orientation="portrait" horizontalDpi="4294967293" verticalDpi="0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Лист22"/>
  <dimension ref="A1:G452"/>
  <sheetViews>
    <sheetView topLeftCell="A154" workbookViewId="0">
      <selection activeCell="E176" sqref="E176:E177"/>
    </sheetView>
  </sheetViews>
  <sheetFormatPr defaultColWidth="8.7109375" defaultRowHeight="15"/>
  <cols>
    <col min="1" max="1" width="19.7109375" customWidth="1"/>
    <col min="2" max="2" width="17.28515625" customWidth="1"/>
    <col min="3" max="3" width="9.140625"/>
    <col min="4" max="4" width="16.28515625" customWidth="1"/>
    <col min="5" max="5" width="15" customWidth="1"/>
    <col min="6" max="6" width="16.42578125" style="36" customWidth="1"/>
    <col min="7" max="7" width="17.140625" style="36" customWidth="1"/>
  </cols>
  <sheetData>
    <row r="1" spans="1:7" ht="15.75" thickBot="1">
      <c r="D1" s="13">
        <v>0.1</v>
      </c>
      <c r="E1" s="13">
        <v>0.4</v>
      </c>
    </row>
    <row r="2" spans="1:7" ht="23.25" customHeight="1" thickBot="1">
      <c r="A2" s="464" t="s">
        <v>0</v>
      </c>
      <c r="B2" s="467" t="s">
        <v>1</v>
      </c>
      <c r="C2" s="468"/>
      <c r="D2" s="469"/>
      <c r="E2" s="19">
        <f>(1-E57)^(1/3)-1</f>
        <v>-2.4445094010913881E-2</v>
      </c>
      <c r="F2" s="19">
        <f>(1-F57)^(1/3)-1</f>
        <v>-2.5543644401981314E-2</v>
      </c>
      <c r="G2" s="19"/>
    </row>
    <row r="3" spans="1:7" ht="47.25" customHeight="1" thickBot="1">
      <c r="A3" s="465"/>
      <c r="B3" s="1" t="s">
        <v>4</v>
      </c>
      <c r="C3" s="1"/>
      <c r="D3" s="1" t="s">
        <v>80</v>
      </c>
      <c r="E3" s="1" t="s">
        <v>5</v>
      </c>
      <c r="F3" s="37" t="s">
        <v>5</v>
      </c>
      <c r="G3" s="37"/>
    </row>
    <row r="4" spans="1:7" ht="16.149999999999999" customHeight="1" thickBot="1">
      <c r="A4" s="466"/>
      <c r="B4" s="1" t="s">
        <v>6</v>
      </c>
      <c r="C4" s="1"/>
      <c r="D4" s="1" t="s">
        <v>7</v>
      </c>
      <c r="E4" s="1" t="s">
        <v>7</v>
      </c>
      <c r="F4" s="37" t="s">
        <v>7</v>
      </c>
      <c r="G4" s="37"/>
    </row>
    <row r="5" spans="1:7">
      <c r="A5" s="50">
        <v>1</v>
      </c>
      <c r="B5" s="51">
        <v>2</v>
      </c>
      <c r="C5" s="51"/>
      <c r="D5" s="51">
        <v>3</v>
      </c>
      <c r="E5" s="51">
        <v>4</v>
      </c>
      <c r="F5" s="52">
        <v>5</v>
      </c>
      <c r="G5" s="52"/>
    </row>
    <row r="6" spans="1:7">
      <c r="A6" s="27" t="s">
        <v>10</v>
      </c>
      <c r="B6" s="30">
        <v>39.18</v>
      </c>
      <c r="C6" s="30">
        <v>0</v>
      </c>
      <c r="D6" s="14">
        <v>0</v>
      </c>
      <c r="E6" s="14">
        <v>0</v>
      </c>
      <c r="F6" s="38">
        <v>0</v>
      </c>
      <c r="G6" s="38">
        <v>0.30811638591117918</v>
      </c>
    </row>
    <row r="7" spans="1:7">
      <c r="A7" s="27" t="s">
        <v>58</v>
      </c>
      <c r="B7" s="30">
        <v>44.08</v>
      </c>
      <c r="C7" s="30">
        <f>B6</f>
        <v>39.18</v>
      </c>
      <c r="D7" s="14">
        <v>0</v>
      </c>
      <c r="E7" s="14">
        <v>0</v>
      </c>
      <c r="F7" s="38">
        <v>0</v>
      </c>
      <c r="G7" s="38">
        <v>0.31833030852994559</v>
      </c>
    </row>
    <row r="8" spans="1:7">
      <c r="A8" s="27" t="s">
        <v>59</v>
      </c>
      <c r="B8" s="30">
        <v>46.97</v>
      </c>
      <c r="C8" s="30">
        <f t="shared" ref="C8:C56" si="0">B7</f>
        <v>44.08</v>
      </c>
      <c r="D8" s="14">
        <v>0</v>
      </c>
      <c r="E8" s="14">
        <v>0</v>
      </c>
      <c r="F8" s="38">
        <v>0</v>
      </c>
      <c r="G8" s="38">
        <v>0.32335533319139881</v>
      </c>
    </row>
    <row r="9" spans="1:7">
      <c r="A9" s="27" t="s">
        <v>60</v>
      </c>
      <c r="B9" s="30">
        <v>51.78</v>
      </c>
      <c r="C9" s="30">
        <f t="shared" si="0"/>
        <v>46.97</v>
      </c>
      <c r="D9" s="14">
        <v>0</v>
      </c>
      <c r="E9" s="14">
        <v>0</v>
      </c>
      <c r="F9" s="38">
        <v>0</v>
      </c>
      <c r="G9" s="38">
        <v>0.3304750869061413</v>
      </c>
    </row>
    <row r="10" spans="1:7">
      <c r="A10" s="27" t="s">
        <v>61</v>
      </c>
      <c r="B10" s="30">
        <v>53.78</v>
      </c>
      <c r="C10" s="30">
        <f t="shared" si="0"/>
        <v>51.78</v>
      </c>
      <c r="D10" s="14">
        <v>0</v>
      </c>
      <c r="E10" s="14">
        <v>0</v>
      </c>
      <c r="F10" s="38">
        <v>0</v>
      </c>
      <c r="G10" s="38">
        <v>0.33306061732986236</v>
      </c>
    </row>
    <row r="11" spans="1:7">
      <c r="A11" s="27" t="s">
        <v>62</v>
      </c>
      <c r="B11" s="30">
        <v>55.19</v>
      </c>
      <c r="C11" s="30">
        <f t="shared" si="0"/>
        <v>53.78</v>
      </c>
      <c r="D11" s="14">
        <v>0</v>
      </c>
      <c r="E11" s="14">
        <v>0</v>
      </c>
      <c r="F11" s="38">
        <v>0</v>
      </c>
      <c r="G11" s="38">
        <v>0.33477079181011055</v>
      </c>
    </row>
    <row r="12" spans="1:7">
      <c r="A12" s="27" t="s">
        <v>63</v>
      </c>
      <c r="B12" s="30">
        <v>57.79</v>
      </c>
      <c r="C12" s="30">
        <f t="shared" si="0"/>
        <v>55.19</v>
      </c>
      <c r="D12" s="14">
        <v>0</v>
      </c>
      <c r="E12" s="14">
        <v>0</v>
      </c>
      <c r="F12" s="38">
        <v>0</v>
      </c>
      <c r="G12" s="38">
        <v>0.33770548537809308</v>
      </c>
    </row>
    <row r="13" spans="1:7">
      <c r="A13" s="29" t="s">
        <v>11</v>
      </c>
      <c r="B13" s="30">
        <v>59.23</v>
      </c>
      <c r="C13" s="30">
        <f t="shared" si="0"/>
        <v>57.79</v>
      </c>
      <c r="D13" s="14">
        <v>2.1695086949181583E-4</v>
      </c>
      <c r="E13" s="14">
        <v>2.1695086949181584E-5</v>
      </c>
      <c r="F13" s="38">
        <v>1.950025325004211E-3</v>
      </c>
      <c r="G13" s="38">
        <v>0.3392199898699983</v>
      </c>
    </row>
    <row r="14" spans="1:7">
      <c r="A14" s="29" t="s">
        <v>12</v>
      </c>
      <c r="B14" s="30">
        <v>61.33</v>
      </c>
      <c r="C14" s="30">
        <f t="shared" si="0"/>
        <v>59.23</v>
      </c>
      <c r="D14" s="14">
        <v>3.44505136148704E-2</v>
      </c>
      <c r="E14" s="14"/>
      <c r="F14" s="38">
        <v>5.3073536605250217E-3</v>
      </c>
      <c r="G14" s="38">
        <v>0.34130115767161257</v>
      </c>
    </row>
    <row r="15" spans="1:7">
      <c r="A15" s="29" t="s">
        <v>13</v>
      </c>
      <c r="B15" s="30">
        <v>63.65</v>
      </c>
      <c r="C15" s="30">
        <f t="shared" si="0"/>
        <v>61.33</v>
      </c>
      <c r="D15" s="14">
        <v>6.9644147682639462E-2</v>
      </c>
      <c r="E15" s="14"/>
      <c r="F15" s="38">
        <v>8.7588373919874236E-3</v>
      </c>
      <c r="G15" s="38">
        <v>0.34344069128043991</v>
      </c>
    </row>
    <row r="16" spans="1:7">
      <c r="A16" s="29" t="s">
        <v>14</v>
      </c>
      <c r="B16" s="30">
        <v>64.66</v>
      </c>
      <c r="C16" s="30">
        <f t="shared" si="0"/>
        <v>63.65</v>
      </c>
      <c r="D16" s="14">
        <v>8.4176461490875348E-2</v>
      </c>
      <c r="E16" s="14"/>
      <c r="F16" s="38">
        <v>1.0184039591710476E-2</v>
      </c>
      <c r="G16" s="38">
        <v>0.34432415712960102</v>
      </c>
    </row>
    <row r="17" spans="1:7">
      <c r="A17" s="29" t="s">
        <v>15</v>
      </c>
      <c r="B17" s="30">
        <v>66.760000000000005</v>
      </c>
      <c r="C17" s="30">
        <f t="shared" si="0"/>
        <v>64.66</v>
      </c>
      <c r="D17" s="14">
        <v>0.11298457159976046</v>
      </c>
      <c r="E17" s="14">
        <v>1.1298457159976046E-2</v>
      </c>
      <c r="F17" s="38">
        <v>1.3009286998202519E-2</v>
      </c>
      <c r="G17" s="38">
        <v>0.34607549430796886</v>
      </c>
    </row>
    <row r="18" spans="1:7">
      <c r="A18" s="29" t="s">
        <v>16</v>
      </c>
      <c r="B18" s="30">
        <v>67.989999999999995</v>
      </c>
      <c r="C18" s="30">
        <f t="shared" si="0"/>
        <v>66.760000000000005</v>
      </c>
      <c r="D18" s="14">
        <v>0.12903147521694366</v>
      </c>
      <c r="E18" s="14">
        <v>1.2903147521694365E-2</v>
      </c>
      <c r="F18" s="38">
        <v>1.4583026915722891E-2</v>
      </c>
      <c r="G18" s="38">
        <v>0.34705103691719369</v>
      </c>
    </row>
    <row r="19" spans="1:7">
      <c r="A19" s="29" t="s">
        <v>17</v>
      </c>
      <c r="B19" s="30">
        <v>71.23</v>
      </c>
      <c r="C19" s="30">
        <f t="shared" si="0"/>
        <v>67.989999999999995</v>
      </c>
      <c r="D19" s="14">
        <v>0.16864874350694942</v>
      </c>
      <c r="E19" s="14">
        <v>1.6864874350694944E-2</v>
      </c>
      <c r="F19" s="38">
        <v>1.846834199073424E-2</v>
      </c>
      <c r="G19" s="38">
        <v>0.34945949740277976</v>
      </c>
    </row>
    <row r="20" spans="1:7">
      <c r="A20" s="29" t="s">
        <v>18</v>
      </c>
      <c r="B20" s="30">
        <v>72.44</v>
      </c>
      <c r="C20" s="30">
        <f t="shared" si="0"/>
        <v>71.23</v>
      </c>
      <c r="D20" s="14">
        <v>0.18253520154610714</v>
      </c>
      <c r="E20" s="14">
        <v>1.8253520154610715E-2</v>
      </c>
      <c r="F20" s="38">
        <v>1.9830204307012697E-2</v>
      </c>
      <c r="G20" s="38">
        <v>0.35030369961347319</v>
      </c>
    </row>
    <row r="21" spans="1:7">
      <c r="A21" s="29" t="s">
        <v>19</v>
      </c>
      <c r="B21" s="30">
        <v>73.430000000000007</v>
      </c>
      <c r="C21" s="30">
        <f t="shared" si="0"/>
        <v>72.44</v>
      </c>
      <c r="D21" s="14">
        <v>0.19355644831812624</v>
      </c>
      <c r="E21" s="14">
        <v>1.9355644831812624E-2</v>
      </c>
      <c r="F21" s="38">
        <v>2.0911071769031737E-2</v>
      </c>
      <c r="G21" s="38">
        <v>0.35097371646466019</v>
      </c>
    </row>
    <row r="22" spans="1:7">
      <c r="A22" s="29" t="s">
        <v>20</v>
      </c>
      <c r="B22" s="30">
        <v>74.92</v>
      </c>
      <c r="C22" s="30">
        <f t="shared" si="0"/>
        <v>73.430000000000007</v>
      </c>
      <c r="D22" s="14">
        <v>0.20959490122797658</v>
      </c>
      <c r="E22" s="14">
        <v>2.0959490122797658E-2</v>
      </c>
      <c r="F22" s="38">
        <v>2.248398291510945E-2</v>
      </c>
      <c r="G22" s="38">
        <v>0.35194874532835024</v>
      </c>
    </row>
    <row r="23" spans="1:7">
      <c r="A23" s="29" t="s">
        <v>21</v>
      </c>
      <c r="B23" s="30">
        <v>78.09</v>
      </c>
      <c r="C23" s="30">
        <f t="shared" si="0"/>
        <v>74.92</v>
      </c>
      <c r="D23" s="14">
        <v>0.24168075297733393</v>
      </c>
      <c r="E23" s="14">
        <v>2.4168075297733394E-2</v>
      </c>
      <c r="F23" s="38">
        <v>2.5630682545780509E-2</v>
      </c>
      <c r="G23" s="38">
        <v>0.35389934690741454</v>
      </c>
    </row>
    <row r="24" spans="1:7">
      <c r="A24" s="29" t="s">
        <v>22</v>
      </c>
      <c r="B24" s="30">
        <v>80.760000000000005</v>
      </c>
      <c r="C24" s="30">
        <f t="shared" si="0"/>
        <v>78.09</v>
      </c>
      <c r="D24" s="14">
        <v>0.26675148588410114</v>
      </c>
      <c r="E24" s="14">
        <v>2.6675148588410115E-2</v>
      </c>
      <c r="F24" s="38">
        <v>2.8089400693412585E-2</v>
      </c>
      <c r="G24" s="38">
        <v>0.35542347696879639</v>
      </c>
    </row>
    <row r="25" spans="1:7">
      <c r="A25" s="29" t="s">
        <v>23</v>
      </c>
      <c r="B25" s="30">
        <v>82.78</v>
      </c>
      <c r="C25" s="30">
        <f t="shared" si="0"/>
        <v>80.760000000000005</v>
      </c>
      <c r="D25" s="14">
        <v>0.28464423773858427</v>
      </c>
      <c r="E25" s="14">
        <v>2.8464423773858428E-2</v>
      </c>
      <c r="F25" s="38">
        <v>2.9844165257308528E-2</v>
      </c>
      <c r="G25" s="38">
        <v>0.35651123459772893</v>
      </c>
    </row>
    <row r="26" spans="1:7">
      <c r="A26" s="29" t="s">
        <v>24</v>
      </c>
      <c r="B26" s="30">
        <v>85.1</v>
      </c>
      <c r="C26" s="30">
        <f t="shared" si="0"/>
        <v>82.78</v>
      </c>
      <c r="D26" s="14">
        <v>0.30414629847238545</v>
      </c>
      <c r="E26" s="14">
        <v>3.0414629847238545E-2</v>
      </c>
      <c r="F26" s="38">
        <v>3.1756756756756752E-2</v>
      </c>
      <c r="G26" s="38">
        <v>0.35769682726204466</v>
      </c>
    </row>
    <row r="27" spans="1:7">
      <c r="A27" s="29" t="s">
        <v>25</v>
      </c>
      <c r="B27" s="30">
        <v>87.24</v>
      </c>
      <c r="C27" s="30">
        <f t="shared" si="0"/>
        <v>85.1</v>
      </c>
      <c r="D27" s="14">
        <v>0.32121561210453919</v>
      </c>
      <c r="E27" s="14">
        <v>3.2121561210453918E-2</v>
      </c>
      <c r="F27" s="38">
        <v>3.3430765703805584E-2</v>
      </c>
      <c r="G27" s="38">
        <v>0.35873452544704265</v>
      </c>
    </row>
    <row r="28" spans="1:7">
      <c r="A28" s="29" t="s">
        <v>26</v>
      </c>
      <c r="B28" s="30">
        <v>89.58</v>
      </c>
      <c r="C28" s="30">
        <f t="shared" si="0"/>
        <v>87.24</v>
      </c>
      <c r="D28" s="14">
        <v>0.33894675150703285</v>
      </c>
      <c r="E28" s="14">
        <v>3.3894675150703289E-2</v>
      </c>
      <c r="F28" s="38">
        <v>3.5169680732306315E-2</v>
      </c>
      <c r="G28" s="38">
        <v>0.35981245813797724</v>
      </c>
    </row>
    <row r="29" spans="1:7">
      <c r="A29" s="29" t="s">
        <v>27</v>
      </c>
      <c r="B29" s="30">
        <v>93.51</v>
      </c>
      <c r="C29" s="30">
        <f t="shared" si="0"/>
        <v>89.58</v>
      </c>
      <c r="D29" s="14">
        <v>0.36672922682066095</v>
      </c>
      <c r="E29" s="14">
        <v>3.6672922682066095E-2</v>
      </c>
      <c r="F29" s="38">
        <v>3.7894342851031979E-2</v>
      </c>
      <c r="G29" s="38">
        <v>0.3615014436958614</v>
      </c>
    </row>
    <row r="30" spans="1:7">
      <c r="A30" s="29" t="s">
        <v>28</v>
      </c>
      <c r="B30" s="30">
        <v>96.77</v>
      </c>
      <c r="C30" s="30">
        <f t="shared" si="0"/>
        <v>93.51</v>
      </c>
      <c r="D30" s="14">
        <v>0.38806293272708486</v>
      </c>
      <c r="E30" s="14">
        <v>3.8806293272708486E-2</v>
      </c>
      <c r="F30" s="38">
        <v>3.9986566084530328E-2</v>
      </c>
      <c r="G30" s="38">
        <v>0.36279838793014363</v>
      </c>
    </row>
    <row r="31" spans="1:7">
      <c r="A31" s="29" t="s">
        <v>29</v>
      </c>
      <c r="B31" s="30">
        <v>98.05</v>
      </c>
      <c r="C31" s="30">
        <f t="shared" si="0"/>
        <v>96.77</v>
      </c>
      <c r="D31" s="14">
        <v>0.39605150433452324</v>
      </c>
      <c r="E31" s="14">
        <v>3.9605150433452321E-2</v>
      </c>
      <c r="F31" s="38">
        <v>4.4620091789903088E-2</v>
      </c>
      <c r="G31" s="38">
        <v>0.36328403875573684</v>
      </c>
    </row>
    <row r="32" spans="1:7">
      <c r="A32" s="29" t="s">
        <v>30</v>
      </c>
      <c r="B32" s="30">
        <v>100.91</v>
      </c>
      <c r="C32" s="30">
        <f t="shared" si="0"/>
        <v>98.05</v>
      </c>
      <c r="D32" s="14">
        <v>0.41316866514716083</v>
      </c>
      <c r="E32" s="14">
        <v>4.7901199088296487E-2</v>
      </c>
      <c r="F32" s="38">
        <v>5.4692300069368718E-2</v>
      </c>
      <c r="G32" s="38">
        <v>0.36432464572391238</v>
      </c>
    </row>
    <row r="33" spans="1:7">
      <c r="A33" s="29" t="s">
        <v>31</v>
      </c>
      <c r="B33" s="30">
        <v>102.47</v>
      </c>
      <c r="C33" s="30">
        <f t="shared" si="0"/>
        <v>100.91</v>
      </c>
      <c r="D33" s="14">
        <v>0.42210256660486001</v>
      </c>
      <c r="E33" s="14">
        <v>5.3261539962915973E-2</v>
      </c>
      <c r="F33" s="38">
        <v>5.9949253440031207E-2</v>
      </c>
      <c r="G33" s="38">
        <v>0.36486776617546596</v>
      </c>
    </row>
    <row r="34" spans="1:7">
      <c r="A34" s="29" t="s">
        <v>32</v>
      </c>
      <c r="B34" s="30">
        <v>105.07</v>
      </c>
      <c r="C34" s="30">
        <f t="shared" si="0"/>
        <v>102.47</v>
      </c>
      <c r="D34" s="14">
        <v>0.43640287427429331</v>
      </c>
      <c r="E34" s="14">
        <v>6.1841724564575984E-2</v>
      </c>
      <c r="F34" s="38">
        <v>6.8363947844294254E-2</v>
      </c>
      <c r="G34" s="38">
        <v>0.36573712762919958</v>
      </c>
    </row>
    <row r="35" spans="1:7">
      <c r="A35" s="29" t="s">
        <v>33</v>
      </c>
      <c r="B35" s="30">
        <v>108.58</v>
      </c>
      <c r="C35" s="30">
        <f t="shared" si="0"/>
        <v>105.07</v>
      </c>
      <c r="D35" s="14">
        <v>0.45462193774175724</v>
      </c>
      <c r="E35" s="14">
        <v>7.2773162645054332E-2</v>
      </c>
      <c r="F35" s="38">
        <v>7.9084545956898122E-2</v>
      </c>
      <c r="G35" s="38">
        <v>0.36684472278504332</v>
      </c>
    </row>
    <row r="36" spans="1:7">
      <c r="A36" s="29" t="s">
        <v>34</v>
      </c>
      <c r="B36" s="30">
        <v>110.13</v>
      </c>
      <c r="C36" s="30">
        <f t="shared" si="0"/>
        <v>108.58</v>
      </c>
      <c r="D36" s="14">
        <v>0.46229773903568511</v>
      </c>
      <c r="E36" s="14">
        <v>7.7378643421411056E-2</v>
      </c>
      <c r="F36" s="38">
        <v>8.3601198583492214E-2</v>
      </c>
      <c r="G36" s="38">
        <v>0.3673113593026423</v>
      </c>
    </row>
    <row r="37" spans="1:7">
      <c r="A37" s="29" t="s">
        <v>35</v>
      </c>
      <c r="B37" s="30">
        <v>111.25</v>
      </c>
      <c r="C37" s="30">
        <f t="shared" si="0"/>
        <v>110.13</v>
      </c>
      <c r="D37" s="14">
        <v>0.4677110112359551</v>
      </c>
      <c r="E37" s="14">
        <v>8.0626606741573029E-2</v>
      </c>
      <c r="F37" s="38">
        <v>8.6786516853932558E-2</v>
      </c>
      <c r="G37" s="38">
        <v>0.36764044943820223</v>
      </c>
    </row>
    <row r="38" spans="1:7">
      <c r="A38" s="29" t="s">
        <v>36</v>
      </c>
      <c r="B38" s="30">
        <v>113.85</v>
      </c>
      <c r="C38" s="30">
        <f t="shared" si="0"/>
        <v>111.25</v>
      </c>
      <c r="D38" s="14">
        <v>0.47986693017127802</v>
      </c>
      <c r="E38" s="14">
        <v>8.7920158102766793E-2</v>
      </c>
      <c r="F38" s="38">
        <v>9.393939393939392E-2</v>
      </c>
      <c r="G38" s="38">
        <v>0.36837944664031619</v>
      </c>
    </row>
    <row r="39" spans="1:7">
      <c r="A39" s="29" t="s">
        <v>37</v>
      </c>
      <c r="B39" s="30">
        <v>114.8</v>
      </c>
      <c r="C39" s="30">
        <f t="shared" si="0"/>
        <v>113.85</v>
      </c>
      <c r="D39" s="14">
        <v>0.48417116724738679</v>
      </c>
      <c r="E39" s="14">
        <v>9.0502700348432052E-2</v>
      </c>
      <c r="F39" s="38">
        <v>9.6472125435540054E-2</v>
      </c>
      <c r="G39" s="38">
        <v>0.3686411149825784</v>
      </c>
    </row>
    <row r="40" spans="1:7">
      <c r="A40" s="29" t="s">
        <v>38</v>
      </c>
      <c r="B40" s="30">
        <v>116.41</v>
      </c>
      <c r="C40" s="30">
        <f t="shared" si="0"/>
        <v>114.8</v>
      </c>
      <c r="D40" s="14">
        <v>0.49130530023193886</v>
      </c>
      <c r="E40" s="14">
        <v>9.4783180139163301E-2</v>
      </c>
      <c r="F40" s="38">
        <v>0.10067004552873463</v>
      </c>
      <c r="G40" s="38">
        <v>0.36907482175070871</v>
      </c>
    </row>
    <row r="41" spans="1:7">
      <c r="A41" s="29" t="s">
        <v>39</v>
      </c>
      <c r="B41" s="30">
        <v>118.28</v>
      </c>
      <c r="C41" s="30">
        <f t="shared" si="0"/>
        <v>116.41</v>
      </c>
      <c r="D41" s="14">
        <v>0.49934773419005751</v>
      </c>
      <c r="E41" s="14">
        <v>9.9608640514034494E-2</v>
      </c>
      <c r="F41" s="38">
        <v>0.10540243490023672</v>
      </c>
      <c r="G41" s="38">
        <v>0.36956374704091988</v>
      </c>
    </row>
    <row r="42" spans="1:7">
      <c r="A42" s="29" t="s">
        <v>40</v>
      </c>
      <c r="B42" s="30">
        <v>121.12</v>
      </c>
      <c r="C42" s="30">
        <f t="shared" si="0"/>
        <v>118.28</v>
      </c>
      <c r="D42" s="14">
        <v>0.51108693857331577</v>
      </c>
      <c r="E42" s="14">
        <v>0.10665216314398944</v>
      </c>
      <c r="F42" s="38">
        <v>0.11231010568031705</v>
      </c>
      <c r="G42" s="38">
        <v>0.37027741083223253</v>
      </c>
    </row>
    <row r="43" spans="1:7">
      <c r="A43" s="29" t="s">
        <v>41</v>
      </c>
      <c r="B43" s="30">
        <v>127.43</v>
      </c>
      <c r="C43" s="30">
        <f t="shared" si="0"/>
        <v>121.12</v>
      </c>
      <c r="D43" s="14">
        <v>0.53529663344581335</v>
      </c>
      <c r="E43" s="14">
        <v>0.12117798006748806</v>
      </c>
      <c r="F43" s="38">
        <v>0.126555756101389</v>
      </c>
      <c r="G43" s="38">
        <v>0.37174919563682024</v>
      </c>
    </row>
    <row r="44" spans="1:7">
      <c r="A44" s="29" t="s">
        <v>42</v>
      </c>
      <c r="B44" s="30">
        <v>133.4</v>
      </c>
      <c r="C44" s="30">
        <f t="shared" si="0"/>
        <v>127.43</v>
      </c>
      <c r="D44" s="14">
        <v>0.55609332833583203</v>
      </c>
      <c r="E44" s="14">
        <v>0.13365599700149927</v>
      </c>
      <c r="F44" s="38">
        <v>0.13879310344827586</v>
      </c>
      <c r="G44" s="38">
        <v>0.37301349325337335</v>
      </c>
    </row>
    <row r="45" spans="1:7">
      <c r="A45" s="29" t="s">
        <v>43</v>
      </c>
      <c r="B45" s="30">
        <v>136.74</v>
      </c>
      <c r="C45" s="30">
        <f t="shared" si="0"/>
        <v>133.4</v>
      </c>
      <c r="D45" s="14">
        <v>0.56693615620886351</v>
      </c>
      <c r="E45" s="14">
        <v>0.14016169372531814</v>
      </c>
      <c r="F45" s="38">
        <v>0.14517332163229488</v>
      </c>
      <c r="G45" s="38">
        <v>0.37367266344888111</v>
      </c>
    </row>
    <row r="46" spans="1:7">
      <c r="A46" s="29" t="s">
        <v>44</v>
      </c>
      <c r="B46" s="30">
        <v>141.26</v>
      </c>
      <c r="C46" s="30">
        <f t="shared" si="0"/>
        <v>136.74</v>
      </c>
      <c r="D46" s="14">
        <v>0.5807932181792439</v>
      </c>
      <c r="E46" s="14">
        <v>0.14847593090754635</v>
      </c>
      <c r="F46" s="38">
        <v>0.15332719807447259</v>
      </c>
      <c r="G46" s="38">
        <v>0.37451507857850769</v>
      </c>
    </row>
    <row r="47" spans="1:7">
      <c r="A47" s="29" t="s">
        <v>45</v>
      </c>
      <c r="B47" s="30">
        <v>144.9</v>
      </c>
      <c r="C47" s="30">
        <f t="shared" si="0"/>
        <v>141.26</v>
      </c>
      <c r="D47" s="14">
        <v>0.59132401656314704</v>
      </c>
      <c r="E47" s="14">
        <v>0.15479440993788821</v>
      </c>
      <c r="F47" s="38">
        <v>0.15952380952380954</v>
      </c>
      <c r="G47" s="38">
        <v>0.37515527950310562</v>
      </c>
    </row>
    <row r="48" spans="1:7">
      <c r="A48" s="29" t="s">
        <v>46</v>
      </c>
      <c r="B48" s="30">
        <v>147.02000000000001</v>
      </c>
      <c r="C48" s="30">
        <f t="shared" si="0"/>
        <v>144.9</v>
      </c>
      <c r="D48" s="14">
        <v>0.59721704529995923</v>
      </c>
      <c r="E48" s="14">
        <v>0.15833022717997555</v>
      </c>
      <c r="F48" s="38">
        <v>0.1629914297374507</v>
      </c>
      <c r="G48" s="38">
        <v>0.3755135355733914</v>
      </c>
    </row>
    <row r="49" spans="1:7">
      <c r="A49" s="29" t="s">
        <v>47</v>
      </c>
      <c r="B49" s="30">
        <v>151.16</v>
      </c>
      <c r="C49" s="30">
        <f t="shared" si="0"/>
        <v>147.02000000000001</v>
      </c>
      <c r="D49" s="14">
        <v>0.60824854458851541</v>
      </c>
      <c r="E49" s="14">
        <v>0.1649491267531093</v>
      </c>
      <c r="F49" s="38">
        <v>0.16948266737232071</v>
      </c>
      <c r="G49" s="38">
        <v>0.37618417570785923</v>
      </c>
    </row>
    <row r="50" spans="1:7">
      <c r="A50" s="29" t="s">
        <v>48</v>
      </c>
      <c r="B50" s="30">
        <v>162.53</v>
      </c>
      <c r="C50" s="30">
        <f t="shared" si="0"/>
        <v>151.16</v>
      </c>
      <c r="D50" s="14">
        <v>0.6356540331015812</v>
      </c>
      <c r="E50" s="14">
        <v>0.18139241986094876</v>
      </c>
      <c r="F50" s="38">
        <v>0.18560881068110502</v>
      </c>
      <c r="G50" s="38">
        <v>0.37785024303205561</v>
      </c>
    </row>
    <row r="51" spans="1:7">
      <c r="A51" s="29" t="s">
        <v>49</v>
      </c>
      <c r="B51" s="30">
        <v>169</v>
      </c>
      <c r="C51" s="30">
        <f t="shared" si="0"/>
        <v>162.53</v>
      </c>
      <c r="D51" s="14">
        <v>0.64960266272189349</v>
      </c>
      <c r="E51" s="14">
        <v>0.1897615976331361</v>
      </c>
      <c r="F51" s="38">
        <v>0.1938165680473373</v>
      </c>
      <c r="G51" s="38">
        <v>0.378698224852071</v>
      </c>
    </row>
    <row r="52" spans="1:7">
      <c r="A52" s="29" t="s">
        <v>50</v>
      </c>
      <c r="B52" s="30">
        <v>177.92</v>
      </c>
      <c r="C52" s="30">
        <f t="shared" si="0"/>
        <v>169</v>
      </c>
      <c r="D52" s="14">
        <v>0.66716979541366905</v>
      </c>
      <c r="E52" s="14">
        <v>0.20030187724820145</v>
      </c>
      <c r="F52" s="38">
        <v>0.20415355215827341</v>
      </c>
      <c r="G52" s="38">
        <v>0.37976618705035975</v>
      </c>
    </row>
    <row r="53" spans="1:7">
      <c r="A53" s="29" t="s">
        <v>51</v>
      </c>
      <c r="B53" s="30">
        <v>198.46</v>
      </c>
      <c r="C53" s="30">
        <f t="shared" si="0"/>
        <v>177.92</v>
      </c>
      <c r="D53" s="14">
        <v>0.70161669857905873</v>
      </c>
      <c r="E53" s="14">
        <v>0.22097001914743528</v>
      </c>
      <c r="F53" s="38">
        <v>0.22442305754308176</v>
      </c>
      <c r="G53" s="38">
        <v>0.38186032449863955</v>
      </c>
    </row>
    <row r="54" spans="1:7">
      <c r="A54" s="29" t="s">
        <v>52</v>
      </c>
      <c r="B54" s="30">
        <v>211.65</v>
      </c>
      <c r="C54" s="30">
        <f t="shared" si="0"/>
        <v>198.46</v>
      </c>
      <c r="D54" s="14">
        <v>0.72021190644932676</v>
      </c>
      <c r="E54" s="14">
        <v>0.23212714386959604</v>
      </c>
      <c r="F54" s="38">
        <v>0.23536498936924169</v>
      </c>
      <c r="G54" s="38">
        <v>0.3829907866761163</v>
      </c>
    </row>
    <row r="55" spans="1:7">
      <c r="A55" s="29" t="s">
        <v>53</v>
      </c>
      <c r="B55" s="30">
        <v>235.62</v>
      </c>
      <c r="C55" s="30">
        <f>B54</f>
        <v>211.65</v>
      </c>
      <c r="D55" s="14">
        <v>0.74867519735166788</v>
      </c>
      <c r="E55" s="14">
        <v>0.24920511841100079</v>
      </c>
      <c r="F55" s="38">
        <v>0.25211357270180801</v>
      </c>
      <c r="G55" s="38">
        <v>0.38472116119174948</v>
      </c>
    </row>
    <row r="56" spans="1:7">
      <c r="A56" s="29" t="s">
        <v>53</v>
      </c>
      <c r="B56" s="31" t="s">
        <v>206</v>
      </c>
      <c r="C56" s="30">
        <f t="shared" si="0"/>
        <v>235.62</v>
      </c>
      <c r="D56" s="11"/>
      <c r="E56" s="11"/>
      <c r="F56" s="39"/>
      <c r="G56" s="39"/>
    </row>
    <row r="57" spans="1:7">
      <c r="A57" s="29"/>
      <c r="B57" s="31"/>
      <c r="C57" s="31"/>
      <c r="D57" s="11"/>
      <c r="E57" s="32">
        <v>7.1557201643587087E-2</v>
      </c>
      <c r="F57" s="40">
        <v>7.4690166558059531E-2</v>
      </c>
      <c r="G57" s="40">
        <v>0.35855853792099401</v>
      </c>
    </row>
    <row r="58" spans="1:7" ht="25.5" customHeight="1">
      <c r="A58" s="33" t="s">
        <v>114</v>
      </c>
      <c r="B58" s="263">
        <v>10</v>
      </c>
      <c r="C58" s="31"/>
      <c r="D58" s="11"/>
      <c r="E58" s="163">
        <v>98.695250000000001</v>
      </c>
      <c r="F58" s="164">
        <v>96.791666666666671</v>
      </c>
      <c r="G58" s="165">
        <v>10</v>
      </c>
    </row>
    <row r="59" spans="1:7" ht="24">
      <c r="A59" s="33" t="s">
        <v>56</v>
      </c>
      <c r="B59" s="162">
        <v>104.7</v>
      </c>
      <c r="C59" s="31"/>
      <c r="D59" s="11"/>
      <c r="E59" s="11"/>
      <c r="F59" s="39"/>
      <c r="G59" s="39"/>
    </row>
    <row r="60" spans="1:7" ht="36">
      <c r="A60" s="166" t="s">
        <v>57</v>
      </c>
      <c r="B60" s="57">
        <v>62.8</v>
      </c>
      <c r="C60" s="29"/>
      <c r="D60" s="11"/>
      <c r="E60" s="57">
        <v>59.217149999999997</v>
      </c>
      <c r="F60" s="167">
        <v>58.075000000000003</v>
      </c>
      <c r="G60" s="167">
        <v>6</v>
      </c>
    </row>
    <row r="62" spans="1:7" ht="26.25" customHeight="1">
      <c r="A62" s="33" t="s">
        <v>56</v>
      </c>
      <c r="B62">
        <f>B59</f>
        <v>104.7</v>
      </c>
    </row>
    <row r="63" spans="1:7">
      <c r="A63" s="16" t="s">
        <v>64</v>
      </c>
      <c r="B63" s="264">
        <f>AVERAGE(B11:B50)</f>
        <v>98.695250000000001</v>
      </c>
      <c r="C63" s="17"/>
    </row>
    <row r="64" spans="1:7">
      <c r="A64" s="16" t="s">
        <v>65</v>
      </c>
      <c r="B64" s="264">
        <f>AVERAGE(B16:B45)</f>
        <v>96.791666666666671</v>
      </c>
      <c r="C64" s="18"/>
    </row>
    <row r="65" spans="1:7">
      <c r="A65" s="16" t="s">
        <v>66</v>
      </c>
      <c r="B65" s="264">
        <f>AVERAGE(B22:B40)</f>
        <v>97.38263157894734</v>
      </c>
      <c r="C65" s="18"/>
    </row>
    <row r="69" spans="1:7" ht="18" customHeight="1">
      <c r="A69" s="470" t="s">
        <v>0</v>
      </c>
      <c r="B69" s="473" t="s">
        <v>2</v>
      </c>
      <c r="C69" s="473"/>
      <c r="D69" s="473"/>
      <c r="E69" s="49">
        <f>(1-E124)^(1/3)-1</f>
        <v>-2.4340300315210728E-2</v>
      </c>
      <c r="F69" s="49">
        <f>(1-F124)^(1/3)-1</f>
        <v>-2.4949608898717113E-2</v>
      </c>
      <c r="G69" s="49"/>
    </row>
    <row r="70" spans="1:7" ht="48">
      <c r="A70" s="471"/>
      <c r="B70" s="57" t="s">
        <v>4</v>
      </c>
      <c r="C70" s="11"/>
      <c r="D70" s="57" t="s">
        <v>80</v>
      </c>
      <c r="E70" s="11" t="s">
        <v>5</v>
      </c>
      <c r="F70" s="39" t="s">
        <v>5</v>
      </c>
      <c r="G70" s="39"/>
    </row>
    <row r="71" spans="1:7">
      <c r="A71" s="472"/>
      <c r="B71" s="11" t="s">
        <v>8</v>
      </c>
      <c r="C71" s="11"/>
      <c r="D71" s="11" t="s">
        <v>7</v>
      </c>
      <c r="E71" s="11" t="s">
        <v>7</v>
      </c>
      <c r="F71" s="39" t="s">
        <v>7</v>
      </c>
      <c r="G71" s="39"/>
    </row>
    <row r="72" spans="1:7">
      <c r="A72" s="50">
        <v>1</v>
      </c>
      <c r="B72" s="51">
        <v>2</v>
      </c>
      <c r="C72" s="51"/>
      <c r="D72" s="51">
        <v>3</v>
      </c>
      <c r="E72" s="51">
        <v>4</v>
      </c>
      <c r="F72" s="52">
        <v>5</v>
      </c>
      <c r="G72" s="52"/>
    </row>
    <row r="73" spans="1:7">
      <c r="A73" s="27" t="s">
        <v>10</v>
      </c>
      <c r="B73" s="153">
        <v>27.55</v>
      </c>
      <c r="C73" s="253">
        <v>0</v>
      </c>
      <c r="D73" s="14">
        <v>0</v>
      </c>
      <c r="E73" s="14">
        <v>0</v>
      </c>
      <c r="F73" s="38">
        <v>0</v>
      </c>
      <c r="G73" s="38">
        <v>6.4174228675136141E-2</v>
      </c>
    </row>
    <row r="74" spans="1:7">
      <c r="A74" s="27" t="s">
        <v>58</v>
      </c>
      <c r="B74" s="153">
        <v>31.01</v>
      </c>
      <c r="C74" s="30">
        <f>B73</f>
        <v>27.55</v>
      </c>
      <c r="D74" s="14">
        <v>0</v>
      </c>
      <c r="E74" s="14">
        <v>0</v>
      </c>
      <c r="F74" s="38">
        <v>0</v>
      </c>
      <c r="G74" s="38">
        <v>0.10164463076426962</v>
      </c>
    </row>
    <row r="75" spans="1:7">
      <c r="A75" s="27" t="s">
        <v>59</v>
      </c>
      <c r="B75" s="153">
        <v>34.450000000000003</v>
      </c>
      <c r="C75" s="30">
        <f t="shared" ref="C75:C123" si="1">B74</f>
        <v>31.01</v>
      </c>
      <c r="D75" s="14">
        <v>0</v>
      </c>
      <c r="E75" s="14">
        <v>0</v>
      </c>
      <c r="F75" s="38">
        <v>0</v>
      </c>
      <c r="G75" s="38">
        <v>0.13143686502177074</v>
      </c>
    </row>
    <row r="76" spans="1:7">
      <c r="A76" s="27" t="s">
        <v>60</v>
      </c>
      <c r="B76" s="153">
        <v>35.74</v>
      </c>
      <c r="C76" s="30">
        <f t="shared" si="1"/>
        <v>34.450000000000003</v>
      </c>
      <c r="D76" s="14">
        <v>0</v>
      </c>
      <c r="E76" s="14">
        <v>0</v>
      </c>
      <c r="F76" s="38">
        <v>0</v>
      </c>
      <c r="G76" s="38">
        <v>0.14113038612199219</v>
      </c>
    </row>
    <row r="77" spans="1:7">
      <c r="A77" s="27" t="s">
        <v>61</v>
      </c>
      <c r="B77" s="153">
        <v>36.630000000000003</v>
      </c>
      <c r="C77" s="30">
        <f t="shared" si="1"/>
        <v>35.74</v>
      </c>
      <c r="D77" s="14">
        <v>0</v>
      </c>
      <c r="E77" s="14">
        <v>0</v>
      </c>
      <c r="F77" s="38">
        <v>0</v>
      </c>
      <c r="G77" s="38">
        <v>0.14742014742014747</v>
      </c>
    </row>
    <row r="78" spans="1:7">
      <c r="A78" s="27" t="s">
        <v>62</v>
      </c>
      <c r="B78" s="153">
        <v>37.83</v>
      </c>
      <c r="C78" s="30">
        <f t="shared" si="1"/>
        <v>36.630000000000003</v>
      </c>
      <c r="D78" s="14">
        <v>0</v>
      </c>
      <c r="E78" s="14">
        <v>0</v>
      </c>
      <c r="F78" s="38">
        <v>0</v>
      </c>
      <c r="G78" s="38">
        <v>0.1554321966693101</v>
      </c>
    </row>
    <row r="79" spans="1:7">
      <c r="A79" s="27" t="s">
        <v>63</v>
      </c>
      <c r="B79" s="153">
        <v>38.82</v>
      </c>
      <c r="C79" s="30">
        <f t="shared" si="1"/>
        <v>37.83</v>
      </c>
      <c r="D79" s="14">
        <v>0</v>
      </c>
      <c r="E79" s="14">
        <v>0</v>
      </c>
      <c r="F79" s="38">
        <v>0</v>
      </c>
      <c r="G79" s="38">
        <v>0.16166924265842353</v>
      </c>
    </row>
    <row r="80" spans="1:7">
      <c r="A80" s="29" t="s">
        <v>11</v>
      </c>
      <c r="B80" s="153">
        <v>42.49</v>
      </c>
      <c r="C80" s="30">
        <f t="shared" si="1"/>
        <v>38.82</v>
      </c>
      <c r="D80" s="14">
        <v>0</v>
      </c>
      <c r="E80" s="14">
        <v>0</v>
      </c>
      <c r="F80" s="38">
        <v>0</v>
      </c>
      <c r="G80" s="38">
        <v>0.1822546481525065</v>
      </c>
    </row>
    <row r="81" spans="1:7">
      <c r="A81" s="29" t="s">
        <v>12</v>
      </c>
      <c r="B81" s="153">
        <v>45.6</v>
      </c>
      <c r="C81" s="30">
        <f t="shared" si="1"/>
        <v>42.49</v>
      </c>
      <c r="D81" s="14">
        <v>0</v>
      </c>
      <c r="E81" s="14">
        <v>0</v>
      </c>
      <c r="F81" s="38">
        <v>0</v>
      </c>
      <c r="G81" s="38">
        <v>0.19710526315789476</v>
      </c>
    </row>
    <row r="82" spans="1:7">
      <c r="A82" s="29" t="s">
        <v>13</v>
      </c>
      <c r="B82" s="153">
        <v>46.94</v>
      </c>
      <c r="C82" s="30">
        <f t="shared" si="1"/>
        <v>45.6</v>
      </c>
      <c r="D82" s="14">
        <v>0</v>
      </c>
      <c r="E82" s="14">
        <v>0</v>
      </c>
      <c r="F82" s="38">
        <v>0</v>
      </c>
      <c r="G82" s="38">
        <v>0.20289731572219857</v>
      </c>
    </row>
    <row r="83" spans="1:7">
      <c r="A83" s="29" t="s">
        <v>14</v>
      </c>
      <c r="B83" s="153">
        <v>48.23</v>
      </c>
      <c r="C83" s="30">
        <f t="shared" si="1"/>
        <v>46.94</v>
      </c>
      <c r="D83" s="14">
        <v>0</v>
      </c>
      <c r="E83" s="14">
        <v>0</v>
      </c>
      <c r="F83" s="38">
        <v>0</v>
      </c>
      <c r="G83" s="38">
        <v>0.20816918930126477</v>
      </c>
    </row>
    <row r="84" spans="1:7">
      <c r="A84" s="29" t="s">
        <v>15</v>
      </c>
      <c r="B84" s="153">
        <v>51.27</v>
      </c>
      <c r="C84" s="30">
        <f t="shared" si="1"/>
        <v>48.23</v>
      </c>
      <c r="D84" s="14">
        <v>3.9733762434172107E-2</v>
      </c>
      <c r="E84" s="14"/>
      <c r="F84" s="38">
        <v>5.0688511800273004E-3</v>
      </c>
      <c r="G84" s="38">
        <v>0.21954359274429494</v>
      </c>
    </row>
    <row r="85" spans="1:7">
      <c r="A85" s="29" t="s">
        <v>16</v>
      </c>
      <c r="B85" s="153">
        <v>55.52</v>
      </c>
      <c r="C85" s="30">
        <f t="shared" si="1"/>
        <v>51.27</v>
      </c>
      <c r="D85" s="14">
        <v>0.11324117435158508</v>
      </c>
      <c r="E85" s="14">
        <v>1.132411743515851E-2</v>
      </c>
      <c r="F85" s="38">
        <v>1.2335734870316997E-2</v>
      </c>
      <c r="G85" s="38">
        <v>0.23335734870317007</v>
      </c>
    </row>
    <row r="86" spans="1:7">
      <c r="A86" s="29" t="s">
        <v>17</v>
      </c>
      <c r="B86" s="153">
        <v>58.11</v>
      </c>
      <c r="C86" s="30">
        <f t="shared" si="1"/>
        <v>55.52</v>
      </c>
      <c r="D86" s="14">
        <v>0.15276458440887972</v>
      </c>
      <c r="E86" s="14">
        <v>1.5276458440887972E-2</v>
      </c>
      <c r="F86" s="38">
        <v>1.62429874376183E-2</v>
      </c>
      <c r="G86" s="38">
        <v>0.24078471863706763</v>
      </c>
    </row>
    <row r="87" spans="1:7">
      <c r="A87" s="29" t="s">
        <v>18</v>
      </c>
      <c r="B87" s="153">
        <v>60.05</v>
      </c>
      <c r="C87" s="30">
        <f t="shared" si="1"/>
        <v>58.11</v>
      </c>
      <c r="D87" s="14">
        <v>0.18013572023313904</v>
      </c>
      <c r="E87" s="14">
        <v>1.8013572023313901E-2</v>
      </c>
      <c r="F87" s="38">
        <v>1.8948875936719387E-2</v>
      </c>
      <c r="G87" s="38">
        <v>0.24592839300582847</v>
      </c>
    </row>
    <row r="88" spans="1:7">
      <c r="A88" s="29" t="s">
        <v>19</v>
      </c>
      <c r="B88" s="153">
        <v>62</v>
      </c>
      <c r="C88" s="30">
        <f t="shared" si="1"/>
        <v>60.05</v>
      </c>
      <c r="D88" s="14">
        <v>0.2059217741935484</v>
      </c>
      <c r="E88" s="14">
        <v>2.0592177419354842E-2</v>
      </c>
      <c r="F88" s="38">
        <v>2.1498064516129022E-2</v>
      </c>
      <c r="G88" s="38">
        <v>0.25077419354838709</v>
      </c>
    </row>
    <row r="89" spans="1:7">
      <c r="A89" s="29" t="s">
        <v>20</v>
      </c>
      <c r="B89" s="153">
        <v>64.209999999999994</v>
      </c>
      <c r="C89" s="30">
        <f t="shared" si="1"/>
        <v>62</v>
      </c>
      <c r="D89" s="14">
        <v>0.23325260862793951</v>
      </c>
      <c r="E89" s="14">
        <v>2.3325260862793951E-2</v>
      </c>
      <c r="F89" s="38">
        <v>2.4199968852203692E-2</v>
      </c>
      <c r="G89" s="38">
        <v>0.25591029434667489</v>
      </c>
    </row>
    <row r="90" spans="1:7">
      <c r="A90" s="29" t="s">
        <v>21</v>
      </c>
      <c r="B90" s="153">
        <v>66.319999999999993</v>
      </c>
      <c r="C90" s="30">
        <f t="shared" si="1"/>
        <v>64.209999999999994</v>
      </c>
      <c r="D90" s="14">
        <v>0.25764701447527133</v>
      </c>
      <c r="E90" s="14">
        <v>2.5764701447527138E-2</v>
      </c>
      <c r="F90" s="38">
        <v>2.6611580217129057E-2</v>
      </c>
      <c r="G90" s="38">
        <v>0.26049457177322072</v>
      </c>
    </row>
    <row r="91" spans="1:7">
      <c r="A91" s="29" t="s">
        <v>22</v>
      </c>
      <c r="B91" s="153">
        <v>70.27</v>
      </c>
      <c r="C91" s="30">
        <f t="shared" si="1"/>
        <v>66.319999999999993</v>
      </c>
      <c r="D91" s="14">
        <v>0.29937597836914753</v>
      </c>
      <c r="E91" s="14">
        <v>2.9937597836914756E-2</v>
      </c>
      <c r="F91" s="38">
        <v>3.0736872064892545E-2</v>
      </c>
      <c r="G91" s="38">
        <v>0.2683364166785257</v>
      </c>
    </row>
    <row r="92" spans="1:7">
      <c r="A92" s="29" t="s">
        <v>23</v>
      </c>
      <c r="B92" s="153">
        <v>71.75</v>
      </c>
      <c r="C92" s="30">
        <f t="shared" si="1"/>
        <v>70.27</v>
      </c>
      <c r="D92" s="14">
        <v>0.31382787456445993</v>
      </c>
      <c r="E92" s="14">
        <v>3.1382787456446001E-2</v>
      </c>
      <c r="F92" s="38">
        <v>3.216557491289198E-2</v>
      </c>
      <c r="G92" s="38">
        <v>0.27105226480836231</v>
      </c>
    </row>
    <row r="93" spans="1:7">
      <c r="A93" s="29" t="s">
        <v>24</v>
      </c>
      <c r="B93" s="153">
        <v>73.08</v>
      </c>
      <c r="C93" s="30">
        <f t="shared" si="1"/>
        <v>71.75</v>
      </c>
      <c r="D93" s="14">
        <v>0.32631568144499179</v>
      </c>
      <c r="E93" s="14">
        <v>3.2631568144499176E-2</v>
      </c>
      <c r="F93" s="38">
        <v>3.3400109469074978E-2</v>
      </c>
      <c r="G93" s="38">
        <v>0.27339901477832507</v>
      </c>
    </row>
    <row r="94" spans="1:7">
      <c r="A94" s="29" t="s">
        <v>25</v>
      </c>
      <c r="B94" s="153">
        <v>74.540000000000006</v>
      </c>
      <c r="C94" s="30">
        <f t="shared" si="1"/>
        <v>73.08</v>
      </c>
      <c r="D94" s="14">
        <v>0.33951100080493701</v>
      </c>
      <c r="E94" s="14">
        <v>3.39511000804937E-2</v>
      </c>
      <c r="F94" s="38">
        <v>3.4704588140595655E-2</v>
      </c>
      <c r="G94" s="38">
        <v>0.27587872283337805</v>
      </c>
    </row>
    <row r="95" spans="1:7">
      <c r="A95" s="29" t="s">
        <v>26</v>
      </c>
      <c r="B95" s="153">
        <v>77.02</v>
      </c>
      <c r="C95" s="30">
        <f t="shared" si="1"/>
        <v>74.540000000000006</v>
      </c>
      <c r="D95" s="14">
        <v>0.360778369254739</v>
      </c>
      <c r="E95" s="14">
        <v>3.6077836925473908E-2</v>
      </c>
      <c r="F95" s="38">
        <v>3.6807063100493372E-2</v>
      </c>
      <c r="G95" s="38">
        <v>0.27987535705011685</v>
      </c>
    </row>
    <row r="96" spans="1:7">
      <c r="A96" s="29" t="s">
        <v>27</v>
      </c>
      <c r="B96" s="153">
        <v>78.040000000000006</v>
      </c>
      <c r="C96" s="30">
        <f t="shared" si="1"/>
        <v>77.02</v>
      </c>
      <c r="D96" s="14">
        <v>0.369133136852896</v>
      </c>
      <c r="E96" s="14">
        <v>3.6913313685289599E-2</v>
      </c>
      <c r="F96" s="38">
        <v>3.763300871348027E-2</v>
      </c>
      <c r="G96" s="38">
        <v>0.28144541260891853</v>
      </c>
    </row>
    <row r="97" spans="1:7">
      <c r="A97" s="29" t="s">
        <v>28</v>
      </c>
      <c r="B97" s="153">
        <v>79.63</v>
      </c>
      <c r="C97" s="30">
        <f t="shared" si="1"/>
        <v>78.040000000000006</v>
      </c>
      <c r="D97" s="14">
        <v>0.38172987567499683</v>
      </c>
      <c r="E97" s="14">
        <v>3.8172987567499685E-2</v>
      </c>
      <c r="F97" s="38">
        <v>3.8878312193896765E-2</v>
      </c>
      <c r="G97" s="38">
        <v>0.28381263342961194</v>
      </c>
    </row>
    <row r="98" spans="1:7">
      <c r="A98" s="29" t="s">
        <v>29</v>
      </c>
      <c r="B98" s="153">
        <v>81.38</v>
      </c>
      <c r="C98" s="30">
        <f t="shared" si="1"/>
        <v>79.63</v>
      </c>
      <c r="D98" s="14">
        <v>0.39502519046448759</v>
      </c>
      <c r="E98" s="14">
        <v>3.9502519046448761E-2</v>
      </c>
      <c r="F98" s="38">
        <v>4.1156057999508389E-2</v>
      </c>
      <c r="G98" s="38">
        <v>0.28631113295650035</v>
      </c>
    </row>
    <row r="99" spans="1:7">
      <c r="A99" s="29" t="s">
        <v>30</v>
      </c>
      <c r="B99" s="153">
        <v>84.52</v>
      </c>
      <c r="C99" s="30">
        <f t="shared" si="1"/>
        <v>81.38</v>
      </c>
      <c r="D99" s="14">
        <v>0.41750059157595831</v>
      </c>
      <c r="E99" s="14">
        <v>5.0500354945574998E-2</v>
      </c>
      <c r="F99" s="38">
        <v>5.4487458589682826E-2</v>
      </c>
      <c r="G99" s="38">
        <v>0.29053478466635113</v>
      </c>
    </row>
    <row r="100" spans="1:7">
      <c r="A100" s="29" t="s">
        <v>31</v>
      </c>
      <c r="B100" s="153">
        <v>87.18</v>
      </c>
      <c r="C100" s="30">
        <f t="shared" si="1"/>
        <v>84.52</v>
      </c>
      <c r="D100" s="14">
        <v>0.43527357192016525</v>
      </c>
      <c r="E100" s="14">
        <v>6.1164143152099143E-2</v>
      </c>
      <c r="F100" s="38">
        <v>6.5029593943565001E-2</v>
      </c>
      <c r="G100" s="38">
        <v>0.29387474191328283</v>
      </c>
    </row>
    <row r="101" spans="1:7">
      <c r="A101" s="29" t="s">
        <v>32</v>
      </c>
      <c r="B101" s="153">
        <v>89.07</v>
      </c>
      <c r="C101" s="30">
        <f t="shared" si="1"/>
        <v>87.18</v>
      </c>
      <c r="D101" s="14">
        <v>0.44725665207140447</v>
      </c>
      <c r="E101" s="14">
        <v>6.8353991242842693E-2</v>
      </c>
      <c r="F101" s="38">
        <v>7.2137420006736189E-2</v>
      </c>
      <c r="G101" s="38">
        <v>0.29612664196699223</v>
      </c>
    </row>
    <row r="102" spans="1:7">
      <c r="A102" s="29" t="s">
        <v>33</v>
      </c>
      <c r="B102" s="153">
        <v>90.39</v>
      </c>
      <c r="C102" s="30">
        <f t="shared" si="1"/>
        <v>89.07</v>
      </c>
      <c r="D102" s="14">
        <v>0.45532857616993033</v>
      </c>
      <c r="E102" s="14">
        <v>7.3197145701958191E-2</v>
      </c>
      <c r="F102" s="38">
        <v>7.6925323597743053E-2</v>
      </c>
      <c r="G102" s="38">
        <v>0.29764354463989379</v>
      </c>
    </row>
    <row r="103" spans="1:7">
      <c r="A103" s="29" t="s">
        <v>34</v>
      </c>
      <c r="B103" s="153">
        <v>92.16</v>
      </c>
      <c r="C103" s="30">
        <f t="shared" si="1"/>
        <v>90.39</v>
      </c>
      <c r="D103" s="14">
        <v>0.46578938802083331</v>
      </c>
      <c r="E103" s="14">
        <v>7.94736328125E-2</v>
      </c>
      <c r="F103" s="38">
        <v>8.3130208333333261E-2</v>
      </c>
      <c r="G103" s="38">
        <v>0.29960937500000001</v>
      </c>
    </row>
    <row r="104" spans="1:7">
      <c r="A104" s="29" t="s">
        <v>35</v>
      </c>
      <c r="B104" s="153">
        <v>94.05</v>
      </c>
      <c r="C104" s="30">
        <f t="shared" si="1"/>
        <v>92.16</v>
      </c>
      <c r="D104" s="14">
        <v>0.47652472089314196</v>
      </c>
      <c r="E104" s="14">
        <v>8.5914832535885166E-2</v>
      </c>
      <c r="F104" s="38">
        <v>8.9497926634768687E-2</v>
      </c>
      <c r="G104" s="38">
        <v>0.30162679425837319</v>
      </c>
    </row>
    <row r="105" spans="1:7">
      <c r="A105" s="29" t="s">
        <v>36</v>
      </c>
      <c r="B105" s="153">
        <v>96.32</v>
      </c>
      <c r="C105" s="30">
        <f t="shared" si="1"/>
        <v>94.05</v>
      </c>
      <c r="D105" s="14">
        <v>0.48886160714285709</v>
      </c>
      <c r="E105" s="14">
        <v>9.3316964285714288E-2</v>
      </c>
      <c r="F105" s="38">
        <v>9.6815614617940124E-2</v>
      </c>
      <c r="G105" s="38">
        <v>0.30394518272425247</v>
      </c>
    </row>
    <row r="106" spans="1:7">
      <c r="A106" s="29" t="s">
        <v>37</v>
      </c>
      <c r="B106" s="153">
        <v>98.59</v>
      </c>
      <c r="C106" s="30">
        <f t="shared" si="1"/>
        <v>96.32</v>
      </c>
      <c r="D106" s="14">
        <v>0.50063038847753327</v>
      </c>
      <c r="E106" s="14">
        <v>0.10037823308651996</v>
      </c>
      <c r="F106" s="38">
        <v>0.10379632822801498</v>
      </c>
      <c r="G106" s="38">
        <v>0.30615681103560199</v>
      </c>
    </row>
    <row r="107" spans="1:7">
      <c r="A107" s="29" t="s">
        <v>38</v>
      </c>
      <c r="B107" s="153">
        <v>99.5</v>
      </c>
      <c r="C107" s="30">
        <f t="shared" si="1"/>
        <v>98.59</v>
      </c>
      <c r="D107" s="14">
        <v>0.50519748743718595</v>
      </c>
      <c r="E107" s="14">
        <v>0.10311849246231157</v>
      </c>
      <c r="F107" s="38">
        <v>0.10650532663316577</v>
      </c>
      <c r="G107" s="38">
        <v>0.30701507537688438</v>
      </c>
    </row>
    <row r="108" spans="1:7">
      <c r="A108" s="29" t="s">
        <v>39</v>
      </c>
      <c r="B108" s="153">
        <v>100.92</v>
      </c>
      <c r="C108" s="30">
        <f t="shared" si="1"/>
        <v>99.5</v>
      </c>
      <c r="D108" s="14">
        <v>0.51215963139120102</v>
      </c>
      <c r="E108" s="14">
        <v>0.10729577883472059</v>
      </c>
      <c r="F108" s="38">
        <v>0.11063495838287749</v>
      </c>
      <c r="G108" s="38">
        <v>0.30832342449464922</v>
      </c>
    </row>
    <row r="109" spans="1:7">
      <c r="A109" s="29" t="s">
        <v>40</v>
      </c>
      <c r="B109" s="153">
        <v>102.26</v>
      </c>
      <c r="C109" s="30">
        <f t="shared" si="1"/>
        <v>100.92</v>
      </c>
      <c r="D109" s="14">
        <v>0.51855221983180133</v>
      </c>
      <c r="E109" s="14">
        <v>0.1111313318990808</v>
      </c>
      <c r="F109" s="38">
        <v>0.11442675532955209</v>
      </c>
      <c r="G109" s="38">
        <v>0.30952474085663995</v>
      </c>
    </row>
    <row r="110" spans="1:7">
      <c r="A110" s="29" t="s">
        <v>41</v>
      </c>
      <c r="B110" s="153">
        <v>103.92</v>
      </c>
      <c r="C110" s="30">
        <f t="shared" si="1"/>
        <v>102.26</v>
      </c>
      <c r="D110" s="14">
        <v>0.52624278290993076</v>
      </c>
      <c r="E110" s="14">
        <v>0.11574566974595844</v>
      </c>
      <c r="F110" s="38">
        <v>0.1189884526558891</v>
      </c>
      <c r="G110" s="38">
        <v>0.31096997690531181</v>
      </c>
    </row>
    <row r="111" spans="1:7">
      <c r="A111" s="29" t="s">
        <v>42</v>
      </c>
      <c r="B111" s="153">
        <v>110.09</v>
      </c>
      <c r="C111" s="30">
        <f t="shared" si="1"/>
        <v>103.92</v>
      </c>
      <c r="D111" s="14">
        <v>0.55279453174675264</v>
      </c>
      <c r="E111" s="14">
        <v>0.13167671904805162</v>
      </c>
      <c r="F111" s="38">
        <v>0.13473776001453353</v>
      </c>
      <c r="G111" s="38">
        <v>0.31595966936143155</v>
      </c>
    </row>
    <row r="112" spans="1:7">
      <c r="A112" s="29" t="s">
        <v>43</v>
      </c>
      <c r="B112" s="153">
        <v>113.17</v>
      </c>
      <c r="C112" s="30">
        <f t="shared" si="1"/>
        <v>110.09</v>
      </c>
      <c r="D112" s="14">
        <v>0.56496553857029252</v>
      </c>
      <c r="E112" s="14">
        <v>0.13897932314217551</v>
      </c>
      <c r="F112" s="38">
        <v>0.14195705575682596</v>
      </c>
      <c r="G112" s="38">
        <v>0.31824688521693029</v>
      </c>
    </row>
    <row r="113" spans="1:7">
      <c r="A113" s="29" t="s">
        <v>44</v>
      </c>
      <c r="B113" s="153">
        <v>115.85</v>
      </c>
      <c r="C113" s="30">
        <f t="shared" si="1"/>
        <v>113.17</v>
      </c>
      <c r="D113" s="14">
        <v>0.57502934829520935</v>
      </c>
      <c r="E113" s="14">
        <v>0.14501760897712557</v>
      </c>
      <c r="F113" s="38">
        <v>0.147926456624946</v>
      </c>
      <c r="G113" s="38">
        <v>0.32013810962451444</v>
      </c>
    </row>
    <row r="114" spans="1:7">
      <c r="A114" s="29" t="s">
        <v>45</v>
      </c>
      <c r="B114" s="153">
        <v>120.52</v>
      </c>
      <c r="C114" s="30">
        <f t="shared" si="1"/>
        <v>115.85</v>
      </c>
      <c r="D114" s="14">
        <v>0.59149643212744774</v>
      </c>
      <c r="E114" s="14">
        <v>0.15489785927646862</v>
      </c>
      <c r="F114" s="38">
        <v>0.15769399269830728</v>
      </c>
      <c r="G114" s="38">
        <v>0.32323265847992033</v>
      </c>
    </row>
    <row r="115" spans="1:7">
      <c r="A115" s="29" t="s">
        <v>46</v>
      </c>
      <c r="B115" s="153">
        <v>127.64</v>
      </c>
      <c r="C115" s="30">
        <f t="shared" si="1"/>
        <v>120.52</v>
      </c>
      <c r="D115" s="14">
        <v>0.6142835318082106</v>
      </c>
      <c r="E115" s="14">
        <v>0.16857011908492636</v>
      </c>
      <c r="F115" s="38">
        <v>0.17121027890943274</v>
      </c>
      <c r="G115" s="38">
        <v>0.32751488561579445</v>
      </c>
    </row>
    <row r="116" spans="1:7">
      <c r="A116" s="29" t="s">
        <v>47</v>
      </c>
      <c r="B116" s="153">
        <v>135.72</v>
      </c>
      <c r="C116" s="30">
        <f t="shared" si="1"/>
        <v>127.64</v>
      </c>
      <c r="D116" s="14">
        <v>0.63724690539345707</v>
      </c>
      <c r="E116" s="14">
        <v>0.18234814323607429</v>
      </c>
      <c r="F116" s="38">
        <v>0.18483112290008838</v>
      </c>
      <c r="G116" s="38">
        <v>0.33183023872679046</v>
      </c>
    </row>
    <row r="117" spans="1:7">
      <c r="A117" s="29" t="s">
        <v>48</v>
      </c>
      <c r="B117" s="153">
        <v>137.22</v>
      </c>
      <c r="C117" s="30">
        <f t="shared" si="1"/>
        <v>135.72</v>
      </c>
      <c r="D117" s="14">
        <v>0.64121228683865328</v>
      </c>
      <c r="E117" s="14">
        <v>0.18472737210319198</v>
      </c>
      <c r="F117" s="38">
        <v>0.18718320944468733</v>
      </c>
      <c r="G117" s="38">
        <v>0.33257542632269349</v>
      </c>
    </row>
    <row r="118" spans="1:7">
      <c r="A118" s="29" t="s">
        <v>49</v>
      </c>
      <c r="B118" s="153">
        <v>140.19999999999999</v>
      </c>
      <c r="C118" s="30">
        <f t="shared" si="1"/>
        <v>137.22</v>
      </c>
      <c r="D118" s="14">
        <v>0.64883844507845934</v>
      </c>
      <c r="E118" s="14">
        <v>0.18930306704707561</v>
      </c>
      <c r="F118" s="38">
        <v>0.19170670470756057</v>
      </c>
      <c r="G118" s="38">
        <v>0.3340085592011412</v>
      </c>
    </row>
    <row r="119" spans="1:7">
      <c r="A119" s="29" t="s">
        <v>50</v>
      </c>
      <c r="B119" s="153">
        <v>144.41</v>
      </c>
      <c r="C119" s="30">
        <f t="shared" si="1"/>
        <v>140.19999999999999</v>
      </c>
      <c r="D119" s="14">
        <v>0.65907589502112041</v>
      </c>
      <c r="E119" s="14">
        <v>0.19544553701267225</v>
      </c>
      <c r="F119" s="38">
        <v>0.19777910117027903</v>
      </c>
      <c r="G119" s="38">
        <v>0.33593241465272489</v>
      </c>
    </row>
    <row r="120" spans="1:7">
      <c r="A120" s="29" t="s">
        <v>51</v>
      </c>
      <c r="B120" s="153">
        <v>150.15</v>
      </c>
      <c r="C120" s="30">
        <f t="shared" si="1"/>
        <v>144.41</v>
      </c>
      <c r="D120" s="14">
        <v>0.67210889110889116</v>
      </c>
      <c r="E120" s="14">
        <v>0.20326533466533467</v>
      </c>
      <c r="F120" s="38">
        <v>0.2055096903096903</v>
      </c>
      <c r="G120" s="38">
        <v>0.33838161838161834</v>
      </c>
    </row>
    <row r="121" spans="1:7">
      <c r="A121" s="29" t="s">
        <v>52</v>
      </c>
      <c r="B121" s="153">
        <v>151.97999999999999</v>
      </c>
      <c r="C121" s="30">
        <f t="shared" si="1"/>
        <v>150.15</v>
      </c>
      <c r="D121" s="14">
        <v>0.67605704697986579</v>
      </c>
      <c r="E121" s="14">
        <v>0.20563422818791946</v>
      </c>
      <c r="F121" s="38">
        <v>0.20785155941571254</v>
      </c>
      <c r="G121" s="38">
        <v>0.33912356889064355</v>
      </c>
    </row>
    <row r="122" spans="1:7">
      <c r="A122" s="29" t="s">
        <v>53</v>
      </c>
      <c r="B122" s="153">
        <v>161.07</v>
      </c>
      <c r="C122" s="30">
        <f>B121</f>
        <v>151.97999999999999</v>
      </c>
      <c r="D122" s="14">
        <v>0.69433879679642396</v>
      </c>
      <c r="E122" s="14">
        <v>0.21660327807785434</v>
      </c>
      <c r="F122" s="38">
        <v>0.21869547401750791</v>
      </c>
      <c r="G122" s="38">
        <v>0.34255913577947478</v>
      </c>
    </row>
    <row r="123" spans="1:7">
      <c r="A123" s="29" t="s">
        <v>53</v>
      </c>
      <c r="B123" s="29" t="s">
        <v>207</v>
      </c>
      <c r="C123" s="30">
        <f t="shared" si="1"/>
        <v>161.07</v>
      </c>
      <c r="D123" s="11" t="s">
        <v>81</v>
      </c>
      <c r="E123" s="11"/>
      <c r="F123" s="39"/>
      <c r="G123" s="39"/>
    </row>
    <row r="124" spans="1:7">
      <c r="A124" s="29"/>
      <c r="B124" s="29"/>
      <c r="C124" s="29"/>
      <c r="D124" s="11"/>
      <c r="E124" s="32">
        <v>7.1257970703591106E-2</v>
      </c>
      <c r="F124" s="40">
        <v>7.2996908450556355E-2</v>
      </c>
      <c r="G124" s="40">
        <v>0.26410184891318417</v>
      </c>
    </row>
    <row r="125" spans="1:7" ht="26.25" customHeight="1">
      <c r="A125" s="33" t="s">
        <v>55</v>
      </c>
      <c r="B125" s="198">
        <v>25.7</v>
      </c>
      <c r="C125" s="29"/>
      <c r="D125" s="11"/>
      <c r="E125" s="195">
        <v>82.054749999999999</v>
      </c>
      <c r="F125" s="196">
        <v>81.118666666666684</v>
      </c>
      <c r="G125" s="197">
        <v>25.7</v>
      </c>
    </row>
    <row r="126" spans="1:7" ht="27.75" customHeight="1">
      <c r="A126" s="33" t="s">
        <v>56</v>
      </c>
      <c r="B126" s="57">
        <v>84.6</v>
      </c>
      <c r="C126" s="29"/>
      <c r="D126" s="11"/>
      <c r="E126" s="57"/>
      <c r="F126" s="167"/>
      <c r="G126" s="167"/>
    </row>
    <row r="127" spans="1:7" ht="37.5" customHeight="1">
      <c r="A127" s="35" t="s">
        <v>57</v>
      </c>
      <c r="B127" s="163">
        <v>50.8</v>
      </c>
      <c r="C127" s="29"/>
      <c r="D127" s="11"/>
      <c r="E127" s="195">
        <v>49.232849999999999</v>
      </c>
      <c r="F127" s="196">
        <v>48.671200000000006</v>
      </c>
      <c r="G127" s="196">
        <v>15.419999999999998</v>
      </c>
    </row>
    <row r="129" spans="1:7" ht="29.65" customHeight="1">
      <c r="A129" s="33" t="s">
        <v>56</v>
      </c>
      <c r="B129">
        <f>B126</f>
        <v>84.6</v>
      </c>
    </row>
    <row r="130" spans="1:7">
      <c r="A130" s="16" t="s">
        <v>64</v>
      </c>
      <c r="B130" s="17">
        <f>AVERAGE(B78:B117)</f>
        <v>82.054749999999999</v>
      </c>
      <c r="C130" s="17"/>
    </row>
    <row r="131" spans="1:7">
      <c r="A131" s="16" t="s">
        <v>65</v>
      </c>
      <c r="B131" s="18">
        <f>AVERAGE(B83:B112)</f>
        <v>81.118666666666684</v>
      </c>
      <c r="C131" s="18"/>
    </row>
    <row r="132" spans="1:7">
      <c r="A132" s="16" t="s">
        <v>66</v>
      </c>
      <c r="B132" s="18">
        <f>AVERAGE(B89:B107)</f>
        <v>82.527368421052614</v>
      </c>
      <c r="C132" s="18"/>
    </row>
    <row r="134" spans="1:7" ht="15" customHeight="1">
      <c r="A134" s="470" t="s">
        <v>0</v>
      </c>
      <c r="B134" s="473" t="s">
        <v>3</v>
      </c>
      <c r="C134" s="473"/>
      <c r="D134" s="473"/>
      <c r="E134" s="40">
        <f>(1-E189)^(1/3)-1</f>
        <v>-3.4472810946772126E-2</v>
      </c>
      <c r="F134" s="40">
        <f>(1-F189)^(1/3)-1</f>
        <v>-3.8876004057783686E-2</v>
      </c>
      <c r="G134" s="40"/>
    </row>
    <row r="135" spans="1:7" ht="46.15" customHeight="1">
      <c r="A135" s="471"/>
      <c r="B135" s="57" t="s">
        <v>4</v>
      </c>
      <c r="C135" s="254"/>
      <c r="D135" s="57" t="s">
        <v>80</v>
      </c>
      <c r="E135" s="11" t="s">
        <v>5</v>
      </c>
      <c r="F135" s="39" t="s">
        <v>5</v>
      </c>
      <c r="G135" s="39"/>
    </row>
    <row r="136" spans="1:7">
      <c r="A136" s="472"/>
      <c r="B136" s="11" t="s">
        <v>9</v>
      </c>
      <c r="C136" s="254"/>
      <c r="D136" s="11" t="s">
        <v>7</v>
      </c>
      <c r="E136" s="177" t="s">
        <v>65</v>
      </c>
      <c r="F136" s="178"/>
      <c r="G136" s="179"/>
    </row>
    <row r="137" spans="1:7">
      <c r="A137" s="50">
        <v>1</v>
      </c>
      <c r="B137" s="51">
        <v>2</v>
      </c>
      <c r="C137" s="51"/>
      <c r="D137" s="51">
        <v>3</v>
      </c>
      <c r="E137" s="51">
        <v>4</v>
      </c>
      <c r="F137" s="52">
        <v>5</v>
      </c>
      <c r="G137" s="52"/>
    </row>
    <row r="138" spans="1:7">
      <c r="A138" s="27" t="s">
        <v>10</v>
      </c>
      <c r="B138" s="199">
        <v>0.08</v>
      </c>
      <c r="C138" s="255">
        <v>0</v>
      </c>
      <c r="D138" s="14">
        <v>0</v>
      </c>
      <c r="E138" s="14">
        <v>0</v>
      </c>
      <c r="F138" s="38">
        <v>0</v>
      </c>
      <c r="G138" s="38">
        <v>0</v>
      </c>
    </row>
    <row r="139" spans="1:7">
      <c r="A139" s="27" t="s">
        <v>58</v>
      </c>
      <c r="B139" s="199">
        <v>0.1</v>
      </c>
      <c r="C139" s="30">
        <f>B138</f>
        <v>0.08</v>
      </c>
      <c r="D139" s="14">
        <v>0</v>
      </c>
      <c r="E139" s="14">
        <v>0</v>
      </c>
      <c r="F139" s="38">
        <v>0</v>
      </c>
      <c r="G139" s="38">
        <v>0</v>
      </c>
    </row>
    <row r="140" spans="1:7">
      <c r="A140" s="27" t="s">
        <v>59</v>
      </c>
      <c r="B140" s="199">
        <v>0.12</v>
      </c>
      <c r="C140" s="30">
        <f t="shared" ref="C140:C188" si="2">B139</f>
        <v>0.1</v>
      </c>
      <c r="D140" s="14">
        <v>0</v>
      </c>
      <c r="E140" s="14">
        <v>0</v>
      </c>
      <c r="F140" s="38">
        <v>0</v>
      </c>
      <c r="G140" s="38">
        <v>0</v>
      </c>
    </row>
    <row r="141" spans="1:7">
      <c r="A141" s="27" t="s">
        <v>60</v>
      </c>
      <c r="B141" s="199">
        <v>0.13</v>
      </c>
      <c r="C141" s="30">
        <f t="shared" si="2"/>
        <v>0.12</v>
      </c>
      <c r="D141" s="14">
        <v>0</v>
      </c>
      <c r="E141" s="14">
        <v>0</v>
      </c>
      <c r="F141" s="38">
        <v>0</v>
      </c>
      <c r="G141" s="38">
        <v>0</v>
      </c>
    </row>
    <row r="142" spans="1:7">
      <c r="A142" s="27" t="s">
        <v>61</v>
      </c>
      <c r="B142" s="199">
        <v>0.15</v>
      </c>
      <c r="C142" s="30">
        <f t="shared" si="2"/>
        <v>0.13</v>
      </c>
      <c r="D142" s="14">
        <v>0</v>
      </c>
      <c r="E142" s="14">
        <v>0</v>
      </c>
      <c r="F142" s="38">
        <v>0</v>
      </c>
      <c r="G142" s="38">
        <v>0</v>
      </c>
    </row>
    <row r="143" spans="1:7">
      <c r="A143" s="27" t="s">
        <v>62</v>
      </c>
      <c r="B143" s="199">
        <v>0.17</v>
      </c>
      <c r="C143" s="30">
        <f t="shared" si="2"/>
        <v>0.15</v>
      </c>
      <c r="D143" s="14">
        <v>0</v>
      </c>
      <c r="E143" s="14">
        <v>0</v>
      </c>
      <c r="F143" s="38">
        <v>0</v>
      </c>
      <c r="G143" s="38">
        <v>0</v>
      </c>
    </row>
    <row r="144" spans="1:7">
      <c r="A144" s="27" t="s">
        <v>63</v>
      </c>
      <c r="B144" s="199">
        <v>0.18</v>
      </c>
      <c r="C144" s="30">
        <f t="shared" si="2"/>
        <v>0.17</v>
      </c>
      <c r="D144" s="14">
        <v>0</v>
      </c>
      <c r="E144" s="14">
        <v>0</v>
      </c>
      <c r="F144" s="38">
        <v>0</v>
      </c>
      <c r="G144" s="38">
        <v>0</v>
      </c>
    </row>
    <row r="145" spans="1:7">
      <c r="A145" s="29" t="s">
        <v>11</v>
      </c>
      <c r="B145" s="199">
        <v>0.2</v>
      </c>
      <c r="C145" s="30">
        <f t="shared" si="2"/>
        <v>0.18</v>
      </c>
      <c r="D145" s="14">
        <v>0</v>
      </c>
      <c r="E145" s="14">
        <v>0</v>
      </c>
      <c r="F145" s="38">
        <v>0</v>
      </c>
      <c r="G145" s="38">
        <v>0</v>
      </c>
    </row>
    <row r="146" spans="1:7">
      <c r="A146" s="29" t="s">
        <v>12</v>
      </c>
      <c r="B146" s="199">
        <v>0.24</v>
      </c>
      <c r="C146" s="30">
        <f t="shared" si="2"/>
        <v>0.2</v>
      </c>
      <c r="D146" s="14">
        <v>0</v>
      </c>
      <c r="E146" s="14">
        <v>0</v>
      </c>
      <c r="F146" s="38">
        <v>0</v>
      </c>
      <c r="G146" s="38">
        <v>0</v>
      </c>
    </row>
    <row r="147" spans="1:7">
      <c r="A147" s="29" t="s">
        <v>13</v>
      </c>
      <c r="B147" s="199">
        <v>0.34</v>
      </c>
      <c r="C147" s="30">
        <f t="shared" si="2"/>
        <v>0.24</v>
      </c>
      <c r="D147" s="14">
        <v>0</v>
      </c>
      <c r="E147" s="14">
        <v>0</v>
      </c>
      <c r="F147" s="38">
        <v>0</v>
      </c>
      <c r="G147" s="38">
        <v>0</v>
      </c>
    </row>
    <row r="148" spans="1:7">
      <c r="A148" s="29" t="s">
        <v>14</v>
      </c>
      <c r="B148" s="199">
        <v>0.44</v>
      </c>
      <c r="C148" s="30">
        <f t="shared" si="2"/>
        <v>0.34</v>
      </c>
      <c r="D148" s="14">
        <v>0</v>
      </c>
      <c r="E148" s="14">
        <v>0</v>
      </c>
      <c r="F148" s="38">
        <v>0</v>
      </c>
      <c r="G148" s="38">
        <v>0</v>
      </c>
    </row>
    <row r="149" spans="1:7">
      <c r="A149" s="29" t="s">
        <v>15</v>
      </c>
      <c r="B149" s="199">
        <v>0.49</v>
      </c>
      <c r="C149" s="30">
        <f t="shared" si="2"/>
        <v>0.44</v>
      </c>
      <c r="D149" s="14">
        <v>0</v>
      </c>
      <c r="E149" s="14">
        <v>0</v>
      </c>
      <c r="F149" s="38">
        <v>0</v>
      </c>
      <c r="G149" s="38">
        <v>0</v>
      </c>
    </row>
    <row r="150" spans="1:7">
      <c r="A150" s="29" t="s">
        <v>16</v>
      </c>
      <c r="B150" s="199">
        <v>0.62</v>
      </c>
      <c r="C150" s="30">
        <f t="shared" si="2"/>
        <v>0.49</v>
      </c>
      <c r="D150" s="14">
        <v>0</v>
      </c>
      <c r="E150" s="14">
        <v>0</v>
      </c>
      <c r="F150" s="38">
        <v>0</v>
      </c>
      <c r="G150" s="38">
        <v>0</v>
      </c>
    </row>
    <row r="151" spans="1:7">
      <c r="A151" s="29" t="s">
        <v>17</v>
      </c>
      <c r="B151" s="199">
        <v>0.78</v>
      </c>
      <c r="C151" s="30">
        <f t="shared" si="2"/>
        <v>0.62</v>
      </c>
      <c r="D151" s="14">
        <v>0</v>
      </c>
      <c r="E151" s="14">
        <v>0</v>
      </c>
      <c r="F151" s="38">
        <v>0</v>
      </c>
      <c r="G151" s="38">
        <v>0</v>
      </c>
    </row>
    <row r="152" spans="1:7">
      <c r="A152" s="29" t="s">
        <v>18</v>
      </c>
      <c r="B152" s="199">
        <v>0.86</v>
      </c>
      <c r="C152" s="30">
        <f t="shared" si="2"/>
        <v>0.78</v>
      </c>
      <c r="D152" s="14">
        <v>0</v>
      </c>
      <c r="E152" s="14">
        <v>0</v>
      </c>
      <c r="F152" s="38">
        <v>0</v>
      </c>
      <c r="G152" s="38">
        <v>0</v>
      </c>
    </row>
    <row r="153" spans="1:7">
      <c r="A153" s="29" t="s">
        <v>19</v>
      </c>
      <c r="B153" s="199">
        <v>0.96</v>
      </c>
      <c r="C153" s="30">
        <f t="shared" si="2"/>
        <v>0.86</v>
      </c>
      <c r="D153" s="14">
        <v>0</v>
      </c>
      <c r="E153" s="14">
        <v>0</v>
      </c>
      <c r="F153" s="38">
        <v>0</v>
      </c>
      <c r="G153" s="38">
        <v>0</v>
      </c>
    </row>
    <row r="154" spans="1:7">
      <c r="A154" s="29" t="s">
        <v>20</v>
      </c>
      <c r="B154" s="199">
        <v>1.1499999999999999</v>
      </c>
      <c r="C154" s="30">
        <f t="shared" si="2"/>
        <v>0.96</v>
      </c>
      <c r="D154" s="14">
        <v>0</v>
      </c>
      <c r="E154" s="14">
        <v>0</v>
      </c>
      <c r="F154" s="38">
        <v>0</v>
      </c>
      <c r="G154" s="38">
        <v>0</v>
      </c>
    </row>
    <row r="155" spans="1:7">
      <c r="A155" s="29" t="s">
        <v>21</v>
      </c>
      <c r="B155" s="199">
        <v>1.53</v>
      </c>
      <c r="C155" s="30">
        <f t="shared" si="2"/>
        <v>1.1499999999999999</v>
      </c>
      <c r="D155" s="14">
        <v>0</v>
      </c>
      <c r="E155" s="14">
        <v>0</v>
      </c>
      <c r="F155" s="38">
        <v>0</v>
      </c>
      <c r="G155" s="38">
        <v>0</v>
      </c>
    </row>
    <row r="156" spans="1:7">
      <c r="A156" s="29" t="s">
        <v>22</v>
      </c>
      <c r="B156" s="199">
        <v>2.0699999999999998</v>
      </c>
      <c r="C156" s="30">
        <f t="shared" si="2"/>
        <v>1.53</v>
      </c>
      <c r="D156" s="14">
        <v>0</v>
      </c>
      <c r="E156" s="14">
        <v>0</v>
      </c>
      <c r="F156" s="38">
        <v>0</v>
      </c>
      <c r="G156" s="38">
        <v>0</v>
      </c>
    </row>
    <row r="157" spans="1:7">
      <c r="A157" s="29" t="s">
        <v>23</v>
      </c>
      <c r="B157" s="199">
        <v>2.92</v>
      </c>
      <c r="C157" s="30">
        <f t="shared" si="2"/>
        <v>2.0699999999999998</v>
      </c>
      <c r="D157" s="14">
        <v>0</v>
      </c>
      <c r="E157" s="14">
        <v>0</v>
      </c>
      <c r="F157" s="38">
        <v>0</v>
      </c>
      <c r="G157" s="38">
        <v>0</v>
      </c>
    </row>
    <row r="158" spans="1:7">
      <c r="A158" s="29" t="s">
        <v>24</v>
      </c>
      <c r="B158" s="199">
        <v>3.56</v>
      </c>
      <c r="C158" s="30">
        <f t="shared" si="2"/>
        <v>2.92</v>
      </c>
      <c r="D158" s="14">
        <v>0</v>
      </c>
      <c r="E158" s="14">
        <v>0</v>
      </c>
      <c r="F158" s="38">
        <v>0</v>
      </c>
      <c r="G158" s="38">
        <v>0</v>
      </c>
    </row>
    <row r="159" spans="1:7">
      <c r="A159" s="29" t="s">
        <v>25</v>
      </c>
      <c r="B159" s="199">
        <v>3.76</v>
      </c>
      <c r="C159" s="30">
        <f t="shared" si="2"/>
        <v>3.56</v>
      </c>
      <c r="D159" s="14">
        <v>0</v>
      </c>
      <c r="E159" s="14">
        <v>0</v>
      </c>
      <c r="F159" s="38">
        <v>0</v>
      </c>
      <c r="G159" s="38">
        <v>0</v>
      </c>
    </row>
    <row r="160" spans="1:7">
      <c r="A160" s="29" t="s">
        <v>26</v>
      </c>
      <c r="B160" s="199">
        <v>4.9000000000000004</v>
      </c>
      <c r="C160" s="30">
        <f t="shared" si="2"/>
        <v>3.76</v>
      </c>
      <c r="D160" s="14">
        <v>0</v>
      </c>
      <c r="E160" s="14">
        <v>0</v>
      </c>
      <c r="F160" s="38">
        <v>0</v>
      </c>
      <c r="G160" s="38">
        <v>0</v>
      </c>
    </row>
    <row r="161" spans="1:7">
      <c r="A161" s="29" t="s">
        <v>27</v>
      </c>
      <c r="B161" s="199">
        <v>5.6</v>
      </c>
      <c r="C161" s="30">
        <f t="shared" si="2"/>
        <v>4.9000000000000004</v>
      </c>
      <c r="D161" s="14">
        <v>0</v>
      </c>
      <c r="E161" s="14">
        <v>0</v>
      </c>
      <c r="F161" s="38">
        <v>1.0685714285714283E-2</v>
      </c>
      <c r="G161" s="38">
        <v>0</v>
      </c>
    </row>
    <row r="162" spans="1:7">
      <c r="A162" s="29" t="s">
        <v>28</v>
      </c>
      <c r="B162" s="199">
        <v>6.82</v>
      </c>
      <c r="C162" s="30">
        <f t="shared" si="2"/>
        <v>5.6</v>
      </c>
      <c r="D162" s="14">
        <v>0.16052785923753693</v>
      </c>
      <c r="E162" s="14">
        <v>1.6052785923753695E-2</v>
      </c>
      <c r="F162" s="38">
        <v>2.6662756598240477E-2</v>
      </c>
      <c r="G162" s="38">
        <v>0</v>
      </c>
    </row>
    <row r="163" spans="1:7">
      <c r="A163" s="29" t="s">
        <v>29</v>
      </c>
      <c r="B163" s="199">
        <v>8.07</v>
      </c>
      <c r="C163" s="30">
        <f t="shared" si="2"/>
        <v>6.82</v>
      </c>
      <c r="D163" s="14">
        <v>0.29055762081784409</v>
      </c>
      <c r="E163" s="14">
        <v>2.9055762081784411E-2</v>
      </c>
      <c r="F163" s="38">
        <v>3.8022304832713759E-2</v>
      </c>
      <c r="G163" s="38">
        <v>0</v>
      </c>
    </row>
    <row r="164" spans="1:7">
      <c r="A164" s="29" t="s">
        <v>30</v>
      </c>
      <c r="B164" s="199">
        <v>9.36</v>
      </c>
      <c r="C164" s="30">
        <f t="shared" si="2"/>
        <v>8.07</v>
      </c>
      <c r="D164" s="14">
        <v>0.38833333333333347</v>
      </c>
      <c r="E164" s="14">
        <v>3.8833333333333352E-2</v>
      </c>
      <c r="F164" s="38">
        <v>7.9384615384615359E-2</v>
      </c>
      <c r="G164" s="38">
        <v>0</v>
      </c>
    </row>
    <row r="165" spans="1:7">
      <c r="A165" s="29" t="s">
        <v>31</v>
      </c>
      <c r="B165" s="199">
        <v>10.08</v>
      </c>
      <c r="C165" s="30">
        <f t="shared" si="2"/>
        <v>9.36</v>
      </c>
      <c r="D165" s="14">
        <v>0.4320238095238097</v>
      </c>
      <c r="E165" s="14">
        <v>5.9214285714285796E-2</v>
      </c>
      <c r="F165" s="38">
        <v>0.10228571428571429</v>
      </c>
      <c r="G165" s="38">
        <v>0</v>
      </c>
    </row>
    <row r="166" spans="1:7">
      <c r="A166" s="29" t="s">
        <v>32</v>
      </c>
      <c r="B166" s="199">
        <v>10.83</v>
      </c>
      <c r="C166" s="30">
        <f t="shared" si="2"/>
        <v>10.08</v>
      </c>
      <c r="D166" s="14">
        <v>0.47135734072022178</v>
      </c>
      <c r="E166" s="14">
        <v>8.2814404432133046E-2</v>
      </c>
      <c r="F166" s="38">
        <v>0.12290304709141274</v>
      </c>
      <c r="G166" s="38">
        <v>8.8642659279778476E-4</v>
      </c>
    </row>
    <row r="167" spans="1:7">
      <c r="A167" s="29" t="s">
        <v>33</v>
      </c>
      <c r="B167" s="199">
        <v>11.39</v>
      </c>
      <c r="C167" s="30">
        <f t="shared" si="2"/>
        <v>10.83</v>
      </c>
      <c r="D167" s="14">
        <v>0.49734855136084299</v>
      </c>
      <c r="E167" s="14">
        <v>9.8409130816505791E-2</v>
      </c>
      <c r="F167" s="38">
        <v>0.13652677787532927</v>
      </c>
      <c r="G167" s="38">
        <v>5.7594381035996536E-3</v>
      </c>
    </row>
    <row r="168" spans="1:7">
      <c r="A168" s="29" t="s">
        <v>34</v>
      </c>
      <c r="B168" s="199">
        <v>12.26</v>
      </c>
      <c r="C168" s="30">
        <f t="shared" si="2"/>
        <v>11.39</v>
      </c>
      <c r="D168" s="14">
        <v>0.53301794453507356</v>
      </c>
      <c r="E168" s="14">
        <v>0.11981076672104411</v>
      </c>
      <c r="F168" s="38">
        <v>0.15522349102773245</v>
      </c>
      <c r="G168" s="38">
        <v>1.2446982055464925E-2</v>
      </c>
    </row>
    <row r="169" spans="1:7">
      <c r="A169" s="29" t="s">
        <v>35</v>
      </c>
      <c r="B169" s="199">
        <v>13.21</v>
      </c>
      <c r="C169" s="30">
        <f t="shared" si="2"/>
        <v>12.26</v>
      </c>
      <c r="D169" s="14">
        <v>0.56660105980317954</v>
      </c>
      <c r="E169" s="14">
        <v>0.13996063588190771</v>
      </c>
      <c r="F169" s="38">
        <v>0.17282664647993945</v>
      </c>
      <c r="G169" s="38">
        <v>1.8743376230128696E-2</v>
      </c>
    </row>
    <row r="170" spans="1:7">
      <c r="A170" s="29" t="s">
        <v>36</v>
      </c>
      <c r="B170" s="199">
        <v>13.85</v>
      </c>
      <c r="C170" s="30">
        <f t="shared" si="2"/>
        <v>13.21</v>
      </c>
      <c r="D170" s="14">
        <v>0.58662815884476538</v>
      </c>
      <c r="E170" s="14">
        <v>0.15197689530685926</v>
      </c>
      <c r="F170" s="38">
        <v>0.18332418772563178</v>
      </c>
      <c r="G170" s="38">
        <v>2.2498194945848374E-2</v>
      </c>
    </row>
    <row r="171" spans="1:7">
      <c r="A171" s="29" t="s">
        <v>37</v>
      </c>
      <c r="B171" s="199">
        <v>14.79</v>
      </c>
      <c r="C171" s="30">
        <f t="shared" si="2"/>
        <v>13.85</v>
      </c>
      <c r="D171" s="14">
        <v>0.61290060851926997</v>
      </c>
      <c r="E171" s="14">
        <v>0.16774036511156193</v>
      </c>
      <c r="F171" s="38">
        <v>0.19709533468559837</v>
      </c>
      <c r="G171" s="38">
        <v>2.7423935091277888E-2</v>
      </c>
    </row>
    <row r="172" spans="1:7">
      <c r="A172" s="29" t="s">
        <v>38</v>
      </c>
      <c r="B172" s="199">
        <v>15.37</v>
      </c>
      <c r="C172" s="30">
        <f t="shared" si="2"/>
        <v>14.79</v>
      </c>
      <c r="D172" s="14">
        <v>0.62750813272608985</v>
      </c>
      <c r="E172" s="14">
        <v>0.17650487963565389</v>
      </c>
      <c r="F172" s="38">
        <v>0.20475211450878333</v>
      </c>
      <c r="G172" s="38">
        <v>3.0162654521795704E-2</v>
      </c>
    </row>
    <row r="173" spans="1:7">
      <c r="A173" s="29" t="s">
        <v>39</v>
      </c>
      <c r="B173" s="199">
        <v>16.68</v>
      </c>
      <c r="C173" s="30">
        <f t="shared" si="2"/>
        <v>15.37</v>
      </c>
      <c r="D173" s="14">
        <v>0.65676258992805769</v>
      </c>
      <c r="E173" s="14">
        <v>0.19405755395683461</v>
      </c>
      <c r="F173" s="38">
        <v>0.22008633093525182</v>
      </c>
      <c r="G173" s="38">
        <v>3.5647482014388492E-2</v>
      </c>
    </row>
    <row r="174" spans="1:7">
      <c r="A174" s="29" t="s">
        <v>40</v>
      </c>
      <c r="B174" s="199">
        <v>17.63</v>
      </c>
      <c r="C174" s="30">
        <f t="shared" si="2"/>
        <v>16.68</v>
      </c>
      <c r="D174" s="14">
        <v>0.6752580828133864</v>
      </c>
      <c r="E174" s="14">
        <v>0.20515484968803183</v>
      </c>
      <c r="F174" s="38">
        <v>0.22978105501985252</v>
      </c>
      <c r="G174" s="38">
        <v>3.9115144639818494E-2</v>
      </c>
    </row>
    <row r="175" spans="1:7">
      <c r="A175" s="29" t="s">
        <v>41</v>
      </c>
      <c r="B175" s="199">
        <v>18.510000000000002</v>
      </c>
      <c r="C175" s="30">
        <f t="shared" si="2"/>
        <v>17.63</v>
      </c>
      <c r="D175" s="14">
        <v>0.69069692058346854</v>
      </c>
      <c r="E175" s="14">
        <v>0.21441815235008108</v>
      </c>
      <c r="F175" s="38">
        <v>0.23787358184764995</v>
      </c>
      <c r="G175" s="38">
        <v>5.2058346839546216E-2</v>
      </c>
    </row>
    <row r="176" spans="1:7">
      <c r="A176" s="29" t="s">
        <v>42</v>
      </c>
      <c r="B176" s="199">
        <v>19.670000000000002</v>
      </c>
      <c r="C176" s="30">
        <f t="shared" si="2"/>
        <v>18.510000000000002</v>
      </c>
      <c r="D176" s="14">
        <v>0.70893746822572457</v>
      </c>
      <c r="E176" s="14">
        <v>0.22536248093543473</v>
      </c>
      <c r="F176" s="38">
        <v>0.24743467208947639</v>
      </c>
      <c r="G176" s="38">
        <v>7.2577529232333529E-2</v>
      </c>
    </row>
    <row r="177" spans="1:7">
      <c r="A177" s="29" t="s">
        <v>43</v>
      </c>
      <c r="B177" s="199">
        <v>21.92</v>
      </c>
      <c r="C177" s="30">
        <f t="shared" si="2"/>
        <v>19.670000000000002</v>
      </c>
      <c r="D177" s="14">
        <v>0.7388138686131388</v>
      </c>
      <c r="E177" s="14">
        <v>0.24328832116788329</v>
      </c>
      <c r="F177" s="38">
        <v>0.26309489051094898</v>
      </c>
      <c r="G177" s="38">
        <v>0.10618613138686134</v>
      </c>
    </row>
    <row r="178" spans="1:7">
      <c r="A178" s="29" t="s">
        <v>44</v>
      </c>
      <c r="B178" s="199">
        <v>23.04</v>
      </c>
      <c r="C178" s="30">
        <f t="shared" si="2"/>
        <v>21.92</v>
      </c>
      <c r="D178" s="14">
        <v>0.75151041666666674</v>
      </c>
      <c r="E178" s="14">
        <v>0.25090625000000005</v>
      </c>
      <c r="F178" s="38">
        <v>0.26974999999999999</v>
      </c>
      <c r="G178" s="38">
        <v>0.12046875</v>
      </c>
    </row>
    <row r="179" spans="1:7">
      <c r="A179" s="29" t="s">
        <v>45</v>
      </c>
      <c r="B179" s="199">
        <v>24.21</v>
      </c>
      <c r="C179" s="30">
        <f t="shared" si="2"/>
        <v>23.04</v>
      </c>
      <c r="D179" s="14">
        <v>0.76351920693928144</v>
      </c>
      <c r="E179" s="14">
        <v>0.25811152416356881</v>
      </c>
      <c r="F179" s="38">
        <v>0.27604460966542754</v>
      </c>
      <c r="G179" s="38">
        <v>0.13397769516728628</v>
      </c>
    </row>
    <row r="180" spans="1:7">
      <c r="A180" s="29" t="s">
        <v>46</v>
      </c>
      <c r="B180" s="199">
        <v>26.09</v>
      </c>
      <c r="C180" s="30">
        <f t="shared" si="2"/>
        <v>24.21</v>
      </c>
      <c r="D180" s="14">
        <v>0.78055960137983915</v>
      </c>
      <c r="E180" s="14">
        <v>0.26833576082790345</v>
      </c>
      <c r="F180" s="38">
        <v>0.284976619394404</v>
      </c>
      <c r="G180" s="38">
        <v>0.15314679954005367</v>
      </c>
    </row>
    <row r="181" spans="1:7">
      <c r="A181" s="29" t="s">
        <v>47</v>
      </c>
      <c r="B181" s="199">
        <v>27.83</v>
      </c>
      <c r="C181" s="30">
        <f t="shared" si="2"/>
        <v>26.09</v>
      </c>
      <c r="D181" s="14">
        <v>0.7942795544376573</v>
      </c>
      <c r="E181" s="14">
        <v>0.27656773266259438</v>
      </c>
      <c r="F181" s="38">
        <v>0.29216816385195837</v>
      </c>
      <c r="G181" s="38">
        <v>0.16858066834351418</v>
      </c>
    </row>
    <row r="182" spans="1:7">
      <c r="A182" s="29" t="s">
        <v>48</v>
      </c>
      <c r="B182" s="199">
        <v>29.3</v>
      </c>
      <c r="C182" s="30">
        <f t="shared" si="2"/>
        <v>27.83</v>
      </c>
      <c r="D182" s="14">
        <v>0.80460068259385675</v>
      </c>
      <c r="E182" s="14">
        <v>0.28276040955631404</v>
      </c>
      <c r="F182" s="38">
        <v>0.29757815699658702</v>
      </c>
      <c r="G182" s="38">
        <v>0.1801911262798635</v>
      </c>
    </row>
    <row r="183" spans="1:7">
      <c r="A183" s="29" t="s">
        <v>49</v>
      </c>
      <c r="B183" s="199">
        <v>30.3</v>
      </c>
      <c r="C183" s="30">
        <f t="shared" si="2"/>
        <v>29.3</v>
      </c>
      <c r="D183" s="14">
        <v>0.8110495049504951</v>
      </c>
      <c r="E183" s="14">
        <v>0.28662970297029705</v>
      </c>
      <c r="F183" s="38">
        <v>0.30095841584158417</v>
      </c>
      <c r="G183" s="38">
        <v>0.18744554455445547</v>
      </c>
    </row>
    <row r="184" spans="1:7">
      <c r="A184" s="29" t="s">
        <v>50</v>
      </c>
      <c r="B184" s="199">
        <v>31.33</v>
      </c>
      <c r="C184" s="30">
        <f t="shared" si="2"/>
        <v>30.3</v>
      </c>
      <c r="D184" s="14">
        <v>0.81726141078838177</v>
      </c>
      <c r="E184" s="14">
        <v>0.29035684647302906</v>
      </c>
      <c r="F184" s="38">
        <v>0.30421449090328756</v>
      </c>
      <c r="G184" s="38">
        <v>0.19443345036706033</v>
      </c>
    </row>
    <row r="185" spans="1:7">
      <c r="A185" s="29" t="s">
        <v>51</v>
      </c>
      <c r="B185" s="199">
        <v>32.93</v>
      </c>
      <c r="C185" s="30">
        <f t="shared" si="2"/>
        <v>31.33</v>
      </c>
      <c r="D185" s="14">
        <v>0.82614029760097185</v>
      </c>
      <c r="E185" s="14">
        <v>0.2956841785605831</v>
      </c>
      <c r="F185" s="38">
        <v>0.30886850895839663</v>
      </c>
      <c r="G185" s="38">
        <v>0.20442150015183724</v>
      </c>
    </row>
    <row r="186" spans="1:7">
      <c r="A186" s="29" t="s">
        <v>52</v>
      </c>
      <c r="B186" s="199">
        <v>37.18</v>
      </c>
      <c r="C186" s="30">
        <f t="shared" si="2"/>
        <v>32.93</v>
      </c>
      <c r="D186" s="14">
        <v>0.84601398601398603</v>
      </c>
      <c r="E186" s="14">
        <v>0.3076083916083916</v>
      </c>
      <c r="F186" s="38">
        <v>0.31928563743948363</v>
      </c>
      <c r="G186" s="38">
        <v>0.22677783754706832</v>
      </c>
    </row>
    <row r="187" spans="1:7">
      <c r="A187" s="29" t="s">
        <v>53</v>
      </c>
      <c r="B187" s="190">
        <v>40.46</v>
      </c>
      <c r="C187" s="30">
        <f>B186</f>
        <v>37.18</v>
      </c>
      <c r="D187" s="14">
        <v>0.85849728126544733</v>
      </c>
      <c r="E187" s="14">
        <v>0.31509836875926844</v>
      </c>
      <c r="F187" s="38">
        <v>0.32582896688087004</v>
      </c>
      <c r="G187" s="38">
        <v>0.24082056351952547</v>
      </c>
    </row>
    <row r="188" spans="1:7">
      <c r="A188" s="29" t="s">
        <v>53</v>
      </c>
      <c r="B188" s="29" t="s">
        <v>208</v>
      </c>
      <c r="C188" s="30">
        <f t="shared" si="2"/>
        <v>40.46</v>
      </c>
      <c r="D188" s="58"/>
      <c r="E188" s="11"/>
      <c r="F188" s="39"/>
      <c r="G188" s="39"/>
    </row>
    <row r="189" spans="1:7" ht="15.75" thickBot="1">
      <c r="A189" s="29"/>
      <c r="B189" s="29"/>
      <c r="C189" s="4"/>
      <c r="D189" s="58"/>
      <c r="E189" s="32">
        <v>9.9894275372780741E-2</v>
      </c>
      <c r="F189" s="40">
        <v>0.11215273610233209</v>
      </c>
      <c r="G189" s="40">
        <v>4.4675391542490513E-2</v>
      </c>
    </row>
    <row r="190" spans="1:7" ht="26.25" customHeight="1" thickBot="1">
      <c r="A190" s="33" t="s">
        <v>55</v>
      </c>
      <c r="B190" s="57">
        <v>17.89</v>
      </c>
      <c r="C190" s="4"/>
      <c r="D190" s="58"/>
      <c r="E190" s="169">
        <v>9.5419999999999998</v>
      </c>
      <c r="F190" s="164">
        <v>8.3360000000000003</v>
      </c>
      <c r="G190" s="170">
        <v>17.89</v>
      </c>
    </row>
    <row r="191" spans="1:7" ht="26.65" customHeight="1" thickBot="1">
      <c r="A191" s="33" t="s">
        <v>56</v>
      </c>
      <c r="B191" s="57">
        <v>11.35</v>
      </c>
      <c r="C191" s="4"/>
      <c r="D191" s="11"/>
      <c r="E191" s="11"/>
      <c r="F191" s="39"/>
      <c r="G191" s="39"/>
    </row>
    <row r="192" spans="1:7" ht="37.15" customHeight="1" thickBot="1">
      <c r="A192" s="35" t="s">
        <v>57</v>
      </c>
      <c r="B192" s="57">
        <v>6.81</v>
      </c>
      <c r="C192" s="4"/>
      <c r="D192" s="11"/>
      <c r="E192" s="11">
        <v>5.7251999999999983</v>
      </c>
      <c r="F192" s="39">
        <v>5.0015999999999998</v>
      </c>
      <c r="G192" s="39">
        <v>10.734</v>
      </c>
    </row>
    <row r="195" spans="1:3">
      <c r="A195" s="16" t="s">
        <v>64</v>
      </c>
      <c r="B195" s="17">
        <f>AVERAGE(B143:B182)</f>
        <v>9.541999999999998</v>
      </c>
      <c r="C195" s="17"/>
    </row>
    <row r="196" spans="1:3">
      <c r="A196" s="16" t="s">
        <v>65</v>
      </c>
      <c r="B196" s="18">
        <f>AVERAGE(B148:B177)</f>
        <v>8.3360000000000003</v>
      </c>
      <c r="C196" s="18"/>
    </row>
    <row r="197" spans="1:3">
      <c r="A197" s="16" t="s">
        <v>66</v>
      </c>
      <c r="B197" s="18">
        <f>AVERAGE(B154:B172)</f>
        <v>7.9747368421052638</v>
      </c>
      <c r="C197" s="18"/>
    </row>
    <row r="201" spans="1:3">
      <c r="C201" s="11"/>
    </row>
    <row r="202" spans="1:3">
      <c r="C202" s="11"/>
    </row>
    <row r="203" spans="1:3">
      <c r="C203" s="51"/>
    </row>
    <row r="204" spans="1:3">
      <c r="C204" s="163">
        <v>0</v>
      </c>
    </row>
    <row r="205" spans="1:3">
      <c r="C205" s="30">
        <f>B204</f>
        <v>0</v>
      </c>
    </row>
    <row r="206" spans="1:3">
      <c r="C206" s="30">
        <f t="shared" ref="C206:C254" si="3">B205</f>
        <v>0</v>
      </c>
    </row>
    <row r="207" spans="1:3">
      <c r="C207" s="30">
        <f t="shared" si="3"/>
        <v>0</v>
      </c>
    </row>
    <row r="208" spans="1:3">
      <c r="C208" s="30">
        <f t="shared" si="3"/>
        <v>0</v>
      </c>
    </row>
    <row r="209" spans="3:3">
      <c r="C209" s="30">
        <f t="shared" si="3"/>
        <v>0</v>
      </c>
    </row>
    <row r="210" spans="3:3">
      <c r="C210" s="30">
        <f t="shared" si="3"/>
        <v>0</v>
      </c>
    </row>
    <row r="211" spans="3:3">
      <c r="C211" s="30">
        <f t="shared" si="3"/>
        <v>0</v>
      </c>
    </row>
    <row r="212" spans="3:3">
      <c r="C212" s="30">
        <f t="shared" si="3"/>
        <v>0</v>
      </c>
    </row>
    <row r="213" spans="3:3">
      <c r="C213" s="30">
        <f t="shared" si="3"/>
        <v>0</v>
      </c>
    </row>
    <row r="214" spans="3:3">
      <c r="C214" s="30">
        <f t="shared" si="3"/>
        <v>0</v>
      </c>
    </row>
    <row r="215" spans="3:3">
      <c r="C215" s="30">
        <f t="shared" si="3"/>
        <v>0</v>
      </c>
    </row>
    <row r="216" spans="3:3">
      <c r="C216" s="30">
        <f t="shared" si="3"/>
        <v>0</v>
      </c>
    </row>
    <row r="217" spans="3:3">
      <c r="C217" s="30">
        <f t="shared" si="3"/>
        <v>0</v>
      </c>
    </row>
    <row r="218" spans="3:3">
      <c r="C218" s="30">
        <f t="shared" si="3"/>
        <v>0</v>
      </c>
    </row>
    <row r="219" spans="3:3">
      <c r="C219" s="30">
        <f t="shared" si="3"/>
        <v>0</v>
      </c>
    </row>
    <row r="220" spans="3:3">
      <c r="C220" s="30">
        <f t="shared" si="3"/>
        <v>0</v>
      </c>
    </row>
    <row r="221" spans="3:3">
      <c r="C221" s="30">
        <f t="shared" si="3"/>
        <v>0</v>
      </c>
    </row>
    <row r="222" spans="3:3">
      <c r="C222" s="30">
        <f t="shared" si="3"/>
        <v>0</v>
      </c>
    </row>
    <row r="223" spans="3:3">
      <c r="C223" s="30">
        <f t="shared" si="3"/>
        <v>0</v>
      </c>
    </row>
    <row r="224" spans="3:3">
      <c r="C224" s="30">
        <f t="shared" si="3"/>
        <v>0</v>
      </c>
    </row>
    <row r="225" spans="3:3">
      <c r="C225" s="30">
        <f t="shared" si="3"/>
        <v>0</v>
      </c>
    </row>
    <row r="226" spans="3:3">
      <c r="C226" s="30">
        <f t="shared" si="3"/>
        <v>0</v>
      </c>
    </row>
    <row r="227" spans="3:3">
      <c r="C227" s="30">
        <f t="shared" si="3"/>
        <v>0</v>
      </c>
    </row>
    <row r="228" spans="3:3">
      <c r="C228" s="30">
        <f t="shared" si="3"/>
        <v>0</v>
      </c>
    </row>
    <row r="229" spans="3:3">
      <c r="C229" s="30">
        <f t="shared" si="3"/>
        <v>0</v>
      </c>
    </row>
    <row r="230" spans="3:3">
      <c r="C230" s="30">
        <f t="shared" si="3"/>
        <v>0</v>
      </c>
    </row>
    <row r="231" spans="3:3">
      <c r="C231" s="30">
        <f t="shared" si="3"/>
        <v>0</v>
      </c>
    </row>
    <row r="232" spans="3:3">
      <c r="C232" s="30">
        <f t="shared" si="3"/>
        <v>0</v>
      </c>
    </row>
    <row r="233" spans="3:3">
      <c r="C233" s="30">
        <f t="shared" si="3"/>
        <v>0</v>
      </c>
    </row>
    <row r="234" spans="3:3">
      <c r="C234" s="30">
        <f t="shared" si="3"/>
        <v>0</v>
      </c>
    </row>
    <row r="235" spans="3:3">
      <c r="C235" s="30">
        <f t="shared" si="3"/>
        <v>0</v>
      </c>
    </row>
    <row r="236" spans="3:3">
      <c r="C236" s="30">
        <f t="shared" si="3"/>
        <v>0</v>
      </c>
    </row>
    <row r="237" spans="3:3">
      <c r="C237" s="30">
        <f t="shared" si="3"/>
        <v>0</v>
      </c>
    </row>
    <row r="238" spans="3:3">
      <c r="C238" s="30">
        <f t="shared" si="3"/>
        <v>0</v>
      </c>
    </row>
    <row r="239" spans="3:3">
      <c r="C239" s="30">
        <f t="shared" si="3"/>
        <v>0</v>
      </c>
    </row>
    <row r="240" spans="3:3">
      <c r="C240" s="30">
        <f t="shared" si="3"/>
        <v>0</v>
      </c>
    </row>
    <row r="241" spans="3:3">
      <c r="C241" s="30">
        <f t="shared" si="3"/>
        <v>0</v>
      </c>
    </row>
    <row r="242" spans="3:3">
      <c r="C242" s="30">
        <f t="shared" si="3"/>
        <v>0</v>
      </c>
    </row>
    <row r="243" spans="3:3">
      <c r="C243" s="30">
        <f t="shared" si="3"/>
        <v>0</v>
      </c>
    </row>
    <row r="244" spans="3:3">
      <c r="C244" s="30">
        <f t="shared" si="3"/>
        <v>0</v>
      </c>
    </row>
    <row r="245" spans="3:3">
      <c r="C245" s="30">
        <f t="shared" si="3"/>
        <v>0</v>
      </c>
    </row>
    <row r="246" spans="3:3">
      <c r="C246" s="30">
        <f t="shared" si="3"/>
        <v>0</v>
      </c>
    </row>
    <row r="247" spans="3:3">
      <c r="C247" s="30">
        <f t="shared" si="3"/>
        <v>0</v>
      </c>
    </row>
    <row r="248" spans="3:3">
      <c r="C248" s="30">
        <f t="shared" si="3"/>
        <v>0</v>
      </c>
    </row>
    <row r="249" spans="3:3">
      <c r="C249" s="30">
        <f t="shared" si="3"/>
        <v>0</v>
      </c>
    </row>
    <row r="250" spans="3:3">
      <c r="C250" s="30">
        <f t="shared" si="3"/>
        <v>0</v>
      </c>
    </row>
    <row r="251" spans="3:3">
      <c r="C251" s="30">
        <f t="shared" si="3"/>
        <v>0</v>
      </c>
    </row>
    <row r="252" spans="3:3">
      <c r="C252" s="30">
        <f t="shared" si="3"/>
        <v>0</v>
      </c>
    </row>
    <row r="253" spans="3:3">
      <c r="C253" s="30">
        <f>B252</f>
        <v>0</v>
      </c>
    </row>
    <row r="254" spans="3:3">
      <c r="C254" s="30">
        <f t="shared" si="3"/>
        <v>0</v>
      </c>
    </row>
    <row r="255" spans="3:3">
      <c r="C255" s="29"/>
    </row>
    <row r="256" spans="3:3">
      <c r="C256" s="29"/>
    </row>
    <row r="257" spans="3:3">
      <c r="C257" s="29"/>
    </row>
    <row r="258" spans="3:3">
      <c r="C258" s="29"/>
    </row>
    <row r="261" spans="3:3">
      <c r="C261" s="17"/>
    </row>
    <row r="262" spans="3:3">
      <c r="C262" s="18"/>
    </row>
    <row r="263" spans="3:3">
      <c r="C263" s="18"/>
    </row>
    <row r="267" spans="3:3" ht="15.75" thickBot="1">
      <c r="C267" s="65"/>
    </row>
    <row r="270" spans="3:3">
      <c r="C270">
        <v>0</v>
      </c>
    </row>
    <row r="271" spans="3:3">
      <c r="C271" s="30">
        <f>B270</f>
        <v>0</v>
      </c>
    </row>
    <row r="272" spans="3:3">
      <c r="C272" s="30">
        <f t="shared" ref="C272:C320" si="4">B271</f>
        <v>0</v>
      </c>
    </row>
    <row r="273" spans="3:3">
      <c r="C273" s="30">
        <f t="shared" si="4"/>
        <v>0</v>
      </c>
    </row>
    <row r="274" spans="3:3">
      <c r="C274" s="30">
        <f t="shared" si="4"/>
        <v>0</v>
      </c>
    </row>
    <row r="275" spans="3:3">
      <c r="C275" s="30">
        <f t="shared" si="4"/>
        <v>0</v>
      </c>
    </row>
    <row r="276" spans="3:3">
      <c r="C276" s="30">
        <f t="shared" si="4"/>
        <v>0</v>
      </c>
    </row>
    <row r="277" spans="3:3">
      <c r="C277" s="30">
        <f t="shared" si="4"/>
        <v>0</v>
      </c>
    </row>
    <row r="278" spans="3:3">
      <c r="C278" s="30">
        <f t="shared" si="4"/>
        <v>0</v>
      </c>
    </row>
    <row r="279" spans="3:3">
      <c r="C279" s="30">
        <f t="shared" si="4"/>
        <v>0</v>
      </c>
    </row>
    <row r="280" spans="3:3">
      <c r="C280" s="30">
        <f t="shared" si="4"/>
        <v>0</v>
      </c>
    </row>
    <row r="281" spans="3:3">
      <c r="C281" s="30">
        <f t="shared" si="4"/>
        <v>0</v>
      </c>
    </row>
    <row r="282" spans="3:3">
      <c r="C282" s="30">
        <f t="shared" si="4"/>
        <v>0</v>
      </c>
    </row>
    <row r="283" spans="3:3">
      <c r="C283" s="30">
        <f t="shared" si="4"/>
        <v>0</v>
      </c>
    </row>
    <row r="284" spans="3:3">
      <c r="C284" s="30">
        <f t="shared" si="4"/>
        <v>0</v>
      </c>
    </row>
    <row r="285" spans="3:3">
      <c r="C285" s="30">
        <f t="shared" si="4"/>
        <v>0</v>
      </c>
    </row>
    <row r="286" spans="3:3">
      <c r="C286" s="30">
        <f t="shared" si="4"/>
        <v>0</v>
      </c>
    </row>
    <row r="287" spans="3:3">
      <c r="C287" s="30">
        <f t="shared" si="4"/>
        <v>0</v>
      </c>
    </row>
    <row r="288" spans="3:3">
      <c r="C288" s="30">
        <f t="shared" si="4"/>
        <v>0</v>
      </c>
    </row>
    <row r="289" spans="3:3">
      <c r="C289" s="30">
        <f t="shared" si="4"/>
        <v>0</v>
      </c>
    </row>
    <row r="290" spans="3:3">
      <c r="C290" s="30">
        <f t="shared" si="4"/>
        <v>0</v>
      </c>
    </row>
    <row r="291" spans="3:3">
      <c r="C291" s="30">
        <f t="shared" si="4"/>
        <v>0</v>
      </c>
    </row>
    <row r="292" spans="3:3">
      <c r="C292" s="30">
        <f t="shared" si="4"/>
        <v>0</v>
      </c>
    </row>
    <row r="293" spans="3:3">
      <c r="C293" s="30">
        <f t="shared" si="4"/>
        <v>0</v>
      </c>
    </row>
    <row r="294" spans="3:3">
      <c r="C294" s="30">
        <f t="shared" si="4"/>
        <v>0</v>
      </c>
    </row>
    <row r="295" spans="3:3">
      <c r="C295" s="30">
        <f t="shared" si="4"/>
        <v>0</v>
      </c>
    </row>
    <row r="296" spans="3:3">
      <c r="C296" s="30">
        <f t="shared" si="4"/>
        <v>0</v>
      </c>
    </row>
    <row r="297" spans="3:3">
      <c r="C297" s="30">
        <f t="shared" si="4"/>
        <v>0</v>
      </c>
    </row>
    <row r="298" spans="3:3">
      <c r="C298" s="30">
        <f t="shared" si="4"/>
        <v>0</v>
      </c>
    </row>
    <row r="299" spans="3:3">
      <c r="C299" s="30">
        <f t="shared" si="4"/>
        <v>0</v>
      </c>
    </row>
    <row r="300" spans="3:3">
      <c r="C300" s="30">
        <f t="shared" si="4"/>
        <v>0</v>
      </c>
    </row>
    <row r="301" spans="3:3">
      <c r="C301" s="30">
        <f t="shared" si="4"/>
        <v>0</v>
      </c>
    </row>
    <row r="302" spans="3:3">
      <c r="C302" s="30">
        <f t="shared" si="4"/>
        <v>0</v>
      </c>
    </row>
    <row r="303" spans="3:3">
      <c r="C303" s="30">
        <f t="shared" si="4"/>
        <v>0</v>
      </c>
    </row>
    <row r="304" spans="3:3">
      <c r="C304" s="30">
        <f t="shared" si="4"/>
        <v>0</v>
      </c>
    </row>
    <row r="305" spans="3:3">
      <c r="C305" s="30">
        <f t="shared" si="4"/>
        <v>0</v>
      </c>
    </row>
    <row r="306" spans="3:3">
      <c r="C306" s="30">
        <f t="shared" si="4"/>
        <v>0</v>
      </c>
    </row>
    <row r="307" spans="3:3">
      <c r="C307" s="30">
        <f t="shared" si="4"/>
        <v>0</v>
      </c>
    </row>
    <row r="308" spans="3:3">
      <c r="C308" s="30">
        <f t="shared" si="4"/>
        <v>0</v>
      </c>
    </row>
    <row r="309" spans="3:3">
      <c r="C309" s="30">
        <f t="shared" si="4"/>
        <v>0</v>
      </c>
    </row>
    <row r="310" spans="3:3">
      <c r="C310" s="30">
        <f t="shared" si="4"/>
        <v>0</v>
      </c>
    </row>
    <row r="311" spans="3:3">
      <c r="C311" s="30">
        <f t="shared" si="4"/>
        <v>0</v>
      </c>
    </row>
    <row r="312" spans="3:3">
      <c r="C312" s="30">
        <f t="shared" si="4"/>
        <v>0</v>
      </c>
    </row>
    <row r="313" spans="3:3">
      <c r="C313" s="30">
        <f t="shared" si="4"/>
        <v>0</v>
      </c>
    </row>
    <row r="314" spans="3:3">
      <c r="C314" s="30">
        <f t="shared" si="4"/>
        <v>0</v>
      </c>
    </row>
    <row r="315" spans="3:3">
      <c r="C315" s="30">
        <f t="shared" si="4"/>
        <v>0</v>
      </c>
    </row>
    <row r="316" spans="3:3">
      <c r="C316" s="30">
        <f t="shared" si="4"/>
        <v>0</v>
      </c>
    </row>
    <row r="317" spans="3:3">
      <c r="C317" s="30">
        <f t="shared" si="4"/>
        <v>0</v>
      </c>
    </row>
    <row r="318" spans="3:3">
      <c r="C318" s="30">
        <f t="shared" si="4"/>
        <v>0</v>
      </c>
    </row>
    <row r="319" spans="3:3">
      <c r="C319" s="30">
        <f>B318</f>
        <v>0</v>
      </c>
    </row>
    <row r="320" spans="3:3">
      <c r="C320" s="30">
        <f t="shared" si="4"/>
        <v>0</v>
      </c>
    </row>
    <row r="336" spans="3:3" ht="15.75" thickBot="1">
      <c r="C336" s="117"/>
    </row>
    <row r="337" spans="3:3">
      <c r="C337">
        <v>0</v>
      </c>
    </row>
    <row r="338" spans="3:3">
      <c r="C338" s="30">
        <f>B337</f>
        <v>0</v>
      </c>
    </row>
    <row r="339" spans="3:3">
      <c r="C339" s="30">
        <f t="shared" ref="C339:C387" si="5">B338</f>
        <v>0</v>
      </c>
    </row>
    <row r="340" spans="3:3">
      <c r="C340" s="30">
        <f t="shared" si="5"/>
        <v>0</v>
      </c>
    </row>
    <row r="341" spans="3:3">
      <c r="C341" s="30">
        <f t="shared" si="5"/>
        <v>0</v>
      </c>
    </row>
    <row r="342" spans="3:3">
      <c r="C342" s="30">
        <f t="shared" si="5"/>
        <v>0</v>
      </c>
    </row>
    <row r="343" spans="3:3">
      <c r="C343" s="30">
        <f t="shared" si="5"/>
        <v>0</v>
      </c>
    </row>
    <row r="344" spans="3:3">
      <c r="C344" s="30">
        <f t="shared" si="5"/>
        <v>0</v>
      </c>
    </row>
    <row r="345" spans="3:3">
      <c r="C345" s="30">
        <f t="shared" si="5"/>
        <v>0</v>
      </c>
    </row>
    <row r="346" spans="3:3">
      <c r="C346" s="30">
        <f t="shared" si="5"/>
        <v>0</v>
      </c>
    </row>
    <row r="347" spans="3:3">
      <c r="C347" s="30">
        <f t="shared" si="5"/>
        <v>0</v>
      </c>
    </row>
    <row r="348" spans="3:3">
      <c r="C348" s="30">
        <f t="shared" si="5"/>
        <v>0</v>
      </c>
    </row>
    <row r="349" spans="3:3">
      <c r="C349" s="30">
        <f t="shared" si="5"/>
        <v>0</v>
      </c>
    </row>
    <row r="350" spans="3:3">
      <c r="C350" s="30">
        <f t="shared" si="5"/>
        <v>0</v>
      </c>
    </row>
    <row r="351" spans="3:3">
      <c r="C351" s="30">
        <f t="shared" si="5"/>
        <v>0</v>
      </c>
    </row>
    <row r="352" spans="3:3">
      <c r="C352" s="30">
        <f t="shared" si="5"/>
        <v>0</v>
      </c>
    </row>
    <row r="353" spans="3:3">
      <c r="C353" s="30">
        <f t="shared" si="5"/>
        <v>0</v>
      </c>
    </row>
    <row r="354" spans="3:3">
      <c r="C354" s="30">
        <f t="shared" si="5"/>
        <v>0</v>
      </c>
    </row>
    <row r="355" spans="3:3">
      <c r="C355" s="30">
        <f t="shared" si="5"/>
        <v>0</v>
      </c>
    </row>
    <row r="356" spans="3:3">
      <c r="C356" s="30">
        <f t="shared" si="5"/>
        <v>0</v>
      </c>
    </row>
    <row r="357" spans="3:3">
      <c r="C357" s="30">
        <f t="shared" si="5"/>
        <v>0</v>
      </c>
    </row>
    <row r="358" spans="3:3">
      <c r="C358" s="30">
        <f t="shared" si="5"/>
        <v>0</v>
      </c>
    </row>
    <row r="359" spans="3:3">
      <c r="C359" s="30">
        <f t="shared" si="5"/>
        <v>0</v>
      </c>
    </row>
    <row r="360" spans="3:3">
      <c r="C360" s="30">
        <f t="shared" si="5"/>
        <v>0</v>
      </c>
    </row>
    <row r="361" spans="3:3">
      <c r="C361" s="30">
        <f t="shared" si="5"/>
        <v>0</v>
      </c>
    </row>
    <row r="362" spans="3:3">
      <c r="C362" s="30">
        <f t="shared" si="5"/>
        <v>0</v>
      </c>
    </row>
    <row r="363" spans="3:3">
      <c r="C363" s="30">
        <f t="shared" si="5"/>
        <v>0</v>
      </c>
    </row>
    <row r="364" spans="3:3">
      <c r="C364" s="30">
        <f t="shared" si="5"/>
        <v>0</v>
      </c>
    </row>
    <row r="365" spans="3:3">
      <c r="C365" s="30">
        <f t="shared" si="5"/>
        <v>0</v>
      </c>
    </row>
    <row r="366" spans="3:3">
      <c r="C366" s="30">
        <f t="shared" si="5"/>
        <v>0</v>
      </c>
    </row>
    <row r="367" spans="3:3">
      <c r="C367" s="30">
        <f t="shared" si="5"/>
        <v>0</v>
      </c>
    </row>
    <row r="368" spans="3:3">
      <c r="C368" s="30">
        <f t="shared" si="5"/>
        <v>0</v>
      </c>
    </row>
    <row r="369" spans="3:3">
      <c r="C369" s="30">
        <f t="shared" si="5"/>
        <v>0</v>
      </c>
    </row>
    <row r="370" spans="3:3">
      <c r="C370" s="30">
        <f t="shared" si="5"/>
        <v>0</v>
      </c>
    </row>
    <row r="371" spans="3:3">
      <c r="C371" s="30">
        <f t="shared" si="5"/>
        <v>0</v>
      </c>
    </row>
    <row r="372" spans="3:3">
      <c r="C372" s="30">
        <f t="shared" si="5"/>
        <v>0</v>
      </c>
    </row>
    <row r="373" spans="3:3">
      <c r="C373" s="30">
        <f t="shared" si="5"/>
        <v>0</v>
      </c>
    </row>
    <row r="374" spans="3:3">
      <c r="C374" s="30">
        <f t="shared" si="5"/>
        <v>0</v>
      </c>
    </row>
    <row r="375" spans="3:3">
      <c r="C375" s="30">
        <f t="shared" si="5"/>
        <v>0</v>
      </c>
    </row>
    <row r="376" spans="3:3">
      <c r="C376" s="30">
        <f t="shared" si="5"/>
        <v>0</v>
      </c>
    </row>
    <row r="377" spans="3:3">
      <c r="C377" s="30">
        <f t="shared" si="5"/>
        <v>0</v>
      </c>
    </row>
    <row r="378" spans="3:3">
      <c r="C378" s="30">
        <f t="shared" si="5"/>
        <v>0</v>
      </c>
    </row>
    <row r="379" spans="3:3">
      <c r="C379" s="30">
        <f t="shared" si="5"/>
        <v>0</v>
      </c>
    </row>
    <row r="380" spans="3:3">
      <c r="C380" s="30">
        <f t="shared" si="5"/>
        <v>0</v>
      </c>
    </row>
    <row r="381" spans="3:3">
      <c r="C381" s="30">
        <f t="shared" si="5"/>
        <v>0</v>
      </c>
    </row>
    <row r="382" spans="3:3">
      <c r="C382" s="30">
        <f t="shared" si="5"/>
        <v>0</v>
      </c>
    </row>
    <row r="383" spans="3:3">
      <c r="C383" s="30">
        <f t="shared" si="5"/>
        <v>0</v>
      </c>
    </row>
    <row r="384" spans="3:3">
      <c r="C384" s="30">
        <f t="shared" si="5"/>
        <v>0</v>
      </c>
    </row>
    <row r="385" spans="3:3">
      <c r="C385" s="30">
        <f t="shared" si="5"/>
        <v>0</v>
      </c>
    </row>
    <row r="386" spans="3:3">
      <c r="C386" s="30">
        <f>B385</f>
        <v>0</v>
      </c>
    </row>
    <row r="387" spans="3:3">
      <c r="C387" s="30">
        <f t="shared" si="5"/>
        <v>0</v>
      </c>
    </row>
    <row r="402" spans="3:3">
      <c r="C402">
        <v>0</v>
      </c>
    </row>
    <row r="403" spans="3:3">
      <c r="C403" s="30">
        <f>B402</f>
        <v>0</v>
      </c>
    </row>
    <row r="404" spans="3:3">
      <c r="C404" s="30">
        <f t="shared" ref="C404:C452" si="6">B403</f>
        <v>0</v>
      </c>
    </row>
    <row r="405" spans="3:3">
      <c r="C405" s="30">
        <f t="shared" si="6"/>
        <v>0</v>
      </c>
    </row>
    <row r="406" spans="3:3">
      <c r="C406" s="30">
        <f t="shared" si="6"/>
        <v>0</v>
      </c>
    </row>
    <row r="407" spans="3:3">
      <c r="C407" s="30">
        <f t="shared" si="6"/>
        <v>0</v>
      </c>
    </row>
    <row r="408" spans="3:3">
      <c r="C408" s="30">
        <f t="shared" si="6"/>
        <v>0</v>
      </c>
    </row>
    <row r="409" spans="3:3">
      <c r="C409" s="30">
        <f t="shared" si="6"/>
        <v>0</v>
      </c>
    </row>
    <row r="410" spans="3:3">
      <c r="C410" s="30">
        <f t="shared" si="6"/>
        <v>0</v>
      </c>
    </row>
    <row r="411" spans="3:3">
      <c r="C411" s="30">
        <f t="shared" si="6"/>
        <v>0</v>
      </c>
    </row>
    <row r="412" spans="3:3">
      <c r="C412" s="30">
        <f t="shared" si="6"/>
        <v>0</v>
      </c>
    </row>
    <row r="413" spans="3:3">
      <c r="C413" s="30">
        <f t="shared" si="6"/>
        <v>0</v>
      </c>
    </row>
    <row r="414" spans="3:3">
      <c r="C414" s="30">
        <f t="shared" si="6"/>
        <v>0</v>
      </c>
    </row>
    <row r="415" spans="3:3">
      <c r="C415" s="30">
        <f t="shared" si="6"/>
        <v>0</v>
      </c>
    </row>
    <row r="416" spans="3:3">
      <c r="C416" s="30">
        <f t="shared" si="6"/>
        <v>0</v>
      </c>
    </row>
    <row r="417" spans="3:3">
      <c r="C417" s="30">
        <f t="shared" si="6"/>
        <v>0</v>
      </c>
    </row>
    <row r="418" spans="3:3">
      <c r="C418" s="30">
        <f t="shared" si="6"/>
        <v>0</v>
      </c>
    </row>
    <row r="419" spans="3:3">
      <c r="C419" s="30">
        <f t="shared" si="6"/>
        <v>0</v>
      </c>
    </row>
    <row r="420" spans="3:3">
      <c r="C420" s="30">
        <f t="shared" si="6"/>
        <v>0</v>
      </c>
    </row>
    <row r="421" spans="3:3">
      <c r="C421" s="30">
        <f t="shared" si="6"/>
        <v>0</v>
      </c>
    </row>
    <row r="422" spans="3:3">
      <c r="C422" s="30">
        <f t="shared" si="6"/>
        <v>0</v>
      </c>
    </row>
    <row r="423" spans="3:3">
      <c r="C423" s="30">
        <f t="shared" si="6"/>
        <v>0</v>
      </c>
    </row>
    <row r="424" spans="3:3">
      <c r="C424" s="30">
        <f t="shared" si="6"/>
        <v>0</v>
      </c>
    </row>
    <row r="425" spans="3:3">
      <c r="C425" s="30">
        <f t="shared" si="6"/>
        <v>0</v>
      </c>
    </row>
    <row r="426" spans="3:3">
      <c r="C426" s="30">
        <f t="shared" si="6"/>
        <v>0</v>
      </c>
    </row>
    <row r="427" spans="3:3">
      <c r="C427" s="30">
        <f t="shared" si="6"/>
        <v>0</v>
      </c>
    </row>
    <row r="428" spans="3:3">
      <c r="C428" s="30">
        <f t="shared" si="6"/>
        <v>0</v>
      </c>
    </row>
    <row r="429" spans="3:3">
      <c r="C429" s="30">
        <f t="shared" si="6"/>
        <v>0</v>
      </c>
    </row>
    <row r="430" spans="3:3">
      <c r="C430" s="30">
        <f t="shared" si="6"/>
        <v>0</v>
      </c>
    </row>
    <row r="431" spans="3:3">
      <c r="C431" s="30">
        <f t="shared" si="6"/>
        <v>0</v>
      </c>
    </row>
    <row r="432" spans="3:3">
      <c r="C432" s="30">
        <f t="shared" si="6"/>
        <v>0</v>
      </c>
    </row>
    <row r="433" spans="3:3">
      <c r="C433" s="30">
        <f t="shared" si="6"/>
        <v>0</v>
      </c>
    </row>
    <row r="434" spans="3:3">
      <c r="C434" s="30">
        <f t="shared" si="6"/>
        <v>0</v>
      </c>
    </row>
    <row r="435" spans="3:3">
      <c r="C435" s="30">
        <f t="shared" si="6"/>
        <v>0</v>
      </c>
    </row>
    <row r="436" spans="3:3">
      <c r="C436" s="30">
        <f t="shared" si="6"/>
        <v>0</v>
      </c>
    </row>
    <row r="437" spans="3:3">
      <c r="C437" s="30">
        <f t="shared" si="6"/>
        <v>0</v>
      </c>
    </row>
    <row r="438" spans="3:3">
      <c r="C438" s="30">
        <f t="shared" si="6"/>
        <v>0</v>
      </c>
    </row>
    <row r="439" spans="3:3">
      <c r="C439" s="30">
        <f t="shared" si="6"/>
        <v>0</v>
      </c>
    </row>
    <row r="440" spans="3:3">
      <c r="C440" s="30">
        <f t="shared" si="6"/>
        <v>0</v>
      </c>
    </row>
    <row r="441" spans="3:3">
      <c r="C441" s="30">
        <f t="shared" si="6"/>
        <v>0</v>
      </c>
    </row>
    <row r="442" spans="3:3">
      <c r="C442" s="30">
        <f t="shared" si="6"/>
        <v>0</v>
      </c>
    </row>
    <row r="443" spans="3:3">
      <c r="C443" s="30">
        <f t="shared" si="6"/>
        <v>0</v>
      </c>
    </row>
    <row r="444" spans="3:3">
      <c r="C444" s="30">
        <f t="shared" si="6"/>
        <v>0</v>
      </c>
    </row>
    <row r="445" spans="3:3">
      <c r="C445" s="30">
        <f t="shared" si="6"/>
        <v>0</v>
      </c>
    </row>
    <row r="446" spans="3:3">
      <c r="C446" s="30">
        <f t="shared" si="6"/>
        <v>0</v>
      </c>
    </row>
    <row r="447" spans="3:3">
      <c r="C447" s="30">
        <f t="shared" si="6"/>
        <v>0</v>
      </c>
    </row>
    <row r="448" spans="3:3">
      <c r="C448" s="30">
        <f t="shared" si="6"/>
        <v>0</v>
      </c>
    </row>
    <row r="449" spans="3:3">
      <c r="C449" s="30">
        <f t="shared" si="6"/>
        <v>0</v>
      </c>
    </row>
    <row r="450" spans="3:3">
      <c r="C450" s="30">
        <f t="shared" si="6"/>
        <v>0</v>
      </c>
    </row>
    <row r="451" spans="3:3">
      <c r="C451" s="30">
        <f>B450</f>
        <v>0</v>
      </c>
    </row>
    <row r="452" spans="3:3">
      <c r="C452" s="30">
        <f t="shared" si="6"/>
        <v>0</v>
      </c>
    </row>
  </sheetData>
  <mergeCells count="6">
    <mergeCell ref="A2:A4"/>
    <mergeCell ref="B2:D2"/>
    <mergeCell ref="A69:A71"/>
    <mergeCell ref="B69:D69"/>
    <mergeCell ref="A134:A136"/>
    <mergeCell ref="B134:D134"/>
  </mergeCells>
  <pageMargins left="0.7" right="0.7" top="0.75" bottom="0.75" header="0.3" footer="0.3"/>
  <pageSetup paperSize="9" orientation="portrait" horizontalDpi="4294967295" verticalDpi="4294967295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Лист27"/>
  <dimension ref="A1:AA12"/>
  <sheetViews>
    <sheetView zoomScaleNormal="100" workbookViewId="0">
      <selection activeCell="B6" sqref="B6"/>
    </sheetView>
  </sheetViews>
  <sheetFormatPr defaultColWidth="0" defaultRowHeight="14.25" zeroHeight="1"/>
  <cols>
    <col min="1" max="1" width="73" style="366" customWidth="1"/>
    <col min="2" max="2" width="22.28515625" style="345" customWidth="1"/>
    <col min="3" max="3" width="65.28515625" style="345" customWidth="1"/>
    <col min="4" max="4" width="13.28515625" style="367" customWidth="1"/>
    <col min="5" max="5" width="11.140625" style="345" customWidth="1"/>
    <col min="6" max="6" width="12.140625" style="345" customWidth="1"/>
    <col min="7" max="7" width="16.7109375" style="345" customWidth="1"/>
    <col min="8" max="9" width="9.140625" style="345" customWidth="1"/>
    <col min="10" max="27" width="0" style="345" hidden="1" customWidth="1"/>
    <col min="28" max="16384" width="9.140625" style="345" hidden="1"/>
  </cols>
  <sheetData>
    <row r="1" spans="1:26" s="318" customFormat="1" ht="33" customHeight="1">
      <c r="A1" s="405" t="s">
        <v>896</v>
      </c>
      <c r="B1" s="407"/>
      <c r="C1" s="409" t="s">
        <v>872</v>
      </c>
      <c r="D1" s="416"/>
      <c r="E1" s="407"/>
      <c r="F1" s="407"/>
      <c r="G1" s="407"/>
      <c r="H1" s="407"/>
      <c r="I1" s="407"/>
      <c r="J1" s="317"/>
      <c r="K1" s="317"/>
      <c r="L1" s="317"/>
      <c r="M1" s="317"/>
      <c r="N1" s="317"/>
      <c r="O1" s="317"/>
      <c r="P1" s="317"/>
      <c r="Q1" s="317"/>
      <c r="R1" s="317"/>
      <c r="S1" s="317"/>
      <c r="T1" s="317"/>
      <c r="U1" s="317"/>
      <c r="V1" s="317"/>
      <c r="W1" s="317"/>
      <c r="X1" s="317"/>
      <c r="Y1" s="317"/>
      <c r="Z1" s="317"/>
    </row>
    <row r="2" spans="1:26" s="318" customFormat="1" ht="28.15" customHeight="1">
      <c r="A2" s="319"/>
      <c r="B2" s="319"/>
      <c r="C2" s="372" t="s">
        <v>1016</v>
      </c>
      <c r="D2" s="329"/>
      <c r="E2" s="358"/>
      <c r="F2" s="319"/>
      <c r="G2" s="319"/>
      <c r="H2" s="319"/>
      <c r="I2" s="319"/>
    </row>
    <row r="3" spans="1:26" s="417" customFormat="1" ht="57">
      <c r="A3" s="330" t="s">
        <v>167</v>
      </c>
      <c r="B3" s="331" t="s">
        <v>166</v>
      </c>
      <c r="C3" s="330" t="s">
        <v>777</v>
      </c>
      <c r="D3" s="418" t="s">
        <v>953</v>
      </c>
      <c r="E3" s="474" t="s">
        <v>839</v>
      </c>
      <c r="F3" s="474"/>
      <c r="G3" s="474"/>
      <c r="H3" s="328"/>
      <c r="I3" s="328"/>
    </row>
    <row r="4" spans="1:26" s="318" customFormat="1" ht="40.15" customHeight="1">
      <c r="A4" s="334" t="s">
        <v>917</v>
      </c>
      <c r="B4" s="342" t="s">
        <v>834</v>
      </c>
      <c r="C4" s="335"/>
      <c r="D4" s="337" t="s">
        <v>957</v>
      </c>
      <c r="E4" s="482" t="s">
        <v>840</v>
      </c>
      <c r="F4" s="482"/>
      <c r="G4" s="482"/>
      <c r="H4" s="319"/>
      <c r="I4" s="319"/>
    </row>
    <row r="5" spans="1:26" s="318" customFormat="1" ht="177" customHeight="1">
      <c r="A5" s="334" t="s">
        <v>1001</v>
      </c>
      <c r="B5" s="342" t="s">
        <v>834</v>
      </c>
      <c r="C5" s="335" t="str">
        <f>CONCATENATE("В случае, если на группе отдельно стоящих объектов учет энергетических ресурсов и воды осуществляется по показаниям общего для данной группы объектов прибора коммерческого учета, вместе с тем на указанных отдельно стоящих объектах ","установлены приборы технического учета энергетических ресурсов и воды, при расчетах могут применяться показания данных приборов технического учета.",CHAR(10),CHAR(10),"Для поставленных ресурсов, расчет по которым осуществляется не на основании показаний приборов коммерческого учета, например, по нормативам, с использованием расчетных способов"," и т.д, а также для безвозмездно поставленных ресурсов требования по снижению потребления не устанавливаются.")</f>
        <v>В случае, если на группе отдельно стоящих объектов учет энергетических ресурсов и воды осуществляется по показаниям общего для данной группы объектов прибора коммерческого учета, вместе с тем на указанных отдельно стоящих объектах установлены приборы технического учета энергетических ресурсов и воды, при расчетах могут применяться показания данных приборов технического учета.
Для поставленных ресурсов, расчет по которым осуществляется не на основании показаний приборов коммерческого учета, например, по нормативам, с использованием расчетных способов и т.д, а также для безвозмездно поставленных ресурсов требования по снижению потребления не устанавливаются.</v>
      </c>
      <c r="D5" s="359" t="s">
        <v>959</v>
      </c>
      <c r="E5" s="482" t="s">
        <v>840</v>
      </c>
      <c r="F5" s="482"/>
      <c r="G5" s="482"/>
      <c r="H5" s="319"/>
      <c r="I5" s="319"/>
    </row>
    <row r="6" spans="1:26" ht="37.5" customHeight="1">
      <c r="A6" s="360" t="s">
        <v>817</v>
      </c>
      <c r="B6" s="361" t="s">
        <v>755</v>
      </c>
      <c r="C6" s="335" t="s">
        <v>841</v>
      </c>
      <c r="D6" s="337" t="s">
        <v>834</v>
      </c>
      <c r="E6" s="475" t="s">
        <v>69</v>
      </c>
      <c r="F6" s="475"/>
      <c r="G6" s="475"/>
      <c r="H6" s="319"/>
      <c r="I6" s="319"/>
    </row>
    <row r="7" spans="1:26" ht="28.5" customHeight="1">
      <c r="A7" s="360" t="s">
        <v>826</v>
      </c>
      <c r="B7" s="361"/>
      <c r="C7" s="335" t="s">
        <v>915</v>
      </c>
      <c r="D7" s="359" t="s">
        <v>958</v>
      </c>
      <c r="E7" s="476" t="s">
        <v>840</v>
      </c>
      <c r="F7" s="477"/>
      <c r="G7" s="478"/>
      <c r="H7" s="319"/>
      <c r="I7" s="319"/>
    </row>
    <row r="8" spans="1:26" ht="30.75" customHeight="1">
      <c r="A8" s="362" t="s">
        <v>828</v>
      </c>
      <c r="B8" s="361"/>
      <c r="C8" s="335" t="s">
        <v>916</v>
      </c>
      <c r="D8" s="359" t="s">
        <v>958</v>
      </c>
      <c r="E8" s="479"/>
      <c r="F8" s="480"/>
      <c r="G8" s="481"/>
      <c r="H8" s="319"/>
      <c r="I8" s="319"/>
    </row>
    <row r="9" spans="1:26" ht="12.4" hidden="1" customHeight="1">
      <c r="A9" s="360" t="s">
        <v>772</v>
      </c>
      <c r="B9" s="363">
        <f>IF(B6="Совместный",B8-IF('1.Общие данные по зданию'!C6='Экспресс потенциал'!B6,0.032,0.059)*'3.УР горячей воды'!B6,B7)</f>
        <v>0</v>
      </c>
      <c r="C9" s="335" t="s">
        <v>813</v>
      </c>
      <c r="D9" s="364"/>
      <c r="E9" s="365"/>
      <c r="F9" s="365"/>
      <c r="G9" s="365"/>
      <c r="H9" s="319"/>
      <c r="I9" s="319"/>
    </row>
    <row r="10" spans="1:26" s="318" customFormat="1">
      <c r="A10" s="319"/>
      <c r="B10" s="319"/>
      <c r="C10" s="319"/>
      <c r="D10" s="329"/>
      <c r="E10" s="319"/>
      <c r="F10" s="319"/>
      <c r="G10" s="319"/>
      <c r="H10" s="319"/>
      <c r="I10" s="319"/>
    </row>
    <row r="11" spans="1:26">
      <c r="A11" s="346" t="s">
        <v>884</v>
      </c>
      <c r="B11" s="447" t="str">
        <f>IF(OR(B4="нет",B5="нет",AND(B4&lt;&gt;"пожалуйста, выберите…",B5&lt;&gt;"Укажите наличие…",B6&lt;&gt;"пожалуйста, выберите…",B7+B8&gt;0)),"Готово","Заполните данные")</f>
        <v>Готово</v>
      </c>
      <c r="C11" s="319"/>
      <c r="D11" s="329"/>
      <c r="E11" s="319"/>
      <c r="F11" s="319"/>
      <c r="G11" s="319"/>
      <c r="H11" s="319"/>
      <c r="I11" s="319"/>
    </row>
    <row r="12" spans="1:26" s="318" customFormat="1">
      <c r="A12" s="319"/>
      <c r="B12" s="319"/>
      <c r="C12" s="319"/>
      <c r="D12" s="329"/>
      <c r="E12" s="319"/>
      <c r="F12" s="319"/>
      <c r="G12" s="319"/>
      <c r="H12" s="319"/>
      <c r="I12" s="319"/>
    </row>
  </sheetData>
  <sheetProtection algorithmName="SHA-512" hashValue="wDHHxYroAkPAELG0c9DcKPbJgBQMBOAi8SQ3WUSEKhWqj/4ZzmSMIUr8+NXvgxGdLhnnPEr1CZiZrPyfBHAJWQ==" saltValue="foHyV8JroyoJfTx6wGqtpQ==" spinCount="100000" sheet="1" objects="1" scenarios="1"/>
  <mergeCells count="5">
    <mergeCell ref="E3:G3"/>
    <mergeCell ref="E6:G6"/>
    <mergeCell ref="E7:G8"/>
    <mergeCell ref="E5:G5"/>
    <mergeCell ref="E4:G4"/>
  </mergeCells>
  <conditionalFormatting sqref="B4:B6">
    <cfRule type="cellIs" dxfId="61" priority="10" operator="equal">
      <formula>"Пожалуйста, выберите…"</formula>
    </cfRule>
  </conditionalFormatting>
  <conditionalFormatting sqref="B5">
    <cfRule type="containsText" dxfId="60" priority="1" operator="containsText" text="Укажите наличие…">
      <formula>NOT(ISERROR(SEARCH("Укажите наличие…",B5)))</formula>
    </cfRule>
  </conditionalFormatting>
  <conditionalFormatting sqref="B5:B6">
    <cfRule type="expression" dxfId="59" priority="5">
      <formula>$B$4="нет"</formula>
    </cfRule>
  </conditionalFormatting>
  <conditionalFormatting sqref="B6">
    <cfRule type="expression" dxfId="58" priority="4">
      <formula>$B$5="нет"</formula>
    </cfRule>
  </conditionalFormatting>
  <conditionalFormatting sqref="B7">
    <cfRule type="expression" dxfId="57" priority="8">
      <formula>$B$6="Совместный"</formula>
    </cfRule>
  </conditionalFormatting>
  <conditionalFormatting sqref="B7:B8">
    <cfRule type="expression" dxfId="56" priority="7">
      <formula>$B$6="Пожалуйста, выберите…"</formula>
    </cfRule>
  </conditionalFormatting>
  <conditionalFormatting sqref="B8">
    <cfRule type="expression" dxfId="55" priority="6">
      <formula>$B$6="Раздельный"</formula>
    </cfRule>
  </conditionalFormatting>
  <conditionalFormatting sqref="B11">
    <cfRule type="containsText" dxfId="54" priority="2" operator="containsText" text="Готово">
      <formula>NOT(ISERROR(SEARCH("Готово",B11)))</formula>
    </cfRule>
    <cfRule type="containsText" dxfId="53" priority="3" operator="containsText" text="Заполните данные">
      <formula>NOT(ISERROR(SEARCH("Заполните данные",B11)))</formula>
    </cfRule>
  </conditionalFormatting>
  <dataValidations count="5">
    <dataValidation type="decimal" allowBlank="1" showInputMessage="1" showErrorMessage="1" sqref="B8" xr:uid="{00000000-0002-0000-0400-000000000000}">
      <formula1>0</formula1>
      <formula2>IF(B6="Раздельный",0,1000000)</formula2>
    </dataValidation>
    <dataValidation type="list" allowBlank="1" showInputMessage="1" showErrorMessage="1" sqref="B6" xr:uid="{00000000-0002-0000-0400-000001000000}">
      <formula1>Uchet</formula1>
    </dataValidation>
    <dataValidation type="list" allowBlank="1" showInputMessage="1" showErrorMessage="1" sqref="B4" xr:uid="{00000000-0002-0000-0400-000002000000}">
      <formula1>danet</formula1>
    </dataValidation>
    <dataValidation type="decimal" allowBlank="1" showInputMessage="1" showErrorMessage="1" sqref="B7" xr:uid="{00000000-0002-0000-0400-000003000000}">
      <formula1>0</formula1>
      <formula2>IF(B6="совместный",0,100000)</formula2>
    </dataValidation>
    <dataValidation type="list" allowBlank="1" showInputMessage="1" showErrorMessage="1" sqref="B5" xr:uid="{00000000-0002-0000-0400-000004000000}">
      <formula1>PUdanet</formula1>
    </dataValidation>
  </dataValidations>
  <hyperlinks>
    <hyperlink ref="C1" location="'0.Результаты расчета'!A1" display="Перейти к результатам расчета потенциала и ЦУС" xr:uid="{00000000-0004-0000-0400-000000000000}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Лист28"/>
  <dimension ref="A1:AA12"/>
  <sheetViews>
    <sheetView topLeftCell="A7" zoomScale="90" zoomScaleNormal="90" workbookViewId="0">
      <selection activeCell="B5" sqref="B5"/>
    </sheetView>
  </sheetViews>
  <sheetFormatPr defaultColWidth="0" defaultRowHeight="14.25" zeroHeight="1"/>
  <cols>
    <col min="1" max="1" width="44.7109375" style="345" customWidth="1"/>
    <col min="2" max="2" width="27" style="345" customWidth="1"/>
    <col min="3" max="3" width="67.28515625" style="345" customWidth="1"/>
    <col min="4" max="4" width="13.28515625" style="345" customWidth="1"/>
    <col min="5" max="5" width="10.42578125" style="345" customWidth="1"/>
    <col min="6" max="6" width="12.7109375" style="345" customWidth="1"/>
    <col min="7" max="7" width="18.7109375" style="345" customWidth="1"/>
    <col min="8" max="9" width="9.140625" style="345" customWidth="1"/>
    <col min="10" max="27" width="0" style="345" hidden="1" customWidth="1"/>
    <col min="28" max="16384" width="9.140625" style="345" hidden="1"/>
  </cols>
  <sheetData>
    <row r="1" spans="1:26" s="318" customFormat="1" ht="30" customHeight="1">
      <c r="A1" s="405" t="s">
        <v>897</v>
      </c>
      <c r="B1" s="408"/>
      <c r="C1" s="409" t="s">
        <v>872</v>
      </c>
      <c r="D1" s="408"/>
      <c r="E1" s="408"/>
      <c r="F1" s="408"/>
      <c r="G1" s="408"/>
      <c r="H1" s="408"/>
      <c r="I1" s="408"/>
      <c r="J1" s="317"/>
      <c r="K1" s="317"/>
      <c r="L1" s="317"/>
      <c r="M1" s="317"/>
      <c r="N1" s="317"/>
      <c r="O1" s="317"/>
      <c r="P1" s="317"/>
      <c r="Q1" s="317"/>
      <c r="R1" s="317"/>
      <c r="S1" s="317"/>
      <c r="T1" s="317"/>
      <c r="U1" s="317"/>
      <c r="V1" s="317"/>
      <c r="W1" s="317"/>
      <c r="X1" s="317"/>
      <c r="Y1" s="317"/>
      <c r="Z1" s="317"/>
    </row>
    <row r="2" spans="1:26" s="318" customFormat="1" ht="24" customHeight="1">
      <c r="A2" s="319"/>
      <c r="B2" s="319"/>
      <c r="C2" s="372" t="s">
        <v>1016</v>
      </c>
      <c r="D2" s="319"/>
      <c r="E2" s="319"/>
      <c r="F2" s="319"/>
      <c r="G2" s="319"/>
      <c r="H2" s="319"/>
      <c r="I2" s="319"/>
    </row>
    <row r="3" spans="1:26" s="318" customFormat="1" ht="57">
      <c r="A3" s="330" t="s">
        <v>167</v>
      </c>
      <c r="B3" s="331" t="s">
        <v>166</v>
      </c>
      <c r="C3" s="330" t="s">
        <v>777</v>
      </c>
      <c r="D3" s="418" t="s">
        <v>953</v>
      </c>
      <c r="E3" s="474" t="s">
        <v>839</v>
      </c>
      <c r="F3" s="474"/>
      <c r="G3" s="474"/>
      <c r="H3" s="319"/>
      <c r="I3" s="319"/>
    </row>
    <row r="4" spans="1:26" s="318" customFormat="1" ht="34.15" customHeight="1">
      <c r="A4" s="334" t="s">
        <v>881</v>
      </c>
      <c r="B4" s="342" t="s">
        <v>834</v>
      </c>
      <c r="C4" s="335"/>
      <c r="D4" s="337" t="s">
        <v>960</v>
      </c>
      <c r="E4" s="482" t="s">
        <v>840</v>
      </c>
      <c r="F4" s="482"/>
      <c r="G4" s="482"/>
      <c r="H4" s="319"/>
      <c r="I4" s="319"/>
    </row>
    <row r="5" spans="1:26" s="318" customFormat="1" ht="172.15" customHeight="1">
      <c r="A5" s="334" t="s">
        <v>1002</v>
      </c>
      <c r="B5" s="342" t="s">
        <v>834</v>
      </c>
      <c r="C5" s="335" t="str">
        <f>CONCATENATE("В случае, если на группе отдельно стоящих объектов учет энергетических ресурсов и воды осуществляется по показаниям общего для данной группы объектов прибора коммерческого учета, вместе с тем на указанных отдельно стоящих объектах ","установлены приборы технического учета энергетических ресурсов и воды, при расчетах  могут применяться показания данных приборов технического учета.",CHAR(10),CHAR(10),"Для поставленных ресурсов, расчет по которым осуществляется не на основании показаний приборов коммерческого учета, например, по нормативам, с использованием расчетных способов"," и т.д, а также для безвозмездно поставленных ресурсов требования по снижению потребления не устанавливаются.")</f>
        <v>В случае, если на группе отдельно стоящих объектов учет энергетических ресурсов и воды осуществляется по показаниям общего для данной группы объектов прибора коммерческого учета, вместе с тем на указанных отдельно стоящих объектах установлены приборы технического учета энергетических ресурсов и воды, при расчетах  могут применяться показания данных приборов технического учета.
Для поставленных ресурсов, расчет по которым осуществляется не на основании показаний приборов коммерческого учета, например, по нормативам, с использованием расчетных способов и т.д, а также для безвозмездно поставленных ресурсов требования по снижению потребления не устанавливаются.</v>
      </c>
      <c r="D5" s="368" t="s">
        <v>961</v>
      </c>
      <c r="E5" s="482" t="s">
        <v>840</v>
      </c>
      <c r="F5" s="482"/>
      <c r="G5" s="482"/>
      <c r="H5" s="319"/>
      <c r="I5" s="319"/>
    </row>
    <row r="6" spans="1:26" ht="43.5" customHeight="1">
      <c r="A6" s="360" t="s">
        <v>821</v>
      </c>
      <c r="B6" s="340"/>
      <c r="C6" s="335"/>
      <c r="D6" s="369" t="s">
        <v>962</v>
      </c>
      <c r="E6" s="482" t="s">
        <v>840</v>
      </c>
      <c r="F6" s="482"/>
      <c r="G6" s="482"/>
      <c r="H6" s="319"/>
      <c r="I6" s="319"/>
    </row>
    <row r="7" spans="1:26" s="318" customFormat="1">
      <c r="A7" s="319"/>
      <c r="B7" s="319"/>
      <c r="C7" s="319"/>
      <c r="D7" s="319"/>
      <c r="E7" s="319"/>
      <c r="F7" s="319"/>
      <c r="G7" s="319"/>
      <c r="H7" s="319"/>
      <c r="I7" s="319"/>
    </row>
    <row r="8" spans="1:26">
      <c r="A8" s="483" t="s">
        <v>775</v>
      </c>
      <c r="B8" s="483"/>
      <c r="C8" s="483"/>
      <c r="D8" s="319"/>
      <c r="E8" s="319"/>
      <c r="F8" s="319"/>
      <c r="G8" s="319"/>
      <c r="H8" s="319"/>
      <c r="I8" s="319"/>
    </row>
    <row r="9" spans="1:26" ht="54" customHeight="1">
      <c r="A9" s="356" t="s">
        <v>776</v>
      </c>
      <c r="B9" s="393"/>
      <c r="C9" s="335" t="s">
        <v>918</v>
      </c>
      <c r="D9" s="319"/>
      <c r="E9" s="319"/>
      <c r="F9" s="319"/>
      <c r="G9" s="319"/>
      <c r="H9" s="319"/>
      <c r="I9" s="319"/>
    </row>
    <row r="10" spans="1:26" s="318" customFormat="1">
      <c r="A10" s="319"/>
      <c r="B10" s="370">
        <f>IF(OR(AND('1.Общие данные по зданию'!C20="да",B9&gt;0,'1.Общие данные по зданию'!C21&gt;0,'1.Общие данные по зданию'!C22&gt;0),AND('1.Общие данные по зданию'!C20="нет",'1.Общие данные по зданию'!C21+'1.Общие данные по зданию'!C22=0)),1,0)</f>
        <v>1</v>
      </c>
      <c r="C10" s="319"/>
      <c r="D10" s="319"/>
      <c r="E10" s="319"/>
      <c r="F10" s="319"/>
      <c r="G10" s="319"/>
      <c r="H10" s="319"/>
      <c r="I10" s="319"/>
    </row>
    <row r="11" spans="1:26" ht="51">
      <c r="A11" s="356" t="s">
        <v>884</v>
      </c>
      <c r="B11" s="447" t="str">
        <f>IF(OR(B4="нет",B5="нет",AND(B4&lt;&gt;"пожалуйста, выберите…",B5&lt;&gt;"Укажите наличие…",B6&gt;0,'1.Общие данные по зданию'!C20&lt;&gt;"пожалуйста, выберите…",B10=1)),"Готово","Заполните данные")</f>
        <v>Готово</v>
      </c>
      <c r="C11" s="335" t="s">
        <v>1038</v>
      </c>
      <c r="D11" s="319"/>
      <c r="E11" s="319"/>
      <c r="F11" s="319"/>
      <c r="G11" s="319"/>
      <c r="H11" s="319"/>
      <c r="I11" s="319"/>
    </row>
    <row r="12" spans="1:26">
      <c r="A12" s="319"/>
      <c r="B12" s="319"/>
      <c r="C12" s="319"/>
      <c r="D12" s="319"/>
      <c r="E12" s="319"/>
      <c r="F12" s="319"/>
      <c r="G12" s="319"/>
      <c r="H12" s="319"/>
      <c r="I12" s="319"/>
    </row>
  </sheetData>
  <sheetProtection algorithmName="SHA-512" hashValue="3ZpsTjlnWqhIoLu4z3Bit58cpDJ415TNe8iP/ruatgMa5AwQZx2hkeSYlZ1aeBPyC5BTvtrmyZhC5Rx8pARvYA==" saltValue="05S4nwf0RWkKzvr7Y7ucOg==" spinCount="100000" sheet="1" objects="1" scenarios="1"/>
  <mergeCells count="5">
    <mergeCell ref="A8:C8"/>
    <mergeCell ref="E3:G3"/>
    <mergeCell ref="E6:G6"/>
    <mergeCell ref="E5:G5"/>
    <mergeCell ref="E4:G4"/>
  </mergeCells>
  <conditionalFormatting sqref="B4:B5">
    <cfRule type="cellIs" dxfId="52" priority="8" operator="equal">
      <formula>"Пожалуйста, выберите…"</formula>
    </cfRule>
  </conditionalFormatting>
  <conditionalFormatting sqref="B5">
    <cfRule type="containsText" dxfId="51" priority="1" operator="containsText" text="Укажите наличие…">
      <formula>NOT(ISERROR(SEARCH("Укажите наличие…",B5)))</formula>
    </cfRule>
  </conditionalFormatting>
  <conditionalFormatting sqref="B5:B6">
    <cfRule type="expression" dxfId="50" priority="2">
      <formula>$B$4="Пожалуйста, выберите…"</formula>
    </cfRule>
    <cfRule type="expression" dxfId="49" priority="6">
      <formula>$B$4="нет"</formula>
    </cfRule>
  </conditionalFormatting>
  <conditionalFormatting sqref="B6">
    <cfRule type="expression" dxfId="48" priority="5">
      <formula>$B$5="нет"</formula>
    </cfRule>
  </conditionalFormatting>
  <conditionalFormatting sqref="B11">
    <cfRule type="containsText" dxfId="45" priority="3" operator="containsText" text="Готово">
      <formula>NOT(ISERROR(SEARCH("Готово",B11)))</formula>
    </cfRule>
    <cfRule type="containsText" dxfId="44" priority="4" operator="containsText" text="Заполните данные">
      <formula>NOT(ISERROR(SEARCH("Заполните данные",B11)))</formula>
    </cfRule>
  </conditionalFormatting>
  <dataValidations count="4">
    <dataValidation type="decimal" allowBlank="1" showInputMessage="1" showErrorMessage="1" sqref="B6" xr:uid="{00000000-0002-0000-0500-000000000000}">
      <formula1>0</formula1>
      <formula2>1000000</formula2>
    </dataValidation>
    <dataValidation type="list" allowBlank="1" showInputMessage="1" showErrorMessage="1" sqref="B4" xr:uid="{00000000-0002-0000-0500-000001000000}">
      <formula1>danet</formula1>
    </dataValidation>
    <dataValidation type="decimal" allowBlank="1" showInputMessage="1" showErrorMessage="1" sqref="B9" xr:uid="{00000000-0002-0000-0500-000002000000}">
      <formula1>0</formula1>
      <formula2>1</formula2>
    </dataValidation>
    <dataValidation type="list" allowBlank="1" showInputMessage="1" showErrorMessage="1" sqref="B5" xr:uid="{00000000-0002-0000-0500-000003000000}">
      <formula1>PUdanet</formula1>
    </dataValidation>
  </dataValidations>
  <hyperlinks>
    <hyperlink ref="C1" location="'0.Результаты расчета'!A1" display="Перейти к результатам расчета потенциала и ЦУС" xr:uid="{00000000-0004-0000-0500-000000000000}"/>
  </hyperlink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4" id="{96F07624-F994-4FAA-9705-7D2625C18BB8}">
            <xm:f>'1.Общие данные по зданию'!$C$20="нет"</xm:f>
            <x14:dxf>
              <font>
                <color theme="0" tint="-0.499984740745262"/>
              </font>
              <fill>
                <patternFill>
                  <bgColor theme="0" tint="-0.24994659260841701"/>
                </patternFill>
              </fill>
            </x14:dxf>
          </x14:cfRule>
          <x14:cfRule type="expression" priority="35" id="{F84482E9-8F4F-477F-BCFE-F6B94F079777}">
            <xm:f>'1.Общие данные по зданию'!$C$20="Пожалуйста, выберите…"</xm:f>
            <x14:dxf>
              <font>
                <color theme="0" tint="-0.499984740745262"/>
              </font>
              <fill>
                <patternFill>
                  <bgColor theme="0" tint="-0.24994659260841701"/>
                </patternFill>
              </fill>
            </x14:dxf>
          </x14:cfRule>
          <xm:sqref>B9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Лист29"/>
  <dimension ref="A1:AA12"/>
  <sheetViews>
    <sheetView topLeftCell="A7" zoomScale="90" zoomScaleNormal="90" workbookViewId="0">
      <selection activeCell="B11" sqref="B11"/>
    </sheetView>
  </sheetViews>
  <sheetFormatPr defaultColWidth="0" defaultRowHeight="14.25" zeroHeight="1"/>
  <cols>
    <col min="1" max="1" width="44.7109375" style="345" customWidth="1"/>
    <col min="2" max="2" width="27.7109375" style="345" customWidth="1"/>
    <col min="3" max="3" width="59.140625" style="345" customWidth="1"/>
    <col min="4" max="4" width="14" style="345" customWidth="1"/>
    <col min="5" max="5" width="12.42578125" style="345" customWidth="1"/>
    <col min="6" max="6" width="10.42578125" style="345" customWidth="1"/>
    <col min="7" max="7" width="9.42578125" style="345" customWidth="1"/>
    <col min="8" max="9" width="9.140625" style="345" customWidth="1"/>
    <col min="10" max="27" width="0" style="345" hidden="1" customWidth="1"/>
    <col min="28" max="16384" width="9.140625" style="345" hidden="1"/>
  </cols>
  <sheetData>
    <row r="1" spans="1:26" s="318" customFormat="1" ht="28.15" customHeight="1">
      <c r="A1" s="405" t="s">
        <v>898</v>
      </c>
      <c r="B1" s="407"/>
      <c r="C1" s="409" t="s">
        <v>872</v>
      </c>
      <c r="D1" s="407"/>
      <c r="E1" s="407"/>
      <c r="F1" s="407"/>
      <c r="G1" s="407"/>
      <c r="H1" s="407"/>
      <c r="I1" s="407"/>
      <c r="J1" s="317"/>
      <c r="K1" s="317"/>
      <c r="L1" s="317"/>
      <c r="M1" s="317"/>
      <c r="N1" s="317"/>
      <c r="O1" s="317"/>
      <c r="P1" s="317"/>
      <c r="Q1" s="317"/>
      <c r="R1" s="317"/>
      <c r="S1" s="317"/>
      <c r="T1" s="317"/>
      <c r="U1" s="317"/>
      <c r="V1" s="317"/>
      <c r="W1" s="317"/>
      <c r="X1" s="317"/>
      <c r="Y1" s="317"/>
      <c r="Z1" s="317"/>
    </row>
    <row r="2" spans="1:26" s="318" customFormat="1" ht="25.9" customHeight="1">
      <c r="A2" s="319"/>
      <c r="B2" s="319"/>
      <c r="C2" s="372" t="s">
        <v>1016</v>
      </c>
      <c r="D2" s="319"/>
      <c r="E2" s="319"/>
      <c r="F2" s="319"/>
      <c r="G2" s="319"/>
      <c r="H2" s="319"/>
      <c r="I2" s="319"/>
    </row>
    <row r="3" spans="1:26" s="318" customFormat="1" ht="57">
      <c r="A3" s="330" t="s">
        <v>167</v>
      </c>
      <c r="B3" s="331" t="s">
        <v>166</v>
      </c>
      <c r="C3" s="330" t="s">
        <v>777</v>
      </c>
      <c r="D3" s="418" t="s">
        <v>953</v>
      </c>
      <c r="E3" s="474" t="s">
        <v>839</v>
      </c>
      <c r="F3" s="474"/>
      <c r="G3" s="474"/>
      <c r="H3" s="319"/>
      <c r="I3" s="319"/>
    </row>
    <row r="4" spans="1:26" s="318" customFormat="1" ht="46.9" customHeight="1">
      <c r="A4" s="334" t="s">
        <v>885</v>
      </c>
      <c r="B4" s="342" t="s">
        <v>833</v>
      </c>
      <c r="C4" s="335"/>
      <c r="D4" s="337" t="s">
        <v>960</v>
      </c>
      <c r="E4" s="484" t="s">
        <v>840</v>
      </c>
      <c r="F4" s="484"/>
      <c r="G4" s="484"/>
      <c r="H4" s="319"/>
      <c r="I4" s="319"/>
    </row>
    <row r="5" spans="1:26" s="318" customFormat="1" ht="203.65" customHeight="1">
      <c r="A5" s="334" t="s">
        <v>1003</v>
      </c>
      <c r="B5" s="342" t="s">
        <v>931</v>
      </c>
      <c r="C5" s="335" t="str">
        <f>CONCATENATE("В случае, если на группе отдельно стоящих объектов учет энергетических ресурсов и воды осуществляется по показаниям общего для данной группы объектов прибора коммерческого учета, вместе с тем на указанных отдельно стоящих объектах ","установлены приборы технического учета энергетических ресурсов и воды, при расчетах  могут применяться показания данных приборов технического учета.",CHAR(10),CHAR(10),"Для поставленных ресурсов, расчет по которым осуществляется не на основании показаний приборов коммерческого учета, например, по нормативам, с использованием расчетных способов"," и т.д, а также для безвозмездно поставленных ресурсов требования по снижению потребления не устанавливаются.")</f>
        <v>В случае, если на группе отдельно стоящих объектов учет энергетических ресурсов и воды осуществляется по показаниям общего для данной группы объектов прибора коммерческого учета, вместе с тем на указанных отдельно стоящих объектах установлены приборы технического учета энергетических ресурсов и воды, при расчетах  могут применяться показания данных приборов технического учета.
Для поставленных ресурсов, расчет по которым осуществляется не на основании показаний приборов коммерческого учета, например, по нормативам, с использованием расчетных способов и т.д, а также для безвозмездно поставленных ресурсов требования по снижению потребления не устанавливаются.</v>
      </c>
      <c r="D5" s="368" t="s">
        <v>963</v>
      </c>
      <c r="E5" s="482" t="s">
        <v>840</v>
      </c>
      <c r="F5" s="482"/>
      <c r="G5" s="482"/>
      <c r="H5" s="319"/>
      <c r="I5" s="319"/>
    </row>
    <row r="6" spans="1:26" ht="78" customHeight="1">
      <c r="A6" s="346" t="s">
        <v>823</v>
      </c>
      <c r="B6" s="340">
        <v>299</v>
      </c>
      <c r="C6" s="335" t="s">
        <v>973</v>
      </c>
      <c r="D6" s="369" t="s">
        <v>962</v>
      </c>
      <c r="E6" s="482" t="s">
        <v>840</v>
      </c>
      <c r="F6" s="482"/>
      <c r="G6" s="482"/>
      <c r="H6" s="319"/>
      <c r="I6" s="319"/>
    </row>
    <row r="7" spans="1:26" s="318" customFormat="1">
      <c r="A7" s="319"/>
      <c r="B7" s="319"/>
      <c r="C7" s="319"/>
      <c r="D7" s="319"/>
      <c r="E7" s="319"/>
      <c r="F7" s="319"/>
      <c r="G7" s="319"/>
      <c r="H7" s="319"/>
      <c r="I7" s="319"/>
    </row>
    <row r="8" spans="1:26">
      <c r="A8" s="483" t="s">
        <v>775</v>
      </c>
      <c r="B8" s="483"/>
      <c r="C8" s="483"/>
      <c r="D8" s="319"/>
      <c r="E8" s="319"/>
      <c r="F8" s="319"/>
      <c r="G8" s="319"/>
      <c r="H8" s="319"/>
      <c r="I8" s="319"/>
    </row>
    <row r="9" spans="1:26" ht="49.5" customHeight="1">
      <c r="A9" s="356" t="s">
        <v>776</v>
      </c>
      <c r="B9" s="393">
        <v>4.9000000000000002E-2</v>
      </c>
      <c r="C9" s="335" t="s">
        <v>918</v>
      </c>
      <c r="D9" s="319"/>
      <c r="E9" s="319"/>
      <c r="F9" s="319"/>
      <c r="G9" s="319"/>
      <c r="H9" s="319"/>
      <c r="I9" s="319"/>
    </row>
    <row r="10" spans="1:26" s="318" customFormat="1">
      <c r="A10" s="319"/>
      <c r="B10" s="370">
        <f>IF(OR(AND('1.Общие данные по зданию'!C20="да",B9&gt;0,'1.Общие данные по зданию'!C21&gt;0,'1.Общие данные по зданию'!C22&gt;0),AND('1.Общие данные по зданию'!C20="нет",'1.Общие данные по зданию'!C21+'1.Общие данные по зданию'!C22=0)),1,0)</f>
        <v>1</v>
      </c>
      <c r="C10" s="319"/>
      <c r="D10" s="319"/>
      <c r="E10" s="319"/>
      <c r="F10" s="319"/>
      <c r="G10" s="319"/>
      <c r="H10" s="319"/>
      <c r="I10" s="319"/>
    </row>
    <row r="11" spans="1:26" ht="51">
      <c r="A11" s="356" t="s">
        <v>884</v>
      </c>
      <c r="B11" s="447" t="str">
        <f>IF(OR(B4="нет",B5="нет",AND(B4&lt;&gt;"пожалуйста, выберите…",B5&lt;&gt;"Укажите наличие…",B6&gt;0,'1.Общие данные по зданию'!C20&lt;&gt;"пожалуйста, выберите…",B10=1)),"Готово","Заполните данные")</f>
        <v>Готово</v>
      </c>
      <c r="C11" s="335" t="s">
        <v>1038</v>
      </c>
      <c r="D11" s="319"/>
      <c r="E11" s="319"/>
      <c r="F11" s="319"/>
      <c r="G11" s="319"/>
      <c r="H11" s="319"/>
      <c r="I11" s="319"/>
    </row>
    <row r="12" spans="1:26">
      <c r="A12" s="319"/>
      <c r="B12" s="319"/>
      <c r="C12" s="319"/>
      <c r="D12" s="319"/>
      <c r="E12" s="319"/>
      <c r="F12" s="319"/>
      <c r="G12" s="319"/>
      <c r="H12" s="319"/>
      <c r="I12" s="319"/>
    </row>
  </sheetData>
  <sheetProtection algorithmName="SHA-512" hashValue="wDfP3NhL8wlNFjgiHt+xNQDurU1vdaRyDNbCo6dx+eynMmNrFuluxhmOr4BHjACbCfxGUiKKeBcgapw/VBh/yg==" saltValue="RudNSCd++HRkUBzRHFgQoQ==" spinCount="100000" sheet="1" objects="1" scenarios="1"/>
  <mergeCells count="5">
    <mergeCell ref="A8:C8"/>
    <mergeCell ref="E3:G3"/>
    <mergeCell ref="E6:G6"/>
    <mergeCell ref="E5:G5"/>
    <mergeCell ref="E4:G4"/>
  </mergeCells>
  <conditionalFormatting sqref="B4:B5">
    <cfRule type="cellIs" dxfId="43" priority="15" operator="equal">
      <formula>"Пожалуйста, выберите…"</formula>
    </cfRule>
  </conditionalFormatting>
  <conditionalFormatting sqref="B5">
    <cfRule type="containsText" dxfId="42" priority="1" operator="containsText" text="Укажите наличие…">
      <formula>NOT(ISERROR(SEARCH("Укажите наличие…",B5)))</formula>
    </cfRule>
  </conditionalFormatting>
  <conditionalFormatting sqref="B5:B6">
    <cfRule type="expression" dxfId="41" priority="13">
      <formula>$B$4="нет"</formula>
    </cfRule>
  </conditionalFormatting>
  <conditionalFormatting sqref="B6">
    <cfRule type="expression" dxfId="40" priority="2">
      <formula>$B$4="Пожалуйста, выберите…"</formula>
    </cfRule>
    <cfRule type="expression" dxfId="39" priority="14">
      <formula>$B$5="нет"</formula>
    </cfRule>
  </conditionalFormatting>
  <conditionalFormatting sqref="B11">
    <cfRule type="containsText" dxfId="36" priority="3" operator="containsText" text="Готово">
      <formula>NOT(ISERROR(SEARCH("Готово",B11)))</formula>
    </cfRule>
    <cfRule type="containsText" dxfId="35" priority="4" operator="containsText" text="Заполните данные">
      <formula>NOT(ISERROR(SEARCH("Заполните данные",B11)))</formula>
    </cfRule>
  </conditionalFormatting>
  <dataValidations count="4">
    <dataValidation type="decimal" allowBlank="1" showInputMessage="1" showErrorMessage="1" sqref="B6" xr:uid="{00000000-0002-0000-0600-000000000000}">
      <formula1>0</formula1>
      <formula2>1000000</formula2>
    </dataValidation>
    <dataValidation type="list" allowBlank="1" showInputMessage="1" showErrorMessage="1" sqref="B4" xr:uid="{00000000-0002-0000-0600-000001000000}">
      <formula1>danet</formula1>
    </dataValidation>
    <dataValidation type="decimal" allowBlank="1" showInputMessage="1" showErrorMessage="1" sqref="B9" xr:uid="{00000000-0002-0000-0600-000002000000}">
      <formula1>0</formula1>
      <formula2>1</formula2>
    </dataValidation>
    <dataValidation type="list" allowBlank="1" showInputMessage="1" showErrorMessage="1" sqref="B5" xr:uid="{00000000-0002-0000-0600-000003000000}">
      <formula1>PUdanet</formula1>
    </dataValidation>
  </dataValidations>
  <hyperlinks>
    <hyperlink ref="C1" location="'0.Результаты расчета'!A1" display="Перейти к результатам расчета потенциала и ЦУС" xr:uid="{00000000-0004-0000-0600-000000000000}"/>
  </hyperlink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5" id="{B6673665-0579-4C5B-9C40-B935E3A71176}">
            <xm:f>'1.Общие данные по зданию'!$C$20="Пожалуйста, выберите…"</xm:f>
            <x14:dxf>
              <font>
                <color theme="0" tint="-0.499984740745262"/>
              </font>
              <fill>
                <patternFill>
                  <bgColor theme="0" tint="-0.14996795556505021"/>
                </patternFill>
              </fill>
            </x14:dxf>
          </x14:cfRule>
          <x14:cfRule type="expression" priority="6" id="{F45B5D2A-CA88-4A40-905F-4BA685FAC5B0}">
            <xm:f>'1.Общие данные по зданию'!$C$20="нет"</xm:f>
            <x14:dxf>
              <font>
                <color theme="0" tint="-0.499984740745262"/>
              </font>
              <fill>
                <patternFill>
                  <bgColor theme="6" tint="0.39994506668294322"/>
                </patternFill>
              </fill>
            </x14:dxf>
          </x14:cfRule>
          <xm:sqref>B9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Лист30"/>
  <dimension ref="A1:AA69"/>
  <sheetViews>
    <sheetView zoomScaleNormal="100" workbookViewId="0">
      <selection activeCell="B7" sqref="B7"/>
    </sheetView>
  </sheetViews>
  <sheetFormatPr defaultColWidth="0" defaultRowHeight="14.25" zeroHeight="1"/>
  <cols>
    <col min="1" max="1" width="54.42578125" style="345" customWidth="1"/>
    <col min="2" max="2" width="26.42578125" style="345" customWidth="1"/>
    <col min="3" max="3" width="54.28515625" style="345" customWidth="1"/>
    <col min="4" max="4" width="13.42578125" style="345" customWidth="1"/>
    <col min="5" max="5" width="10.42578125" style="345" customWidth="1"/>
    <col min="6" max="6" width="11" style="345" customWidth="1"/>
    <col min="7" max="7" width="11.140625" style="345" customWidth="1"/>
    <col min="8" max="9" width="9.140625" style="345" customWidth="1"/>
    <col min="10" max="27" width="0" style="345" hidden="1" customWidth="1"/>
    <col min="28" max="16384" width="9.140625" style="345" hidden="1"/>
  </cols>
  <sheetData>
    <row r="1" spans="1:26" s="318" customFormat="1" ht="39" customHeight="1">
      <c r="A1" s="405" t="s">
        <v>899</v>
      </c>
      <c r="B1" s="407"/>
      <c r="C1" s="409" t="s">
        <v>872</v>
      </c>
      <c r="D1" s="407"/>
      <c r="E1" s="407"/>
      <c r="F1" s="407"/>
      <c r="G1" s="407"/>
      <c r="H1" s="407"/>
      <c r="I1" s="407"/>
      <c r="J1" s="317"/>
      <c r="K1" s="317"/>
      <c r="L1" s="317"/>
      <c r="M1" s="317"/>
      <c r="N1" s="317"/>
      <c r="O1" s="317"/>
      <c r="P1" s="317"/>
      <c r="Q1" s="317"/>
      <c r="R1" s="317"/>
      <c r="S1" s="317"/>
      <c r="T1" s="317"/>
      <c r="U1" s="317"/>
      <c r="V1" s="317"/>
      <c r="W1" s="317"/>
      <c r="X1" s="317"/>
      <c r="Y1" s="317"/>
      <c r="Z1" s="317"/>
    </row>
    <row r="2" spans="1:26" s="318" customFormat="1" ht="25.9" customHeight="1">
      <c r="A2" s="319"/>
      <c r="B2" s="319"/>
      <c r="C2" s="372" t="s">
        <v>1016</v>
      </c>
      <c r="D2" s="319"/>
      <c r="E2" s="319"/>
      <c r="F2" s="319"/>
      <c r="G2" s="319"/>
      <c r="H2" s="319"/>
      <c r="I2" s="319"/>
    </row>
    <row r="3" spans="1:26" s="318" customFormat="1" ht="57">
      <c r="A3" s="330" t="s">
        <v>167</v>
      </c>
      <c r="B3" s="331" t="s">
        <v>166</v>
      </c>
      <c r="C3" s="330" t="s">
        <v>777</v>
      </c>
      <c r="D3" s="418" t="s">
        <v>953</v>
      </c>
      <c r="E3" s="474" t="s">
        <v>839</v>
      </c>
      <c r="F3" s="474"/>
      <c r="G3" s="474"/>
      <c r="H3" s="319"/>
      <c r="I3" s="319"/>
    </row>
    <row r="4" spans="1:26" s="318" customFormat="1" ht="213" customHeight="1">
      <c r="A4" s="334" t="s">
        <v>1004</v>
      </c>
      <c r="B4" s="342" t="s">
        <v>931</v>
      </c>
      <c r="C4" s="335" t="str">
        <f>CONCATENATE("В случае, если на группе отдельно стоящих объектов учет энергетических ресурсов и воды осуществляется по показаниям общего для данной группы объектов прибора коммерческого учета, вместе с тем на указанных отдельно стоящих объектах ","установлены приборы технического учета энергетических ресурсов и воды, при расчетах  могут применяться показания данных приборов технического учета.",CHAR(10),CHAR(10),"Для поставленных ресурсов, расчет по которым осуществляется не на основании показаний приборов коммерческого учета, например, по нормативам, с использованием расчетных способов"," и т.д, а также для безвозмездно поставленных ресурсов требования по снижению потребления не устанавливаются.")</f>
        <v>В случае, если на группе отдельно стоящих объектов учет энергетических ресурсов и воды осуществляется по показаниям общего для данной группы объектов прибора коммерческого учета, вместе с тем на указанных отдельно стоящих объектах установлены приборы технического учета энергетических ресурсов и воды, при расчетах  могут применяться показания данных приборов технического учета.
Для поставленных ресурсов, расчет по которым осуществляется не на основании показаний приборов коммерческого учета, например, по нормативам, с использованием расчетных способов и т.д, а также для безвозмездно поставленных ресурсов требования по снижению потребления не устанавливаются.</v>
      </c>
      <c r="D4" s="368" t="s">
        <v>964</v>
      </c>
      <c r="E4" s="484" t="s">
        <v>840</v>
      </c>
      <c r="F4" s="484"/>
      <c r="G4" s="484"/>
      <c r="H4" s="319"/>
      <c r="I4" s="319"/>
    </row>
    <row r="5" spans="1:26" ht="50.25" customHeight="1">
      <c r="A5" s="346" t="s">
        <v>842</v>
      </c>
      <c r="B5" s="340">
        <v>1278</v>
      </c>
      <c r="C5" s="335"/>
      <c r="D5" s="369" t="s">
        <v>958</v>
      </c>
      <c r="E5" s="489" t="s">
        <v>840</v>
      </c>
      <c r="F5" s="489"/>
      <c r="G5" s="489"/>
      <c r="H5" s="319"/>
      <c r="I5" s="319"/>
    </row>
    <row r="6" spans="1:26" ht="36" customHeight="1">
      <c r="A6" s="346" t="s">
        <v>920</v>
      </c>
      <c r="B6" s="371">
        <v>0</v>
      </c>
      <c r="C6" s="335" t="s">
        <v>921</v>
      </c>
      <c r="D6" s="368" t="s">
        <v>834</v>
      </c>
      <c r="E6" s="394"/>
      <c r="F6" s="394"/>
      <c r="G6" s="395"/>
      <c r="H6" s="319"/>
      <c r="I6" s="319"/>
    </row>
    <row r="7" spans="1:26" ht="31.15" customHeight="1">
      <c r="A7" s="346" t="s">
        <v>922</v>
      </c>
      <c r="B7" s="342" t="s">
        <v>834</v>
      </c>
      <c r="C7" s="335"/>
      <c r="D7" s="369" t="s">
        <v>990</v>
      </c>
      <c r="E7" s="489" t="s">
        <v>840</v>
      </c>
      <c r="F7" s="489"/>
      <c r="G7" s="489"/>
      <c r="H7" s="319"/>
      <c r="I7" s="319"/>
    </row>
    <row r="8" spans="1:26" s="318" customFormat="1">
      <c r="A8" s="319"/>
      <c r="B8" s="319"/>
      <c r="C8" s="319"/>
      <c r="D8" s="319"/>
      <c r="E8" s="319"/>
      <c r="F8" s="319"/>
      <c r="G8" s="319"/>
      <c r="H8" s="319"/>
      <c r="I8" s="319"/>
    </row>
    <row r="9" spans="1:26" ht="15" customHeight="1">
      <c r="A9" s="424" t="s">
        <v>774</v>
      </c>
      <c r="B9" s="424" t="s">
        <v>773</v>
      </c>
      <c r="C9" s="424" t="s">
        <v>993</v>
      </c>
      <c r="D9" s="490" t="s">
        <v>845</v>
      </c>
      <c r="E9" s="489" t="s">
        <v>840</v>
      </c>
      <c r="F9" s="489"/>
      <c r="G9" s="489"/>
      <c r="H9" s="319"/>
      <c r="I9" s="319"/>
    </row>
    <row r="10" spans="1:26">
      <c r="A10" s="423">
        <v>1</v>
      </c>
      <c r="B10" s="393"/>
      <c r="C10" s="393"/>
      <c r="D10" s="490"/>
      <c r="E10" s="489"/>
      <c r="F10" s="489"/>
      <c r="G10" s="489"/>
      <c r="H10" s="319"/>
      <c r="I10" s="319"/>
    </row>
    <row r="11" spans="1:26">
      <c r="A11" s="423">
        <v>2</v>
      </c>
      <c r="B11" s="393"/>
      <c r="C11" s="393"/>
      <c r="D11" s="490"/>
      <c r="E11" s="489"/>
      <c r="F11" s="489"/>
      <c r="G11" s="489"/>
      <c r="H11" s="319"/>
      <c r="I11" s="319"/>
    </row>
    <row r="12" spans="1:26">
      <c r="A12" s="423">
        <v>3</v>
      </c>
      <c r="B12" s="393"/>
      <c r="C12" s="393"/>
      <c r="D12" s="485" t="s">
        <v>994</v>
      </c>
      <c r="E12" s="486"/>
      <c r="F12" s="486"/>
      <c r="G12" s="486"/>
      <c r="H12" s="319"/>
      <c r="I12" s="319"/>
    </row>
    <row r="13" spans="1:26">
      <c r="A13" s="423">
        <v>4</v>
      </c>
      <c r="B13" s="393"/>
      <c r="C13" s="393"/>
      <c r="D13" s="487"/>
      <c r="E13" s="488"/>
      <c r="F13" s="488"/>
      <c r="G13" s="488"/>
      <c r="H13" s="319"/>
      <c r="I13" s="319"/>
    </row>
    <row r="14" spans="1:26">
      <c r="A14" s="423">
        <v>5</v>
      </c>
      <c r="B14" s="393"/>
      <c r="C14" s="393"/>
      <c r="D14" s="487"/>
      <c r="E14" s="488"/>
      <c r="F14" s="488"/>
      <c r="G14" s="488"/>
      <c r="H14" s="319"/>
      <c r="I14" s="319"/>
    </row>
    <row r="15" spans="1:26">
      <c r="A15" s="423">
        <v>6</v>
      </c>
      <c r="B15" s="393"/>
      <c r="C15" s="393"/>
      <c r="D15" s="319"/>
      <c r="E15" s="319"/>
      <c r="F15" s="319"/>
      <c r="G15" s="319"/>
      <c r="H15" s="319"/>
      <c r="I15" s="319"/>
    </row>
    <row r="16" spans="1:26">
      <c r="A16" s="423">
        <v>7</v>
      </c>
      <c r="B16" s="393"/>
      <c r="C16" s="393"/>
      <c r="D16" s="319"/>
      <c r="E16" s="319"/>
      <c r="F16" s="319"/>
      <c r="G16" s="319"/>
      <c r="H16" s="319"/>
      <c r="I16" s="319"/>
    </row>
    <row r="17" spans="1:9">
      <c r="A17" s="423">
        <v>8</v>
      </c>
      <c r="B17" s="393"/>
      <c r="C17" s="393"/>
      <c r="D17" s="319"/>
      <c r="E17" s="319"/>
      <c r="F17" s="319"/>
      <c r="G17" s="319"/>
      <c r="H17" s="319"/>
      <c r="I17" s="319"/>
    </row>
    <row r="18" spans="1:9">
      <c r="A18" s="423">
        <v>9</v>
      </c>
      <c r="B18" s="393"/>
      <c r="C18" s="393"/>
      <c r="D18" s="319"/>
      <c r="E18" s="319"/>
      <c r="F18" s="319"/>
      <c r="G18" s="319"/>
      <c r="H18" s="319"/>
      <c r="I18" s="319"/>
    </row>
    <row r="19" spans="1:9">
      <c r="A19" s="423">
        <v>10</v>
      </c>
      <c r="B19" s="393"/>
      <c r="C19" s="393"/>
      <c r="D19" s="319"/>
      <c r="E19" s="319"/>
      <c r="F19" s="319"/>
      <c r="G19" s="319"/>
      <c r="H19" s="319"/>
      <c r="I19" s="319"/>
    </row>
    <row r="20" spans="1:9">
      <c r="A20" s="423">
        <v>11</v>
      </c>
      <c r="B20" s="393"/>
      <c r="C20" s="393"/>
      <c r="D20" s="319"/>
      <c r="E20" s="319"/>
      <c r="F20" s="319"/>
      <c r="G20" s="319"/>
      <c r="H20" s="319"/>
      <c r="I20" s="319"/>
    </row>
    <row r="21" spans="1:9">
      <c r="A21" s="423">
        <v>12</v>
      </c>
      <c r="B21" s="393"/>
      <c r="C21" s="393"/>
      <c r="D21" s="319"/>
      <c r="E21" s="319"/>
      <c r="F21" s="319"/>
      <c r="G21" s="319"/>
      <c r="H21" s="319"/>
      <c r="I21" s="319"/>
    </row>
    <row r="22" spans="1:9">
      <c r="A22" s="423">
        <v>13</v>
      </c>
      <c r="B22" s="393"/>
      <c r="C22" s="393"/>
      <c r="D22" s="319"/>
      <c r="E22" s="319"/>
      <c r="F22" s="319"/>
      <c r="G22" s="319"/>
      <c r="H22" s="319"/>
      <c r="I22" s="319"/>
    </row>
    <row r="23" spans="1:9">
      <c r="A23" s="423">
        <v>14</v>
      </c>
      <c r="B23" s="393"/>
      <c r="C23" s="393"/>
      <c r="D23" s="319"/>
      <c r="E23" s="319"/>
      <c r="F23" s="319"/>
      <c r="G23" s="319"/>
      <c r="H23" s="319"/>
      <c r="I23" s="319"/>
    </row>
    <row r="24" spans="1:9">
      <c r="A24" s="423">
        <v>15</v>
      </c>
      <c r="B24" s="393"/>
      <c r="C24" s="393"/>
      <c r="D24" s="319"/>
      <c r="E24" s="319"/>
      <c r="F24" s="319"/>
      <c r="G24" s="319"/>
      <c r="H24" s="319"/>
      <c r="I24" s="319"/>
    </row>
    <row r="25" spans="1:9">
      <c r="A25" s="423">
        <v>16</v>
      </c>
      <c r="B25" s="393"/>
      <c r="C25" s="393"/>
      <c r="D25" s="319"/>
      <c r="E25" s="319"/>
      <c r="F25" s="319"/>
      <c r="G25" s="319"/>
      <c r="H25" s="319"/>
      <c r="I25" s="319"/>
    </row>
    <row r="26" spans="1:9">
      <c r="A26" s="423">
        <v>17</v>
      </c>
      <c r="B26" s="393"/>
      <c r="C26" s="393"/>
      <c r="D26" s="319"/>
      <c r="E26" s="319"/>
      <c r="F26" s="319"/>
      <c r="G26" s="319"/>
      <c r="H26" s="319"/>
      <c r="I26" s="319"/>
    </row>
    <row r="27" spans="1:9">
      <c r="A27" s="423">
        <v>18</v>
      </c>
      <c r="B27" s="393"/>
      <c r="C27" s="393"/>
      <c r="D27" s="319"/>
      <c r="E27" s="319"/>
      <c r="F27" s="319"/>
      <c r="G27" s="319"/>
      <c r="H27" s="319"/>
      <c r="I27" s="319"/>
    </row>
    <row r="28" spans="1:9">
      <c r="A28" s="423">
        <v>19</v>
      </c>
      <c r="B28" s="393"/>
      <c r="C28" s="393"/>
      <c r="D28" s="319"/>
      <c r="E28" s="319"/>
      <c r="F28" s="319"/>
      <c r="G28" s="319"/>
      <c r="H28" s="319"/>
      <c r="I28" s="319"/>
    </row>
    <row r="29" spans="1:9">
      <c r="A29" s="423">
        <v>20</v>
      </c>
      <c r="B29" s="393"/>
      <c r="C29" s="393"/>
      <c r="D29" s="319"/>
      <c r="E29" s="319"/>
      <c r="F29" s="319"/>
      <c r="G29" s="319"/>
      <c r="H29" s="319"/>
      <c r="I29" s="319"/>
    </row>
    <row r="30" spans="1:9">
      <c r="A30" s="423">
        <v>21</v>
      </c>
      <c r="B30" s="393"/>
      <c r="C30" s="393"/>
      <c r="D30" s="319"/>
      <c r="E30" s="319"/>
      <c r="F30" s="319"/>
      <c r="G30" s="319"/>
      <c r="H30" s="319"/>
      <c r="I30" s="319"/>
    </row>
    <row r="31" spans="1:9">
      <c r="A31" s="423">
        <v>22</v>
      </c>
      <c r="B31" s="393"/>
      <c r="C31" s="393"/>
      <c r="D31" s="319"/>
      <c r="E31" s="319"/>
      <c r="F31" s="319"/>
      <c r="G31" s="319"/>
      <c r="H31" s="319"/>
      <c r="I31" s="319"/>
    </row>
    <row r="32" spans="1:9">
      <c r="A32" s="423">
        <v>23</v>
      </c>
      <c r="B32" s="393"/>
      <c r="C32" s="393"/>
      <c r="D32" s="319"/>
      <c r="E32" s="319"/>
      <c r="F32" s="319"/>
      <c r="G32" s="319"/>
      <c r="H32" s="319"/>
      <c r="I32" s="319"/>
    </row>
    <row r="33" spans="1:9">
      <c r="A33" s="423">
        <v>24</v>
      </c>
      <c r="B33" s="393"/>
      <c r="C33" s="393"/>
      <c r="D33" s="319"/>
      <c r="E33" s="319"/>
      <c r="F33" s="319"/>
      <c r="G33" s="319"/>
      <c r="H33" s="319"/>
      <c r="I33" s="319"/>
    </row>
    <row r="34" spans="1:9">
      <c r="A34" s="423">
        <v>25</v>
      </c>
      <c r="B34" s="393"/>
      <c r="C34" s="393"/>
      <c r="D34" s="319"/>
      <c r="E34" s="319"/>
      <c r="F34" s="319"/>
      <c r="G34" s="319"/>
      <c r="H34" s="319"/>
      <c r="I34" s="319"/>
    </row>
    <row r="35" spans="1:9">
      <c r="A35" s="423">
        <v>26</v>
      </c>
      <c r="B35" s="393"/>
      <c r="C35" s="393"/>
      <c r="D35" s="319"/>
      <c r="E35" s="319"/>
      <c r="F35" s="319"/>
      <c r="G35" s="319"/>
      <c r="H35" s="319"/>
      <c r="I35" s="319"/>
    </row>
    <row r="36" spans="1:9">
      <c r="A36" s="423">
        <v>27</v>
      </c>
      <c r="B36" s="393"/>
      <c r="C36" s="393"/>
      <c r="D36" s="319"/>
      <c r="E36" s="319"/>
      <c r="F36" s="319"/>
      <c r="G36" s="319"/>
      <c r="H36" s="319"/>
      <c r="I36" s="319"/>
    </row>
    <row r="37" spans="1:9">
      <c r="A37" s="423">
        <v>28</v>
      </c>
      <c r="B37" s="393"/>
      <c r="C37" s="393"/>
      <c r="D37" s="319"/>
      <c r="E37" s="319"/>
      <c r="F37" s="319"/>
      <c r="G37" s="319"/>
      <c r="H37" s="319"/>
      <c r="I37" s="319"/>
    </row>
    <row r="38" spans="1:9">
      <c r="A38" s="423">
        <v>29</v>
      </c>
      <c r="B38" s="393"/>
      <c r="C38" s="393"/>
      <c r="D38" s="319"/>
      <c r="E38" s="319"/>
      <c r="F38" s="319"/>
      <c r="G38" s="319"/>
      <c r="H38" s="319"/>
      <c r="I38" s="319"/>
    </row>
    <row r="39" spans="1:9">
      <c r="A39" s="423">
        <v>30</v>
      </c>
      <c r="B39" s="393"/>
      <c r="C39" s="393"/>
      <c r="D39" s="319"/>
      <c r="E39" s="319"/>
      <c r="F39" s="319"/>
      <c r="G39" s="319"/>
      <c r="H39" s="319"/>
      <c r="I39" s="319"/>
    </row>
    <row r="40" spans="1:9">
      <c r="A40" s="423">
        <v>31</v>
      </c>
      <c r="B40" s="393"/>
      <c r="C40" s="393"/>
      <c r="D40" s="319"/>
      <c r="E40" s="319"/>
      <c r="F40" s="319"/>
      <c r="G40" s="319"/>
      <c r="H40" s="319"/>
      <c r="I40" s="319"/>
    </row>
    <row r="41" spans="1:9">
      <c r="A41" s="423">
        <v>32</v>
      </c>
      <c r="B41" s="393"/>
      <c r="C41" s="393"/>
      <c r="D41" s="319"/>
      <c r="E41" s="319"/>
      <c r="F41" s="319"/>
      <c r="G41" s="319"/>
      <c r="H41" s="319"/>
      <c r="I41" s="319"/>
    </row>
    <row r="42" spans="1:9">
      <c r="A42" s="423">
        <v>33</v>
      </c>
      <c r="B42" s="393"/>
      <c r="C42" s="393"/>
      <c r="D42" s="319"/>
      <c r="E42" s="319"/>
      <c r="F42" s="319"/>
      <c r="G42" s="319"/>
      <c r="H42" s="319"/>
      <c r="I42" s="319"/>
    </row>
    <row r="43" spans="1:9">
      <c r="A43" s="423">
        <v>34</v>
      </c>
      <c r="B43" s="393"/>
      <c r="C43" s="393"/>
      <c r="D43" s="319"/>
      <c r="E43" s="319"/>
      <c r="F43" s="319"/>
      <c r="G43" s="319"/>
      <c r="H43" s="319"/>
      <c r="I43" s="319"/>
    </row>
    <row r="44" spans="1:9">
      <c r="A44" s="423">
        <v>35</v>
      </c>
      <c r="B44" s="393"/>
      <c r="C44" s="393"/>
      <c r="D44" s="319"/>
      <c r="E44" s="319"/>
      <c r="F44" s="319"/>
      <c r="G44" s="319"/>
      <c r="H44" s="319"/>
      <c r="I44" s="319"/>
    </row>
    <row r="45" spans="1:9">
      <c r="A45" s="423">
        <v>36</v>
      </c>
      <c r="B45" s="393"/>
      <c r="C45" s="393"/>
      <c r="D45" s="319"/>
      <c r="E45" s="319"/>
      <c r="F45" s="319"/>
      <c r="G45" s="319"/>
      <c r="H45" s="319"/>
      <c r="I45" s="319"/>
    </row>
    <row r="46" spans="1:9">
      <c r="A46" s="423">
        <v>37</v>
      </c>
      <c r="B46" s="393"/>
      <c r="C46" s="393"/>
      <c r="D46" s="319"/>
      <c r="E46" s="319"/>
      <c r="F46" s="319"/>
      <c r="G46" s="319"/>
      <c r="H46" s="319"/>
      <c r="I46" s="319"/>
    </row>
    <row r="47" spans="1:9">
      <c r="A47" s="423">
        <v>38</v>
      </c>
      <c r="B47" s="393"/>
      <c r="C47" s="393"/>
      <c r="D47" s="319"/>
      <c r="E47" s="319"/>
      <c r="F47" s="319"/>
      <c r="G47" s="319"/>
      <c r="H47" s="319"/>
      <c r="I47" s="319"/>
    </row>
    <row r="48" spans="1:9">
      <c r="A48" s="423">
        <v>39</v>
      </c>
      <c r="B48" s="393"/>
      <c r="C48" s="393"/>
      <c r="D48" s="319"/>
      <c r="E48" s="319"/>
      <c r="F48" s="319"/>
      <c r="G48" s="319"/>
      <c r="H48" s="319"/>
      <c r="I48" s="319"/>
    </row>
    <row r="49" spans="1:9">
      <c r="A49" s="423">
        <v>40</v>
      </c>
      <c r="B49" s="393"/>
      <c r="C49" s="393"/>
      <c r="D49" s="319"/>
      <c r="E49" s="319"/>
      <c r="F49" s="319"/>
      <c r="G49" s="319"/>
      <c r="H49" s="319"/>
      <c r="I49" s="319"/>
    </row>
    <row r="50" spans="1:9">
      <c r="A50" s="423">
        <v>41</v>
      </c>
      <c r="B50" s="393"/>
      <c r="C50" s="393"/>
      <c r="D50" s="319"/>
      <c r="E50" s="319"/>
      <c r="F50" s="319"/>
      <c r="G50" s="319"/>
      <c r="H50" s="319"/>
      <c r="I50" s="319"/>
    </row>
    <row r="51" spans="1:9">
      <c r="A51" s="423">
        <v>42</v>
      </c>
      <c r="B51" s="393"/>
      <c r="C51" s="393"/>
      <c r="D51" s="319"/>
      <c r="E51" s="319"/>
      <c r="F51" s="319"/>
      <c r="G51" s="319"/>
      <c r="H51" s="319"/>
      <c r="I51" s="319"/>
    </row>
    <row r="52" spans="1:9">
      <c r="A52" s="423">
        <v>43</v>
      </c>
      <c r="B52" s="393"/>
      <c r="C52" s="393"/>
      <c r="D52" s="319"/>
      <c r="E52" s="319"/>
      <c r="F52" s="319"/>
      <c r="G52" s="319"/>
      <c r="H52" s="319"/>
      <c r="I52" s="319"/>
    </row>
    <row r="53" spans="1:9">
      <c r="A53" s="423">
        <v>44</v>
      </c>
      <c r="B53" s="393"/>
      <c r="C53" s="393"/>
      <c r="D53" s="319"/>
      <c r="E53" s="319"/>
      <c r="F53" s="319"/>
      <c r="G53" s="319"/>
      <c r="H53" s="319"/>
      <c r="I53" s="319"/>
    </row>
    <row r="54" spans="1:9">
      <c r="A54" s="423">
        <v>45</v>
      </c>
      <c r="B54" s="393"/>
      <c r="C54" s="393"/>
      <c r="D54" s="319"/>
      <c r="E54" s="319"/>
      <c r="F54" s="319"/>
      <c r="G54" s="319"/>
      <c r="H54" s="319"/>
      <c r="I54" s="319"/>
    </row>
    <row r="55" spans="1:9">
      <c r="A55" s="423">
        <v>46</v>
      </c>
      <c r="B55" s="393"/>
      <c r="C55" s="393"/>
      <c r="D55" s="319"/>
      <c r="E55" s="319"/>
      <c r="F55" s="319"/>
      <c r="G55" s="319"/>
      <c r="H55" s="319"/>
      <c r="I55" s="319"/>
    </row>
    <row r="56" spans="1:9">
      <c r="A56" s="423">
        <v>47</v>
      </c>
      <c r="B56" s="393"/>
      <c r="C56" s="393"/>
      <c r="D56" s="319"/>
      <c r="E56" s="319"/>
      <c r="F56" s="319"/>
      <c r="G56" s="319"/>
      <c r="H56" s="319"/>
      <c r="I56" s="319"/>
    </row>
    <row r="57" spans="1:9">
      <c r="A57" s="423">
        <v>48</v>
      </c>
      <c r="B57" s="393"/>
      <c r="C57" s="393"/>
      <c r="D57" s="319"/>
      <c r="E57" s="319"/>
      <c r="F57" s="319"/>
      <c r="G57" s="319"/>
      <c r="H57" s="319"/>
      <c r="I57" s="319"/>
    </row>
    <row r="58" spans="1:9">
      <c r="A58" s="423">
        <v>49</v>
      </c>
      <c r="B58" s="393"/>
      <c r="C58" s="393"/>
      <c r="D58" s="319"/>
      <c r="E58" s="319"/>
      <c r="F58" s="319"/>
      <c r="G58" s="319"/>
      <c r="H58" s="319"/>
      <c r="I58" s="319"/>
    </row>
    <row r="59" spans="1:9">
      <c r="A59" s="423">
        <v>50</v>
      </c>
      <c r="B59" s="393"/>
      <c r="C59" s="393"/>
      <c r="D59" s="319"/>
      <c r="E59" s="319"/>
      <c r="F59" s="319"/>
      <c r="G59" s="319"/>
      <c r="H59" s="319"/>
      <c r="I59" s="319"/>
    </row>
    <row r="60" spans="1:9" ht="28.5">
      <c r="A60" s="373" t="s">
        <v>827</v>
      </c>
      <c r="B60" s="374">
        <f>IF(OR(B7="Пожалуйста, выберите…",B7="нет"),0,IFERROR(SUMPRODUCT(B10:B59,C10:C59)*0.007854/'1.Общие данные по зданию'!C15,0))</f>
        <v>0</v>
      </c>
      <c r="C60" s="335" t="s">
        <v>947</v>
      </c>
      <c r="D60" s="319"/>
      <c r="E60" s="319"/>
      <c r="F60" s="319"/>
      <c r="G60" s="319"/>
      <c r="H60" s="319"/>
      <c r="I60" s="319"/>
    </row>
    <row r="67" spans="1:9">
      <c r="A67" s="319"/>
      <c r="B67" s="370">
        <f>IF(OR(AND(B7="да",SUM(B10:B59)&gt;0,SUM(C10:C59)&gt;0),AND(B7="нет")),1,0)</f>
        <v>1</v>
      </c>
      <c r="C67" s="319"/>
      <c r="D67" s="319"/>
      <c r="E67" s="319"/>
      <c r="F67" s="319"/>
      <c r="G67" s="319"/>
      <c r="H67" s="319"/>
      <c r="I67" s="319"/>
    </row>
    <row r="68" spans="1:9">
      <c r="A68" s="356" t="s">
        <v>884</v>
      </c>
      <c r="B68" s="447" t="str">
        <f>IF(OR(B4="нет",AND(B4&lt;&gt;"Укажите наличие…",B7&lt;&gt;"пожалуйста, выберите…",B5&gt;0,B67=1)),"Готово","Заполните данные")</f>
        <v>Готово</v>
      </c>
      <c r="C68" s="319"/>
      <c r="D68" s="319"/>
      <c r="E68" s="319"/>
      <c r="F68" s="319"/>
      <c r="G68" s="319"/>
      <c r="H68" s="319"/>
      <c r="I68" s="319"/>
    </row>
    <row r="69" spans="1:9">
      <c r="A69" s="319"/>
      <c r="B69" s="319"/>
      <c r="C69" s="319"/>
      <c r="D69" s="319"/>
      <c r="E69" s="319"/>
      <c r="F69" s="319"/>
      <c r="G69" s="319"/>
      <c r="H69" s="319"/>
      <c r="I69" s="319"/>
    </row>
  </sheetData>
  <sheetProtection algorithmName="SHA-512" hashValue="QSv6Zh7+SuSCbIhIXiQMLbwm2GFhtK/Xgwi0F8/t2F3nLS/LN8CzONwPBYcpQIi+FTA//JpgOB98BZekyArYhQ==" saltValue="DFseuVpgcEYEcx+LNb1/hw==" spinCount="100000" sheet="1" objects="1" scenarios="1"/>
  <mergeCells count="7">
    <mergeCell ref="D12:G14"/>
    <mergeCell ref="E3:G3"/>
    <mergeCell ref="E5:G5"/>
    <mergeCell ref="E9:G11"/>
    <mergeCell ref="D9:D11"/>
    <mergeCell ref="E4:G4"/>
    <mergeCell ref="E7:G7"/>
  </mergeCells>
  <conditionalFormatting sqref="A10:C59">
    <cfRule type="expression" dxfId="34" priority="5">
      <formula>$B$7="Пожалуйста, выберите…"</formula>
    </cfRule>
    <cfRule type="expression" dxfId="33" priority="6">
      <formula>$B$7="нет"</formula>
    </cfRule>
  </conditionalFormatting>
  <conditionalFormatting sqref="B4">
    <cfRule type="containsText" dxfId="32" priority="1" operator="containsText" text="Укажите наличие…">
      <formula>NOT(ISERROR(SEARCH("Укажите наличие…",B4)))</formula>
    </cfRule>
    <cfRule type="cellIs" dxfId="30" priority="12" operator="equal">
      <formula>"Пожалуйста, выберите…"</formula>
    </cfRule>
  </conditionalFormatting>
  <conditionalFormatting sqref="B5:B7">
    <cfRule type="expression" dxfId="29" priority="2">
      <formula>$B$4="Пожалуйста, выберите…"</formula>
    </cfRule>
    <cfRule type="expression" dxfId="28" priority="7">
      <formula>$B$4="нет"</formula>
    </cfRule>
  </conditionalFormatting>
  <conditionalFormatting sqref="B7">
    <cfRule type="cellIs" dxfId="27" priority="9" operator="equal">
      <formula>"Пожалуйста, выберите…"</formula>
    </cfRule>
  </conditionalFormatting>
  <conditionalFormatting sqref="B68">
    <cfRule type="containsText" dxfId="26" priority="3" operator="containsText" text="Готово">
      <formula>NOT(ISERROR(SEARCH("Готово",B68)))</formula>
    </cfRule>
    <cfRule type="containsText" dxfId="25" priority="4" operator="containsText" text="Заполните данные">
      <formula>NOT(ISERROR(SEARCH("Заполните данные",B68)))</formula>
    </cfRule>
  </conditionalFormatting>
  <dataValidations count="5">
    <dataValidation type="decimal" allowBlank="1" showInputMessage="1" showErrorMessage="1" sqref="B5" xr:uid="{00000000-0002-0000-0700-000000000000}">
      <formula1>0</formula1>
      <formula2>100000000</formula2>
    </dataValidation>
    <dataValidation type="list" allowBlank="1" showInputMessage="1" showErrorMessage="1" sqref="B7" xr:uid="{00000000-0002-0000-0700-000001000000}">
      <formula1>danet</formula1>
    </dataValidation>
    <dataValidation type="decimal" allowBlank="1" showInputMessage="1" showErrorMessage="1" sqref="B10:B59" xr:uid="{00000000-0002-0000-0700-000002000000}">
      <formula1>0</formula1>
      <formula2>2000</formula2>
    </dataValidation>
    <dataValidation type="decimal" allowBlank="1" showInputMessage="1" showErrorMessage="1" sqref="C10:C59" xr:uid="{00000000-0002-0000-0700-000003000000}">
      <formula1>0</formula1>
      <formula2>365</formula2>
    </dataValidation>
    <dataValidation type="list" allowBlank="1" showInputMessage="1" showErrorMessage="1" sqref="B4" xr:uid="{00000000-0002-0000-0700-000004000000}">
      <formula1>PUdanet</formula1>
    </dataValidation>
  </dataValidations>
  <hyperlinks>
    <hyperlink ref="C1" location="'0.Результаты расчета'!A1" display="Перейти к результатам расчета потенциала и ЦУС" xr:uid="{00000000-0004-0000-0700-000000000000}"/>
  </hyperlink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1" id="{5618DAEC-C63D-4BA8-A689-0C8847E05FE4}">
            <xm:f>'3.УР горячей воды'!$B$6="нет"</xm:f>
            <x14:dxf>
              <font>
                <color theme="0" tint="-0.499984740745262"/>
              </font>
              <fill>
                <patternFill>
                  <bgColor theme="0" tint="-0.24994659260841701"/>
                </patternFill>
              </fill>
            </x14:dxf>
          </x14:cfRule>
          <xm:sqref>B4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Лист31"/>
  <dimension ref="A1:Z12"/>
  <sheetViews>
    <sheetView zoomScale="90" zoomScaleNormal="90" workbookViewId="0">
      <selection activeCell="D1" sqref="D1"/>
    </sheetView>
  </sheetViews>
  <sheetFormatPr defaultColWidth="0" defaultRowHeight="14.25" zeroHeight="1"/>
  <cols>
    <col min="1" max="1" width="39.7109375" style="345" customWidth="1"/>
    <col min="2" max="2" width="23.42578125" style="345" customWidth="1"/>
    <col min="3" max="3" width="50.42578125" style="345" customWidth="1"/>
    <col min="4" max="4" width="16" style="345" customWidth="1"/>
    <col min="5" max="5" width="10.42578125" style="345" customWidth="1"/>
    <col min="6" max="6" width="10.28515625" style="345" customWidth="1"/>
    <col min="7" max="7" width="11.7109375" style="345" customWidth="1"/>
    <col min="8" max="9" width="9.140625" style="345" customWidth="1"/>
    <col min="10" max="26" width="0" style="345" hidden="1" customWidth="1"/>
    <col min="27" max="16384" width="9.140625" style="345" hidden="1"/>
  </cols>
  <sheetData>
    <row r="1" spans="1:26" s="318" customFormat="1" ht="28.9" customHeight="1">
      <c r="A1" s="405" t="s">
        <v>900</v>
      </c>
      <c r="B1" s="407"/>
      <c r="C1" s="408"/>
      <c r="D1" s="409" t="s">
        <v>872</v>
      </c>
      <c r="E1" s="407"/>
      <c r="F1" s="407"/>
      <c r="G1" s="407"/>
      <c r="H1" s="407"/>
      <c r="I1" s="407"/>
      <c r="J1" s="317"/>
      <c r="K1" s="317"/>
      <c r="L1" s="317"/>
      <c r="M1" s="317"/>
      <c r="N1" s="317"/>
      <c r="O1" s="317"/>
      <c r="P1" s="317"/>
      <c r="Q1" s="317"/>
      <c r="R1" s="317"/>
      <c r="S1" s="317"/>
      <c r="T1" s="317"/>
      <c r="U1" s="317"/>
      <c r="V1" s="317"/>
      <c r="W1" s="317"/>
      <c r="X1" s="317"/>
      <c r="Y1" s="317"/>
      <c r="Z1" s="317"/>
    </row>
    <row r="2" spans="1:26" s="318" customFormat="1" ht="22.9" customHeight="1">
      <c r="A2" s="319"/>
      <c r="B2" s="319"/>
      <c r="C2" s="372" t="s">
        <v>1016</v>
      </c>
      <c r="D2" s="319"/>
      <c r="E2" s="319"/>
      <c r="F2" s="319"/>
      <c r="G2" s="319"/>
      <c r="H2" s="319"/>
      <c r="I2" s="319"/>
    </row>
    <row r="3" spans="1:26" s="318" customFormat="1" ht="42.75">
      <c r="A3" s="330" t="s">
        <v>167</v>
      </c>
      <c r="B3" s="331" t="s">
        <v>166</v>
      </c>
      <c r="C3" s="330" t="s">
        <v>777</v>
      </c>
      <c r="D3" s="418" t="s">
        <v>953</v>
      </c>
      <c r="E3" s="474" t="s">
        <v>839</v>
      </c>
      <c r="F3" s="474"/>
      <c r="G3" s="474"/>
      <c r="H3" s="319"/>
      <c r="I3" s="319"/>
    </row>
    <row r="4" spans="1:26" s="318" customFormat="1" ht="46.5" customHeight="1">
      <c r="A4" s="334" t="s">
        <v>1024</v>
      </c>
      <c r="B4" s="342" t="s">
        <v>834</v>
      </c>
      <c r="C4" s="335"/>
      <c r="D4" s="337" t="s">
        <v>965</v>
      </c>
      <c r="E4" s="482" t="s">
        <v>840</v>
      </c>
      <c r="F4" s="482"/>
      <c r="G4" s="482"/>
      <c r="H4" s="319"/>
      <c r="I4" s="319"/>
    </row>
    <row r="5" spans="1:26" s="318" customFormat="1" ht="214.9" customHeight="1">
      <c r="A5" s="334" t="s">
        <v>1005</v>
      </c>
      <c r="B5" s="342" t="s">
        <v>931</v>
      </c>
      <c r="C5" s="335" t="str">
        <f>CONCATENATE("В случае, если на группе отдельно стоящих объектов учет энергетических ресурсов и воды осуществляется по показаниям общего для данной группы объектов прибора коммерческого учета, вместе с тем на указанных отдельно стоящих объектах ","установлены приборы технического учета энергетических ресурсов и воды, при расчетах  могут применяться показания данных приборов технического учета.",CHAR(10),CHAR(10),"Для поставленных ресурсов, расчет по которым осуществляется не на основании показаний приборов коммерческого учета, например, по нормативам, с использованием расчетных способов"," и т.д, а также для безвозмездно поставленных ресурсов требования по снижению потребления не устанавливаются.")</f>
        <v>В случае, если на группе отдельно стоящих объектов учет энергетических ресурсов и воды осуществляется по показаниям общего для данной группы объектов прибора коммерческого учета, вместе с тем на указанных отдельно стоящих объектах установлены приборы технического учета энергетических ресурсов и воды, при расчетах  могут применяться показания данных приборов технического учета.
Для поставленных ресурсов, расчет по которым осуществляется не на основании показаний приборов коммерческого учета, например, по нормативам, с использованием расчетных способов и т.д, а также для безвозмездно поставленных ресурсов требования по снижению потребления не устанавливаются.</v>
      </c>
      <c r="D5" s="368" t="s">
        <v>966</v>
      </c>
      <c r="E5" s="482" t="s">
        <v>840</v>
      </c>
      <c r="F5" s="482"/>
      <c r="G5" s="482"/>
      <c r="H5" s="319"/>
      <c r="I5" s="319"/>
    </row>
    <row r="6" spans="1:26" s="318" customFormat="1" ht="54" customHeight="1">
      <c r="A6" s="334" t="s">
        <v>904</v>
      </c>
      <c r="B6" s="342" t="s">
        <v>833</v>
      </c>
      <c r="C6" s="335"/>
      <c r="D6" s="337" t="s">
        <v>967</v>
      </c>
      <c r="E6" s="482" t="s">
        <v>840</v>
      </c>
      <c r="F6" s="482"/>
      <c r="G6" s="482"/>
      <c r="H6" s="319"/>
      <c r="I6" s="319"/>
    </row>
    <row r="7" spans="1:26" ht="46.5" customHeight="1">
      <c r="A7" s="375" t="s">
        <v>843</v>
      </c>
      <c r="B7" s="340"/>
      <c r="C7" s="335" t="s">
        <v>974</v>
      </c>
      <c r="D7" s="369" t="s">
        <v>958</v>
      </c>
      <c r="E7" s="489" t="s">
        <v>840</v>
      </c>
      <c r="F7" s="489"/>
      <c r="G7" s="489"/>
      <c r="H7" s="319"/>
      <c r="I7" s="319"/>
    </row>
    <row r="8" spans="1:26" s="318" customFormat="1" ht="54" customHeight="1">
      <c r="A8" s="334" t="s">
        <v>923</v>
      </c>
      <c r="B8" s="342" t="s">
        <v>833</v>
      </c>
      <c r="C8" s="426" t="str">
        <f>IF(AND(B6="нет",B8="да"),"Выше выбрано отсутствие на объекте газовых котлов, вырабатывающих теплоэнергию на нужды отопления и вентиляции","")</f>
        <v/>
      </c>
      <c r="D8" s="337" t="s">
        <v>834</v>
      </c>
      <c r="E8" s="475" t="s">
        <v>69</v>
      </c>
      <c r="F8" s="475"/>
      <c r="G8" s="475"/>
      <c r="H8" s="319"/>
      <c r="I8" s="319"/>
    </row>
    <row r="9" spans="1:26" s="318" customFormat="1" ht="10.5" hidden="1" customHeight="1">
      <c r="A9" s="376"/>
      <c r="B9" s="377">
        <f>IF(AND(B6="да",B8="да"),B7/'1.Общие данные по зданию'!C15-VLOOKUP('1.Общие данные по зданию'!C6,'Экспресс потенциал'!B6:AH27,33,0),B7/'1.Общие данные по зданию'!C15)</f>
        <v>-7.3049694102548521</v>
      </c>
      <c r="C9" s="378"/>
      <c r="D9" s="379"/>
      <c r="E9" s="380"/>
      <c r="F9" s="380"/>
      <c r="G9" s="380"/>
      <c r="H9" s="319"/>
      <c r="I9" s="319"/>
    </row>
    <row r="10" spans="1:26" s="318" customFormat="1">
      <c r="A10" s="319"/>
      <c r="B10" s="370"/>
      <c r="C10" s="319"/>
      <c r="D10" s="319"/>
      <c r="E10" s="319"/>
      <c r="F10" s="319"/>
      <c r="G10" s="319"/>
      <c r="H10" s="319"/>
      <c r="I10" s="319"/>
    </row>
    <row r="11" spans="1:26">
      <c r="A11" s="356" t="s">
        <v>884</v>
      </c>
      <c r="B11" s="447" t="str">
        <f>IF(OR(B4="нет",B5="нет",AND(B4&lt;&gt;"пожалуйста, выберите…",B5&lt;&gt;"Укажите наличие…",B7&gt;0,B8&lt;&gt;"Пожалуйста, выберите…",B6&lt;&gt;"Пожалуйста, выберите…")),"Готово","Заполните данные")</f>
        <v>Готово</v>
      </c>
      <c r="C11" s="319"/>
      <c r="D11" s="319"/>
      <c r="E11" s="319"/>
      <c r="F11" s="319"/>
      <c r="G11" s="319"/>
      <c r="H11" s="319"/>
      <c r="I11" s="319"/>
    </row>
    <row r="12" spans="1:26">
      <c r="A12" s="319"/>
      <c r="B12" s="319"/>
      <c r="C12" s="319"/>
      <c r="D12" s="319"/>
      <c r="E12" s="319"/>
      <c r="F12" s="319"/>
      <c r="G12" s="319"/>
      <c r="H12" s="319"/>
      <c r="I12" s="319"/>
    </row>
  </sheetData>
  <sheetProtection algorithmName="SHA-512" hashValue="ewc5GnW0esthMCWf9S/GPVBnSYoeDR7c50DCPVy5lHGTY9teKvJvvrcXZq8+yFksRyWgZRNzjSub4hgwj/bZ0A==" saltValue="xH8vPvMUDNGT5y85S6a6Ag==" spinCount="100000" sheet="1" objects="1" scenarios="1"/>
  <mergeCells count="6">
    <mergeCell ref="E8:G8"/>
    <mergeCell ref="E3:G3"/>
    <mergeCell ref="E7:G7"/>
    <mergeCell ref="E5:G5"/>
    <mergeCell ref="E4:G4"/>
    <mergeCell ref="E6:G6"/>
  </mergeCells>
  <conditionalFormatting sqref="B4:B6">
    <cfRule type="cellIs" dxfId="24" priority="9" operator="equal">
      <formula>"Пожалуйста, выберите…"</formula>
    </cfRule>
  </conditionalFormatting>
  <conditionalFormatting sqref="B5">
    <cfRule type="containsText" dxfId="23" priority="7" operator="containsText" text="Укажите наличие…">
      <formula>NOT(ISERROR(SEARCH("Укажите наличие…",B5)))</formula>
    </cfRule>
  </conditionalFormatting>
  <conditionalFormatting sqref="B5:B9">
    <cfRule type="expression" dxfId="22" priority="2">
      <formula>$B$4="нет"</formula>
    </cfRule>
  </conditionalFormatting>
  <conditionalFormatting sqref="B7">
    <cfRule type="expression" dxfId="21" priority="6">
      <formula>$B$5="нет"</formula>
    </cfRule>
  </conditionalFormatting>
  <conditionalFormatting sqref="B7:B8">
    <cfRule type="expression" dxfId="20" priority="1">
      <formula>$B$4="Пожалуйста, выберите…"</formula>
    </cfRule>
  </conditionalFormatting>
  <conditionalFormatting sqref="B8:B9">
    <cfRule type="cellIs" dxfId="19" priority="8" operator="equal">
      <formula>"Пожалуйста, выберите…"</formula>
    </cfRule>
  </conditionalFormatting>
  <conditionalFormatting sqref="B11">
    <cfRule type="containsText" dxfId="18" priority="10" operator="containsText" text="Готово">
      <formula>NOT(ISERROR(SEARCH("Готово",B11)))</formula>
    </cfRule>
    <cfRule type="containsText" dxfId="17" priority="11" operator="containsText" text="Заполните данные">
      <formula>NOT(ISERROR(SEARCH("Заполните данные",B11)))</formula>
    </cfRule>
  </conditionalFormatting>
  <dataValidations count="3">
    <dataValidation type="decimal" allowBlank="1" showInputMessage="1" showErrorMessage="1" sqref="B7" xr:uid="{00000000-0002-0000-0800-000000000000}">
      <formula1>0</formula1>
      <formula2>100000000</formula2>
    </dataValidation>
    <dataValidation type="list" allowBlank="1" showInputMessage="1" showErrorMessage="1" sqref="B8 B4 B6" xr:uid="{00000000-0002-0000-0800-000001000000}">
      <formula1>danet</formula1>
    </dataValidation>
    <dataValidation type="list" allowBlank="1" showInputMessage="1" showErrorMessage="1" sqref="B5" xr:uid="{00000000-0002-0000-0800-000002000000}">
      <formula1>PUdanet</formula1>
    </dataValidation>
  </dataValidations>
  <hyperlinks>
    <hyperlink ref="D1" location="'0.Результаты расчета'!A1" display="Перейти к результатам расчета потенциала и ЦУС" xr:uid="{00000000-0004-0000-0800-000000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39</vt:i4>
      </vt:variant>
      <vt:variant>
        <vt:lpstr>Именованные диапазоны</vt:lpstr>
      </vt:variant>
      <vt:variant>
        <vt:i4>20</vt:i4>
      </vt:variant>
    </vt:vector>
  </HeadingPairs>
  <TitlesOfParts>
    <vt:vector size="59" baseType="lpstr">
      <vt:lpstr>0.Результаты расчета</vt:lpstr>
      <vt:lpstr>Экспресс потенциал</vt:lpstr>
      <vt:lpstr>1.Общие данные по зданию</vt:lpstr>
      <vt:lpstr>Бассейны</vt:lpstr>
      <vt:lpstr>2.УР ТЭ на нужды ОиВ</vt:lpstr>
      <vt:lpstr>3.УР горячей воды</vt:lpstr>
      <vt:lpstr>4.УР холодной воды</vt:lpstr>
      <vt:lpstr>5.УР ЭЭ</vt:lpstr>
      <vt:lpstr>6.УР природного газа на цели ПП</vt:lpstr>
      <vt:lpstr>7.УР топлива на отопл. и вент.</vt:lpstr>
      <vt:lpstr>8.УР моторного топлива</vt:lpstr>
      <vt:lpstr>ВУЗ</vt:lpstr>
      <vt:lpstr>Школа искусств</vt:lpstr>
      <vt:lpstr>Муз.школа</vt:lpstr>
      <vt:lpstr>ФАП</vt:lpstr>
      <vt:lpstr>Театры, кинотеатры</vt:lpstr>
      <vt:lpstr>Музеи</vt:lpstr>
      <vt:lpstr>ДЮСШ</vt:lpstr>
      <vt:lpstr>Больница</vt:lpstr>
      <vt:lpstr>Мед.стационар</vt:lpstr>
      <vt:lpstr>Поликлиника,амбулаторий</vt:lpstr>
      <vt:lpstr>Аптека,мол.кухня,ветаптека</vt:lpstr>
      <vt:lpstr>Клуб</vt:lpstr>
      <vt:lpstr>ДОУ</vt:lpstr>
      <vt:lpstr>Библиотеки</vt:lpstr>
      <vt:lpstr>Адм. здания</vt:lpstr>
      <vt:lpstr>НИИ и проч</vt:lpstr>
      <vt:lpstr>Центры занятости и Собесы</vt:lpstr>
      <vt:lpstr>Общеобр.У</vt:lpstr>
      <vt:lpstr>Откр.спорт.сооруж-е</vt:lpstr>
      <vt:lpstr>Крыт.спорт.сооруж-е</vt:lpstr>
      <vt:lpstr>Климатология2019</vt:lpstr>
      <vt:lpstr>Климатология2020</vt:lpstr>
      <vt:lpstr>Климатология2021</vt:lpstr>
      <vt:lpstr>Климатология2022</vt:lpstr>
      <vt:lpstr>Климатология2023</vt:lpstr>
      <vt:lpstr>Климатология2024</vt:lpstr>
      <vt:lpstr>Климатология2025</vt:lpstr>
      <vt:lpstr>списки</vt:lpstr>
      <vt:lpstr>'Экспресс потенциал'!_ftn1</vt:lpstr>
      <vt:lpstr>'Экспресс потенциал'!_ftnref1</vt:lpstr>
      <vt:lpstr>danet</vt:lpstr>
      <vt:lpstr>MotTopl</vt:lpstr>
      <vt:lpstr>PUdanet</vt:lpstr>
      <vt:lpstr>Smeny</vt:lpstr>
      <vt:lpstr>TipyExpress</vt:lpstr>
      <vt:lpstr>Uchet</vt:lpstr>
      <vt:lpstr>'8.УР моторного топлива'!РегионСтарт</vt:lpstr>
      <vt:lpstr>Климатология2020!РегионСтарт</vt:lpstr>
      <vt:lpstr>Климатология2021!РегионСтарт</vt:lpstr>
      <vt:lpstr>РегионСтарт</vt:lpstr>
      <vt:lpstr>'8.УР моторного топлива'!РегионСтолбец</vt:lpstr>
      <vt:lpstr>Климатология2020!РегионСтолбец</vt:lpstr>
      <vt:lpstr>Климатология2021!РегионСтолбец</vt:lpstr>
      <vt:lpstr>РегионСтолбец</vt:lpstr>
      <vt:lpstr>Климатология2020!РегионыСписок</vt:lpstr>
      <vt:lpstr>Климатология2021!РегионыСписок</vt:lpstr>
      <vt:lpstr>РегионыСписок</vt:lpstr>
      <vt:lpstr>СпискиРегионы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igor</dc:creator>
  <cp:lastModifiedBy>Пользователь</cp:lastModifiedBy>
  <cp:lastPrinted>2026-05-26T13:07:33Z</cp:lastPrinted>
  <dcterms:created xsi:type="dcterms:W3CDTF">2020-01-20T14:17:00Z</dcterms:created>
  <dcterms:modified xsi:type="dcterms:W3CDTF">2026-05-26T13:08:06Z</dcterms:modified>
</cp:coreProperties>
</file>