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8205" activeTab="4"/>
  </bookViews>
  <sheets>
    <sheet name="основное меню" sheetId="1" r:id="rId1"/>
    <sheet name="завтраки" sheetId="3" r:id="rId2"/>
    <sheet name="обеды" sheetId="4" r:id="rId3"/>
    <sheet name="полдники" sheetId="5" r:id="rId4"/>
    <sheet name="итого" sheetId="6" r:id="rId5"/>
  </sheets>
  <definedNames>
    <definedName name="_xlnm.Print_Area" localSheetId="1">завтраки!$A$1:$AB$121</definedName>
    <definedName name="_xlnm.Print_Area" localSheetId="2">обеды!$A$1:$Y$149</definedName>
    <definedName name="_xlnm.Print_Area" localSheetId="3">полдники!$A$1:$W$96</definedName>
  </definedNames>
  <calcPr calcId="145621"/>
</workbook>
</file>

<file path=xl/calcChain.xml><?xml version="1.0" encoding="utf-8"?>
<calcChain xmlns="http://schemas.openxmlformats.org/spreadsheetml/2006/main">
  <c r="E200" i="1" l="1"/>
  <c r="F182" i="1"/>
  <c r="F178" i="1"/>
  <c r="E178" i="1"/>
  <c r="E182" i="1" s="1"/>
  <c r="C75" i="1"/>
  <c r="C69" i="1"/>
  <c r="E40" i="1"/>
  <c r="H87" i="1" l="1"/>
  <c r="F87" i="1"/>
  <c r="E87" i="1"/>
  <c r="D87" i="1"/>
  <c r="C87" i="1"/>
  <c r="H43" i="3"/>
  <c r="F43" i="3"/>
  <c r="E43" i="3"/>
  <c r="D43" i="3"/>
  <c r="C43" i="3"/>
  <c r="H209" i="1" l="1"/>
  <c r="F209" i="1"/>
  <c r="E209" i="1"/>
  <c r="D209" i="1"/>
  <c r="C209" i="1"/>
  <c r="F108" i="4"/>
  <c r="E108" i="4"/>
  <c r="D108" i="4"/>
  <c r="C108" i="4"/>
  <c r="H108" i="4" l="1"/>
  <c r="D132" i="4"/>
  <c r="C132" i="4"/>
  <c r="Q131" i="4"/>
  <c r="P131" i="4"/>
  <c r="O131" i="4"/>
  <c r="N131" i="4"/>
  <c r="M131" i="4"/>
  <c r="L131" i="4"/>
  <c r="H131" i="4"/>
  <c r="G131" i="4"/>
  <c r="F131" i="4"/>
  <c r="E131" i="4"/>
  <c r="D131" i="4"/>
  <c r="C131" i="4"/>
  <c r="F105" i="4"/>
  <c r="E105" i="4"/>
  <c r="C105" i="4"/>
  <c r="F104" i="4"/>
  <c r="E104" i="4"/>
  <c r="D104" i="4"/>
  <c r="C104" i="4"/>
  <c r="F102" i="4"/>
  <c r="E102" i="4"/>
  <c r="D102" i="4"/>
  <c r="C102" i="4"/>
  <c r="G91" i="4"/>
  <c r="F91" i="4"/>
  <c r="E91" i="4"/>
  <c r="D91" i="4"/>
  <c r="C91" i="4"/>
  <c r="F90" i="4"/>
  <c r="E90" i="4"/>
  <c r="D90" i="4"/>
  <c r="C90" i="4"/>
  <c r="F89" i="4"/>
  <c r="E89" i="4"/>
  <c r="D89" i="4"/>
  <c r="C89" i="4"/>
  <c r="Q88" i="4"/>
  <c r="P88" i="4"/>
  <c r="O88" i="4"/>
  <c r="N88" i="4"/>
  <c r="M88" i="4"/>
  <c r="L88" i="4"/>
  <c r="H88" i="4"/>
  <c r="G88" i="4"/>
  <c r="Q77" i="4"/>
  <c r="P77" i="4"/>
  <c r="O77" i="4"/>
  <c r="N77" i="4"/>
  <c r="M77" i="4"/>
  <c r="L77" i="4"/>
  <c r="I77" i="4"/>
  <c r="H77" i="4"/>
  <c r="G77" i="4"/>
  <c r="F77" i="4"/>
  <c r="E77" i="4"/>
  <c r="D77" i="4"/>
  <c r="C77" i="4"/>
  <c r="Q75" i="4"/>
  <c r="P75" i="4"/>
  <c r="O75" i="4"/>
  <c r="N75" i="4"/>
  <c r="M75" i="4"/>
  <c r="L75" i="4"/>
  <c r="H75" i="4"/>
  <c r="G75" i="4"/>
  <c r="F75" i="4"/>
  <c r="E75" i="4"/>
  <c r="D75" i="4"/>
  <c r="C75" i="4"/>
  <c r="T68" i="4"/>
  <c r="S68" i="4"/>
  <c r="R68" i="4"/>
  <c r="K68" i="4"/>
  <c r="J68" i="4"/>
  <c r="F68" i="4"/>
  <c r="E68" i="4"/>
  <c r="D68" i="4"/>
  <c r="C68" i="4"/>
  <c r="B68" i="4"/>
  <c r="Q64" i="4"/>
  <c r="Q68" i="4" s="1"/>
  <c r="P64" i="4"/>
  <c r="P68" i="4" s="1"/>
  <c r="O64" i="4"/>
  <c r="O68" i="4" s="1"/>
  <c r="N64" i="4"/>
  <c r="N68" i="4" s="1"/>
  <c r="M64" i="4"/>
  <c r="M68" i="4" s="1"/>
  <c r="L64" i="4"/>
  <c r="L68" i="4" s="1"/>
  <c r="I64" i="4"/>
  <c r="I68" i="4" s="1"/>
  <c r="H64" i="4"/>
  <c r="H68" i="4" s="1"/>
  <c r="G64" i="4"/>
  <c r="G68" i="4" s="1"/>
  <c r="F50" i="4"/>
  <c r="E50" i="4"/>
  <c r="C50" i="4"/>
  <c r="Q39" i="4"/>
  <c r="P39" i="4"/>
  <c r="O39" i="4"/>
  <c r="N39" i="4"/>
  <c r="M39" i="4"/>
  <c r="H39" i="4"/>
  <c r="G39" i="4"/>
  <c r="F39" i="4"/>
  <c r="P38" i="4"/>
  <c r="O38" i="4"/>
  <c r="N38" i="4"/>
  <c r="M38" i="4"/>
  <c r="L38" i="4"/>
  <c r="F38" i="4"/>
  <c r="E38" i="4"/>
  <c r="D38" i="4"/>
  <c r="C38" i="4"/>
  <c r="Q37" i="4"/>
  <c r="P37" i="4"/>
  <c r="O37" i="4"/>
  <c r="N37" i="4"/>
  <c r="M37" i="4"/>
  <c r="L37" i="4"/>
  <c r="I37" i="4"/>
  <c r="H37" i="4"/>
  <c r="G37" i="4"/>
  <c r="F37" i="4"/>
  <c r="E37" i="4"/>
  <c r="D37" i="4"/>
  <c r="C37" i="4"/>
  <c r="F36" i="4"/>
  <c r="E36" i="4"/>
  <c r="D36" i="4"/>
  <c r="C36" i="4"/>
  <c r="H28" i="4"/>
  <c r="F18" i="1" l="1"/>
  <c r="E18" i="1"/>
  <c r="D18" i="1"/>
  <c r="C18" i="1"/>
  <c r="Q16" i="1"/>
  <c r="P16" i="1"/>
  <c r="O16" i="1"/>
  <c r="N16" i="1"/>
  <c r="M16" i="1"/>
  <c r="L16" i="1"/>
  <c r="G16" i="1"/>
  <c r="F16" i="1"/>
  <c r="E16" i="1"/>
  <c r="D16" i="1"/>
  <c r="C16" i="1"/>
  <c r="H48" i="1" l="1"/>
  <c r="F12" i="4"/>
  <c r="F16" i="4" s="1"/>
  <c r="E12" i="4"/>
  <c r="D12" i="4"/>
  <c r="C12" i="4"/>
  <c r="Q10" i="4"/>
  <c r="P10" i="4"/>
  <c r="O10" i="4"/>
  <c r="N10" i="4"/>
  <c r="M10" i="4"/>
  <c r="L10" i="4"/>
  <c r="G10" i="4"/>
  <c r="G16" i="4" s="1"/>
  <c r="F10" i="4"/>
  <c r="E10" i="4"/>
  <c r="D10" i="4"/>
  <c r="D16" i="4" s="1"/>
  <c r="C10" i="4"/>
  <c r="B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C16" i="4" l="1"/>
  <c r="E16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B82" i="4"/>
  <c r="J154" i="1"/>
  <c r="K154" i="1"/>
  <c r="R154" i="1"/>
  <c r="S154" i="1"/>
  <c r="T154" i="1"/>
  <c r="B154" i="1"/>
  <c r="T84" i="5" l="1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C69" i="5"/>
  <c r="B69" i="5"/>
  <c r="D66" i="5"/>
  <c r="D69" i="5" s="1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B53" i="5"/>
  <c r="F51" i="5"/>
  <c r="E51" i="5"/>
  <c r="D51" i="5"/>
  <c r="F50" i="5"/>
  <c r="F53" i="5" s="1"/>
  <c r="E50" i="5"/>
  <c r="E53" i="5" s="1"/>
  <c r="D50" i="5"/>
  <c r="C50" i="5"/>
  <c r="D49" i="5"/>
  <c r="D53" i="5" s="1"/>
  <c r="C49" i="5"/>
  <c r="C53" i="5" s="1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B28" i="5"/>
  <c r="G26" i="5"/>
  <c r="G28" i="5" s="1"/>
  <c r="F26" i="5"/>
  <c r="F28" i="5" s="1"/>
  <c r="E26" i="5"/>
  <c r="E28" i="5" s="1"/>
  <c r="D26" i="5"/>
  <c r="D28" i="5" s="1"/>
  <c r="C26" i="5"/>
  <c r="C28" i="5" s="1"/>
  <c r="T20" i="5"/>
  <c r="S20" i="5"/>
  <c r="R20" i="5"/>
  <c r="L20" i="5"/>
  <c r="K20" i="5"/>
  <c r="J20" i="5"/>
  <c r="I20" i="5"/>
  <c r="F20" i="5"/>
  <c r="E20" i="5"/>
  <c r="C20" i="5"/>
  <c r="B20" i="5"/>
  <c r="Q18" i="5"/>
  <c r="Q20" i="5" s="1"/>
  <c r="P18" i="5"/>
  <c r="P20" i="5" s="1"/>
  <c r="O18" i="5"/>
  <c r="O20" i="5" s="1"/>
  <c r="N18" i="5"/>
  <c r="N20" i="5" s="1"/>
  <c r="M18" i="5"/>
  <c r="M20" i="5" s="1"/>
  <c r="H18" i="5"/>
  <c r="H20" i="5" s="1"/>
  <c r="G18" i="5"/>
  <c r="G20" i="5" s="1"/>
  <c r="D18" i="5"/>
  <c r="D20" i="5" s="1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B12" i="5"/>
  <c r="F9" i="5"/>
  <c r="F12" i="5" s="1"/>
  <c r="E9" i="5"/>
  <c r="E12" i="5" s="1"/>
  <c r="D9" i="5"/>
  <c r="D12" i="5" s="1"/>
  <c r="C9" i="5"/>
  <c r="C12" i="5" s="1"/>
  <c r="T138" i="4"/>
  <c r="S138" i="4"/>
  <c r="R138" i="4"/>
  <c r="K138" i="4"/>
  <c r="J138" i="4"/>
  <c r="I138" i="4"/>
  <c r="G138" i="4"/>
  <c r="E138" i="4"/>
  <c r="C138" i="4"/>
  <c r="B138" i="4"/>
  <c r="Q138" i="4"/>
  <c r="P138" i="4"/>
  <c r="O138" i="4"/>
  <c r="N138" i="4"/>
  <c r="M138" i="4"/>
  <c r="L138" i="4"/>
  <c r="H138" i="4"/>
  <c r="F138" i="4"/>
  <c r="D138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B124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B109" i="4"/>
  <c r="F109" i="4"/>
  <c r="E109" i="4"/>
  <c r="D109" i="4"/>
  <c r="C109" i="4"/>
  <c r="T95" i="4"/>
  <c r="S95" i="4"/>
  <c r="R95" i="4"/>
  <c r="Q95" i="4"/>
  <c r="O95" i="4"/>
  <c r="M95" i="4"/>
  <c r="K95" i="4"/>
  <c r="J95" i="4"/>
  <c r="I95" i="4"/>
  <c r="B95" i="4"/>
  <c r="F95" i="4"/>
  <c r="E95" i="4"/>
  <c r="D95" i="4"/>
  <c r="C95" i="4"/>
  <c r="P95" i="4"/>
  <c r="N95" i="4"/>
  <c r="L95" i="4"/>
  <c r="H95" i="4"/>
  <c r="G9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E55" i="4"/>
  <c r="C55" i="4"/>
  <c r="B55" i="4"/>
  <c r="F55" i="4"/>
  <c r="D55" i="4"/>
  <c r="T42" i="4"/>
  <c r="S42" i="4"/>
  <c r="R42" i="4"/>
  <c r="L42" i="4"/>
  <c r="K42" i="4"/>
  <c r="J42" i="4"/>
  <c r="B42" i="4"/>
  <c r="P42" i="4"/>
  <c r="N42" i="4"/>
  <c r="H42" i="4"/>
  <c r="F42" i="4"/>
  <c r="D42" i="4"/>
  <c r="Q42" i="4"/>
  <c r="O42" i="4"/>
  <c r="M42" i="4"/>
  <c r="I42" i="4"/>
  <c r="G42" i="4"/>
  <c r="E42" i="4"/>
  <c r="C42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B105" i="3"/>
  <c r="F103" i="3"/>
  <c r="E103" i="3"/>
  <c r="D103" i="3"/>
  <c r="F102" i="3"/>
  <c r="F105" i="3" s="1"/>
  <c r="E102" i="3"/>
  <c r="E105" i="3" s="1"/>
  <c r="D102" i="3"/>
  <c r="D105" i="3" s="1"/>
  <c r="C102" i="3"/>
  <c r="C105" i="3" s="1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D94" i="3"/>
  <c r="B94" i="3"/>
  <c r="E94" i="3"/>
  <c r="C94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B82" i="3"/>
  <c r="F78" i="3"/>
  <c r="F82" i="3" s="1"/>
  <c r="E78" i="3"/>
  <c r="E82" i="3" s="1"/>
  <c r="D78" i="3"/>
  <c r="D82" i="3" s="1"/>
  <c r="C78" i="3"/>
  <c r="C82" i="3" s="1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B70" i="3"/>
  <c r="C66" i="3"/>
  <c r="C70" i="3" s="1"/>
  <c r="T59" i="3"/>
  <c r="S59" i="3"/>
  <c r="R59" i="3"/>
  <c r="P59" i="3"/>
  <c r="N59" i="3"/>
  <c r="K59" i="3"/>
  <c r="J59" i="3"/>
  <c r="I59" i="3"/>
  <c r="H59" i="3"/>
  <c r="B59" i="3"/>
  <c r="Q55" i="3"/>
  <c r="Q59" i="3" s="1"/>
  <c r="O55" i="3"/>
  <c r="O59" i="3" s="1"/>
  <c r="M55" i="3"/>
  <c r="M59" i="3" s="1"/>
  <c r="L55" i="3"/>
  <c r="L59" i="3" s="1"/>
  <c r="G55" i="3"/>
  <c r="G59" i="3" s="1"/>
  <c r="F55" i="3"/>
  <c r="F59" i="3" s="1"/>
  <c r="E55" i="3"/>
  <c r="E59" i="3" s="1"/>
  <c r="D55" i="3"/>
  <c r="D59" i="3" s="1"/>
  <c r="C55" i="3"/>
  <c r="C59" i="3" s="1"/>
  <c r="T48" i="3"/>
  <c r="S48" i="3"/>
  <c r="R48" i="3"/>
  <c r="K48" i="3"/>
  <c r="J48" i="3"/>
  <c r="E48" i="3"/>
  <c r="D48" i="3"/>
  <c r="B48" i="3"/>
  <c r="Q44" i="3"/>
  <c r="Q48" i="3" s="1"/>
  <c r="P44" i="3"/>
  <c r="P48" i="3" s="1"/>
  <c r="O44" i="3"/>
  <c r="O48" i="3" s="1"/>
  <c r="N44" i="3"/>
  <c r="N48" i="3" s="1"/>
  <c r="M44" i="3"/>
  <c r="M48" i="3" s="1"/>
  <c r="L44" i="3"/>
  <c r="L48" i="3" s="1"/>
  <c r="I44" i="3"/>
  <c r="I48" i="3" s="1"/>
  <c r="H44" i="3"/>
  <c r="H48" i="3" s="1"/>
  <c r="G44" i="3"/>
  <c r="G48" i="3" s="1"/>
  <c r="F44" i="3"/>
  <c r="F48" i="3" s="1"/>
  <c r="C48" i="3"/>
  <c r="T37" i="3"/>
  <c r="S37" i="3"/>
  <c r="R37" i="3"/>
  <c r="L37" i="3"/>
  <c r="K37" i="3"/>
  <c r="J37" i="3"/>
  <c r="I37" i="3"/>
  <c r="F37" i="3"/>
  <c r="E37" i="3"/>
  <c r="C37" i="3"/>
  <c r="B37" i="3"/>
  <c r="Q34" i="3"/>
  <c r="Q37" i="3" s="1"/>
  <c r="P34" i="3"/>
  <c r="P37" i="3" s="1"/>
  <c r="O34" i="3"/>
  <c r="O37" i="3" s="1"/>
  <c r="N34" i="3"/>
  <c r="N37" i="3" s="1"/>
  <c r="M34" i="3"/>
  <c r="M37" i="3" s="1"/>
  <c r="H34" i="3"/>
  <c r="H37" i="3" s="1"/>
  <c r="G34" i="3"/>
  <c r="G37" i="3" s="1"/>
  <c r="D34" i="3"/>
  <c r="D37" i="3" s="1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T14" i="3"/>
  <c r="S14" i="3"/>
  <c r="R14" i="3"/>
  <c r="M14" i="3"/>
  <c r="K14" i="3"/>
  <c r="J14" i="3"/>
  <c r="B14" i="3"/>
  <c r="G11" i="3"/>
  <c r="F11" i="3"/>
  <c r="D11" i="3"/>
  <c r="C11" i="3"/>
  <c r="C14" i="3" s="1"/>
  <c r="Q9" i="3"/>
  <c r="Q14" i="3" s="1"/>
  <c r="P9" i="3"/>
  <c r="P14" i="3" s="1"/>
  <c r="O9" i="3"/>
  <c r="O14" i="3" s="1"/>
  <c r="N9" i="3"/>
  <c r="N14" i="3" s="1"/>
  <c r="L9" i="3"/>
  <c r="L14" i="3" s="1"/>
  <c r="I9" i="3"/>
  <c r="I14" i="3" s="1"/>
  <c r="H9" i="3"/>
  <c r="H14" i="3" s="1"/>
  <c r="G9" i="3"/>
  <c r="G14" i="3" s="1"/>
  <c r="F9" i="3"/>
  <c r="E9" i="3"/>
  <c r="E14" i="3" s="1"/>
  <c r="D9" i="3"/>
  <c r="D14" i="3" s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T264" i="1"/>
  <c r="S264" i="1"/>
  <c r="R264" i="1"/>
  <c r="K264" i="1"/>
  <c r="J264" i="1"/>
  <c r="I264" i="1"/>
  <c r="B264" i="1"/>
  <c r="D258" i="1"/>
  <c r="C258" i="1"/>
  <c r="Q257" i="1"/>
  <c r="Q264" i="1" s="1"/>
  <c r="P257" i="1"/>
  <c r="P264" i="1" s="1"/>
  <c r="O257" i="1"/>
  <c r="O264" i="1" s="1"/>
  <c r="N257" i="1"/>
  <c r="N264" i="1" s="1"/>
  <c r="M257" i="1"/>
  <c r="M264" i="1" s="1"/>
  <c r="L257" i="1"/>
  <c r="L264" i="1" s="1"/>
  <c r="H257" i="1"/>
  <c r="H264" i="1" s="1"/>
  <c r="G257" i="1"/>
  <c r="G264" i="1" s="1"/>
  <c r="F257" i="1"/>
  <c r="F264" i="1" s="1"/>
  <c r="E257" i="1"/>
  <c r="D257" i="1"/>
  <c r="D264" i="1" s="1"/>
  <c r="C257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C237" i="1"/>
  <c r="B23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B227" i="1"/>
  <c r="F225" i="1"/>
  <c r="E225" i="1"/>
  <c r="D225" i="1"/>
  <c r="F224" i="1"/>
  <c r="F227" i="1" s="1"/>
  <c r="E224" i="1"/>
  <c r="D224" i="1"/>
  <c r="D227" i="1" s="1"/>
  <c r="C224" i="1"/>
  <c r="C227" i="1" s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C215" i="1"/>
  <c r="B215" i="1"/>
  <c r="D212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B210" i="1"/>
  <c r="F206" i="1"/>
  <c r="E206" i="1"/>
  <c r="C206" i="1"/>
  <c r="F205" i="1"/>
  <c r="E205" i="1"/>
  <c r="D205" i="1"/>
  <c r="C205" i="1"/>
  <c r="F203" i="1"/>
  <c r="E203" i="1"/>
  <c r="D203" i="1"/>
  <c r="D210" i="1" s="1"/>
  <c r="C203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B200" i="1"/>
  <c r="C200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C187" i="1"/>
  <c r="B187" i="1"/>
  <c r="T182" i="1"/>
  <c r="S182" i="1"/>
  <c r="R182" i="1"/>
  <c r="K182" i="1"/>
  <c r="J182" i="1"/>
  <c r="I182" i="1"/>
  <c r="B182" i="1"/>
  <c r="G178" i="1"/>
  <c r="D178" i="1"/>
  <c r="C178" i="1"/>
  <c r="D177" i="1"/>
  <c r="C177" i="1"/>
  <c r="D176" i="1"/>
  <c r="C176" i="1"/>
  <c r="C182" i="1" s="1"/>
  <c r="Q175" i="1"/>
  <c r="Q182" i="1" s="1"/>
  <c r="P175" i="1"/>
  <c r="P182" i="1" s="1"/>
  <c r="O175" i="1"/>
  <c r="O182" i="1" s="1"/>
  <c r="N175" i="1"/>
  <c r="N182" i="1" s="1"/>
  <c r="M175" i="1"/>
  <c r="M182" i="1" s="1"/>
  <c r="L175" i="1"/>
  <c r="L182" i="1" s="1"/>
  <c r="H175" i="1"/>
  <c r="H182" i="1" s="1"/>
  <c r="G175" i="1"/>
  <c r="G182" i="1" s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B173" i="1"/>
  <c r="F169" i="1"/>
  <c r="E169" i="1"/>
  <c r="E173" i="1" s="1"/>
  <c r="D169" i="1"/>
  <c r="D173" i="1" s="1"/>
  <c r="C169" i="1"/>
  <c r="C173" i="1" s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B160" i="1"/>
  <c r="F158" i="1"/>
  <c r="E158" i="1"/>
  <c r="D158" i="1"/>
  <c r="F157" i="1"/>
  <c r="E157" i="1"/>
  <c r="D157" i="1"/>
  <c r="C157" i="1"/>
  <c r="D156" i="1"/>
  <c r="C156" i="1"/>
  <c r="C160" i="1" s="1"/>
  <c r="Q149" i="1"/>
  <c r="P149" i="1"/>
  <c r="O149" i="1"/>
  <c r="N149" i="1"/>
  <c r="M149" i="1"/>
  <c r="L149" i="1"/>
  <c r="I149" i="1"/>
  <c r="I154" i="1" s="1"/>
  <c r="H149" i="1"/>
  <c r="G149" i="1"/>
  <c r="F149" i="1"/>
  <c r="E149" i="1"/>
  <c r="D149" i="1"/>
  <c r="C149" i="1"/>
  <c r="Q147" i="1"/>
  <c r="Q154" i="1" s="1"/>
  <c r="P147" i="1"/>
  <c r="P154" i="1" s="1"/>
  <c r="O147" i="1"/>
  <c r="O154" i="1" s="1"/>
  <c r="N147" i="1"/>
  <c r="N154" i="1" s="1"/>
  <c r="M147" i="1"/>
  <c r="M154" i="1" s="1"/>
  <c r="L147" i="1"/>
  <c r="L154" i="1" s="1"/>
  <c r="H147" i="1"/>
  <c r="H154" i="1" s="1"/>
  <c r="G147" i="1"/>
  <c r="G154" i="1" s="1"/>
  <c r="F147" i="1"/>
  <c r="F154" i="1" s="1"/>
  <c r="E147" i="1"/>
  <c r="E154" i="1" s="1"/>
  <c r="D147" i="1"/>
  <c r="D154" i="1" s="1"/>
  <c r="C147" i="1"/>
  <c r="C154" i="1" s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D144" i="1"/>
  <c r="B144" i="1"/>
  <c r="C140" i="1"/>
  <c r="C144" i="1" s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E132" i="1"/>
  <c r="D132" i="1"/>
  <c r="C132" i="1"/>
  <c r="B132" i="1"/>
  <c r="T127" i="1"/>
  <c r="S127" i="1"/>
  <c r="R127" i="1"/>
  <c r="K127" i="1"/>
  <c r="J127" i="1"/>
  <c r="D127" i="1"/>
  <c r="C127" i="1"/>
  <c r="B127" i="1"/>
  <c r="Q123" i="1"/>
  <c r="Q127" i="1" s="1"/>
  <c r="P123" i="1"/>
  <c r="P127" i="1" s="1"/>
  <c r="O123" i="1"/>
  <c r="O127" i="1" s="1"/>
  <c r="N123" i="1"/>
  <c r="N127" i="1" s="1"/>
  <c r="M123" i="1"/>
  <c r="M127" i="1" s="1"/>
  <c r="L123" i="1"/>
  <c r="L127" i="1" s="1"/>
  <c r="I123" i="1"/>
  <c r="I127" i="1" s="1"/>
  <c r="H123" i="1"/>
  <c r="H127" i="1" s="1"/>
  <c r="G123" i="1"/>
  <c r="G127" i="1" s="1"/>
  <c r="T118" i="1"/>
  <c r="S118" i="1"/>
  <c r="R118" i="1"/>
  <c r="P118" i="1"/>
  <c r="N118" i="1"/>
  <c r="K118" i="1"/>
  <c r="J118" i="1"/>
  <c r="I118" i="1"/>
  <c r="H118" i="1"/>
  <c r="B118" i="1"/>
  <c r="Q114" i="1"/>
  <c r="Q118" i="1" s="1"/>
  <c r="O114" i="1"/>
  <c r="O118" i="1" s="1"/>
  <c r="M114" i="1"/>
  <c r="M118" i="1" s="1"/>
  <c r="L114" i="1"/>
  <c r="L118" i="1" s="1"/>
  <c r="G114" i="1"/>
  <c r="G118" i="1" s="1"/>
  <c r="F114" i="1"/>
  <c r="E114" i="1"/>
  <c r="D114" i="1"/>
  <c r="D118" i="1" s="1"/>
  <c r="C114" i="1"/>
  <c r="C118" i="1" s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B106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D101" i="1"/>
  <c r="B101" i="1"/>
  <c r="F96" i="1"/>
  <c r="E96" i="1"/>
  <c r="E101" i="1" s="1"/>
  <c r="C96" i="1"/>
  <c r="C101" i="1" s="1"/>
  <c r="T92" i="1"/>
  <c r="S92" i="1"/>
  <c r="R92" i="1"/>
  <c r="K92" i="1"/>
  <c r="J92" i="1"/>
  <c r="E107" i="1"/>
  <c r="D92" i="1"/>
  <c r="B92" i="1"/>
  <c r="Q88" i="1"/>
  <c r="Q92" i="1" s="1"/>
  <c r="Q107" i="1" s="1"/>
  <c r="P88" i="1"/>
  <c r="P92" i="1" s="1"/>
  <c r="O88" i="1"/>
  <c r="O92" i="1" s="1"/>
  <c r="N88" i="1"/>
  <c r="N92" i="1" s="1"/>
  <c r="M88" i="1"/>
  <c r="M92" i="1" s="1"/>
  <c r="M107" i="1" s="1"/>
  <c r="L88" i="1"/>
  <c r="L92" i="1" s="1"/>
  <c r="I88" i="1"/>
  <c r="I92" i="1" s="1"/>
  <c r="I107" i="1" s="1"/>
  <c r="H88" i="1"/>
  <c r="H92" i="1" s="1"/>
  <c r="G88" i="1"/>
  <c r="G92" i="1" s="1"/>
  <c r="F88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B80" i="1"/>
  <c r="G78" i="1"/>
  <c r="G80" i="1" s="1"/>
  <c r="F78" i="1"/>
  <c r="F80" i="1" s="1"/>
  <c r="E78" i="1"/>
  <c r="D78" i="1"/>
  <c r="D80" i="1" s="1"/>
  <c r="C78" i="1"/>
  <c r="C80" i="1" s="1"/>
  <c r="T75" i="1"/>
  <c r="S75" i="1"/>
  <c r="R75" i="1"/>
  <c r="K75" i="1"/>
  <c r="J75" i="1"/>
  <c r="B75" i="1"/>
  <c r="Q72" i="1"/>
  <c r="P72" i="1"/>
  <c r="O72" i="1"/>
  <c r="N72" i="1"/>
  <c r="M72" i="1"/>
  <c r="H72" i="1"/>
  <c r="G72" i="1"/>
  <c r="F72" i="1"/>
  <c r="P71" i="1"/>
  <c r="O71" i="1"/>
  <c r="N71" i="1"/>
  <c r="M71" i="1"/>
  <c r="L71" i="1"/>
  <c r="F71" i="1"/>
  <c r="E71" i="1"/>
  <c r="D71" i="1"/>
  <c r="Q70" i="1"/>
  <c r="Q75" i="1" s="1"/>
  <c r="P70" i="1"/>
  <c r="O70" i="1"/>
  <c r="O75" i="1" s="1"/>
  <c r="N70" i="1"/>
  <c r="M70" i="1"/>
  <c r="M75" i="1" s="1"/>
  <c r="L70" i="1"/>
  <c r="L75" i="1" s="1"/>
  <c r="I70" i="1"/>
  <c r="I75" i="1" s="1"/>
  <c r="H70" i="1"/>
  <c r="G70" i="1"/>
  <c r="G75" i="1" s="1"/>
  <c r="F70" i="1"/>
  <c r="E70" i="1"/>
  <c r="D70" i="1"/>
  <c r="F69" i="1"/>
  <c r="E69" i="1"/>
  <c r="D69" i="1"/>
  <c r="T66" i="1"/>
  <c r="S66" i="1"/>
  <c r="R66" i="1"/>
  <c r="L66" i="1"/>
  <c r="K66" i="1"/>
  <c r="J66" i="1"/>
  <c r="I66" i="1"/>
  <c r="F66" i="1"/>
  <c r="E66" i="1"/>
  <c r="C66" i="1"/>
  <c r="B66" i="1"/>
  <c r="Q63" i="1"/>
  <c r="Q66" i="1" s="1"/>
  <c r="P63" i="1"/>
  <c r="P66" i="1" s="1"/>
  <c r="O63" i="1"/>
  <c r="O66" i="1" s="1"/>
  <c r="N63" i="1"/>
  <c r="N66" i="1" s="1"/>
  <c r="M63" i="1"/>
  <c r="M66" i="1" s="1"/>
  <c r="H63" i="1"/>
  <c r="H66" i="1" s="1"/>
  <c r="G63" i="1"/>
  <c r="G66" i="1" s="1"/>
  <c r="D63" i="1"/>
  <c r="D66" i="1" s="1"/>
  <c r="T54" i="1"/>
  <c r="S54" i="1"/>
  <c r="R54" i="1"/>
  <c r="L54" i="1"/>
  <c r="K54" i="1"/>
  <c r="J54" i="1"/>
  <c r="I54" i="1"/>
  <c r="F54" i="1"/>
  <c r="C54" i="1"/>
  <c r="B54" i="1"/>
  <c r="Q52" i="1"/>
  <c r="Q54" i="1" s="1"/>
  <c r="P52" i="1"/>
  <c r="P54" i="1" s="1"/>
  <c r="O52" i="1"/>
  <c r="O54" i="1" s="1"/>
  <c r="N52" i="1"/>
  <c r="N54" i="1" s="1"/>
  <c r="M52" i="1"/>
  <c r="M54" i="1" s="1"/>
  <c r="H52" i="1"/>
  <c r="H54" i="1" s="1"/>
  <c r="G52" i="1"/>
  <c r="G54" i="1" s="1"/>
  <c r="D52" i="1"/>
  <c r="D54" i="1" s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B49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D40" i="1"/>
  <c r="C40" i="1"/>
  <c r="B40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B27" i="1"/>
  <c r="F24" i="1"/>
  <c r="F27" i="1" s="1"/>
  <c r="E24" i="1"/>
  <c r="D24" i="1"/>
  <c r="D27" i="1" s="1"/>
  <c r="C24" i="1"/>
  <c r="C27" i="1" s="1"/>
  <c r="T22" i="1"/>
  <c r="S22" i="1"/>
  <c r="R22" i="1"/>
  <c r="K22" i="1"/>
  <c r="J22" i="1"/>
  <c r="I22" i="1"/>
  <c r="H22" i="1"/>
  <c r="B22" i="1"/>
  <c r="Q22" i="1"/>
  <c r="P22" i="1"/>
  <c r="O22" i="1"/>
  <c r="N22" i="1"/>
  <c r="M22" i="1"/>
  <c r="L22" i="1"/>
  <c r="G22" i="1"/>
  <c r="F22" i="1"/>
  <c r="T13" i="1"/>
  <c r="S13" i="1"/>
  <c r="R13" i="1"/>
  <c r="M13" i="1"/>
  <c r="K13" i="1"/>
  <c r="J13" i="1"/>
  <c r="B13" i="1"/>
  <c r="G10" i="1"/>
  <c r="F10" i="1"/>
  <c r="D10" i="1"/>
  <c r="C10" i="1"/>
  <c r="C13" i="1" s="1"/>
  <c r="Q8" i="1"/>
  <c r="Q13" i="1" s="1"/>
  <c r="P8" i="1"/>
  <c r="P13" i="1" s="1"/>
  <c r="O8" i="1"/>
  <c r="O13" i="1" s="1"/>
  <c r="N8" i="1"/>
  <c r="N13" i="1" s="1"/>
  <c r="L8" i="1"/>
  <c r="L13" i="1" s="1"/>
  <c r="I8" i="1"/>
  <c r="I13" i="1" s="1"/>
  <c r="H8" i="1"/>
  <c r="H13" i="1" s="1"/>
  <c r="G8" i="1"/>
  <c r="G13" i="1" s="1"/>
  <c r="F8" i="1"/>
  <c r="E8" i="1"/>
  <c r="E13" i="1" s="1"/>
  <c r="D8" i="1"/>
  <c r="D13" i="1" s="1"/>
  <c r="F75" i="1" l="1"/>
  <c r="J81" i="1"/>
  <c r="R81" i="1"/>
  <c r="L133" i="1"/>
  <c r="P133" i="1"/>
  <c r="D133" i="1"/>
  <c r="M161" i="1"/>
  <c r="Q161" i="1"/>
  <c r="G243" i="1"/>
  <c r="K243" i="1"/>
  <c r="O243" i="1"/>
  <c r="S243" i="1"/>
  <c r="T269" i="1"/>
  <c r="F13" i="1"/>
  <c r="K81" i="1"/>
  <c r="S81" i="1"/>
  <c r="D161" i="1"/>
  <c r="F160" i="1"/>
  <c r="D28" i="1"/>
  <c r="D75" i="1"/>
  <c r="L81" i="1"/>
  <c r="T81" i="1"/>
  <c r="H133" i="1"/>
  <c r="K161" i="1"/>
  <c r="O161" i="1"/>
  <c r="S161" i="1"/>
  <c r="F210" i="1"/>
  <c r="E227" i="1"/>
  <c r="I243" i="1"/>
  <c r="M243" i="1"/>
  <c r="Q243" i="1"/>
  <c r="J269" i="1"/>
  <c r="R269" i="1"/>
  <c r="F14" i="3"/>
  <c r="B88" i="5"/>
  <c r="B89" i="5" s="1"/>
  <c r="K28" i="1"/>
  <c r="S28" i="1"/>
  <c r="I81" i="1"/>
  <c r="T133" i="1"/>
  <c r="K107" i="1"/>
  <c r="S107" i="1"/>
  <c r="G188" i="1"/>
  <c r="I188" i="1"/>
  <c r="K188" i="1"/>
  <c r="S188" i="1"/>
  <c r="F107" i="1"/>
  <c r="H107" i="1"/>
  <c r="J107" i="1"/>
  <c r="L107" i="1"/>
  <c r="N107" i="1"/>
  <c r="P107" i="1"/>
  <c r="R107" i="1"/>
  <c r="T107" i="1"/>
  <c r="N55" i="1"/>
  <c r="P55" i="1"/>
  <c r="R55" i="1"/>
  <c r="T55" i="1"/>
  <c r="B142" i="4"/>
  <c r="B143" i="4" s="1"/>
  <c r="I269" i="1"/>
  <c r="K269" i="1"/>
  <c r="M269" i="1"/>
  <c r="O269" i="1"/>
  <c r="Q269" i="1"/>
  <c r="S269" i="1"/>
  <c r="H243" i="1"/>
  <c r="J243" i="1"/>
  <c r="L243" i="1"/>
  <c r="N243" i="1"/>
  <c r="P243" i="1"/>
  <c r="R243" i="1"/>
  <c r="T243" i="1"/>
  <c r="J188" i="1"/>
  <c r="R188" i="1"/>
  <c r="T188" i="1"/>
  <c r="S133" i="1"/>
  <c r="F133" i="1"/>
  <c r="J133" i="1"/>
  <c r="N133" i="1"/>
  <c r="R133" i="1"/>
  <c r="H55" i="1"/>
  <c r="D55" i="1"/>
  <c r="E55" i="1"/>
  <c r="I55" i="1"/>
  <c r="K55" i="1"/>
  <c r="G55" i="1"/>
  <c r="M55" i="1"/>
  <c r="O55" i="1"/>
  <c r="Q55" i="1"/>
  <c r="C55" i="1"/>
  <c r="F55" i="1"/>
  <c r="J55" i="1"/>
  <c r="L55" i="1"/>
  <c r="S55" i="1"/>
  <c r="H28" i="1"/>
  <c r="J28" i="1"/>
  <c r="R28" i="1"/>
  <c r="T28" i="1"/>
  <c r="B120" i="3"/>
  <c r="B121" i="3" s="1"/>
  <c r="H216" i="1"/>
  <c r="J216" i="1"/>
  <c r="L216" i="1"/>
  <c r="N216" i="1"/>
  <c r="P216" i="1"/>
  <c r="R216" i="1"/>
  <c r="T216" i="1"/>
  <c r="G216" i="1"/>
  <c r="I216" i="1"/>
  <c r="K216" i="1"/>
  <c r="M216" i="1"/>
  <c r="O216" i="1"/>
  <c r="Q216" i="1"/>
  <c r="S216" i="1"/>
  <c r="D88" i="5"/>
  <c r="F88" i="5"/>
  <c r="C88" i="5"/>
  <c r="E88" i="5"/>
  <c r="E142" i="4"/>
  <c r="D142" i="4"/>
  <c r="F142" i="4"/>
  <c r="C142" i="4"/>
  <c r="D120" i="3"/>
  <c r="F120" i="3"/>
  <c r="F121" i="3" s="1"/>
  <c r="C120" i="3"/>
  <c r="E120" i="3"/>
  <c r="F28" i="1"/>
  <c r="C28" i="1"/>
  <c r="G28" i="1"/>
  <c r="I28" i="1"/>
  <c r="M28" i="1"/>
  <c r="O28" i="1"/>
  <c r="Q28" i="1"/>
  <c r="M81" i="1"/>
  <c r="Q81" i="1"/>
  <c r="C81" i="1"/>
  <c r="G81" i="1"/>
  <c r="E81" i="1"/>
  <c r="O81" i="1"/>
  <c r="E28" i="1"/>
  <c r="L28" i="1"/>
  <c r="N28" i="1"/>
  <c r="P28" i="1"/>
  <c r="C107" i="1"/>
  <c r="G107" i="1"/>
  <c r="O107" i="1"/>
  <c r="D81" i="1"/>
  <c r="F81" i="1"/>
  <c r="D107" i="1"/>
  <c r="C133" i="1"/>
  <c r="E133" i="1"/>
  <c r="G133" i="1"/>
  <c r="I133" i="1"/>
  <c r="K133" i="1"/>
  <c r="M133" i="1"/>
  <c r="O133" i="1"/>
  <c r="Q133" i="1"/>
  <c r="F161" i="1"/>
  <c r="G161" i="1"/>
  <c r="I161" i="1"/>
  <c r="C188" i="1"/>
  <c r="E188" i="1"/>
  <c r="M188" i="1"/>
  <c r="M274" i="1" s="1"/>
  <c r="M275" i="1" s="1"/>
  <c r="O188" i="1"/>
  <c r="Q188" i="1"/>
  <c r="Q274" i="1" s="1"/>
  <c r="Q275" i="1" s="1"/>
  <c r="D216" i="1"/>
  <c r="F216" i="1"/>
  <c r="D243" i="1"/>
  <c r="F243" i="1"/>
  <c r="D279" i="1"/>
  <c r="E269" i="1"/>
  <c r="G269" i="1"/>
  <c r="H75" i="1"/>
  <c r="H81" i="1" s="1"/>
  <c r="N75" i="1"/>
  <c r="N81" i="1" s="1"/>
  <c r="P75" i="1"/>
  <c r="P81" i="1" s="1"/>
  <c r="C161" i="1"/>
  <c r="E160" i="1"/>
  <c r="E161" i="1" s="1"/>
  <c r="H161" i="1"/>
  <c r="J161" i="1"/>
  <c r="L161" i="1"/>
  <c r="N161" i="1"/>
  <c r="P161" i="1"/>
  <c r="R161" i="1"/>
  <c r="T161" i="1"/>
  <c r="D188" i="1"/>
  <c r="F188" i="1"/>
  <c r="H188" i="1"/>
  <c r="L188" i="1"/>
  <c r="N188" i="1"/>
  <c r="P188" i="1"/>
  <c r="C216" i="1"/>
  <c r="E216" i="1"/>
  <c r="C243" i="1"/>
  <c r="E243" i="1"/>
  <c r="C279" i="1"/>
  <c r="E279" i="1"/>
  <c r="D269" i="1"/>
  <c r="F269" i="1"/>
  <c r="H269" i="1"/>
  <c r="L269" i="1"/>
  <c r="N269" i="1"/>
  <c r="P269" i="1"/>
  <c r="C269" i="1"/>
  <c r="B27" i="6"/>
  <c r="B20" i="6"/>
  <c r="F12" i="6"/>
  <c r="F14" i="6" s="1"/>
  <c r="B12" i="6"/>
  <c r="E89" i="5" l="1"/>
  <c r="E26" i="6"/>
  <c r="C89" i="5"/>
  <c r="C26" i="6"/>
  <c r="C27" i="6" s="1"/>
  <c r="C29" i="6" s="1"/>
  <c r="F89" i="5"/>
  <c r="F26" i="6"/>
  <c r="F27" i="6" s="1"/>
  <c r="F29" i="6" s="1"/>
  <c r="D89" i="5"/>
  <c r="D26" i="6"/>
  <c r="D27" i="6" s="1"/>
  <c r="D29" i="6" s="1"/>
  <c r="C121" i="3"/>
  <c r="C11" i="6"/>
  <c r="C12" i="6" s="1"/>
  <c r="C14" i="6" s="1"/>
  <c r="D121" i="3"/>
  <c r="D11" i="6"/>
  <c r="D12" i="6" s="1"/>
  <c r="D14" i="6" s="1"/>
  <c r="E121" i="3"/>
  <c r="E11" i="6"/>
  <c r="F143" i="4"/>
  <c r="F19" i="6"/>
  <c r="F20" i="6" s="1"/>
  <c r="F22" i="6" s="1"/>
  <c r="E143" i="4"/>
  <c r="E19" i="6"/>
  <c r="E20" i="6" s="1"/>
  <c r="E22" i="6" s="1"/>
  <c r="D143" i="4"/>
  <c r="D19" i="6"/>
  <c r="C143" i="4"/>
  <c r="C19" i="6"/>
  <c r="C20" i="6" s="1"/>
  <c r="T274" i="1"/>
  <c r="T275" i="1" s="1"/>
  <c r="O274" i="1"/>
  <c r="O275" i="1" s="1"/>
  <c r="K274" i="1"/>
  <c r="K275" i="1" s="1"/>
  <c r="F274" i="1"/>
  <c r="F275" i="1" s="1"/>
  <c r="C274" i="1"/>
  <c r="C275" i="1" s="1"/>
  <c r="S274" i="1"/>
  <c r="S275" i="1" s="1"/>
  <c r="G274" i="1"/>
  <c r="G275" i="1" s="1"/>
  <c r="I274" i="1"/>
  <c r="I275" i="1" s="1"/>
  <c r="R274" i="1"/>
  <c r="R275" i="1" s="1"/>
  <c r="J274" i="1"/>
  <c r="J275" i="1" s="1"/>
  <c r="N274" i="1"/>
  <c r="N275" i="1" s="1"/>
  <c r="P274" i="1"/>
  <c r="P275" i="1" s="1"/>
  <c r="L274" i="1"/>
  <c r="L275" i="1" s="1"/>
  <c r="H274" i="1"/>
  <c r="H275" i="1" s="1"/>
  <c r="D274" i="1"/>
  <c r="D275" i="1" s="1"/>
  <c r="E274" i="1"/>
  <c r="E275" i="1" s="1"/>
  <c r="E28" i="6" l="1"/>
  <c r="E27" i="6"/>
  <c r="E29" i="6" s="1"/>
  <c r="E13" i="6"/>
  <c r="E12" i="6"/>
  <c r="E14" i="6" s="1"/>
  <c r="F4" i="6"/>
  <c r="F6" i="6" s="1"/>
  <c r="E21" i="6"/>
  <c r="D20" i="6"/>
  <c r="C22" i="6"/>
  <c r="C4" i="6"/>
  <c r="C6" i="6" s="1"/>
  <c r="E4" i="6" l="1"/>
  <c r="E6" i="6" s="1"/>
  <c r="D22" i="6"/>
  <c r="D4" i="6"/>
  <c r="D6" i="6" l="1"/>
  <c r="E5" i="6"/>
</calcChain>
</file>

<file path=xl/sharedStrings.xml><?xml version="1.0" encoding="utf-8"?>
<sst xmlns="http://schemas.openxmlformats.org/spreadsheetml/2006/main" count="2142" uniqueCount="244">
  <si>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</si>
  <si>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</si>
  <si>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</si>
  <si>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</si>
  <si>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</si>
  <si>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</si>
  <si>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</si>
  <si>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</si>
  <si>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</si>
  <si>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</si>
  <si>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</si>
  <si>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</si>
  <si>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</si>
  <si>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</si>
  <si>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</si>
  <si>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</si>
  <si>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Д, мкг</t>
  </si>
  <si>
    <t>В2, мг</t>
  </si>
  <si>
    <t>Са, мг</t>
  </si>
  <si>
    <t>Mg, мг</t>
  </si>
  <si>
    <t>Р, мг</t>
  </si>
  <si>
    <t>Fе, мг</t>
  </si>
  <si>
    <t>К, мг</t>
  </si>
  <si>
    <t>I, мкг</t>
  </si>
  <si>
    <t>F, мг</t>
  </si>
  <si>
    <t>Se, мг</t>
  </si>
  <si>
    <t>Завтрак</t>
  </si>
  <si>
    <t>КАША ВЯЗКАЯ МОЛОЧНАЯ ИЗ РИСА И ПШЕНА</t>
  </si>
  <si>
    <t>175</t>
  </si>
  <si>
    <t>2017</t>
  </si>
  <si>
    <t>БУТЕРБРОД С СЫРОМ И МАСЛОМ</t>
  </si>
  <si>
    <t>3</t>
  </si>
  <si>
    <t>2008</t>
  </si>
  <si>
    <t xml:space="preserve">ЧАЙ С МОЛОКОМ </t>
  </si>
  <si>
    <t>378</t>
  </si>
  <si>
    <t>2011</t>
  </si>
  <si>
    <t>ФРУКТЫ СВЕЖИЕ ПО СЕЗОНУ  /ЯБЛОКО/</t>
  </si>
  <si>
    <t>338</t>
  </si>
  <si>
    <t>ХЛЕБ РЖАНОЙ</t>
  </si>
  <si>
    <t>2020</t>
  </si>
  <si>
    <t>Итого за прием пищи:</t>
  </si>
  <si>
    <t>Обед</t>
  </si>
  <si>
    <t>ИКРА КАБАЧКОВАЯ КОНСЕРВИРОВАННАЯ</t>
  </si>
  <si>
    <t>2022</t>
  </si>
  <si>
    <t>103</t>
  </si>
  <si>
    <t>РЫБА, ЗАПЕЧЕННАЯ С КАРТОФЕЛЕМ ПО-РУССКИ</t>
  </si>
  <si>
    <t>235</t>
  </si>
  <si>
    <t>КИСЕЛЬ ИЗ ЯБЛОК СУШЕНЫХ</t>
  </si>
  <si>
    <t>354</t>
  </si>
  <si>
    <t>ХЛЕБ ПШЕНИЧНЫЙ</t>
  </si>
  <si>
    <t>Полдник</t>
  </si>
  <si>
    <t>ЗАПЕКАНКА ИЗ ПЕЧЕНИ С РИСОМ/ СОУС ТОМАТНЫЙ С ОВОЩАМИ 150/20</t>
  </si>
  <si>
    <t>2023</t>
  </si>
  <si>
    <t>ЧАЙ С ЛИМОНОМ</t>
  </si>
  <si>
    <t>Всего за день:</t>
  </si>
  <si>
    <t>2 день</t>
  </si>
  <si>
    <t>ОВОЩИ НАТУРАЛЬНЫЕ СОЛЕНЫЕ/ОГУРЦЫ/</t>
  </si>
  <si>
    <t>70</t>
  </si>
  <si>
    <t>КАПУСТА ТУШЕНАЯ</t>
  </si>
  <si>
    <t>321</t>
  </si>
  <si>
    <t xml:space="preserve">КОТЛЕТЫ ДОМАШНИЕ </t>
  </si>
  <si>
    <t>271</t>
  </si>
  <si>
    <t xml:space="preserve">СОУС ТОМАТНЫЙ С ОВОЩАМИ </t>
  </si>
  <si>
    <t>СОК ФРУКТОВЫЙ /ЯБЛОЧНЫЙ/</t>
  </si>
  <si>
    <t>389</t>
  </si>
  <si>
    <t>САЛАТ ИЗ СВЕКЛЫ ОТВАРНОЙ</t>
  </si>
  <si>
    <t>52</t>
  </si>
  <si>
    <t>95</t>
  </si>
  <si>
    <t>291</t>
  </si>
  <si>
    <t>КИСЛОМОЛОЧНЫЙ НАПИТОК / КЕФИР/</t>
  </si>
  <si>
    <t>386</t>
  </si>
  <si>
    <t>КОМПОТ ИЗ СВЕЖИХ ПЛОДОВ (1-ЫЙ ВАРИАНТ) ЯБЛОЧНЫЙ</t>
  </si>
  <si>
    <t>342.1</t>
  </si>
  <si>
    <t>2</t>
  </si>
  <si>
    <t>3 день</t>
  </si>
  <si>
    <t>САЛАТ ИЗ КВАШЕНОЙ КАПУСТЫ</t>
  </si>
  <si>
    <t>47</t>
  </si>
  <si>
    <t>ГРАТЕН ИЗ ПЕЧЕНИ С КАРТОФЕЛЕМ</t>
  </si>
  <si>
    <t>КОМПОТ ИЗ СМЕСИ СУХОФРУКТОВ</t>
  </si>
  <si>
    <t>349</t>
  </si>
  <si>
    <t>ОВОЩИ НАТУРАЛЬНЫЕ СОЛЕНЫЕ/ТОМАТЫ/</t>
  </si>
  <si>
    <t>СУП КРЕСТЬЯНСКИЙ С КРУПОЙ</t>
  </si>
  <si>
    <t>98</t>
  </si>
  <si>
    <t>РАГУ ИЗ ОВОЩЕЙ</t>
  </si>
  <si>
    <t>143</t>
  </si>
  <si>
    <t>234</t>
  </si>
  <si>
    <t>ФРУКТЫ СВЕЖИЕ ПО СЕЗОНУ /ЯБЛОКО/</t>
  </si>
  <si>
    <t>4 день</t>
  </si>
  <si>
    <t>ЗАПЕКАНКА ИЗ ТВОРОГА/ПОВИДЛО 150/10</t>
  </si>
  <si>
    <t>КИСЛОМОЛОЧНЫЙ НАПИТОК /КЕФИР/</t>
  </si>
  <si>
    <t>САЛАТ ИЗ МОРКОВИ С ЧЕСНОКОМ</t>
  </si>
  <si>
    <t>БОРЩ С ФАСОЛЬЮ И КАРТОФЕЛЕМ</t>
  </si>
  <si>
    <t>84</t>
  </si>
  <si>
    <t>ЖАРКОЕ ПО-ДОМАШНЕМУ</t>
  </si>
  <si>
    <t>259</t>
  </si>
  <si>
    <t>382</t>
  </si>
  <si>
    <t>КОНДИТЕРСКИЕ ИЗДЕЛИЯ /ПЕЧЕНЬЕ САХАРНОЕ/</t>
  </si>
  <si>
    <t>5 день</t>
  </si>
  <si>
    <t>РЫБА, ТУШЕННАЯ В ТОМАТЕ С ОВОЩАМИ</t>
  </si>
  <si>
    <t>229</t>
  </si>
  <si>
    <t xml:space="preserve">САЛАТ ВИТАМИННЫЙ </t>
  </si>
  <si>
    <t>СУП ИЗ ОВОЩЕЙ С ФРИКАДЕЛЬКАМИ 150/50</t>
  </si>
  <si>
    <t xml:space="preserve">МАКАРОНЫ, ЗАПЕЧЕННЫЕ С ЯЙЦОМ И СЫРОМ </t>
  </si>
  <si>
    <t>СОК ФРУКТОВЫЙ / ВИШНЕВЫЙ/</t>
  </si>
  <si>
    <t>6 день</t>
  </si>
  <si>
    <t>ХЛОПЬЯ КУКУРУЗНЫЕ ИЛИ ПШЕНИЧНЫЕ С МОЛОКОМ</t>
  </si>
  <si>
    <t>172</t>
  </si>
  <si>
    <t>БУТЕРБРОДЫ С ПОВИДЛОМ И МАСЛОМ</t>
  </si>
  <si>
    <t>ЯЙЦА ВАРЕНЫЕ</t>
  </si>
  <si>
    <t>209</t>
  </si>
  <si>
    <t>КОФЕЙНЫЙ НАПИТОК С МОЛОКОМ</t>
  </si>
  <si>
    <t>379</t>
  </si>
  <si>
    <t xml:space="preserve">СУП КАРТОФЕЛЬНЫЙ С БОБОВЫМИ </t>
  </si>
  <si>
    <t>102</t>
  </si>
  <si>
    <t>ТЕФТЕЛИ МЯСНЫЕ  110/20</t>
  </si>
  <si>
    <t>278</t>
  </si>
  <si>
    <t>КАРТОФЕЛЬ ОТВАРНОЙ</t>
  </si>
  <si>
    <t>125</t>
  </si>
  <si>
    <t>КАКАО С МОЛОКОМ</t>
  </si>
  <si>
    <t>7 день</t>
  </si>
  <si>
    <t>САЛАТ ИЗ СОЛЕНЫХ  ПОМИДОРОВ С ЛУКОМ</t>
  </si>
  <si>
    <t>КАРТОФЕЛЬ ТУШЕНЫЙ</t>
  </si>
  <si>
    <t>133</t>
  </si>
  <si>
    <t>РАССОЛЬНИК ЛЕНИНГРАДСКИЙ</t>
  </si>
  <si>
    <t>96</t>
  </si>
  <si>
    <t>ЗАПЕКАНКА ИЗ ТВОРОГА / МОЛОКО СГУЩ 160/20</t>
  </si>
  <si>
    <t>223</t>
  </si>
  <si>
    <t>СОК ФРУКТОВЫЙ/ВИНОГРАДНЫЙ/</t>
  </si>
  <si>
    <t>КАША  "ЯНТАРНАЯ "ИЗ ПШЕННОЙ КРУПЫ С ЯБЛОКАМИ</t>
  </si>
  <si>
    <t>305</t>
  </si>
  <si>
    <t>2004</t>
  </si>
  <si>
    <t>8 день</t>
  </si>
  <si>
    <t>МАКАРОННИК</t>
  </si>
  <si>
    <t>207</t>
  </si>
  <si>
    <t>40</t>
  </si>
  <si>
    <t xml:space="preserve">ИКРА СВЕКОЛЬНАЯ </t>
  </si>
  <si>
    <t>75</t>
  </si>
  <si>
    <t>СУП-ЛАПША ДОМАШНЯЯ</t>
  </si>
  <si>
    <t>113</t>
  </si>
  <si>
    <t>КАША РАССЫПЧАТАЯ  ПШЕНИЧНАЯ</t>
  </si>
  <si>
    <t>171.4</t>
  </si>
  <si>
    <t>КОТЛЕТЫ  РЫБНЫЕ /СОУС МОЛОЧНЫЙ   90/25</t>
  </si>
  <si>
    <t>МЯСО ТУШЕНОЕ С ОВОЩАМИ В СОУСЕ</t>
  </si>
  <si>
    <t>2012</t>
  </si>
  <si>
    <t>9 день</t>
  </si>
  <si>
    <t>ЯБЛОКИ, ЗАПЕЧЕННЫЕ  ПО-КУБАНСКИ</t>
  </si>
  <si>
    <t xml:space="preserve">КАКАО С МОЛОКОМ </t>
  </si>
  <si>
    <t>САЛАТ "КУБАНОЧКА"</t>
  </si>
  <si>
    <t>БОРЩ ПО-КУБАНСКИ</t>
  </si>
  <si>
    <t>КАРТОФЕЛЬ  ПО-ХУТОРСКИ</t>
  </si>
  <si>
    <t>КОТЛЕТЫ  КУРИНЫЕ "КАЗАЧОК"</t>
  </si>
  <si>
    <t xml:space="preserve">УЗВАР ИЗ СУХОФРУКТОВ И   ПЛОДОВ ШИПОВНИКА </t>
  </si>
  <si>
    <t>БУЛОЧКА ДОМАШНЯЯ ПП</t>
  </si>
  <si>
    <t>СЫР (ПОРЦИЯМИ)</t>
  </si>
  <si>
    <t>15</t>
  </si>
  <si>
    <t>САЛАТ ИЗ МОРКОВИ И ЗЕЛЕНОГО ГОРОШКА</t>
  </si>
  <si>
    <t>КАША ГРЕЧНЕВАЯ РАССЫПЧАТАЯ</t>
  </si>
  <si>
    <t>181</t>
  </si>
  <si>
    <t>241</t>
  </si>
  <si>
    <t xml:space="preserve">СУП ИЗ ОВОЩЕЙ </t>
  </si>
  <si>
    <t>99</t>
  </si>
  <si>
    <t>ЗАПЕКАНКА ИЗ ПЕЧЕНИ  ПО-ЦАРСКИ</t>
  </si>
  <si>
    <t>МАКАРОНЫ, ЗАПЕЧЕННЫЕ С ЯЙЦОМ</t>
  </si>
  <si>
    <t>206</t>
  </si>
  <si>
    <t>10</t>
  </si>
  <si>
    <t>ПЮРЕ КАРТОФЕЛЬНОЕ</t>
  </si>
  <si>
    <t>312</t>
  </si>
  <si>
    <t>ПП</t>
  </si>
  <si>
    <t>ТТК 1</t>
  </si>
  <si>
    <t>ПЛОВ ИЗ ЦЫПЛЕНКА</t>
  </si>
  <si>
    <t>ТТК 23</t>
  </si>
  <si>
    <t>ТЫКВА ПРИПУЩЕННАЯ С ЯБЛОКАМИ</t>
  </si>
  <si>
    <t>ТТК 6</t>
  </si>
  <si>
    <t>ТТК 5</t>
  </si>
  <si>
    <t>СОК ФРУКТОВЫЙ /ВИНОГРАДНЫЙ/</t>
  </si>
  <si>
    <t>ЗАПЕКАНКА ОВОЩНАЯ С КУРИЦЕЙ</t>
  </si>
  <si>
    <t>ТТК 25</t>
  </si>
  <si>
    <t>ТТК 21</t>
  </si>
  <si>
    <t>ЗАПЕКАНКА ИЗ ТВОРОГА С  ТЫКВОЙ / ПОВИДЛО150/10</t>
  </si>
  <si>
    <t>ТТК 4</t>
  </si>
  <si>
    <t>ТТК24</t>
  </si>
  <si>
    <t>ТТК 9</t>
  </si>
  <si>
    <t>КИСЛОМОЛОЧНЫЙ НАПИТОК/  СНЕЖОК/</t>
  </si>
  <si>
    <t>ПИРОЖОК ПЕЧЕНЫЙ С КАПУСТОЙ</t>
  </si>
  <si>
    <t>424</t>
  </si>
  <si>
    <t>КОТЛЕТЫ РЫБНЫЕ С МАСЛОМ   90/5</t>
  </si>
  <si>
    <t>КОТЛЕТЫ РУБЛЕННЫЕ ИЗ ЦЫПЛЕНКА</t>
  </si>
  <si>
    <t>КИСЛОМОЛОЧНЫЙ НАПИТОК  СНЕЖОК</t>
  </si>
  <si>
    <t>САЛАТ ИЗ КАПУСТЫ Б/К С МОРКОВЬЮ</t>
  </si>
  <si>
    <t>ТТК 11</t>
  </si>
  <si>
    <t>ТТК 12</t>
  </si>
  <si>
    <t>ТТК 13</t>
  </si>
  <si>
    <t>ТТК 14</t>
  </si>
  <si>
    <t>ТТК 15</t>
  </si>
  <si>
    <t>ТТК 16</t>
  </si>
  <si>
    <t>ТТК 17</t>
  </si>
  <si>
    <t>ТТК 20</t>
  </si>
  <si>
    <t>КОТЛЕТЫ РЫБНЫЕ ЛЮБИТЕЛЬСКИЕ С МАСЛОМ 90/5</t>
  </si>
  <si>
    <t>ТТК 19</t>
  </si>
  <si>
    <t>ИТОГО ПО ОСНОВНОМУ  МЕНЮ</t>
  </si>
  <si>
    <t>ИТОГО ЗА ВЕСЬ ПЕРИОД</t>
  </si>
  <si>
    <t>СРЕДНЕЕ ЗНАЧЕНИЕ ЗА ПЕРИОД</t>
  </si>
  <si>
    <t xml:space="preserve">                                                                                     СУММАРНЫЕ ОБЪЕМЫ БЛЮД ПО ПРИЕМАМ ПИЩИ (В ГРАММАХ)</t>
  </si>
  <si>
    <t>ВОЗРАСТ ДЕТЕЙ</t>
  </si>
  <si>
    <t>ЗАВТРАК</t>
  </si>
  <si>
    <t>ОБЕД</t>
  </si>
  <si>
    <t>ПОЛДНИК</t>
  </si>
  <si>
    <t>7-11 ЛЕТ</t>
  </si>
  <si>
    <t>"УТВЕРЖДАЮ
Директор
 ООО "ВИТАЛАЙН"
____________Н.Н.Клоков
"____"______________ 2023 г.</t>
  </si>
  <si>
    <t>1 день 1 неделя</t>
  </si>
  <si>
    <t>2 день 1 неделя</t>
  </si>
  <si>
    <t>3 день 1 неделя</t>
  </si>
  <si>
    <t xml:space="preserve">4 день 1 неделя </t>
  </si>
  <si>
    <t>5 день 1 неделя</t>
  </si>
  <si>
    <t>1 день 2 неделя</t>
  </si>
  <si>
    <t>2 день 2 неделя</t>
  </si>
  <si>
    <t>3 день 2 неделя</t>
  </si>
  <si>
    <t>4 день 2 неделя</t>
  </si>
  <si>
    <t>ДЕНЬ КУБАНСКОЙ КУХНИ</t>
  </si>
  <si>
    <t>5  день 2 неделя</t>
  </si>
  <si>
    <t>ЗАВТРАКИ</t>
  </si>
  <si>
    <t>ИТОГО ЗАВТРАКИ</t>
  </si>
  <si>
    <t>ОБЪЕМЫ БЛЮД</t>
  </si>
  <si>
    <t>ОБЕДЫ</t>
  </si>
  <si>
    <t>ИТОГО ОБЕДЫ</t>
  </si>
  <si>
    <t>ПОЛДНИКИ</t>
  </si>
  <si>
    <t>10день</t>
  </si>
  <si>
    <t>ИТОГО ПОЛДНИКИ</t>
  </si>
  <si>
    <t>СУТОЧНАЯ ПОТРЕБНОСТЬ</t>
  </si>
  <si>
    <t>ВЫПОЛНЕНИЕ ЗА ПЕРИОД    (среднее значение за 10 дней)</t>
  </si>
  <si>
    <t>Соотношение за период:</t>
  </si>
  <si>
    <t>Выполнение от суточной нормы за период, %</t>
  </si>
  <si>
    <t xml:space="preserve">  ЦИКЛИЧНОЕ МЕНЮ ПРИГОТАВЛИВАЕМЫХ БЛЮД  НА  ЗИМНЕ-ВЕСЕННИЙ ПЕРИОД ДЛЯ ВОЗРАСТНОЙ КАТЕГОРИИ ДЕТЕЙ 7-11 ЛЕТ </t>
  </si>
  <si>
    <t>СУП ВЕГЕТАРИАНСКИЙ ПАУТИНКА СО СМЕТАНОЙ 200/5</t>
  </si>
  <si>
    <t>БИТОЧКИ РЫБНЫЕ С МАСЛОМ 90/5</t>
  </si>
  <si>
    <t>КАПУСТА ТУШЕНАЯ /РИС ОТВАРНОЙ  100/50</t>
  </si>
  <si>
    <t>АЗУ С МЯСОМ И ОВОЩАМИ</t>
  </si>
  <si>
    <t>ТТК 67</t>
  </si>
  <si>
    <t>МОЛОКО Т/П 2,5%</t>
  </si>
  <si>
    <t>СУП С МАКАРОННЫМИ ИЗДЕЛИЯМИ</t>
  </si>
  <si>
    <t>ФРУКТЫ СВЕЖИЕ ПО СЕЗОНУ/  МАНДАРИНЫ/</t>
  </si>
  <si>
    <t xml:space="preserve"> </t>
  </si>
  <si>
    <t xml:space="preserve">"СОГЛАСОВАНО"
Директор МБОУСОШ№10
___________Г.М. Прилюбченко
"____"______________ 2023 г.
</t>
  </si>
  <si>
    <t>"СОГЛАСОВАНО"
Директор МБОУСОШ№10
___________Г.М. Прилюбченко
"____"______________ 2023 г.
"____"______________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</si>
</sst>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8"/>
      <color rgb="FF000000"/>
      <name val="Tahoma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ahoma"/>
      <family val="2"/>
      <charset val="204"/>
    </font>
    <font>
      <b/>
      <i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i/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6" fillId="3" borderId="0" xfId="0" applyFont="1" applyFill="1"/>
    <xf numFmtId="0" fontId="6" fillId="0" borderId="0" xfId="0" applyFont="1"/>
    <xf numFmtId="0" fontId="7" fillId="3" borderId="9" xfId="0" applyFont="1" applyFill="1" applyBorder="1" applyAlignment="1">
      <alignment horizontal="left" vertical="top" wrapText="1"/>
    </xf>
    <xf numFmtId="0" fontId="4" fillId="3" borderId="0" xfId="0" applyFont="1" applyFill="1"/>
    <xf numFmtId="0" fontId="8" fillId="3" borderId="0" xfId="0" applyFont="1" applyFill="1"/>
    <xf numFmtId="0" fontId="8" fillId="0" borderId="0" xfId="0" applyFont="1"/>
    <xf numFmtId="4" fontId="3" fillId="3" borderId="0" xfId="0" applyNumberFormat="1" applyFont="1" applyFill="1" applyAlignment="1">
      <alignment horizontal="center" vertical="center"/>
    </xf>
    <xf numFmtId="0" fontId="3" fillId="3" borderId="0" xfId="0" applyFont="1" applyFill="1"/>
    <xf numFmtId="4" fontId="4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3" fillId="0" borderId="0" xfId="0" applyFont="1"/>
    <xf numFmtId="0" fontId="2" fillId="3" borderId="2" xfId="0" applyFont="1" applyFill="1" applyBorder="1" applyAlignment="1">
      <alignment horizontal="center" vertical="top" wrapText="1"/>
    </xf>
    <xf numFmtId="0" fontId="11" fillId="3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top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7" fillId="2" borderId="9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" fontId="14" fillId="0" borderId="1" xfId="0" applyNumberFormat="1" applyFont="1" applyBorder="1" applyAlignment="1"/>
    <xf numFmtId="0" fontId="14" fillId="0" borderId="1" xfId="0" applyFont="1" applyBorder="1" applyAlignment="1"/>
    <xf numFmtId="0" fontId="1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shrinkToFit="1"/>
    </xf>
    <xf numFmtId="4" fontId="15" fillId="0" borderId="9" xfId="0" applyNumberFormat="1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left" vertical="distributed" wrapText="1"/>
    </xf>
    <xf numFmtId="0" fontId="17" fillId="0" borderId="9" xfId="0" applyFont="1" applyBorder="1" applyAlignment="1">
      <alignment horizontal="center" vertical="center" wrapText="1"/>
    </xf>
    <xf numFmtId="3" fontId="17" fillId="0" borderId="9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5" fillId="0" borderId="0" xfId="0" applyFont="1" applyAlignment="1"/>
    <xf numFmtId="0" fontId="18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4" fontId="18" fillId="0" borderId="9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/>
    </xf>
    <xf numFmtId="0" fontId="14" fillId="0" borderId="1" xfId="0" applyFont="1" applyBorder="1"/>
    <xf numFmtId="0" fontId="18" fillId="0" borderId="12" xfId="0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/>
    <xf numFmtId="0" fontId="1" fillId="3" borderId="0" xfId="0" applyFont="1" applyFill="1" applyAlignme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0" fontId="3" fillId="3" borderId="0" xfId="0" applyFont="1" applyFill="1" applyAlignment="1"/>
    <xf numFmtId="0" fontId="1" fillId="3" borderId="0" xfId="0" applyFont="1" applyFill="1" applyAlignment="1">
      <alignment wrapText="1"/>
    </xf>
    <xf numFmtId="164" fontId="1" fillId="3" borderId="1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top" wrapText="1"/>
    </xf>
    <xf numFmtId="4" fontId="7" fillId="3" borderId="9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0" fillId="3" borderId="0" xfId="0" applyFill="1" applyAlignment="1"/>
    <xf numFmtId="0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top" wrapText="1"/>
    </xf>
    <xf numFmtId="164" fontId="4" fillId="3" borderId="0" xfId="0" applyNumberFormat="1" applyFont="1" applyFill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2" xfId="0" applyNumberFormat="1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20" fillId="3" borderId="2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164" fontId="20" fillId="3" borderId="2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top" wrapText="1"/>
    </xf>
    <xf numFmtId="0" fontId="19" fillId="3" borderId="0" xfId="0" applyFont="1" applyFill="1" applyAlignment="1"/>
    <xf numFmtId="0" fontId="20" fillId="3" borderId="2" xfId="0" applyFont="1" applyFill="1" applyBorder="1" applyAlignment="1">
      <alignment horizontal="center" vertical="top" wrapText="1"/>
    </xf>
    <xf numFmtId="0" fontId="20" fillId="3" borderId="2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wrapText="1"/>
    </xf>
    <xf numFmtId="0" fontId="19" fillId="3" borderId="0" xfId="0" applyFont="1" applyFill="1"/>
    <xf numFmtId="0" fontId="22" fillId="3" borderId="9" xfId="0" applyFont="1" applyFill="1" applyBorder="1" applyAlignment="1">
      <alignment horizontal="left" vertical="top" wrapText="1"/>
    </xf>
    <xf numFmtId="0" fontId="22" fillId="3" borderId="9" xfId="0" applyFont="1" applyFill="1" applyBorder="1" applyAlignment="1">
      <alignment horizontal="center" vertical="center" wrapText="1"/>
    </xf>
    <xf numFmtId="164" fontId="22" fillId="3" borderId="9" xfId="0" applyNumberFormat="1" applyFont="1" applyFill="1" applyBorder="1" applyAlignment="1">
      <alignment horizontal="center" vertical="center" wrapText="1"/>
    </xf>
    <xf numFmtId="0" fontId="20" fillId="3" borderId="0" xfId="0" applyFont="1" applyFill="1"/>
    <xf numFmtId="0" fontId="23" fillId="3" borderId="1" xfId="0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horizontal="center" vertical="center" wrapText="1"/>
    </xf>
    <xf numFmtId="164" fontId="23" fillId="3" borderId="1" xfId="0" applyNumberFormat="1" applyFont="1" applyFill="1" applyBorder="1" applyAlignment="1">
      <alignment horizontal="center" vertical="center" wrapText="1"/>
    </xf>
    <xf numFmtId="164" fontId="19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left"/>
    </xf>
    <xf numFmtId="164" fontId="22" fillId="3" borderId="1" xfId="0" applyNumberFormat="1" applyFont="1" applyFill="1" applyBorder="1" applyAlignment="1">
      <alignment horizontal="center" vertical="center" wrapText="1"/>
    </xf>
    <xf numFmtId="164" fontId="20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19" fillId="3" borderId="0" xfId="0" applyFont="1" applyFill="1" applyAlignment="1">
      <alignment horizontal="center" vertical="center" wrapText="1"/>
    </xf>
    <xf numFmtId="0" fontId="25" fillId="3" borderId="9" xfId="0" applyFont="1" applyFill="1" applyBorder="1" applyAlignment="1">
      <alignment horizontal="left" vertical="top" wrapText="1"/>
    </xf>
    <xf numFmtId="0" fontId="25" fillId="3" borderId="9" xfId="0" applyFont="1" applyFill="1" applyBorder="1" applyAlignment="1">
      <alignment horizontal="center" vertical="center" wrapText="1"/>
    </xf>
    <xf numFmtId="164" fontId="25" fillId="3" borderId="9" xfId="0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/>
    <xf numFmtId="4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/>
    <xf numFmtId="0" fontId="26" fillId="0" borderId="1" xfId="0" applyFont="1" applyBorder="1" applyAlignment="1"/>
    <xf numFmtId="0" fontId="27" fillId="3" borderId="2" xfId="0" applyNumberFormat="1" applyFont="1" applyFill="1" applyBorder="1" applyAlignment="1">
      <alignment horizontal="center" vertical="center" wrapText="1"/>
    </xf>
    <xf numFmtId="164" fontId="27" fillId="3" borderId="2" xfId="0" applyNumberFormat="1" applyFont="1" applyFill="1" applyBorder="1" applyAlignment="1">
      <alignment horizontal="center" vertical="center" wrapText="1"/>
    </xf>
    <xf numFmtId="164" fontId="28" fillId="3" borderId="2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1" fillId="3" borderId="6" xfId="0" applyNumberFormat="1" applyFont="1" applyFill="1" applyBorder="1" applyAlignment="1">
      <alignment horizontal="center" vertical="center" wrapText="1"/>
    </xf>
    <xf numFmtId="164" fontId="21" fillId="3" borderId="7" xfId="0" applyNumberFormat="1" applyFont="1" applyFill="1" applyBorder="1" applyAlignment="1">
      <alignment horizontal="center" vertical="center" wrapText="1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1" fillId="3" borderId="4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top" wrapText="1"/>
    </xf>
    <xf numFmtId="0" fontId="21" fillId="3" borderId="6" xfId="0" applyFont="1" applyFill="1" applyBorder="1" applyAlignment="1">
      <alignment horizontal="center" vertical="top" wrapText="1"/>
    </xf>
    <xf numFmtId="0" fontId="21" fillId="3" borderId="7" xfId="0" applyFont="1" applyFill="1" applyBorder="1" applyAlignment="1">
      <alignment horizontal="center" vertical="top" wrapText="1"/>
    </xf>
    <xf numFmtId="0" fontId="21" fillId="3" borderId="8" xfId="0" applyFont="1" applyFill="1" applyBorder="1" applyAlignment="1"/>
    <xf numFmtId="0" fontId="20" fillId="3" borderId="2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 vertical="top" wrapText="1"/>
    </xf>
    <xf numFmtId="0" fontId="3" fillId="3" borderId="0" xfId="0" applyFont="1" applyFill="1" applyAlignment="1"/>
    <xf numFmtId="0" fontId="2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0"/>
  <sheetViews>
    <sheetView view="pageBreakPreview" zoomScale="70" zoomScaleSheetLayoutView="70" workbookViewId="0">
      <selection activeCell="A263" sqref="A263"/>
    </sheetView>
  </sheetViews>
  <sheetFormatPr defaultColWidth="9.1640625" defaultRowHeight="12.75" x14ac:dyDescent="0.2"/>
  <cols>
    <col min="1" max="1" width="57.5" style="72" customWidth="1"/>
    <col min="2" max="2" width="9.5" style="5" customWidth="1"/>
    <col min="3" max="3" width="11.6640625" style="18" customWidth="1"/>
    <col min="4" max="4" width="7.83203125" style="18" customWidth="1"/>
    <col min="5" max="5" width="11.5" style="18" customWidth="1"/>
    <col min="6" max="6" width="12" style="18" customWidth="1"/>
    <col min="7" max="16" width="8.6640625" style="18" customWidth="1"/>
    <col min="17" max="17" width="9.6640625" style="18" customWidth="1"/>
    <col min="18" max="20" width="8.6640625" style="18" customWidth="1"/>
    <col min="21" max="21" width="9.5" style="67" customWidth="1"/>
    <col min="22" max="22" width="11" style="67" customWidth="1"/>
    <col min="23" max="16384" width="9.1640625" style="67"/>
  </cols>
  <sheetData>
    <row r="1" spans="1:22" s="13" customFormat="1" ht="82.5" customHeight="1" x14ac:dyDescent="0.3">
      <c r="A1" s="148"/>
      <c r="B1" s="148"/>
      <c r="C1" s="148"/>
      <c r="D1" s="127"/>
      <c r="E1" s="127"/>
      <c r="F1" s="127"/>
      <c r="G1" s="127"/>
      <c r="H1" s="127"/>
      <c r="I1" s="127"/>
      <c r="J1" s="127"/>
      <c r="K1" s="128"/>
      <c r="L1" s="129"/>
      <c r="M1" s="129"/>
      <c r="N1" s="129"/>
      <c r="O1" s="129"/>
      <c r="P1" s="129"/>
      <c r="Q1" s="129"/>
      <c r="R1" s="162"/>
      <c r="S1" s="162"/>
      <c r="T1" s="162"/>
      <c r="U1" s="162"/>
      <c r="V1" s="162"/>
    </row>
    <row r="2" spans="1:22" s="13" customFormat="1" ht="22.9" customHeight="1" x14ac:dyDescent="0.25">
      <c r="A2" s="117"/>
      <c r="C2" s="84"/>
      <c r="D2" s="84"/>
      <c r="E2" s="84"/>
      <c r="F2" s="84"/>
      <c r="G2" s="84"/>
      <c r="H2" s="84"/>
      <c r="I2" s="84"/>
      <c r="J2" s="84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s="15" customFormat="1" ht="13.5" customHeight="1" x14ac:dyDescent="0.15">
      <c r="A3" s="149" t="s">
        <v>232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22" s="15" customFormat="1" ht="28.35" customHeight="1" x14ac:dyDescent="0.15">
      <c r="A4" s="153" t="s">
        <v>209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1:22" s="72" customFormat="1" ht="13.35" customHeight="1" x14ac:dyDescent="0.2">
      <c r="A5" s="158" t="s">
        <v>1</v>
      </c>
      <c r="B5" s="158" t="s">
        <v>2</v>
      </c>
      <c r="C5" s="155" t="s">
        <v>3</v>
      </c>
      <c r="D5" s="156"/>
      <c r="E5" s="157"/>
      <c r="F5" s="160" t="s">
        <v>4</v>
      </c>
      <c r="G5" s="155" t="s">
        <v>5</v>
      </c>
      <c r="H5" s="156"/>
      <c r="I5" s="156"/>
      <c r="J5" s="156"/>
      <c r="K5" s="156"/>
      <c r="L5" s="157"/>
      <c r="M5" s="155" t="s">
        <v>6</v>
      </c>
      <c r="N5" s="156"/>
      <c r="O5" s="156"/>
      <c r="P5" s="156"/>
      <c r="Q5" s="156"/>
      <c r="R5" s="156"/>
      <c r="S5" s="156"/>
      <c r="T5" s="157"/>
      <c r="U5" s="81" t="s">
        <v>7</v>
      </c>
      <c r="V5" s="81" t="s">
        <v>8</v>
      </c>
    </row>
    <row r="6" spans="1:22" ht="26.65" customHeight="1" x14ac:dyDescent="0.2">
      <c r="A6" s="159"/>
      <c r="B6" s="159"/>
      <c r="C6" s="82" t="s">
        <v>9</v>
      </c>
      <c r="D6" s="82" t="s">
        <v>10</v>
      </c>
      <c r="E6" s="82" t="s">
        <v>11</v>
      </c>
      <c r="F6" s="161"/>
      <c r="G6" s="82" t="s">
        <v>12</v>
      </c>
      <c r="H6" s="82" t="s">
        <v>13</v>
      </c>
      <c r="I6" s="82" t="s">
        <v>14</v>
      </c>
      <c r="J6" s="82" t="s">
        <v>15</v>
      </c>
      <c r="K6" s="82" t="s">
        <v>16</v>
      </c>
      <c r="L6" s="82" t="s">
        <v>17</v>
      </c>
      <c r="M6" s="82" t="s">
        <v>18</v>
      </c>
      <c r="N6" s="82" t="s">
        <v>19</v>
      </c>
      <c r="O6" s="82" t="s">
        <v>20</v>
      </c>
      <c r="P6" s="82" t="s">
        <v>21</v>
      </c>
      <c r="Q6" s="82" t="s">
        <v>22</v>
      </c>
      <c r="R6" s="82" t="s">
        <v>23</v>
      </c>
      <c r="S6" s="82" t="s">
        <v>24</v>
      </c>
      <c r="T6" s="82" t="s">
        <v>25</v>
      </c>
      <c r="U6" s="81"/>
      <c r="V6" s="81"/>
    </row>
    <row r="7" spans="1:22" ht="14.65" customHeight="1" x14ac:dyDescent="0.2">
      <c r="A7" s="150" t="s">
        <v>26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/>
      <c r="U7" s="21"/>
      <c r="V7" s="21"/>
    </row>
    <row r="8" spans="1:22" s="94" customFormat="1" ht="14.25" customHeight="1" x14ac:dyDescent="0.15">
      <c r="A8" s="90" t="s">
        <v>27</v>
      </c>
      <c r="B8" s="91">
        <v>150</v>
      </c>
      <c r="C8" s="92">
        <v>6.08</v>
      </c>
      <c r="D8" s="92">
        <f>11.18*150/210</f>
        <v>7.9857142857142858</v>
      </c>
      <c r="E8" s="92">
        <f>33.48*150/210</f>
        <v>23.914285714285711</v>
      </c>
      <c r="F8" s="92">
        <f>260*150/210</f>
        <v>185.71428571428572</v>
      </c>
      <c r="G8" s="92">
        <f>0.1*150/210</f>
        <v>7.1428571428571425E-2</v>
      </c>
      <c r="H8" s="92">
        <f>0.96*150/210</f>
        <v>0.68571428571428572</v>
      </c>
      <c r="I8" s="92">
        <f>54.08*150/210</f>
        <v>38.628571428571426</v>
      </c>
      <c r="J8" s="92">
        <v>0.64</v>
      </c>
      <c r="K8" s="92">
        <v>0.15</v>
      </c>
      <c r="L8" s="92">
        <f>0.14*160/210</f>
        <v>0.10666666666666667</v>
      </c>
      <c r="M8" s="92">
        <v>83.75</v>
      </c>
      <c r="N8" s="92">
        <f>37.22*160/210</f>
        <v>28.358095238095238</v>
      </c>
      <c r="O8" s="92">
        <f>156.72*160/210</f>
        <v>119.40571428571428</v>
      </c>
      <c r="P8" s="92">
        <f>0.81*160/210</f>
        <v>0.61714285714285722</v>
      </c>
      <c r="Q8" s="92">
        <f>201.34*160/210</f>
        <v>153.40190476190477</v>
      </c>
      <c r="R8" s="92">
        <v>7.53</v>
      </c>
      <c r="S8" s="92">
        <v>0.01</v>
      </c>
      <c r="T8" s="92">
        <v>0</v>
      </c>
      <c r="U8" s="93" t="s">
        <v>28</v>
      </c>
      <c r="V8" s="93" t="s">
        <v>29</v>
      </c>
    </row>
    <row r="9" spans="1:22" s="94" customFormat="1" ht="13.5" customHeight="1" x14ac:dyDescent="0.15">
      <c r="A9" s="90" t="s">
        <v>30</v>
      </c>
      <c r="B9" s="91">
        <v>50</v>
      </c>
      <c r="C9" s="92">
        <v>6.27</v>
      </c>
      <c r="D9" s="92">
        <v>7.86</v>
      </c>
      <c r="E9" s="92">
        <v>14.83</v>
      </c>
      <c r="F9" s="92">
        <v>180</v>
      </c>
      <c r="G9" s="92">
        <v>0.05</v>
      </c>
      <c r="H9" s="92">
        <v>7.0000000000000007E-2</v>
      </c>
      <c r="I9" s="92">
        <v>0.08</v>
      </c>
      <c r="J9" s="92">
        <v>0.84</v>
      </c>
      <c r="K9" s="92">
        <v>0.15</v>
      </c>
      <c r="L9" s="92">
        <v>0.05</v>
      </c>
      <c r="M9" s="92">
        <v>95.92</v>
      </c>
      <c r="N9" s="92">
        <v>13.4</v>
      </c>
      <c r="O9" s="92">
        <v>76.72</v>
      </c>
      <c r="P9" s="92">
        <v>0.72</v>
      </c>
      <c r="Q9" s="92">
        <v>49</v>
      </c>
      <c r="R9" s="92">
        <v>0</v>
      </c>
      <c r="S9" s="92">
        <v>0.01</v>
      </c>
      <c r="T9" s="92">
        <v>0</v>
      </c>
      <c r="U9" s="93" t="s">
        <v>31</v>
      </c>
      <c r="V9" s="93">
        <v>2017</v>
      </c>
    </row>
    <row r="10" spans="1:22" s="94" customFormat="1" ht="15" customHeight="1" x14ac:dyDescent="0.15">
      <c r="A10" s="90" t="s">
        <v>33</v>
      </c>
      <c r="B10" s="91">
        <v>180</v>
      </c>
      <c r="C10" s="92">
        <f>1.52*180/200</f>
        <v>1.3680000000000001</v>
      </c>
      <c r="D10" s="92">
        <f>1.35*180/200</f>
        <v>1.2150000000000001</v>
      </c>
      <c r="E10" s="92">
        <v>14.31</v>
      </c>
      <c r="F10" s="92">
        <f>81*180/200</f>
        <v>72.900000000000006</v>
      </c>
      <c r="G10" s="92">
        <f>0.04</f>
        <v>0.04</v>
      </c>
      <c r="H10" s="92">
        <v>1.33</v>
      </c>
      <c r="I10" s="92">
        <v>0.41</v>
      </c>
      <c r="J10" s="92">
        <v>0</v>
      </c>
      <c r="K10" s="92">
        <v>0</v>
      </c>
      <c r="L10" s="92">
        <v>0.16</v>
      </c>
      <c r="M10" s="92">
        <v>126.6</v>
      </c>
      <c r="N10" s="92">
        <v>15.4</v>
      </c>
      <c r="O10" s="92">
        <v>92.8</v>
      </c>
      <c r="P10" s="92">
        <v>0.41</v>
      </c>
      <c r="Q10" s="92">
        <v>154.6</v>
      </c>
      <c r="R10" s="92">
        <v>4.5</v>
      </c>
      <c r="S10" s="92">
        <v>0</v>
      </c>
      <c r="T10" s="92">
        <v>0</v>
      </c>
      <c r="U10" s="93" t="s">
        <v>34</v>
      </c>
      <c r="V10" s="93">
        <v>2017</v>
      </c>
    </row>
    <row r="11" spans="1:22" s="94" customFormat="1" ht="15" customHeight="1" x14ac:dyDescent="0.15">
      <c r="A11" s="90" t="s">
        <v>36</v>
      </c>
      <c r="B11" s="91">
        <v>100</v>
      </c>
      <c r="C11" s="92">
        <v>0.4</v>
      </c>
      <c r="D11" s="92">
        <v>0.4</v>
      </c>
      <c r="E11" s="92">
        <v>9.8000000000000007</v>
      </c>
      <c r="F11" s="92">
        <v>47</v>
      </c>
      <c r="G11" s="92">
        <v>0.03</v>
      </c>
      <c r="H11" s="92">
        <v>10</v>
      </c>
      <c r="I11" s="92">
        <v>0.01</v>
      </c>
      <c r="J11" s="92">
        <v>0.63</v>
      </c>
      <c r="K11" s="92">
        <v>0</v>
      </c>
      <c r="L11" s="92">
        <v>0.02</v>
      </c>
      <c r="M11" s="92">
        <v>16</v>
      </c>
      <c r="N11" s="92">
        <v>8</v>
      </c>
      <c r="O11" s="92">
        <v>11</v>
      </c>
      <c r="P11" s="92">
        <v>2.2000000000000002</v>
      </c>
      <c r="Q11" s="92">
        <v>278</v>
      </c>
      <c r="R11" s="92">
        <v>2</v>
      </c>
      <c r="S11" s="92">
        <v>0.01</v>
      </c>
      <c r="T11" s="92">
        <v>0</v>
      </c>
      <c r="U11" s="93" t="s">
        <v>37</v>
      </c>
      <c r="V11" s="93" t="s">
        <v>29</v>
      </c>
    </row>
    <row r="12" spans="1:22" s="94" customFormat="1" ht="16.5" customHeight="1" x14ac:dyDescent="0.15">
      <c r="A12" s="90" t="s">
        <v>38</v>
      </c>
      <c r="B12" s="91">
        <v>20</v>
      </c>
      <c r="C12" s="92">
        <v>1.1200000000000001</v>
      </c>
      <c r="D12" s="92">
        <v>0.22</v>
      </c>
      <c r="E12" s="92">
        <v>9.8800000000000008</v>
      </c>
      <c r="F12" s="92">
        <v>45.98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3" t="s">
        <v>167</v>
      </c>
      <c r="V12" s="93" t="s">
        <v>39</v>
      </c>
    </row>
    <row r="13" spans="1:22" s="99" customFormat="1" ht="15.75" customHeight="1" x14ac:dyDescent="0.2">
      <c r="A13" s="95" t="s">
        <v>40</v>
      </c>
      <c r="B13" s="96">
        <f>SUM(B8:B12)</f>
        <v>500</v>
      </c>
      <c r="C13" s="97">
        <f t="shared" ref="C13:T13" si="0">SUM(C8:C12)</f>
        <v>15.238</v>
      </c>
      <c r="D13" s="97">
        <f t="shared" si="0"/>
        <v>17.680714285714284</v>
      </c>
      <c r="E13" s="97">
        <f t="shared" si="0"/>
        <v>72.734285714285704</v>
      </c>
      <c r="F13" s="97">
        <f t="shared" si="0"/>
        <v>531.59428571428577</v>
      </c>
      <c r="G13" s="97">
        <f t="shared" si="0"/>
        <v>0.19142857142857142</v>
      </c>
      <c r="H13" s="97">
        <f t="shared" si="0"/>
        <v>12.085714285714285</v>
      </c>
      <c r="I13" s="97">
        <f t="shared" si="0"/>
        <v>39.128571428571419</v>
      </c>
      <c r="J13" s="97">
        <f t="shared" si="0"/>
        <v>2.11</v>
      </c>
      <c r="K13" s="97">
        <f t="shared" si="0"/>
        <v>0.3</v>
      </c>
      <c r="L13" s="97">
        <f t="shared" si="0"/>
        <v>0.33666666666666667</v>
      </c>
      <c r="M13" s="97">
        <f t="shared" si="0"/>
        <v>322.27</v>
      </c>
      <c r="N13" s="97">
        <f t="shared" si="0"/>
        <v>65.158095238095228</v>
      </c>
      <c r="O13" s="97">
        <f t="shared" si="0"/>
        <v>299.92571428571426</v>
      </c>
      <c r="P13" s="97">
        <f t="shared" si="0"/>
        <v>3.9471428571428575</v>
      </c>
      <c r="Q13" s="97">
        <f t="shared" si="0"/>
        <v>635.00190476190483</v>
      </c>
      <c r="R13" s="97">
        <f t="shared" si="0"/>
        <v>14.030000000000001</v>
      </c>
      <c r="S13" s="97">
        <f t="shared" si="0"/>
        <v>0.03</v>
      </c>
      <c r="T13" s="97">
        <f t="shared" si="0"/>
        <v>0</v>
      </c>
      <c r="U13" s="98"/>
      <c r="V13" s="98"/>
    </row>
    <row r="14" spans="1:22" s="99" customFormat="1" ht="14.65" customHeight="1" x14ac:dyDescent="0.2">
      <c r="A14" s="143" t="s">
        <v>41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5"/>
      <c r="U14" s="100"/>
      <c r="V14" s="100"/>
    </row>
    <row r="15" spans="1:22" s="5" customFormat="1" ht="15" customHeight="1" x14ac:dyDescent="0.15">
      <c r="A15" s="1" t="s">
        <v>42</v>
      </c>
      <c r="B15" s="2">
        <v>60</v>
      </c>
      <c r="C15" s="16">
        <v>1.5</v>
      </c>
      <c r="D15" s="16">
        <v>7.3</v>
      </c>
      <c r="E15" s="16">
        <v>4.5999999999999996</v>
      </c>
      <c r="F15" s="16">
        <v>71.400000000000006</v>
      </c>
      <c r="G15" s="16">
        <v>0.01</v>
      </c>
      <c r="H15" s="16">
        <v>4.2</v>
      </c>
      <c r="I15" s="16">
        <v>0.11</v>
      </c>
      <c r="J15" s="16">
        <v>0</v>
      </c>
      <c r="K15" s="16">
        <v>0</v>
      </c>
      <c r="L15" s="16">
        <v>0.03</v>
      </c>
      <c r="M15" s="16">
        <v>24.6</v>
      </c>
      <c r="N15" s="16">
        <v>9</v>
      </c>
      <c r="O15" s="16">
        <v>22.2</v>
      </c>
      <c r="P15" s="16">
        <v>0.42</v>
      </c>
      <c r="Q15" s="16">
        <v>189</v>
      </c>
      <c r="R15" s="16">
        <v>0</v>
      </c>
      <c r="S15" s="16">
        <v>0</v>
      </c>
      <c r="T15" s="16">
        <v>0</v>
      </c>
      <c r="U15" s="4" t="s">
        <v>167</v>
      </c>
      <c r="V15" s="4" t="s">
        <v>43</v>
      </c>
    </row>
    <row r="16" spans="1:22" s="5" customFormat="1" ht="16.5" customHeight="1" x14ac:dyDescent="0.15">
      <c r="A16" s="1" t="s">
        <v>239</v>
      </c>
      <c r="B16" s="2">
        <v>200</v>
      </c>
      <c r="C16" s="16">
        <f>10.75*0.2</f>
        <v>2.15</v>
      </c>
      <c r="D16" s="16">
        <f>11.35*0.2</f>
        <v>2.27</v>
      </c>
      <c r="E16" s="16">
        <f>69.82*0.2</f>
        <v>13.963999999999999</v>
      </c>
      <c r="F16" s="16">
        <f>473*0.2</f>
        <v>94.600000000000009</v>
      </c>
      <c r="G16" s="16">
        <f>0.45*0.2</f>
        <v>9.0000000000000011E-2</v>
      </c>
      <c r="H16" s="16">
        <v>6.17</v>
      </c>
      <c r="I16" s="16">
        <v>0.17</v>
      </c>
      <c r="J16" s="16">
        <v>0.99</v>
      </c>
      <c r="K16" s="16">
        <v>0</v>
      </c>
      <c r="L16" s="16">
        <f>0.25*0.2</f>
        <v>0.05</v>
      </c>
      <c r="M16" s="16">
        <f>116.8*0.2</f>
        <v>23.36</v>
      </c>
      <c r="N16" s="16">
        <f>185*0.15</f>
        <v>27.75</v>
      </c>
      <c r="O16" s="16">
        <f>270.3*0.2</f>
        <v>54.06</v>
      </c>
      <c r="P16" s="16">
        <f>4.5*0.2</f>
        <v>0.9</v>
      </c>
      <c r="Q16" s="16">
        <f>1925.7*0.2</f>
        <v>385.14000000000004</v>
      </c>
      <c r="R16" s="16">
        <v>3.96</v>
      </c>
      <c r="S16" s="16">
        <v>0.03</v>
      </c>
      <c r="T16" s="16">
        <v>0</v>
      </c>
      <c r="U16" s="4" t="s">
        <v>44</v>
      </c>
      <c r="V16" s="4" t="s">
        <v>29</v>
      </c>
    </row>
    <row r="17" spans="1:22" ht="17.25" customHeight="1" x14ac:dyDescent="0.2">
      <c r="A17" s="1" t="s">
        <v>45</v>
      </c>
      <c r="B17" s="2">
        <v>200</v>
      </c>
      <c r="C17" s="16">
        <v>10.8</v>
      </c>
      <c r="D17" s="16">
        <v>10.7</v>
      </c>
      <c r="E17" s="16">
        <v>19.399999999999999</v>
      </c>
      <c r="F17" s="16">
        <v>221.7</v>
      </c>
      <c r="G17" s="16">
        <v>0.15</v>
      </c>
      <c r="H17" s="16">
        <v>6.78</v>
      </c>
      <c r="I17" s="16">
        <v>7.0000000000000007E-2</v>
      </c>
      <c r="J17" s="16">
        <v>0.49</v>
      </c>
      <c r="K17" s="16">
        <v>0.16</v>
      </c>
      <c r="L17" s="16">
        <v>0.17</v>
      </c>
      <c r="M17" s="16">
        <v>85.82</v>
      </c>
      <c r="N17" s="16">
        <v>54.45</v>
      </c>
      <c r="O17" s="16">
        <v>222.04</v>
      </c>
      <c r="P17" s="16">
        <v>1.42</v>
      </c>
      <c r="Q17" s="16">
        <v>765.8</v>
      </c>
      <c r="R17" s="16">
        <v>101.24</v>
      </c>
      <c r="S17" s="16">
        <v>0.42</v>
      </c>
      <c r="T17" s="16">
        <v>0.01</v>
      </c>
      <c r="U17" s="4" t="s">
        <v>46</v>
      </c>
      <c r="V17" s="4" t="s">
        <v>32</v>
      </c>
    </row>
    <row r="18" spans="1:22" s="5" customFormat="1" ht="15" customHeight="1" x14ac:dyDescent="0.15">
      <c r="A18" s="1" t="s">
        <v>47</v>
      </c>
      <c r="B18" s="2">
        <v>200</v>
      </c>
      <c r="C18" s="16">
        <f>1.16*0.2</f>
        <v>0.23199999999999998</v>
      </c>
      <c r="D18" s="16">
        <f>0.06*0.2</f>
        <v>1.2E-2</v>
      </c>
      <c r="E18" s="16">
        <f>164.1*0.2</f>
        <v>32.82</v>
      </c>
      <c r="F18" s="16">
        <f>756*0.2</f>
        <v>151.20000000000002</v>
      </c>
      <c r="G18" s="16">
        <v>0</v>
      </c>
      <c r="H18" s="16">
        <v>0.1</v>
      </c>
      <c r="I18" s="16">
        <v>0</v>
      </c>
      <c r="J18" s="16">
        <v>0</v>
      </c>
      <c r="K18" s="16">
        <v>0</v>
      </c>
      <c r="L18" s="16">
        <v>0</v>
      </c>
      <c r="M18" s="16">
        <v>24.05</v>
      </c>
      <c r="N18" s="16">
        <v>5.26</v>
      </c>
      <c r="O18" s="16">
        <v>13.86</v>
      </c>
      <c r="P18" s="16">
        <v>0.65</v>
      </c>
      <c r="Q18" s="16">
        <v>72.17</v>
      </c>
      <c r="R18" s="16">
        <v>0</v>
      </c>
      <c r="S18" s="16">
        <v>0</v>
      </c>
      <c r="T18" s="16">
        <v>0</v>
      </c>
      <c r="U18" s="4" t="s">
        <v>48</v>
      </c>
      <c r="V18" s="4" t="s">
        <v>29</v>
      </c>
    </row>
    <row r="19" spans="1:22" s="5" customFormat="1" ht="15" customHeight="1" x14ac:dyDescent="0.15">
      <c r="A19" s="1" t="s">
        <v>238</v>
      </c>
      <c r="B19" s="2">
        <v>200</v>
      </c>
      <c r="C19" s="16">
        <v>5.8</v>
      </c>
      <c r="D19" s="16">
        <v>5</v>
      </c>
      <c r="E19" s="16">
        <v>9.6</v>
      </c>
      <c r="F19" s="16">
        <v>107</v>
      </c>
      <c r="G19" s="16">
        <v>0.08</v>
      </c>
      <c r="H19" s="16">
        <v>2.6</v>
      </c>
      <c r="I19" s="16">
        <v>40</v>
      </c>
      <c r="J19" s="16">
        <v>0</v>
      </c>
      <c r="K19" s="16">
        <v>0</v>
      </c>
      <c r="L19" s="16">
        <v>0.03</v>
      </c>
      <c r="M19" s="16">
        <v>240</v>
      </c>
      <c r="N19" s="16">
        <v>28</v>
      </c>
      <c r="O19" s="16">
        <v>180</v>
      </c>
      <c r="P19" s="16">
        <v>0.2</v>
      </c>
      <c r="Q19" s="16">
        <v>292</v>
      </c>
      <c r="R19" s="16">
        <v>0</v>
      </c>
      <c r="S19" s="16">
        <v>0</v>
      </c>
      <c r="T19" s="16">
        <v>0</v>
      </c>
      <c r="U19" s="4" t="s">
        <v>167</v>
      </c>
      <c r="V19" s="4"/>
    </row>
    <row r="20" spans="1:22" s="5" customFormat="1" ht="15.75" customHeight="1" x14ac:dyDescent="0.15">
      <c r="A20" s="1" t="s">
        <v>49</v>
      </c>
      <c r="B20" s="2">
        <v>40</v>
      </c>
      <c r="C20" s="16">
        <v>3.05</v>
      </c>
      <c r="D20" s="16">
        <v>0.25</v>
      </c>
      <c r="E20" s="16">
        <v>20.07</v>
      </c>
      <c r="F20" s="16">
        <v>94.73</v>
      </c>
      <c r="G20" s="16">
        <v>0.06</v>
      </c>
      <c r="H20" s="16">
        <v>0</v>
      </c>
      <c r="I20" s="16">
        <v>0</v>
      </c>
      <c r="J20" s="16">
        <v>0.78</v>
      </c>
      <c r="K20" s="16">
        <v>0</v>
      </c>
      <c r="L20" s="16">
        <v>0.02</v>
      </c>
      <c r="M20" s="16">
        <v>9.1999999999999993</v>
      </c>
      <c r="N20" s="16">
        <v>13.2</v>
      </c>
      <c r="O20" s="16">
        <v>33.6</v>
      </c>
      <c r="P20" s="16">
        <v>0.8</v>
      </c>
      <c r="Q20" s="16">
        <v>51.6</v>
      </c>
      <c r="R20" s="16">
        <v>0</v>
      </c>
      <c r="S20" s="16">
        <v>0.01</v>
      </c>
      <c r="T20" s="16">
        <v>0</v>
      </c>
      <c r="U20" s="4" t="s">
        <v>167</v>
      </c>
      <c r="V20" s="4" t="s">
        <v>39</v>
      </c>
    </row>
    <row r="21" spans="1:22" s="5" customFormat="1" ht="15" customHeight="1" x14ac:dyDescent="0.15">
      <c r="A21" s="1" t="s">
        <v>38</v>
      </c>
      <c r="B21" s="2">
        <v>40</v>
      </c>
      <c r="C21" s="16">
        <v>2.65</v>
      </c>
      <c r="D21" s="16">
        <v>0.35</v>
      </c>
      <c r="E21" s="16">
        <v>16.96</v>
      </c>
      <c r="F21" s="16">
        <v>81.58</v>
      </c>
      <c r="G21" s="16">
        <v>7.0000000000000007E-2</v>
      </c>
      <c r="H21" s="16">
        <v>0</v>
      </c>
      <c r="I21" s="16">
        <v>0</v>
      </c>
      <c r="J21" s="16">
        <v>0.88</v>
      </c>
      <c r="K21" s="16">
        <v>0</v>
      </c>
      <c r="L21" s="16">
        <v>0.03</v>
      </c>
      <c r="M21" s="16">
        <v>7.2</v>
      </c>
      <c r="N21" s="16">
        <v>7.6</v>
      </c>
      <c r="O21" s="16">
        <v>34.799999999999997</v>
      </c>
      <c r="P21" s="16">
        <v>1.6</v>
      </c>
      <c r="Q21" s="16">
        <v>54.4</v>
      </c>
      <c r="R21" s="16">
        <v>2.2400000000000002</v>
      </c>
      <c r="S21" s="16">
        <v>0</v>
      </c>
      <c r="T21" s="16">
        <v>0</v>
      </c>
      <c r="U21" s="4" t="s">
        <v>167</v>
      </c>
      <c r="V21" s="4" t="s">
        <v>39</v>
      </c>
    </row>
    <row r="22" spans="1:22" s="99" customFormat="1" ht="21.6" customHeight="1" x14ac:dyDescent="0.2">
      <c r="A22" s="95" t="s">
        <v>40</v>
      </c>
      <c r="B22" s="96">
        <f>SUM(B15:B21)</f>
        <v>940</v>
      </c>
      <c r="C22" s="97">
        <v>26.3</v>
      </c>
      <c r="D22" s="97">
        <v>26</v>
      </c>
      <c r="E22" s="97">
        <v>117.5</v>
      </c>
      <c r="F22" s="97">
        <f t="shared" ref="F22:T22" si="1">SUM(F15:F21)</f>
        <v>822.21</v>
      </c>
      <c r="G22" s="97">
        <f t="shared" si="1"/>
        <v>0.46</v>
      </c>
      <c r="H22" s="97">
        <f t="shared" si="1"/>
        <v>19.850000000000005</v>
      </c>
      <c r="I22" s="97">
        <f t="shared" si="1"/>
        <v>40.35</v>
      </c>
      <c r="J22" s="97">
        <f t="shared" si="1"/>
        <v>3.1399999999999997</v>
      </c>
      <c r="K22" s="97">
        <f t="shared" si="1"/>
        <v>0.16</v>
      </c>
      <c r="L22" s="97">
        <f t="shared" si="1"/>
        <v>0.33000000000000007</v>
      </c>
      <c r="M22" s="97">
        <f t="shared" si="1"/>
        <v>414.23</v>
      </c>
      <c r="N22" s="97">
        <f t="shared" si="1"/>
        <v>145.26</v>
      </c>
      <c r="O22" s="97">
        <f t="shared" si="1"/>
        <v>560.55999999999995</v>
      </c>
      <c r="P22" s="97">
        <f t="shared" si="1"/>
        <v>5.99</v>
      </c>
      <c r="Q22" s="97">
        <f t="shared" si="1"/>
        <v>1810.1100000000001</v>
      </c>
      <c r="R22" s="97">
        <f t="shared" si="1"/>
        <v>107.43999999999998</v>
      </c>
      <c r="S22" s="97">
        <f t="shared" si="1"/>
        <v>0.45999999999999996</v>
      </c>
      <c r="T22" s="97">
        <f t="shared" si="1"/>
        <v>0.01</v>
      </c>
      <c r="U22" s="98"/>
      <c r="V22" s="98"/>
    </row>
    <row r="23" spans="1:22" s="99" customFormat="1" ht="14.65" customHeight="1" x14ac:dyDescent="0.2">
      <c r="A23" s="143" t="s">
        <v>50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5"/>
      <c r="U23" s="100"/>
      <c r="V23" s="100"/>
    </row>
    <row r="24" spans="1:22" s="119" customFormat="1" ht="27.75" customHeight="1" x14ac:dyDescent="0.15">
      <c r="A24" s="90" t="s">
        <v>51</v>
      </c>
      <c r="B24" s="91">
        <v>170</v>
      </c>
      <c r="C24" s="92">
        <f>7.3*150/130</f>
        <v>8.4230769230769234</v>
      </c>
      <c r="D24" s="92">
        <f>6.9*150/130</f>
        <v>7.9615384615384617</v>
      </c>
      <c r="E24" s="92">
        <f>20.8*150/130</f>
        <v>24</v>
      </c>
      <c r="F24" s="92">
        <f>199.7*150/130</f>
        <v>230.42307692307693</v>
      </c>
      <c r="G24" s="92">
        <v>0.12</v>
      </c>
      <c r="H24" s="92">
        <v>7.7</v>
      </c>
      <c r="I24" s="92">
        <v>2.89</v>
      </c>
      <c r="J24" s="92">
        <v>2.36</v>
      </c>
      <c r="K24" s="92">
        <v>0.26</v>
      </c>
      <c r="L24" s="92">
        <v>0.73</v>
      </c>
      <c r="M24" s="92">
        <v>24.5</v>
      </c>
      <c r="N24" s="92">
        <v>25.84</v>
      </c>
      <c r="O24" s="92">
        <v>184.92</v>
      </c>
      <c r="P24" s="92">
        <v>3.36</v>
      </c>
      <c r="Q24" s="92">
        <v>249.5</v>
      </c>
      <c r="R24" s="92">
        <v>6.45</v>
      </c>
      <c r="S24" s="92">
        <v>0.11</v>
      </c>
      <c r="T24" s="92">
        <v>0.02</v>
      </c>
      <c r="U24" s="93" t="s">
        <v>168</v>
      </c>
      <c r="V24" s="93" t="s">
        <v>52</v>
      </c>
    </row>
    <row r="25" spans="1:22" s="94" customFormat="1" ht="15.75" customHeight="1" x14ac:dyDescent="0.15">
      <c r="A25" s="90" t="s">
        <v>53</v>
      </c>
      <c r="B25" s="91">
        <v>180</v>
      </c>
      <c r="C25" s="92">
        <v>0.16</v>
      </c>
      <c r="D25" s="92">
        <v>0.01</v>
      </c>
      <c r="E25" s="92">
        <v>7.35</v>
      </c>
      <c r="F25" s="92">
        <v>31.15</v>
      </c>
      <c r="G25" s="92">
        <v>0</v>
      </c>
      <c r="H25" s="92">
        <v>2.83</v>
      </c>
      <c r="I25" s="92">
        <v>0</v>
      </c>
      <c r="J25" s="92">
        <v>0</v>
      </c>
      <c r="K25" s="92">
        <v>0</v>
      </c>
      <c r="L25" s="92">
        <v>0</v>
      </c>
      <c r="M25" s="92">
        <v>14.2</v>
      </c>
      <c r="N25" s="92">
        <v>2.4</v>
      </c>
      <c r="O25" s="92">
        <v>4.4000000000000004</v>
      </c>
      <c r="P25" s="92">
        <v>0.36</v>
      </c>
      <c r="Q25" s="92">
        <v>21.3</v>
      </c>
      <c r="R25" s="92">
        <v>12</v>
      </c>
      <c r="S25" s="92">
        <v>0</v>
      </c>
      <c r="T25" s="92">
        <v>0</v>
      </c>
      <c r="U25" s="93" t="s">
        <v>64</v>
      </c>
      <c r="V25" s="93" t="s">
        <v>29</v>
      </c>
    </row>
    <row r="26" spans="1:22" s="94" customFormat="1" ht="15" customHeight="1" x14ac:dyDescent="0.15">
      <c r="A26" s="90" t="s">
        <v>38</v>
      </c>
      <c r="B26" s="91">
        <v>20</v>
      </c>
      <c r="C26" s="92">
        <v>1.1200000000000001</v>
      </c>
      <c r="D26" s="92">
        <v>0.22</v>
      </c>
      <c r="E26" s="92">
        <v>9.8800000000000008</v>
      </c>
      <c r="F26" s="92">
        <v>45.98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3" t="s">
        <v>167</v>
      </c>
      <c r="V26" s="93" t="s">
        <v>39</v>
      </c>
    </row>
    <row r="27" spans="1:22" s="99" customFormat="1" ht="14.25" customHeight="1" x14ac:dyDescent="0.2">
      <c r="A27" s="95" t="s">
        <v>40</v>
      </c>
      <c r="B27" s="101">
        <f>SUM(B24:B26)</f>
        <v>370</v>
      </c>
      <c r="C27" s="97">
        <f t="shared" ref="C27:T27" si="2">SUM(C24:C26)</f>
        <v>9.7030769230769245</v>
      </c>
      <c r="D27" s="97">
        <f t="shared" si="2"/>
        <v>8.1915384615384621</v>
      </c>
      <c r="E27" s="97">
        <v>41.3</v>
      </c>
      <c r="F27" s="97">
        <f t="shared" si="2"/>
        <v>307.55307692307696</v>
      </c>
      <c r="G27" s="97">
        <f t="shared" si="2"/>
        <v>0.12</v>
      </c>
      <c r="H27" s="97">
        <f t="shared" si="2"/>
        <v>10.530000000000001</v>
      </c>
      <c r="I27" s="97">
        <f t="shared" si="2"/>
        <v>2.89</v>
      </c>
      <c r="J27" s="97">
        <f t="shared" si="2"/>
        <v>2.36</v>
      </c>
      <c r="K27" s="97">
        <f t="shared" si="2"/>
        <v>0.26</v>
      </c>
      <c r="L27" s="97">
        <f t="shared" si="2"/>
        <v>0.73</v>
      </c>
      <c r="M27" s="97">
        <f t="shared" si="2"/>
        <v>38.700000000000003</v>
      </c>
      <c r="N27" s="97">
        <f t="shared" si="2"/>
        <v>28.24</v>
      </c>
      <c r="O27" s="97">
        <f t="shared" si="2"/>
        <v>189.32</v>
      </c>
      <c r="P27" s="97">
        <f t="shared" si="2"/>
        <v>3.7199999999999998</v>
      </c>
      <c r="Q27" s="97">
        <f t="shared" si="2"/>
        <v>270.8</v>
      </c>
      <c r="R27" s="97">
        <f t="shared" si="2"/>
        <v>18.45</v>
      </c>
      <c r="S27" s="97">
        <f t="shared" si="2"/>
        <v>0.11</v>
      </c>
      <c r="T27" s="97">
        <f t="shared" si="2"/>
        <v>0.02</v>
      </c>
      <c r="U27" s="98"/>
      <c r="V27" s="98"/>
    </row>
    <row r="28" spans="1:22" s="99" customFormat="1" ht="21.6" customHeight="1" x14ac:dyDescent="0.2">
      <c r="A28" s="95" t="s">
        <v>54</v>
      </c>
      <c r="B28" s="96"/>
      <c r="C28" s="97">
        <f>C27+C22+C13</f>
        <v>51.241076923076925</v>
      </c>
      <c r="D28" s="97">
        <f t="shared" ref="D28:T28" si="3">D27+D22+D13</f>
        <v>51.872252747252745</v>
      </c>
      <c r="E28" s="97">
        <f t="shared" si="3"/>
        <v>231.53428571428572</v>
      </c>
      <c r="F28" s="97">
        <f t="shared" si="3"/>
        <v>1661.3573626373627</v>
      </c>
      <c r="G28" s="97">
        <f t="shared" si="3"/>
        <v>0.77142857142857146</v>
      </c>
      <c r="H28" s="97">
        <f t="shared" si="3"/>
        <v>42.465714285714292</v>
      </c>
      <c r="I28" s="97">
        <f t="shared" si="3"/>
        <v>82.368571428571414</v>
      </c>
      <c r="J28" s="97">
        <f t="shared" si="3"/>
        <v>7.6099999999999994</v>
      </c>
      <c r="K28" s="97">
        <f t="shared" si="3"/>
        <v>0.72</v>
      </c>
      <c r="L28" s="97">
        <f t="shared" si="3"/>
        <v>1.3966666666666667</v>
      </c>
      <c r="M28" s="97">
        <f t="shared" si="3"/>
        <v>775.2</v>
      </c>
      <c r="N28" s="97">
        <f t="shared" si="3"/>
        <v>238.65809523809523</v>
      </c>
      <c r="O28" s="97">
        <f t="shared" si="3"/>
        <v>1049.8057142857142</v>
      </c>
      <c r="P28" s="97">
        <f t="shared" si="3"/>
        <v>13.657142857142858</v>
      </c>
      <c r="Q28" s="97">
        <f t="shared" si="3"/>
        <v>2715.9119047619051</v>
      </c>
      <c r="R28" s="97">
        <f t="shared" si="3"/>
        <v>139.91999999999999</v>
      </c>
      <c r="S28" s="97">
        <f t="shared" si="3"/>
        <v>0.6</v>
      </c>
      <c r="T28" s="97">
        <f t="shared" si="3"/>
        <v>0.03</v>
      </c>
      <c r="U28" s="98"/>
      <c r="V28" s="98"/>
    </row>
    <row r="29" spans="1:22" s="99" customFormat="1" ht="14.1" customHeight="1" x14ac:dyDescent="0.2">
      <c r="A29" s="102"/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2"/>
      <c r="V29" s="102"/>
    </row>
    <row r="30" spans="1:22" s="94" customFormat="1" ht="28.35" customHeight="1" x14ac:dyDescent="0.15">
      <c r="A30" s="133" t="s">
        <v>210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</row>
    <row r="31" spans="1:22" s="104" customFormat="1" ht="13.35" customHeight="1" x14ac:dyDescent="0.2">
      <c r="A31" s="135" t="s">
        <v>1</v>
      </c>
      <c r="B31" s="135" t="s">
        <v>2</v>
      </c>
      <c r="C31" s="137" t="s">
        <v>3</v>
      </c>
      <c r="D31" s="138"/>
      <c r="E31" s="139"/>
      <c r="F31" s="140" t="s">
        <v>4</v>
      </c>
      <c r="G31" s="137" t="s">
        <v>5</v>
      </c>
      <c r="H31" s="138"/>
      <c r="I31" s="138"/>
      <c r="J31" s="138"/>
      <c r="K31" s="138"/>
      <c r="L31" s="139"/>
      <c r="M31" s="137" t="s">
        <v>6</v>
      </c>
      <c r="N31" s="138"/>
      <c r="O31" s="138"/>
      <c r="P31" s="138"/>
      <c r="Q31" s="138"/>
      <c r="R31" s="138"/>
      <c r="S31" s="138"/>
      <c r="T31" s="139"/>
      <c r="U31" s="96" t="s">
        <v>7</v>
      </c>
      <c r="V31" s="96" t="s">
        <v>8</v>
      </c>
    </row>
    <row r="32" spans="1:22" s="99" customFormat="1" ht="26.65" customHeight="1" x14ac:dyDescent="0.2">
      <c r="A32" s="136"/>
      <c r="B32" s="136"/>
      <c r="C32" s="97" t="s">
        <v>9</v>
      </c>
      <c r="D32" s="97" t="s">
        <v>10</v>
      </c>
      <c r="E32" s="97" t="s">
        <v>11</v>
      </c>
      <c r="F32" s="141"/>
      <c r="G32" s="97" t="s">
        <v>12</v>
      </c>
      <c r="H32" s="97" t="s">
        <v>13</v>
      </c>
      <c r="I32" s="97" t="s">
        <v>14</v>
      </c>
      <c r="J32" s="97" t="s">
        <v>15</v>
      </c>
      <c r="K32" s="97" t="s">
        <v>16</v>
      </c>
      <c r="L32" s="97" t="s">
        <v>17</v>
      </c>
      <c r="M32" s="97" t="s">
        <v>18</v>
      </c>
      <c r="N32" s="97" t="s">
        <v>19</v>
      </c>
      <c r="O32" s="97" t="s">
        <v>20</v>
      </c>
      <c r="P32" s="97" t="s">
        <v>21</v>
      </c>
      <c r="Q32" s="97" t="s">
        <v>22</v>
      </c>
      <c r="R32" s="97" t="s">
        <v>23</v>
      </c>
      <c r="S32" s="97" t="s">
        <v>24</v>
      </c>
      <c r="T32" s="97" t="s">
        <v>25</v>
      </c>
      <c r="U32" s="96"/>
      <c r="V32" s="96"/>
    </row>
    <row r="33" spans="1:22" s="99" customFormat="1" ht="14.65" customHeight="1" x14ac:dyDescent="0.2">
      <c r="A33" s="143" t="s">
        <v>26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5"/>
      <c r="U33" s="100"/>
      <c r="V33" s="100"/>
    </row>
    <row r="34" spans="1:22" s="99" customFormat="1" ht="15.75" customHeight="1" x14ac:dyDescent="0.2">
      <c r="A34" s="90" t="s">
        <v>56</v>
      </c>
      <c r="B34" s="91">
        <v>60</v>
      </c>
      <c r="C34" s="92">
        <v>0.5</v>
      </c>
      <c r="D34" s="92">
        <v>0.1</v>
      </c>
      <c r="E34" s="92">
        <v>1</v>
      </c>
      <c r="F34" s="92">
        <v>7.8</v>
      </c>
      <c r="G34" s="92">
        <v>0.01</v>
      </c>
      <c r="H34" s="92">
        <v>3</v>
      </c>
      <c r="I34" s="92">
        <v>0</v>
      </c>
      <c r="J34" s="92">
        <v>0</v>
      </c>
      <c r="K34" s="92">
        <v>0</v>
      </c>
      <c r="L34" s="92">
        <v>0.01</v>
      </c>
      <c r="M34" s="92">
        <v>13.8</v>
      </c>
      <c r="N34" s="92">
        <v>8.4</v>
      </c>
      <c r="O34" s="92">
        <v>14.4</v>
      </c>
      <c r="P34" s="92">
        <v>0.36</v>
      </c>
      <c r="Q34" s="92">
        <v>84.6</v>
      </c>
      <c r="R34" s="92">
        <v>0</v>
      </c>
      <c r="S34" s="92">
        <v>0</v>
      </c>
      <c r="T34" s="92">
        <v>0</v>
      </c>
      <c r="U34" s="93" t="s">
        <v>57</v>
      </c>
      <c r="V34" s="93">
        <v>2017</v>
      </c>
    </row>
    <row r="35" spans="1:22" s="99" customFormat="1" ht="15" customHeight="1" x14ac:dyDescent="0.2">
      <c r="A35" s="90" t="s">
        <v>58</v>
      </c>
      <c r="B35" s="91">
        <v>150</v>
      </c>
      <c r="C35" s="92">
        <v>3.6</v>
      </c>
      <c r="D35" s="92">
        <v>3.9</v>
      </c>
      <c r="E35" s="92">
        <v>13.2</v>
      </c>
      <c r="F35" s="92">
        <v>109.5</v>
      </c>
      <c r="G35" s="92">
        <v>0.05</v>
      </c>
      <c r="H35" s="92">
        <v>32.18</v>
      </c>
      <c r="I35" s="92">
        <v>0.11</v>
      </c>
      <c r="J35" s="92">
        <v>0.25</v>
      </c>
      <c r="K35" s="92">
        <v>0.08</v>
      </c>
      <c r="L35" s="92">
        <v>7.0000000000000007E-2</v>
      </c>
      <c r="M35" s="92">
        <v>84.95</v>
      </c>
      <c r="N35" s="92">
        <v>30.86</v>
      </c>
      <c r="O35" s="92">
        <v>61.45</v>
      </c>
      <c r="P35" s="92">
        <v>1.85</v>
      </c>
      <c r="Q35" s="92">
        <v>398.02</v>
      </c>
      <c r="R35" s="92">
        <v>5.51</v>
      </c>
      <c r="S35" s="92">
        <v>0.02</v>
      </c>
      <c r="T35" s="92">
        <v>0</v>
      </c>
      <c r="U35" s="93" t="s">
        <v>59</v>
      </c>
      <c r="V35" s="93" t="s">
        <v>29</v>
      </c>
    </row>
    <row r="36" spans="1:22" s="99" customFormat="1" ht="15.75" customHeight="1" x14ac:dyDescent="0.2">
      <c r="A36" s="90" t="s">
        <v>60</v>
      </c>
      <c r="B36" s="91">
        <v>90</v>
      </c>
      <c r="C36" s="92">
        <v>9.48</v>
      </c>
      <c r="D36" s="92">
        <v>13.2</v>
      </c>
      <c r="E36" s="92">
        <v>12.7</v>
      </c>
      <c r="F36" s="92">
        <v>281.2</v>
      </c>
      <c r="G36" s="92">
        <v>0.21</v>
      </c>
      <c r="H36" s="92">
        <v>0.09</v>
      </c>
      <c r="I36" s="92">
        <v>0</v>
      </c>
      <c r="J36" s="92">
        <v>0.45</v>
      </c>
      <c r="K36" s="92">
        <v>0.02</v>
      </c>
      <c r="L36" s="92">
        <v>0.09</v>
      </c>
      <c r="M36" s="92">
        <v>16.440000000000001</v>
      </c>
      <c r="N36" s="92">
        <v>23.56</v>
      </c>
      <c r="O36" s="92">
        <v>134.91</v>
      </c>
      <c r="P36" s="92">
        <v>1.91</v>
      </c>
      <c r="Q36" s="92">
        <v>269.55</v>
      </c>
      <c r="R36" s="92">
        <v>5.5</v>
      </c>
      <c r="S36" s="92">
        <v>0.05</v>
      </c>
      <c r="T36" s="92">
        <v>0</v>
      </c>
      <c r="U36" s="93" t="s">
        <v>61</v>
      </c>
      <c r="V36" s="93" t="s">
        <v>29</v>
      </c>
    </row>
    <row r="37" spans="1:22" s="94" customFormat="1" ht="15.75" customHeight="1" x14ac:dyDescent="0.15">
      <c r="A37" s="90" t="s">
        <v>63</v>
      </c>
      <c r="B37" s="91">
        <v>200</v>
      </c>
      <c r="C37" s="92">
        <v>1</v>
      </c>
      <c r="D37" s="92">
        <v>0</v>
      </c>
      <c r="E37" s="92">
        <v>20.2</v>
      </c>
      <c r="F37" s="92">
        <v>84.8</v>
      </c>
      <c r="G37" s="92">
        <v>0.03</v>
      </c>
      <c r="H37" s="92">
        <v>1.6</v>
      </c>
      <c r="I37" s="92">
        <v>0</v>
      </c>
      <c r="J37" s="92">
        <v>0</v>
      </c>
      <c r="K37" s="92">
        <v>0</v>
      </c>
      <c r="L37" s="92">
        <v>0.02</v>
      </c>
      <c r="M37" s="92">
        <v>36</v>
      </c>
      <c r="N37" s="92">
        <v>16.2</v>
      </c>
      <c r="O37" s="92">
        <v>21.6</v>
      </c>
      <c r="P37" s="92">
        <v>0.72</v>
      </c>
      <c r="Q37" s="92">
        <v>300</v>
      </c>
      <c r="R37" s="92">
        <v>12</v>
      </c>
      <c r="S37" s="92">
        <v>0</v>
      </c>
      <c r="T37" s="92">
        <v>0</v>
      </c>
      <c r="U37" s="93" t="s">
        <v>64</v>
      </c>
      <c r="V37" s="93">
        <v>2017</v>
      </c>
    </row>
    <row r="38" spans="1:22" s="94" customFormat="1" ht="16.5" customHeight="1" x14ac:dyDescent="0.15">
      <c r="A38" s="90" t="s">
        <v>49</v>
      </c>
      <c r="B38" s="91">
        <v>20</v>
      </c>
      <c r="C38" s="92">
        <v>1.53</v>
      </c>
      <c r="D38" s="92">
        <v>0.12</v>
      </c>
      <c r="E38" s="92">
        <v>10.039999999999999</v>
      </c>
      <c r="F38" s="92">
        <v>47.36</v>
      </c>
      <c r="G38" s="92">
        <v>0.03</v>
      </c>
      <c r="H38" s="92">
        <v>0</v>
      </c>
      <c r="I38" s="92">
        <v>0</v>
      </c>
      <c r="J38" s="92">
        <v>0.39</v>
      </c>
      <c r="K38" s="92">
        <v>0</v>
      </c>
      <c r="L38" s="92">
        <v>0.01</v>
      </c>
      <c r="M38" s="92">
        <v>4.5999999999999996</v>
      </c>
      <c r="N38" s="92">
        <v>6.6</v>
      </c>
      <c r="O38" s="92">
        <v>16.8</v>
      </c>
      <c r="P38" s="92">
        <v>0.4</v>
      </c>
      <c r="Q38" s="92">
        <v>25.8</v>
      </c>
      <c r="R38" s="92">
        <v>0</v>
      </c>
      <c r="S38" s="92">
        <v>0</v>
      </c>
      <c r="T38" s="92">
        <v>0</v>
      </c>
      <c r="U38" s="93" t="s">
        <v>167</v>
      </c>
      <c r="V38" s="93" t="s">
        <v>39</v>
      </c>
    </row>
    <row r="39" spans="1:22" s="94" customFormat="1" ht="15.75" customHeight="1" x14ac:dyDescent="0.15">
      <c r="A39" s="90" t="s">
        <v>38</v>
      </c>
      <c r="B39" s="91">
        <v>20</v>
      </c>
      <c r="C39" s="92">
        <v>1.1200000000000001</v>
      </c>
      <c r="D39" s="92">
        <v>0.22</v>
      </c>
      <c r="E39" s="92">
        <v>9.8800000000000008</v>
      </c>
      <c r="F39" s="92">
        <v>45.98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3" t="s">
        <v>167</v>
      </c>
      <c r="V39" s="93" t="s">
        <v>39</v>
      </c>
    </row>
    <row r="40" spans="1:22" s="99" customFormat="1" ht="21.6" customHeight="1" x14ac:dyDescent="0.2">
      <c r="A40" s="95" t="s">
        <v>40</v>
      </c>
      <c r="B40" s="101">
        <f t="shared" ref="B40:T40" si="4">SUM(B34:B39)</f>
        <v>540</v>
      </c>
      <c r="C40" s="97">
        <f t="shared" si="4"/>
        <v>17.23</v>
      </c>
      <c r="D40" s="97">
        <f t="shared" si="4"/>
        <v>17.54</v>
      </c>
      <c r="E40" s="97">
        <f t="shared" si="4"/>
        <v>67.02</v>
      </c>
      <c r="F40" s="97">
        <v>576.70000000000005</v>
      </c>
      <c r="G40" s="97">
        <f t="shared" si="4"/>
        <v>0.33000000000000007</v>
      </c>
      <c r="H40" s="97">
        <f t="shared" si="4"/>
        <v>36.870000000000005</v>
      </c>
      <c r="I40" s="97">
        <f t="shared" si="4"/>
        <v>0.11</v>
      </c>
      <c r="J40" s="97">
        <f t="shared" si="4"/>
        <v>1.0899999999999999</v>
      </c>
      <c r="K40" s="97">
        <f t="shared" si="4"/>
        <v>0.1</v>
      </c>
      <c r="L40" s="97">
        <f t="shared" si="4"/>
        <v>0.19999999999999998</v>
      </c>
      <c r="M40" s="97">
        <f t="shared" si="4"/>
        <v>155.79</v>
      </c>
      <c r="N40" s="97">
        <f t="shared" si="4"/>
        <v>85.61999999999999</v>
      </c>
      <c r="O40" s="97">
        <f t="shared" si="4"/>
        <v>249.16</v>
      </c>
      <c r="P40" s="97">
        <f t="shared" si="4"/>
        <v>5.24</v>
      </c>
      <c r="Q40" s="97">
        <f t="shared" si="4"/>
        <v>1077.97</v>
      </c>
      <c r="R40" s="97">
        <f t="shared" si="4"/>
        <v>23.009999999999998</v>
      </c>
      <c r="S40" s="97">
        <f t="shared" si="4"/>
        <v>7.0000000000000007E-2</v>
      </c>
      <c r="T40" s="97">
        <f t="shared" si="4"/>
        <v>0</v>
      </c>
      <c r="U40" s="98"/>
      <c r="V40" s="98"/>
    </row>
    <row r="41" spans="1:22" s="99" customFormat="1" ht="14.65" customHeight="1" x14ac:dyDescent="0.2">
      <c r="A41" s="143" t="s">
        <v>41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5"/>
      <c r="U41" s="100"/>
      <c r="V41" s="100"/>
    </row>
    <row r="42" spans="1:22" s="99" customFormat="1" ht="16.5" customHeight="1" x14ac:dyDescent="0.2">
      <c r="A42" s="90" t="s">
        <v>65</v>
      </c>
      <c r="B42" s="91">
        <v>60</v>
      </c>
      <c r="C42" s="92">
        <v>0.9</v>
      </c>
      <c r="D42" s="92">
        <v>3.7</v>
      </c>
      <c r="E42" s="92">
        <v>5.0999999999999996</v>
      </c>
      <c r="F42" s="92">
        <v>56.7</v>
      </c>
      <c r="G42" s="92">
        <v>0.01</v>
      </c>
      <c r="H42" s="92">
        <v>2.35</v>
      </c>
      <c r="I42" s="92">
        <v>0</v>
      </c>
      <c r="J42" s="92">
        <v>1.59</v>
      </c>
      <c r="K42" s="92">
        <v>0</v>
      </c>
      <c r="L42" s="92">
        <v>0.02</v>
      </c>
      <c r="M42" s="92">
        <v>20.079999999999998</v>
      </c>
      <c r="N42" s="92">
        <v>11.64</v>
      </c>
      <c r="O42" s="92">
        <v>22.98</v>
      </c>
      <c r="P42" s="92">
        <v>0.74</v>
      </c>
      <c r="Q42" s="92">
        <v>168.73</v>
      </c>
      <c r="R42" s="92">
        <v>4.07</v>
      </c>
      <c r="S42" s="92">
        <v>0.01</v>
      </c>
      <c r="T42" s="92">
        <v>0</v>
      </c>
      <c r="U42" s="93" t="s">
        <v>66</v>
      </c>
      <c r="V42" s="93">
        <v>2017</v>
      </c>
    </row>
    <row r="43" spans="1:22" s="99" customFormat="1" ht="24" customHeight="1" x14ac:dyDescent="0.2">
      <c r="A43" s="90" t="s">
        <v>233</v>
      </c>
      <c r="B43" s="91">
        <v>205</v>
      </c>
      <c r="C43" s="92">
        <v>1.5</v>
      </c>
      <c r="D43" s="92">
        <v>6.2</v>
      </c>
      <c r="E43" s="92">
        <v>19.899999999999999</v>
      </c>
      <c r="F43" s="92">
        <v>157.6</v>
      </c>
      <c r="G43" s="92">
        <v>0.09</v>
      </c>
      <c r="H43" s="92">
        <v>7.15</v>
      </c>
      <c r="I43" s="92">
        <v>0.28000000000000003</v>
      </c>
      <c r="J43" s="92">
        <v>0.45</v>
      </c>
      <c r="K43" s="92">
        <v>0.26</v>
      </c>
      <c r="L43" s="92">
        <v>0.09</v>
      </c>
      <c r="M43" s="92">
        <v>30.19</v>
      </c>
      <c r="N43" s="92">
        <v>25.28</v>
      </c>
      <c r="O43" s="92">
        <v>70.33</v>
      </c>
      <c r="P43" s="92">
        <v>1.1499999999999999</v>
      </c>
      <c r="Q43" s="92">
        <v>515.55999999999995</v>
      </c>
      <c r="R43" s="92">
        <v>6.78</v>
      </c>
      <c r="S43" s="92">
        <v>0.04</v>
      </c>
      <c r="T43" s="92">
        <v>0</v>
      </c>
      <c r="U43" s="93" t="s">
        <v>67</v>
      </c>
      <c r="V43" s="93" t="s">
        <v>52</v>
      </c>
    </row>
    <row r="44" spans="1:22" s="94" customFormat="1" ht="15.75" customHeight="1" x14ac:dyDescent="0.15">
      <c r="A44" s="90" t="s">
        <v>169</v>
      </c>
      <c r="B44" s="91">
        <v>150</v>
      </c>
      <c r="C44" s="92">
        <v>13.91</v>
      </c>
      <c r="D44" s="92">
        <v>8.0500000000000007</v>
      </c>
      <c r="E44" s="92">
        <v>27.34</v>
      </c>
      <c r="F44" s="92">
        <v>240.3</v>
      </c>
      <c r="G44" s="92">
        <v>0.11</v>
      </c>
      <c r="H44" s="92">
        <v>1.79</v>
      </c>
      <c r="I44" s="92">
        <v>0.21</v>
      </c>
      <c r="J44" s="92">
        <v>3.34</v>
      </c>
      <c r="K44" s="92">
        <v>0</v>
      </c>
      <c r="L44" s="92">
        <v>0.11</v>
      </c>
      <c r="M44" s="92">
        <v>27.07</v>
      </c>
      <c r="N44" s="92">
        <v>45</v>
      </c>
      <c r="O44" s="92">
        <v>142</v>
      </c>
      <c r="P44" s="92">
        <v>1.4</v>
      </c>
      <c r="Q44" s="92">
        <v>230.3</v>
      </c>
      <c r="R44" s="92">
        <v>5.43</v>
      </c>
      <c r="S44" s="92">
        <v>0.1</v>
      </c>
      <c r="T44" s="92">
        <v>0.02</v>
      </c>
      <c r="U44" s="93" t="s">
        <v>68</v>
      </c>
      <c r="V44" s="93" t="s">
        <v>29</v>
      </c>
    </row>
    <row r="45" spans="1:22" s="94" customFormat="1" ht="15" customHeight="1" x14ac:dyDescent="0.15">
      <c r="A45" s="90" t="s">
        <v>69</v>
      </c>
      <c r="B45" s="91">
        <v>180</v>
      </c>
      <c r="C45" s="92">
        <v>5.22</v>
      </c>
      <c r="D45" s="92">
        <v>4.5</v>
      </c>
      <c r="E45" s="92">
        <v>7.2</v>
      </c>
      <c r="F45" s="92">
        <v>95.4</v>
      </c>
      <c r="G45" s="92">
        <v>7.0000000000000007E-2</v>
      </c>
      <c r="H45" s="92">
        <v>1.26</v>
      </c>
      <c r="I45" s="92">
        <v>0.05</v>
      </c>
      <c r="J45" s="92">
        <v>0.13</v>
      </c>
      <c r="K45" s="92">
        <v>0</v>
      </c>
      <c r="L45" s="92">
        <v>0.31</v>
      </c>
      <c r="M45" s="92">
        <v>216</v>
      </c>
      <c r="N45" s="92">
        <v>25.2</v>
      </c>
      <c r="O45" s="92">
        <v>171</v>
      </c>
      <c r="P45" s="92">
        <v>0.18</v>
      </c>
      <c r="Q45" s="92">
        <v>262.8</v>
      </c>
      <c r="R45" s="92">
        <v>16.2</v>
      </c>
      <c r="S45" s="92">
        <v>0.04</v>
      </c>
      <c r="T45" s="92">
        <v>0</v>
      </c>
      <c r="U45" s="93" t="s">
        <v>167</v>
      </c>
      <c r="V45" s="93">
        <v>2017</v>
      </c>
    </row>
    <row r="46" spans="1:22" s="94" customFormat="1" ht="15.75" customHeight="1" x14ac:dyDescent="0.15">
      <c r="A46" s="90" t="s">
        <v>49</v>
      </c>
      <c r="B46" s="91">
        <v>40</v>
      </c>
      <c r="C46" s="92">
        <v>3.05</v>
      </c>
      <c r="D46" s="92">
        <v>0.25</v>
      </c>
      <c r="E46" s="92">
        <v>20.07</v>
      </c>
      <c r="F46" s="92">
        <v>94.73</v>
      </c>
      <c r="G46" s="92">
        <v>0.06</v>
      </c>
      <c r="H46" s="92">
        <v>0</v>
      </c>
      <c r="I46" s="92">
        <v>0</v>
      </c>
      <c r="J46" s="92">
        <v>0.78</v>
      </c>
      <c r="K46" s="92">
        <v>0</v>
      </c>
      <c r="L46" s="92">
        <v>0.02</v>
      </c>
      <c r="M46" s="92">
        <v>9.1999999999999993</v>
      </c>
      <c r="N46" s="92">
        <v>13.2</v>
      </c>
      <c r="O46" s="92">
        <v>33.6</v>
      </c>
      <c r="P46" s="92">
        <v>0.8</v>
      </c>
      <c r="Q46" s="92">
        <v>51.6</v>
      </c>
      <c r="R46" s="92">
        <v>0</v>
      </c>
      <c r="S46" s="92">
        <v>0.01</v>
      </c>
      <c r="T46" s="92">
        <v>0</v>
      </c>
      <c r="U46" s="93" t="s">
        <v>167</v>
      </c>
      <c r="V46" s="93" t="s">
        <v>39</v>
      </c>
    </row>
    <row r="47" spans="1:22" s="94" customFormat="1" ht="18" customHeight="1" x14ac:dyDescent="0.15">
      <c r="A47" s="90" t="s">
        <v>38</v>
      </c>
      <c r="B47" s="91">
        <v>30</v>
      </c>
      <c r="C47" s="92">
        <v>1.99</v>
      </c>
      <c r="D47" s="92">
        <v>0.26</v>
      </c>
      <c r="E47" s="92">
        <v>12.72</v>
      </c>
      <c r="F47" s="92">
        <v>61.19</v>
      </c>
      <c r="G47" s="92">
        <v>0.05</v>
      </c>
      <c r="H47" s="92">
        <v>0</v>
      </c>
      <c r="I47" s="92">
        <v>0</v>
      </c>
      <c r="J47" s="92">
        <v>0.66</v>
      </c>
      <c r="K47" s="92">
        <v>0</v>
      </c>
      <c r="L47" s="92">
        <v>0.02</v>
      </c>
      <c r="M47" s="92">
        <v>5.4</v>
      </c>
      <c r="N47" s="92">
        <v>5.7</v>
      </c>
      <c r="O47" s="92">
        <v>26.1</v>
      </c>
      <c r="P47" s="92">
        <v>1.2</v>
      </c>
      <c r="Q47" s="92">
        <v>40.799999999999997</v>
      </c>
      <c r="R47" s="92">
        <v>1.68</v>
      </c>
      <c r="S47" s="92">
        <v>0</v>
      </c>
      <c r="T47" s="92">
        <v>0</v>
      </c>
      <c r="U47" s="93" t="s">
        <v>167</v>
      </c>
      <c r="V47" s="93" t="s">
        <v>39</v>
      </c>
    </row>
    <row r="48" spans="1:22" s="94" customFormat="1" ht="15" customHeight="1" x14ac:dyDescent="0.15">
      <c r="A48" s="90" t="s">
        <v>240</v>
      </c>
      <c r="B48" s="91">
        <v>100</v>
      </c>
      <c r="C48" s="92">
        <v>1.32</v>
      </c>
      <c r="D48" s="92">
        <v>1</v>
      </c>
      <c r="E48" s="92">
        <v>8.82</v>
      </c>
      <c r="F48" s="92">
        <v>44.15</v>
      </c>
      <c r="G48" s="92">
        <v>0.06</v>
      </c>
      <c r="H48" s="92">
        <f>90*100/150</f>
        <v>60</v>
      </c>
      <c r="I48" s="92">
        <v>0.02</v>
      </c>
      <c r="J48" s="92">
        <v>0.33</v>
      </c>
      <c r="K48" s="92">
        <v>0</v>
      </c>
      <c r="L48" s="92">
        <v>0.05</v>
      </c>
      <c r="M48" s="92">
        <v>51</v>
      </c>
      <c r="N48" s="92">
        <v>19.5</v>
      </c>
      <c r="O48" s="92">
        <v>34.5</v>
      </c>
      <c r="P48" s="92">
        <v>0.45</v>
      </c>
      <c r="Q48" s="92">
        <v>295.5</v>
      </c>
      <c r="R48" s="92">
        <v>3</v>
      </c>
      <c r="S48" s="92">
        <v>0.03</v>
      </c>
      <c r="T48" s="92">
        <v>0</v>
      </c>
      <c r="U48" s="93" t="s">
        <v>170</v>
      </c>
      <c r="V48" s="93" t="s">
        <v>29</v>
      </c>
    </row>
    <row r="49" spans="1:22" s="99" customFormat="1" ht="21.6" customHeight="1" x14ac:dyDescent="0.2">
      <c r="A49" s="95" t="s">
        <v>40</v>
      </c>
      <c r="B49" s="101">
        <f>SUM(B42:B48)</f>
        <v>765</v>
      </c>
      <c r="C49" s="97">
        <v>27.8</v>
      </c>
      <c r="D49" s="97">
        <v>24.1</v>
      </c>
      <c r="E49" s="97">
        <v>101.1</v>
      </c>
      <c r="F49" s="132">
        <f t="shared" ref="F49:T49" si="5">SUM(F42:F48)</f>
        <v>750.07</v>
      </c>
      <c r="G49" s="97">
        <f t="shared" si="5"/>
        <v>0.45</v>
      </c>
      <c r="H49" s="97">
        <f t="shared" si="5"/>
        <v>72.55</v>
      </c>
      <c r="I49" s="97">
        <f t="shared" si="5"/>
        <v>0.56000000000000005</v>
      </c>
      <c r="J49" s="97">
        <f t="shared" si="5"/>
        <v>7.28</v>
      </c>
      <c r="K49" s="97">
        <f t="shared" si="5"/>
        <v>0.26</v>
      </c>
      <c r="L49" s="97">
        <f t="shared" si="5"/>
        <v>0.62000000000000011</v>
      </c>
      <c r="M49" s="97">
        <f t="shared" si="5"/>
        <v>358.94</v>
      </c>
      <c r="N49" s="97">
        <f t="shared" si="5"/>
        <v>145.52000000000001</v>
      </c>
      <c r="O49" s="97">
        <f t="shared" si="5"/>
        <v>500.51000000000005</v>
      </c>
      <c r="P49" s="97">
        <f t="shared" si="5"/>
        <v>5.9200000000000008</v>
      </c>
      <c r="Q49" s="97">
        <f t="shared" si="5"/>
        <v>1565.2899999999997</v>
      </c>
      <c r="R49" s="97">
        <f t="shared" si="5"/>
        <v>37.160000000000004</v>
      </c>
      <c r="S49" s="97">
        <f t="shared" si="5"/>
        <v>0.23000000000000004</v>
      </c>
      <c r="T49" s="97">
        <f t="shared" si="5"/>
        <v>0.02</v>
      </c>
      <c r="U49" s="98"/>
      <c r="V49" s="98"/>
    </row>
    <row r="50" spans="1:22" s="99" customFormat="1" ht="14.65" customHeight="1" x14ac:dyDescent="0.2">
      <c r="A50" s="143" t="s">
        <v>50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5"/>
      <c r="U50" s="100"/>
      <c r="V50" s="100"/>
    </row>
    <row r="51" spans="1:22" s="94" customFormat="1" ht="21.6" customHeight="1" x14ac:dyDescent="0.15">
      <c r="A51" s="90" t="s">
        <v>171</v>
      </c>
      <c r="B51" s="91">
        <v>170</v>
      </c>
      <c r="C51" s="92">
        <v>3.2</v>
      </c>
      <c r="D51" s="92">
        <v>6.9</v>
      </c>
      <c r="E51" s="92">
        <v>19.3</v>
      </c>
      <c r="F51" s="92">
        <v>162</v>
      </c>
      <c r="G51" s="92">
        <v>0.08</v>
      </c>
      <c r="H51" s="92">
        <v>11.78</v>
      </c>
      <c r="I51" s="92">
        <v>0.38</v>
      </c>
      <c r="J51" s="92">
        <v>3.14</v>
      </c>
      <c r="K51" s="92">
        <v>0</v>
      </c>
      <c r="L51" s="92">
        <v>0</v>
      </c>
      <c r="M51" s="92">
        <v>52.35</v>
      </c>
      <c r="N51" s="92">
        <v>27.48</v>
      </c>
      <c r="O51" s="92">
        <v>57.58</v>
      </c>
      <c r="P51" s="92">
        <v>2.62</v>
      </c>
      <c r="Q51" s="92">
        <v>0</v>
      </c>
      <c r="R51" s="92">
        <v>0</v>
      </c>
      <c r="S51" s="92">
        <v>0</v>
      </c>
      <c r="T51" s="92">
        <v>0</v>
      </c>
      <c r="U51" s="93" t="s">
        <v>172</v>
      </c>
      <c r="V51" s="93">
        <v>2023</v>
      </c>
    </row>
    <row r="52" spans="1:22" s="94" customFormat="1" ht="18" customHeight="1" x14ac:dyDescent="0.15">
      <c r="A52" s="90" t="s">
        <v>78</v>
      </c>
      <c r="B52" s="91">
        <v>180</v>
      </c>
      <c r="C52" s="92">
        <v>0.59</v>
      </c>
      <c r="D52" s="92">
        <f>0.45*0.18</f>
        <v>8.1000000000000003E-2</v>
      </c>
      <c r="E52" s="92">
        <v>24.92</v>
      </c>
      <c r="F52" s="92">
        <v>119.52</v>
      </c>
      <c r="G52" s="92">
        <f>0.02*0.18</f>
        <v>3.5999999999999999E-3</v>
      </c>
      <c r="H52" s="92">
        <f>3.63*0.18</f>
        <v>0.65339999999999998</v>
      </c>
      <c r="I52" s="92">
        <v>0</v>
      </c>
      <c r="J52" s="92">
        <v>0</v>
      </c>
      <c r="K52" s="92">
        <v>0</v>
      </c>
      <c r="L52" s="92">
        <v>0</v>
      </c>
      <c r="M52" s="92">
        <f>162.4*0.18</f>
        <v>29.231999999999999</v>
      </c>
      <c r="N52" s="92">
        <f>87.3*0.18</f>
        <v>15.713999999999999</v>
      </c>
      <c r="O52" s="92">
        <f>117.2*0.18</f>
        <v>21.096</v>
      </c>
      <c r="P52" s="92">
        <f>3.49*0.18</f>
        <v>0.62819999999999998</v>
      </c>
      <c r="Q52" s="92">
        <f>1149*0.18</f>
        <v>206.82</v>
      </c>
      <c r="R52" s="92">
        <v>0</v>
      </c>
      <c r="S52" s="92">
        <v>0</v>
      </c>
      <c r="T52" s="92">
        <v>0</v>
      </c>
      <c r="U52" s="93" t="s">
        <v>79</v>
      </c>
      <c r="V52" s="93" t="s">
        <v>29</v>
      </c>
    </row>
    <row r="53" spans="1:22" s="94" customFormat="1" ht="18.75" customHeight="1" x14ac:dyDescent="0.15">
      <c r="A53" s="90" t="s">
        <v>49</v>
      </c>
      <c r="B53" s="91">
        <v>20</v>
      </c>
      <c r="C53" s="92">
        <v>1.53</v>
      </c>
      <c r="D53" s="92">
        <v>0.12</v>
      </c>
      <c r="E53" s="92">
        <v>10.039999999999999</v>
      </c>
      <c r="F53" s="92">
        <v>47.36</v>
      </c>
      <c r="G53" s="92">
        <v>0.03</v>
      </c>
      <c r="H53" s="92">
        <v>0</v>
      </c>
      <c r="I53" s="92">
        <v>0</v>
      </c>
      <c r="J53" s="92">
        <v>0.39</v>
      </c>
      <c r="K53" s="92">
        <v>0</v>
      </c>
      <c r="L53" s="92">
        <v>0.01</v>
      </c>
      <c r="M53" s="92">
        <v>4.5999999999999996</v>
      </c>
      <c r="N53" s="92">
        <v>6.6</v>
      </c>
      <c r="O53" s="92">
        <v>16.8</v>
      </c>
      <c r="P53" s="92">
        <v>0.4</v>
      </c>
      <c r="Q53" s="92">
        <v>25.8</v>
      </c>
      <c r="R53" s="92">
        <v>0</v>
      </c>
      <c r="S53" s="92">
        <v>0</v>
      </c>
      <c r="T53" s="92">
        <v>0</v>
      </c>
      <c r="U53" s="93" t="s">
        <v>167</v>
      </c>
      <c r="V53" s="93" t="s">
        <v>39</v>
      </c>
    </row>
    <row r="54" spans="1:22" s="99" customFormat="1" ht="17.25" customHeight="1" x14ac:dyDescent="0.2">
      <c r="A54" s="95" t="s">
        <v>40</v>
      </c>
      <c r="B54" s="101">
        <f>SUM(B51:B53)</f>
        <v>370</v>
      </c>
      <c r="C54" s="97">
        <f t="shared" ref="C54:T54" si="6">SUM(C51:C53)</f>
        <v>5.32</v>
      </c>
      <c r="D54" s="97">
        <f t="shared" si="6"/>
        <v>7.1010000000000009</v>
      </c>
      <c r="E54" s="97">
        <v>54.2</v>
      </c>
      <c r="F54" s="97">
        <f t="shared" si="6"/>
        <v>328.88</v>
      </c>
      <c r="G54" s="97">
        <f t="shared" si="6"/>
        <v>0.11360000000000001</v>
      </c>
      <c r="H54" s="97">
        <f t="shared" si="6"/>
        <v>12.433399999999999</v>
      </c>
      <c r="I54" s="97">
        <f t="shared" si="6"/>
        <v>0.38</v>
      </c>
      <c r="J54" s="97">
        <f t="shared" si="6"/>
        <v>3.5300000000000002</v>
      </c>
      <c r="K54" s="97">
        <f t="shared" si="6"/>
        <v>0</v>
      </c>
      <c r="L54" s="97">
        <f t="shared" si="6"/>
        <v>0.01</v>
      </c>
      <c r="M54" s="97">
        <f t="shared" si="6"/>
        <v>86.181999999999988</v>
      </c>
      <c r="N54" s="97">
        <f t="shared" si="6"/>
        <v>49.794000000000004</v>
      </c>
      <c r="O54" s="97">
        <f t="shared" si="6"/>
        <v>95.475999999999999</v>
      </c>
      <c r="P54" s="97">
        <f t="shared" si="6"/>
        <v>3.6482000000000001</v>
      </c>
      <c r="Q54" s="97">
        <f t="shared" si="6"/>
        <v>232.62</v>
      </c>
      <c r="R54" s="97">
        <f t="shared" si="6"/>
        <v>0</v>
      </c>
      <c r="S54" s="97">
        <f t="shared" si="6"/>
        <v>0</v>
      </c>
      <c r="T54" s="97">
        <f t="shared" si="6"/>
        <v>0</v>
      </c>
      <c r="U54" s="98"/>
      <c r="V54" s="98"/>
    </row>
    <row r="55" spans="1:22" s="99" customFormat="1" ht="21.6" customHeight="1" x14ac:dyDescent="0.2">
      <c r="A55" s="95" t="s">
        <v>54</v>
      </c>
      <c r="B55" s="96"/>
      <c r="C55" s="97">
        <f>C54+C49+C40</f>
        <v>50.350000000000009</v>
      </c>
      <c r="D55" s="97">
        <f t="shared" ref="D55:T55" si="7">D54+D49+D40</f>
        <v>48.741</v>
      </c>
      <c r="E55" s="97">
        <f t="shared" si="7"/>
        <v>222.32</v>
      </c>
      <c r="F55" s="97">
        <f t="shared" si="7"/>
        <v>1655.65</v>
      </c>
      <c r="G55" s="97">
        <f t="shared" si="7"/>
        <v>0.89360000000000006</v>
      </c>
      <c r="H55" s="97">
        <f t="shared" si="7"/>
        <v>121.85339999999999</v>
      </c>
      <c r="I55" s="97">
        <f t="shared" si="7"/>
        <v>1.05</v>
      </c>
      <c r="J55" s="97">
        <f t="shared" si="7"/>
        <v>11.9</v>
      </c>
      <c r="K55" s="97">
        <f t="shared" si="7"/>
        <v>0.36</v>
      </c>
      <c r="L55" s="97">
        <f t="shared" si="7"/>
        <v>0.83000000000000007</v>
      </c>
      <c r="M55" s="97">
        <f t="shared" si="7"/>
        <v>600.91199999999992</v>
      </c>
      <c r="N55" s="97">
        <f t="shared" si="7"/>
        <v>280.93400000000003</v>
      </c>
      <c r="O55" s="97">
        <f t="shared" si="7"/>
        <v>845.14600000000007</v>
      </c>
      <c r="P55" s="97">
        <f t="shared" si="7"/>
        <v>14.808200000000001</v>
      </c>
      <c r="Q55" s="97">
        <f t="shared" si="7"/>
        <v>2875.88</v>
      </c>
      <c r="R55" s="97">
        <f t="shared" si="7"/>
        <v>60.17</v>
      </c>
      <c r="S55" s="97">
        <f t="shared" si="7"/>
        <v>0.30000000000000004</v>
      </c>
      <c r="T55" s="97">
        <f t="shared" si="7"/>
        <v>0.02</v>
      </c>
      <c r="U55" s="98"/>
      <c r="V55" s="98"/>
    </row>
    <row r="56" spans="1:22" s="99" customFormat="1" ht="14.1" customHeight="1" x14ac:dyDescent="0.2">
      <c r="A56" s="102"/>
      <c r="B56" s="102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2"/>
      <c r="V56" s="102"/>
    </row>
    <row r="57" spans="1:22" s="94" customFormat="1" ht="28.35" customHeight="1" x14ac:dyDescent="0.15">
      <c r="A57" s="133" t="s">
        <v>211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</row>
    <row r="58" spans="1:22" s="104" customFormat="1" ht="13.35" customHeight="1" x14ac:dyDescent="0.2">
      <c r="A58" s="135" t="s">
        <v>1</v>
      </c>
      <c r="B58" s="135" t="s">
        <v>2</v>
      </c>
      <c r="C58" s="137" t="s">
        <v>3</v>
      </c>
      <c r="D58" s="138"/>
      <c r="E58" s="139"/>
      <c r="F58" s="140" t="s">
        <v>4</v>
      </c>
      <c r="G58" s="137" t="s">
        <v>5</v>
      </c>
      <c r="H58" s="138"/>
      <c r="I58" s="138"/>
      <c r="J58" s="138"/>
      <c r="K58" s="138"/>
      <c r="L58" s="139"/>
      <c r="M58" s="137" t="s">
        <v>6</v>
      </c>
      <c r="N58" s="138"/>
      <c r="O58" s="138"/>
      <c r="P58" s="138"/>
      <c r="Q58" s="138"/>
      <c r="R58" s="138"/>
      <c r="S58" s="138"/>
      <c r="T58" s="139"/>
      <c r="U58" s="96" t="s">
        <v>7</v>
      </c>
      <c r="V58" s="96" t="s">
        <v>8</v>
      </c>
    </row>
    <row r="59" spans="1:22" s="99" customFormat="1" ht="26.65" customHeight="1" x14ac:dyDescent="0.2">
      <c r="A59" s="136"/>
      <c r="B59" s="136"/>
      <c r="C59" s="97" t="s">
        <v>9</v>
      </c>
      <c r="D59" s="97" t="s">
        <v>10</v>
      </c>
      <c r="E59" s="97" t="s">
        <v>11</v>
      </c>
      <c r="F59" s="141"/>
      <c r="G59" s="97" t="s">
        <v>12</v>
      </c>
      <c r="H59" s="97" t="s">
        <v>13</v>
      </c>
      <c r="I59" s="97" t="s">
        <v>14</v>
      </c>
      <c r="J59" s="97" t="s">
        <v>15</v>
      </c>
      <c r="K59" s="97" t="s">
        <v>16</v>
      </c>
      <c r="L59" s="97" t="s">
        <v>17</v>
      </c>
      <c r="M59" s="97" t="s">
        <v>18</v>
      </c>
      <c r="N59" s="97" t="s">
        <v>19</v>
      </c>
      <c r="O59" s="97" t="s">
        <v>20</v>
      </c>
      <c r="P59" s="97" t="s">
        <v>21</v>
      </c>
      <c r="Q59" s="97" t="s">
        <v>22</v>
      </c>
      <c r="R59" s="97" t="s">
        <v>23</v>
      </c>
      <c r="S59" s="97" t="s">
        <v>24</v>
      </c>
      <c r="T59" s="97" t="s">
        <v>25</v>
      </c>
      <c r="U59" s="96"/>
      <c r="V59" s="96"/>
    </row>
    <row r="60" spans="1:22" s="99" customFormat="1" ht="14.65" customHeight="1" x14ac:dyDescent="0.2">
      <c r="A60" s="143" t="s">
        <v>26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5"/>
      <c r="U60" s="100"/>
      <c r="V60" s="100"/>
    </row>
    <row r="61" spans="1:22" s="99" customFormat="1" ht="16.5" customHeight="1" x14ac:dyDescent="0.2">
      <c r="A61" s="90" t="s">
        <v>75</v>
      </c>
      <c r="B61" s="91">
        <v>60</v>
      </c>
      <c r="C61" s="92">
        <v>1</v>
      </c>
      <c r="D61" s="92">
        <v>3.1</v>
      </c>
      <c r="E61" s="92">
        <v>4.9000000000000004</v>
      </c>
      <c r="F61" s="92">
        <v>52.6</v>
      </c>
      <c r="G61" s="92">
        <v>0.01</v>
      </c>
      <c r="H61" s="92">
        <v>15.18</v>
      </c>
      <c r="I61" s="92">
        <v>0</v>
      </c>
      <c r="J61" s="92">
        <v>1.27</v>
      </c>
      <c r="K61" s="92">
        <v>0</v>
      </c>
      <c r="L61" s="92">
        <v>0.01</v>
      </c>
      <c r="M61" s="92">
        <v>25.25</v>
      </c>
      <c r="N61" s="92">
        <v>8.6199999999999992</v>
      </c>
      <c r="O61" s="92">
        <v>18.61</v>
      </c>
      <c r="P61" s="92">
        <v>0.35</v>
      </c>
      <c r="Q61" s="92">
        <v>156.38999999999999</v>
      </c>
      <c r="R61" s="92">
        <v>1.64</v>
      </c>
      <c r="S61" s="92">
        <v>0.01</v>
      </c>
      <c r="T61" s="92">
        <v>0</v>
      </c>
      <c r="U61" s="93" t="s">
        <v>76</v>
      </c>
      <c r="V61" s="93">
        <v>2017</v>
      </c>
    </row>
    <row r="62" spans="1:22" s="94" customFormat="1" ht="18" customHeight="1" x14ac:dyDescent="0.15">
      <c r="A62" s="90" t="s">
        <v>77</v>
      </c>
      <c r="B62" s="91">
        <v>200</v>
      </c>
      <c r="C62" s="92">
        <v>15.2</v>
      </c>
      <c r="D62" s="92">
        <v>16.100000000000001</v>
      </c>
      <c r="E62" s="92">
        <v>23.3</v>
      </c>
      <c r="F62" s="92">
        <v>307.39999999999998</v>
      </c>
      <c r="G62" s="92">
        <v>0.23</v>
      </c>
      <c r="H62" s="92">
        <v>16.96</v>
      </c>
      <c r="I62" s="92">
        <v>4.32</v>
      </c>
      <c r="J62" s="92">
        <v>6.32</v>
      </c>
      <c r="K62" s="92">
        <v>0</v>
      </c>
      <c r="L62" s="92">
        <v>1.04</v>
      </c>
      <c r="M62" s="92">
        <v>135.96</v>
      </c>
      <c r="N62" s="92">
        <v>46.64</v>
      </c>
      <c r="O62" s="92">
        <v>287.91000000000003</v>
      </c>
      <c r="P62" s="92">
        <v>4.88</v>
      </c>
      <c r="Q62" s="92">
        <v>815.11</v>
      </c>
      <c r="R62" s="92">
        <v>12.11</v>
      </c>
      <c r="S62" s="92">
        <v>0.16</v>
      </c>
      <c r="T62" s="92">
        <v>0.02</v>
      </c>
      <c r="U62" s="93" t="s">
        <v>173</v>
      </c>
      <c r="V62" s="93" t="s">
        <v>52</v>
      </c>
    </row>
    <row r="63" spans="1:22" s="94" customFormat="1" ht="15.75" customHeight="1" x14ac:dyDescent="0.15">
      <c r="A63" s="90" t="s">
        <v>78</v>
      </c>
      <c r="B63" s="91">
        <v>200</v>
      </c>
      <c r="C63" s="92">
        <v>0.59</v>
      </c>
      <c r="D63" s="92">
        <f>0.45*0.18</f>
        <v>8.1000000000000003E-2</v>
      </c>
      <c r="E63" s="92">
        <v>28.92</v>
      </c>
      <c r="F63" s="92">
        <v>119.52</v>
      </c>
      <c r="G63" s="92">
        <f>0.02*0.18</f>
        <v>3.5999999999999999E-3</v>
      </c>
      <c r="H63" s="92">
        <f>3.63*0.18</f>
        <v>0.65339999999999998</v>
      </c>
      <c r="I63" s="92">
        <v>0</v>
      </c>
      <c r="J63" s="92">
        <v>0</v>
      </c>
      <c r="K63" s="92">
        <v>0</v>
      </c>
      <c r="L63" s="92">
        <v>0</v>
      </c>
      <c r="M63" s="92">
        <f>162.4*0.18</f>
        <v>29.231999999999999</v>
      </c>
      <c r="N63" s="92">
        <f>87.3*0.18</f>
        <v>15.713999999999999</v>
      </c>
      <c r="O63" s="92">
        <f>117.2*0.18</f>
        <v>21.096</v>
      </c>
      <c r="P63" s="92">
        <f>3.49*0.18</f>
        <v>0.62819999999999998</v>
      </c>
      <c r="Q63" s="92">
        <f>1149*0.18</f>
        <v>206.82</v>
      </c>
      <c r="R63" s="92">
        <v>0</v>
      </c>
      <c r="S63" s="92">
        <v>0</v>
      </c>
      <c r="T63" s="92">
        <v>0</v>
      </c>
      <c r="U63" s="93" t="s">
        <v>79</v>
      </c>
      <c r="V63" s="93" t="s">
        <v>29</v>
      </c>
    </row>
    <row r="64" spans="1:22" s="94" customFormat="1" ht="15.75" customHeight="1" x14ac:dyDescent="0.15">
      <c r="A64" s="90" t="s">
        <v>49</v>
      </c>
      <c r="B64" s="91">
        <v>20</v>
      </c>
      <c r="C64" s="92">
        <v>1.53</v>
      </c>
      <c r="D64" s="92">
        <v>0.12</v>
      </c>
      <c r="E64" s="92">
        <v>10.039999999999999</v>
      </c>
      <c r="F64" s="92">
        <v>47.36</v>
      </c>
      <c r="G64" s="92">
        <v>0.03</v>
      </c>
      <c r="H64" s="92">
        <v>0</v>
      </c>
      <c r="I64" s="92">
        <v>0</v>
      </c>
      <c r="J64" s="92">
        <v>0.39</v>
      </c>
      <c r="K64" s="92">
        <v>0</v>
      </c>
      <c r="L64" s="92">
        <v>0.01</v>
      </c>
      <c r="M64" s="92">
        <v>4.5999999999999996</v>
      </c>
      <c r="N64" s="92">
        <v>6.6</v>
      </c>
      <c r="O64" s="92">
        <v>16.8</v>
      </c>
      <c r="P64" s="92">
        <v>0.4</v>
      </c>
      <c r="Q64" s="92">
        <v>25.8</v>
      </c>
      <c r="R64" s="92">
        <v>0</v>
      </c>
      <c r="S64" s="92">
        <v>0</v>
      </c>
      <c r="T64" s="92">
        <v>0</v>
      </c>
      <c r="U64" s="93" t="s">
        <v>167</v>
      </c>
      <c r="V64" s="93" t="s">
        <v>39</v>
      </c>
    </row>
    <row r="65" spans="1:22" s="94" customFormat="1" ht="15.75" customHeight="1" x14ac:dyDescent="0.15">
      <c r="A65" s="90" t="s">
        <v>38</v>
      </c>
      <c r="B65" s="91">
        <v>20</v>
      </c>
      <c r="C65" s="92">
        <v>1.1200000000000001</v>
      </c>
      <c r="D65" s="92">
        <v>0.22</v>
      </c>
      <c r="E65" s="92">
        <v>9.8800000000000008</v>
      </c>
      <c r="F65" s="92">
        <v>45.98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3" t="s">
        <v>167</v>
      </c>
      <c r="V65" s="93" t="s">
        <v>39</v>
      </c>
    </row>
    <row r="66" spans="1:22" s="99" customFormat="1" ht="21.6" customHeight="1" x14ac:dyDescent="0.2">
      <c r="A66" s="95" t="s">
        <v>40</v>
      </c>
      <c r="B66" s="101">
        <f>SUM(B61:B65)</f>
        <v>500</v>
      </c>
      <c r="C66" s="97">
        <f t="shared" ref="C66:T66" si="8">SUM(C61:C65)</f>
        <v>19.440000000000001</v>
      </c>
      <c r="D66" s="97">
        <f t="shared" si="8"/>
        <v>19.621000000000002</v>
      </c>
      <c r="E66" s="97">
        <f t="shared" si="8"/>
        <v>77.039999999999992</v>
      </c>
      <c r="F66" s="97">
        <f t="shared" si="8"/>
        <v>572.86</v>
      </c>
      <c r="G66" s="97">
        <f t="shared" si="8"/>
        <v>0.27360000000000001</v>
      </c>
      <c r="H66" s="97">
        <f t="shared" si="8"/>
        <v>32.793399999999998</v>
      </c>
      <c r="I66" s="97">
        <f t="shared" si="8"/>
        <v>4.32</v>
      </c>
      <c r="J66" s="97">
        <f t="shared" si="8"/>
        <v>7.9799999999999995</v>
      </c>
      <c r="K66" s="97">
        <f t="shared" si="8"/>
        <v>0</v>
      </c>
      <c r="L66" s="97">
        <f t="shared" si="8"/>
        <v>1.06</v>
      </c>
      <c r="M66" s="97">
        <f t="shared" si="8"/>
        <v>195.042</v>
      </c>
      <c r="N66" s="97">
        <f t="shared" si="8"/>
        <v>77.573999999999984</v>
      </c>
      <c r="O66" s="97">
        <f t="shared" si="8"/>
        <v>344.41600000000005</v>
      </c>
      <c r="P66" s="97">
        <f t="shared" si="8"/>
        <v>6.2581999999999995</v>
      </c>
      <c r="Q66" s="97">
        <f t="shared" si="8"/>
        <v>1204.1199999999999</v>
      </c>
      <c r="R66" s="97">
        <f t="shared" si="8"/>
        <v>13.75</v>
      </c>
      <c r="S66" s="97">
        <f t="shared" si="8"/>
        <v>0.17</v>
      </c>
      <c r="T66" s="97">
        <f t="shared" si="8"/>
        <v>0.02</v>
      </c>
      <c r="U66" s="98"/>
      <c r="V66" s="98"/>
    </row>
    <row r="67" spans="1:22" s="99" customFormat="1" ht="14.65" customHeight="1" x14ac:dyDescent="0.2">
      <c r="A67" s="143" t="s">
        <v>41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5"/>
      <c r="U67" s="100"/>
      <c r="V67" s="100"/>
    </row>
    <row r="68" spans="1:22" s="99" customFormat="1" ht="15" customHeight="1" x14ac:dyDescent="0.2">
      <c r="A68" s="90" t="s">
        <v>80</v>
      </c>
      <c r="B68" s="91">
        <v>60</v>
      </c>
      <c r="C68" s="92">
        <v>0.7</v>
      </c>
      <c r="D68" s="92">
        <v>0</v>
      </c>
      <c r="E68" s="92">
        <v>1.4</v>
      </c>
      <c r="F68" s="92">
        <v>8.4</v>
      </c>
      <c r="G68" s="92">
        <v>0.02</v>
      </c>
      <c r="H68" s="92">
        <v>6</v>
      </c>
      <c r="I68" s="92">
        <v>0</v>
      </c>
      <c r="J68" s="92">
        <v>0</v>
      </c>
      <c r="K68" s="92">
        <v>0</v>
      </c>
      <c r="L68" s="92">
        <v>0.02</v>
      </c>
      <c r="M68" s="92">
        <v>8.4</v>
      </c>
      <c r="N68" s="92">
        <v>12</v>
      </c>
      <c r="O68" s="92">
        <v>15.6</v>
      </c>
      <c r="P68" s="92">
        <v>0.6</v>
      </c>
      <c r="Q68" s="92">
        <v>174</v>
      </c>
      <c r="R68" s="92">
        <v>0</v>
      </c>
      <c r="S68" s="92">
        <v>0</v>
      </c>
      <c r="T68" s="92">
        <v>0</v>
      </c>
      <c r="U68" s="93" t="s">
        <v>57</v>
      </c>
      <c r="V68" s="93" t="s">
        <v>29</v>
      </c>
    </row>
    <row r="69" spans="1:22" s="94" customFormat="1" ht="16.5" customHeight="1" x14ac:dyDescent="0.15">
      <c r="A69" s="90" t="s">
        <v>81</v>
      </c>
      <c r="B69" s="91">
        <v>200</v>
      </c>
      <c r="C69" s="92">
        <f>5.93*0.2</f>
        <v>1.1859999999999999</v>
      </c>
      <c r="D69" s="92">
        <f>19.67*0.2</f>
        <v>3.9340000000000006</v>
      </c>
      <c r="E69" s="92">
        <f>44.36*0.2</f>
        <v>8.8719999999999999</v>
      </c>
      <c r="F69" s="92">
        <f>305*0.2</f>
        <v>61</v>
      </c>
      <c r="G69" s="92">
        <v>0.04</v>
      </c>
      <c r="H69" s="92">
        <v>6.27</v>
      </c>
      <c r="I69" s="92">
        <v>0.16</v>
      </c>
      <c r="J69" s="92">
        <v>1.74</v>
      </c>
      <c r="K69" s="92">
        <v>0</v>
      </c>
      <c r="L69" s="92">
        <v>0.03</v>
      </c>
      <c r="M69" s="92">
        <v>34.979999999999997</v>
      </c>
      <c r="N69" s="92">
        <v>14.83</v>
      </c>
      <c r="O69" s="92">
        <v>39.78</v>
      </c>
      <c r="P69" s="92">
        <v>0.65</v>
      </c>
      <c r="Q69" s="92">
        <v>196.91</v>
      </c>
      <c r="R69" s="92">
        <v>2.66</v>
      </c>
      <c r="S69" s="92">
        <v>0.02</v>
      </c>
      <c r="T69" s="92">
        <v>0</v>
      </c>
      <c r="U69" s="93" t="s">
        <v>82</v>
      </c>
      <c r="V69" s="93">
        <v>2017</v>
      </c>
    </row>
    <row r="70" spans="1:22" s="94" customFormat="1" ht="17.25" customHeight="1" x14ac:dyDescent="0.15">
      <c r="A70" s="90" t="s">
        <v>83</v>
      </c>
      <c r="B70" s="91">
        <v>150</v>
      </c>
      <c r="C70" s="92">
        <v>4.8</v>
      </c>
      <c r="D70" s="92">
        <f>6.99*150/105</f>
        <v>9.9857142857142858</v>
      </c>
      <c r="E70" s="92">
        <f>11.6*150/105</f>
        <v>16.571428571428573</v>
      </c>
      <c r="F70" s="92">
        <f>142*150/105</f>
        <v>202.85714285714286</v>
      </c>
      <c r="G70" s="92">
        <f>0.06*150/105</f>
        <v>8.5714285714285715E-2</v>
      </c>
      <c r="H70" s="92">
        <f>12.51*150/105</f>
        <v>17.87142857142857</v>
      </c>
      <c r="I70" s="92">
        <f>46*150/105</f>
        <v>65.714285714285708</v>
      </c>
      <c r="J70" s="92">
        <v>2.74</v>
      </c>
      <c r="K70" s="92">
        <v>0</v>
      </c>
      <c r="L70" s="92">
        <f>0.06*150/105</f>
        <v>8.5714285714285715E-2</v>
      </c>
      <c r="M70" s="92">
        <f>37.16*150/105</f>
        <v>53.085714285714275</v>
      </c>
      <c r="N70" s="92">
        <f>16.26*150/105</f>
        <v>23.228571428571431</v>
      </c>
      <c r="O70" s="92">
        <f>45*150/105</f>
        <v>64.285714285714292</v>
      </c>
      <c r="P70" s="92">
        <f>0.6*150/105</f>
        <v>0.8571428571428571</v>
      </c>
      <c r="Q70" s="92">
        <f>264.66*150/105</f>
        <v>378.08571428571435</v>
      </c>
      <c r="R70" s="92">
        <v>5.42</v>
      </c>
      <c r="S70" s="92">
        <v>0.03</v>
      </c>
      <c r="T70" s="92">
        <v>0</v>
      </c>
      <c r="U70" s="93" t="s">
        <v>84</v>
      </c>
      <c r="V70" s="93" t="s">
        <v>29</v>
      </c>
    </row>
    <row r="71" spans="1:22" s="94" customFormat="1" ht="16.5" customHeight="1" x14ac:dyDescent="0.15">
      <c r="A71" s="90" t="s">
        <v>234</v>
      </c>
      <c r="B71" s="91">
        <v>95</v>
      </c>
      <c r="C71" s="92">
        <v>12.4</v>
      </c>
      <c r="D71" s="92">
        <f>7.51*90/55</f>
        <v>12.289090909090909</v>
      </c>
      <c r="E71" s="92">
        <f>7.41*90/55</f>
        <v>12.125454545454545</v>
      </c>
      <c r="F71" s="92">
        <f>122*90/55</f>
        <v>199.63636363636363</v>
      </c>
      <c r="G71" s="92">
        <v>0.06</v>
      </c>
      <c r="H71" s="92">
        <v>0.61</v>
      </c>
      <c r="I71" s="92">
        <v>22.2</v>
      </c>
      <c r="J71" s="92">
        <v>2.2999999999999998</v>
      </c>
      <c r="K71" s="92">
        <v>0.08</v>
      </c>
      <c r="L71" s="92">
        <f>0.08*120/80</f>
        <v>0.12</v>
      </c>
      <c r="M71" s="92">
        <f>44.13*120/80</f>
        <v>66.195000000000007</v>
      </c>
      <c r="N71" s="92">
        <f>22.33*120/80</f>
        <v>33.494999999999997</v>
      </c>
      <c r="O71" s="92">
        <f>99.55*120/80</f>
        <v>149.32499999999999</v>
      </c>
      <c r="P71" s="92">
        <f>0.79*120/80</f>
        <v>1.1850000000000001</v>
      </c>
      <c r="Q71" s="92">
        <v>387.71</v>
      </c>
      <c r="R71" s="92">
        <v>97.58</v>
      </c>
      <c r="S71" s="92">
        <v>0.4</v>
      </c>
      <c r="T71" s="92">
        <v>0.01</v>
      </c>
      <c r="U71" s="93" t="s">
        <v>85</v>
      </c>
      <c r="V71" s="93" t="s">
        <v>29</v>
      </c>
    </row>
    <row r="72" spans="1:22" s="94" customFormat="1" ht="14.25" customHeight="1" x14ac:dyDescent="0.15">
      <c r="A72" s="90" t="s">
        <v>174</v>
      </c>
      <c r="B72" s="91">
        <v>200</v>
      </c>
      <c r="C72" s="92">
        <v>0.6</v>
      </c>
      <c r="D72" s="92">
        <v>0.4</v>
      </c>
      <c r="E72" s="92">
        <v>32.6</v>
      </c>
      <c r="F72" s="92">
        <f>682*0.2</f>
        <v>136.4</v>
      </c>
      <c r="G72" s="92">
        <f>0.11*0.18</f>
        <v>1.9799999999999998E-2</v>
      </c>
      <c r="H72" s="92">
        <f>20*0.2</f>
        <v>4</v>
      </c>
      <c r="I72" s="92">
        <v>0</v>
      </c>
      <c r="J72" s="92">
        <v>0</v>
      </c>
      <c r="K72" s="92">
        <v>0</v>
      </c>
      <c r="L72" s="92">
        <v>0.02</v>
      </c>
      <c r="M72" s="92">
        <f>70*0.18</f>
        <v>12.6</v>
      </c>
      <c r="N72" s="92">
        <f>40*0.18</f>
        <v>7.1999999999999993</v>
      </c>
      <c r="O72" s="92">
        <f>70*0.18</f>
        <v>12.6</v>
      </c>
      <c r="P72" s="92">
        <f>14*0.18</f>
        <v>2.52</v>
      </c>
      <c r="Q72" s="92">
        <f>1200*0.18</f>
        <v>216</v>
      </c>
      <c r="R72" s="92">
        <v>1.8</v>
      </c>
      <c r="S72" s="92">
        <v>0</v>
      </c>
      <c r="T72" s="92">
        <v>0</v>
      </c>
      <c r="U72" s="93" t="s">
        <v>64</v>
      </c>
      <c r="V72" s="93">
        <v>2017</v>
      </c>
    </row>
    <row r="73" spans="1:22" s="94" customFormat="1" ht="16.5" customHeight="1" x14ac:dyDescent="0.15">
      <c r="A73" s="90" t="s">
        <v>36</v>
      </c>
      <c r="B73" s="91">
        <v>100</v>
      </c>
      <c r="C73" s="92">
        <v>0.4</v>
      </c>
      <c r="D73" s="92">
        <v>0.4</v>
      </c>
      <c r="E73" s="92">
        <v>9.8000000000000007</v>
      </c>
      <c r="F73" s="92">
        <v>47</v>
      </c>
      <c r="G73" s="92">
        <v>0.03</v>
      </c>
      <c r="H73" s="92">
        <v>10</v>
      </c>
      <c r="I73" s="92">
        <v>0.01</v>
      </c>
      <c r="J73" s="92">
        <v>0.63</v>
      </c>
      <c r="K73" s="92">
        <v>0</v>
      </c>
      <c r="L73" s="92">
        <v>0.02</v>
      </c>
      <c r="M73" s="92">
        <v>16</v>
      </c>
      <c r="N73" s="92">
        <v>8</v>
      </c>
      <c r="O73" s="92">
        <v>11</v>
      </c>
      <c r="P73" s="92">
        <v>2.2000000000000002</v>
      </c>
      <c r="Q73" s="92">
        <v>278</v>
      </c>
      <c r="R73" s="92">
        <v>2</v>
      </c>
      <c r="S73" s="92">
        <v>0.01</v>
      </c>
      <c r="T73" s="92">
        <v>0</v>
      </c>
      <c r="U73" s="93" t="s">
        <v>37</v>
      </c>
      <c r="V73" s="93" t="s">
        <v>29</v>
      </c>
    </row>
    <row r="74" spans="1:22" s="94" customFormat="1" ht="16.5" customHeight="1" x14ac:dyDescent="0.15">
      <c r="A74" s="90" t="s">
        <v>49</v>
      </c>
      <c r="B74" s="91">
        <v>40</v>
      </c>
      <c r="C74" s="92">
        <v>3.05</v>
      </c>
      <c r="D74" s="92">
        <v>0.25</v>
      </c>
      <c r="E74" s="92">
        <v>20.07</v>
      </c>
      <c r="F74" s="92">
        <v>94.73</v>
      </c>
      <c r="G74" s="92">
        <v>0.06</v>
      </c>
      <c r="H74" s="92">
        <v>0</v>
      </c>
      <c r="I74" s="92">
        <v>0</v>
      </c>
      <c r="J74" s="92">
        <v>0.78</v>
      </c>
      <c r="K74" s="92">
        <v>0</v>
      </c>
      <c r="L74" s="92">
        <v>0.02</v>
      </c>
      <c r="M74" s="92">
        <v>9.1999999999999993</v>
      </c>
      <c r="N74" s="92">
        <v>13.2</v>
      </c>
      <c r="O74" s="92">
        <v>33.6</v>
      </c>
      <c r="P74" s="92">
        <v>0.8</v>
      </c>
      <c r="Q74" s="92">
        <v>51.6</v>
      </c>
      <c r="R74" s="92">
        <v>0</v>
      </c>
      <c r="S74" s="92">
        <v>0.01</v>
      </c>
      <c r="T74" s="92">
        <v>0</v>
      </c>
      <c r="U74" s="93" t="s">
        <v>167</v>
      </c>
      <c r="V74" s="93" t="s">
        <v>39</v>
      </c>
    </row>
    <row r="75" spans="1:22" s="99" customFormat="1" ht="21.6" customHeight="1" x14ac:dyDescent="0.2">
      <c r="A75" s="95" t="s">
        <v>40</v>
      </c>
      <c r="B75" s="101">
        <f>SUM(B68:B74)</f>
        <v>845</v>
      </c>
      <c r="C75" s="97">
        <f t="shared" ref="C75" si="9">SUM(C68:C74)</f>
        <v>23.135999999999999</v>
      </c>
      <c r="D75" s="97">
        <f t="shared" ref="D75:T75" si="10">SUM(D68:D74)</f>
        <v>27.258805194805191</v>
      </c>
      <c r="E75" s="97">
        <v>101.5</v>
      </c>
      <c r="F75" s="97">
        <f t="shared" si="10"/>
        <v>750.02350649350649</v>
      </c>
      <c r="G75" s="97">
        <f t="shared" si="10"/>
        <v>0.31551428571428569</v>
      </c>
      <c r="H75" s="97">
        <f t="shared" si="10"/>
        <v>44.751428571428569</v>
      </c>
      <c r="I75" s="97">
        <f t="shared" si="10"/>
        <v>88.084285714285713</v>
      </c>
      <c r="J75" s="97">
        <f t="shared" si="10"/>
        <v>8.19</v>
      </c>
      <c r="K75" s="97">
        <f t="shared" si="10"/>
        <v>0.08</v>
      </c>
      <c r="L75" s="97">
        <f t="shared" si="10"/>
        <v>0.31571428571428578</v>
      </c>
      <c r="M75" s="97">
        <f t="shared" si="10"/>
        <v>200.46071428571426</v>
      </c>
      <c r="N75" s="97">
        <f t="shared" si="10"/>
        <v>111.95357142857142</v>
      </c>
      <c r="O75" s="97">
        <f t="shared" si="10"/>
        <v>326.19071428571431</v>
      </c>
      <c r="P75" s="97">
        <f t="shared" si="10"/>
        <v>8.8121428571428595</v>
      </c>
      <c r="Q75" s="97">
        <f t="shared" si="10"/>
        <v>1682.3057142857142</v>
      </c>
      <c r="R75" s="97">
        <f t="shared" si="10"/>
        <v>109.46</v>
      </c>
      <c r="S75" s="97">
        <f t="shared" si="10"/>
        <v>0.47000000000000003</v>
      </c>
      <c r="T75" s="97">
        <f t="shared" si="10"/>
        <v>0.01</v>
      </c>
      <c r="U75" s="98"/>
      <c r="V75" s="98"/>
    </row>
    <row r="76" spans="1:22" s="99" customFormat="1" ht="14.65" customHeight="1" x14ac:dyDescent="0.2">
      <c r="A76" s="143" t="s">
        <v>50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5"/>
      <c r="U76" s="100"/>
      <c r="V76" s="100"/>
    </row>
    <row r="77" spans="1:22" s="94" customFormat="1" ht="18" customHeight="1" x14ac:dyDescent="0.15">
      <c r="A77" s="90" t="s">
        <v>175</v>
      </c>
      <c r="B77" s="91">
        <v>150</v>
      </c>
      <c r="C77" s="92">
        <v>8.33</v>
      </c>
      <c r="D77" s="92">
        <v>9.98</v>
      </c>
      <c r="E77" s="92">
        <v>18.600000000000001</v>
      </c>
      <c r="F77" s="92">
        <v>215.09</v>
      </c>
      <c r="G77" s="92">
        <v>0.12</v>
      </c>
      <c r="H77" s="92">
        <v>11.8</v>
      </c>
      <c r="I77" s="92">
        <v>0.5</v>
      </c>
      <c r="J77" s="92">
        <v>1.49</v>
      </c>
      <c r="K77" s="92">
        <v>0.08</v>
      </c>
      <c r="L77" s="92">
        <v>0.16</v>
      </c>
      <c r="M77" s="92">
        <v>42.07</v>
      </c>
      <c r="N77" s="92">
        <v>39.409999999999997</v>
      </c>
      <c r="O77" s="92">
        <v>150.08000000000001</v>
      </c>
      <c r="P77" s="92">
        <v>2.2200000000000002</v>
      </c>
      <c r="Q77" s="92">
        <v>627.5</v>
      </c>
      <c r="R77" s="92">
        <v>8.8800000000000008</v>
      </c>
      <c r="S77" s="92">
        <v>0.09</v>
      </c>
      <c r="T77" s="92">
        <v>0.01</v>
      </c>
      <c r="U77" s="93" t="s">
        <v>176</v>
      </c>
      <c r="V77" s="93">
        <v>2023</v>
      </c>
    </row>
    <row r="78" spans="1:22" s="94" customFormat="1" ht="15" customHeight="1" x14ac:dyDescent="0.15">
      <c r="A78" s="90" t="s">
        <v>33</v>
      </c>
      <c r="B78" s="91">
        <v>180</v>
      </c>
      <c r="C78" s="92">
        <f>1.52*180/200</f>
        <v>1.3680000000000001</v>
      </c>
      <c r="D78" s="92">
        <f>1.35*180/200</f>
        <v>1.2150000000000001</v>
      </c>
      <c r="E78" s="92">
        <f>15.9*180/200</f>
        <v>14.31</v>
      </c>
      <c r="F78" s="92">
        <f>81*180/200</f>
        <v>72.900000000000006</v>
      </c>
      <c r="G78" s="92">
        <f>0.04</f>
        <v>0.04</v>
      </c>
      <c r="H78" s="92">
        <v>1.33</v>
      </c>
      <c r="I78" s="92">
        <v>0.41</v>
      </c>
      <c r="J78" s="92">
        <v>0</v>
      </c>
      <c r="K78" s="92">
        <v>0</v>
      </c>
      <c r="L78" s="92">
        <v>0.16</v>
      </c>
      <c r="M78" s="92">
        <v>126.6</v>
      </c>
      <c r="N78" s="92">
        <v>15.4</v>
      </c>
      <c r="O78" s="92">
        <v>92.8</v>
      </c>
      <c r="P78" s="92">
        <v>0.41</v>
      </c>
      <c r="Q78" s="92">
        <v>154.6</v>
      </c>
      <c r="R78" s="92">
        <v>4.5</v>
      </c>
      <c r="S78" s="92">
        <v>0</v>
      </c>
      <c r="T78" s="92">
        <v>0</v>
      </c>
      <c r="U78" s="93" t="s">
        <v>34</v>
      </c>
      <c r="V78" s="93" t="s">
        <v>29</v>
      </c>
    </row>
    <row r="79" spans="1:22" s="94" customFormat="1" ht="15.75" customHeight="1" x14ac:dyDescent="0.15">
      <c r="A79" s="90" t="s">
        <v>49</v>
      </c>
      <c r="B79" s="91">
        <v>20</v>
      </c>
      <c r="C79" s="92">
        <v>1.53</v>
      </c>
      <c r="D79" s="92">
        <v>0.12</v>
      </c>
      <c r="E79" s="92">
        <v>10.039999999999999</v>
      </c>
      <c r="F79" s="92">
        <v>47.36</v>
      </c>
      <c r="G79" s="92">
        <v>0.03</v>
      </c>
      <c r="H79" s="92">
        <v>0</v>
      </c>
      <c r="I79" s="92">
        <v>0</v>
      </c>
      <c r="J79" s="92">
        <v>0.39</v>
      </c>
      <c r="K79" s="92">
        <v>0</v>
      </c>
      <c r="L79" s="92">
        <v>0.01</v>
      </c>
      <c r="M79" s="92">
        <v>4.5999999999999996</v>
      </c>
      <c r="N79" s="92">
        <v>6.6</v>
      </c>
      <c r="O79" s="92">
        <v>16.8</v>
      </c>
      <c r="P79" s="92">
        <v>0.4</v>
      </c>
      <c r="Q79" s="92">
        <v>25.8</v>
      </c>
      <c r="R79" s="92">
        <v>0</v>
      </c>
      <c r="S79" s="92">
        <v>0</v>
      </c>
      <c r="T79" s="92">
        <v>0</v>
      </c>
      <c r="U79" s="93" t="s">
        <v>167</v>
      </c>
      <c r="V79" s="93" t="s">
        <v>39</v>
      </c>
    </row>
    <row r="80" spans="1:22" s="99" customFormat="1" ht="15.75" customHeight="1" x14ac:dyDescent="0.2">
      <c r="A80" s="95" t="s">
        <v>40</v>
      </c>
      <c r="B80" s="101">
        <f>SUM(B77:B79)</f>
        <v>350</v>
      </c>
      <c r="C80" s="97">
        <f t="shared" ref="C80:T80" si="11">SUM(C77:C79)</f>
        <v>11.228</v>
      </c>
      <c r="D80" s="97">
        <f t="shared" si="11"/>
        <v>11.315</v>
      </c>
      <c r="E80" s="97">
        <v>42.9</v>
      </c>
      <c r="F80" s="97">
        <f t="shared" si="11"/>
        <v>335.35</v>
      </c>
      <c r="G80" s="97">
        <f t="shared" si="11"/>
        <v>0.19</v>
      </c>
      <c r="H80" s="97">
        <f t="shared" si="11"/>
        <v>13.13</v>
      </c>
      <c r="I80" s="97">
        <f t="shared" si="11"/>
        <v>0.90999999999999992</v>
      </c>
      <c r="J80" s="97">
        <f t="shared" si="11"/>
        <v>1.88</v>
      </c>
      <c r="K80" s="97">
        <f t="shared" si="11"/>
        <v>0.08</v>
      </c>
      <c r="L80" s="97">
        <f t="shared" si="11"/>
        <v>0.33</v>
      </c>
      <c r="M80" s="97">
        <f t="shared" si="11"/>
        <v>173.26999999999998</v>
      </c>
      <c r="N80" s="97">
        <f t="shared" si="11"/>
        <v>61.41</v>
      </c>
      <c r="O80" s="97">
        <f t="shared" si="11"/>
        <v>259.68</v>
      </c>
      <c r="P80" s="97">
        <f t="shared" si="11"/>
        <v>3.0300000000000002</v>
      </c>
      <c r="Q80" s="97">
        <f t="shared" si="11"/>
        <v>807.9</v>
      </c>
      <c r="R80" s="97">
        <f t="shared" si="11"/>
        <v>13.38</v>
      </c>
      <c r="S80" s="97">
        <f t="shared" si="11"/>
        <v>0.09</v>
      </c>
      <c r="T80" s="97">
        <f t="shared" si="11"/>
        <v>0.01</v>
      </c>
      <c r="U80" s="98"/>
      <c r="V80" s="98"/>
    </row>
    <row r="81" spans="1:22" s="99" customFormat="1" ht="21.6" customHeight="1" x14ac:dyDescent="0.2">
      <c r="A81" s="95" t="s">
        <v>54</v>
      </c>
      <c r="B81" s="96"/>
      <c r="C81" s="97">
        <f>C80+C75+C66</f>
        <v>53.804000000000002</v>
      </c>
      <c r="D81" s="97">
        <f t="shared" ref="D81:T81" si="12">D80+D75+D66</f>
        <v>58.194805194805191</v>
      </c>
      <c r="E81" s="97">
        <f t="shared" si="12"/>
        <v>221.44</v>
      </c>
      <c r="F81" s="97">
        <f t="shared" si="12"/>
        <v>1658.2335064935064</v>
      </c>
      <c r="G81" s="97">
        <f t="shared" si="12"/>
        <v>0.77911428571428565</v>
      </c>
      <c r="H81" s="97">
        <f t="shared" si="12"/>
        <v>90.674828571428577</v>
      </c>
      <c r="I81" s="97">
        <f t="shared" si="12"/>
        <v>93.314285714285717</v>
      </c>
      <c r="J81" s="97">
        <f t="shared" si="12"/>
        <v>18.05</v>
      </c>
      <c r="K81" s="97">
        <f t="shared" si="12"/>
        <v>0.16</v>
      </c>
      <c r="L81" s="97">
        <f t="shared" si="12"/>
        <v>1.705714285714286</v>
      </c>
      <c r="M81" s="97">
        <f t="shared" si="12"/>
        <v>568.7727142857143</v>
      </c>
      <c r="N81" s="97">
        <f t="shared" si="12"/>
        <v>250.9375714285714</v>
      </c>
      <c r="O81" s="97">
        <f t="shared" si="12"/>
        <v>930.28671428571431</v>
      </c>
      <c r="P81" s="97">
        <f t="shared" si="12"/>
        <v>18.100342857142859</v>
      </c>
      <c r="Q81" s="97">
        <f t="shared" si="12"/>
        <v>3694.3257142857142</v>
      </c>
      <c r="R81" s="97">
        <f t="shared" si="12"/>
        <v>136.58999999999997</v>
      </c>
      <c r="S81" s="97">
        <f t="shared" si="12"/>
        <v>0.73000000000000009</v>
      </c>
      <c r="T81" s="97">
        <f t="shared" si="12"/>
        <v>0.04</v>
      </c>
      <c r="U81" s="98"/>
      <c r="V81" s="98"/>
    </row>
    <row r="82" spans="1:22" s="99" customFormat="1" ht="13.5" customHeight="1" x14ac:dyDescent="0.2">
      <c r="A82" s="102"/>
      <c r="B82" s="102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2"/>
      <c r="V82" s="102"/>
    </row>
    <row r="83" spans="1:22" s="94" customFormat="1" ht="27.75" customHeight="1" x14ac:dyDescent="0.15">
      <c r="A83" s="133" t="s">
        <v>212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</row>
    <row r="84" spans="1:22" s="104" customFormat="1" ht="13.35" customHeight="1" x14ac:dyDescent="0.2">
      <c r="A84" s="135" t="s">
        <v>1</v>
      </c>
      <c r="B84" s="135" t="s">
        <v>2</v>
      </c>
      <c r="C84" s="137" t="s">
        <v>3</v>
      </c>
      <c r="D84" s="138"/>
      <c r="E84" s="139"/>
      <c r="F84" s="140" t="s">
        <v>4</v>
      </c>
      <c r="G84" s="137" t="s">
        <v>5</v>
      </c>
      <c r="H84" s="138"/>
      <c r="I84" s="138"/>
      <c r="J84" s="138"/>
      <c r="K84" s="138"/>
      <c r="L84" s="139"/>
      <c r="M84" s="137" t="s">
        <v>6</v>
      </c>
      <c r="N84" s="138"/>
      <c r="O84" s="138"/>
      <c r="P84" s="138"/>
      <c r="Q84" s="138"/>
      <c r="R84" s="138"/>
      <c r="S84" s="138"/>
      <c r="T84" s="139"/>
      <c r="U84" s="96" t="s">
        <v>7</v>
      </c>
      <c r="V84" s="96" t="s">
        <v>8</v>
      </c>
    </row>
    <row r="85" spans="1:22" s="99" customFormat="1" ht="26.65" customHeight="1" x14ac:dyDescent="0.2">
      <c r="A85" s="136"/>
      <c r="B85" s="136"/>
      <c r="C85" s="97" t="s">
        <v>9</v>
      </c>
      <c r="D85" s="97" t="s">
        <v>10</v>
      </c>
      <c r="E85" s="97" t="s">
        <v>11</v>
      </c>
      <c r="F85" s="141"/>
      <c r="G85" s="97" t="s">
        <v>12</v>
      </c>
      <c r="H85" s="97" t="s">
        <v>13</v>
      </c>
      <c r="I85" s="97" t="s">
        <v>14</v>
      </c>
      <c r="J85" s="97" t="s">
        <v>15</v>
      </c>
      <c r="K85" s="97" t="s">
        <v>16</v>
      </c>
      <c r="L85" s="97" t="s">
        <v>17</v>
      </c>
      <c r="M85" s="97" t="s">
        <v>18</v>
      </c>
      <c r="N85" s="97" t="s">
        <v>19</v>
      </c>
      <c r="O85" s="97" t="s">
        <v>20</v>
      </c>
      <c r="P85" s="97" t="s">
        <v>21</v>
      </c>
      <c r="Q85" s="97" t="s">
        <v>22</v>
      </c>
      <c r="R85" s="97" t="s">
        <v>23</v>
      </c>
      <c r="S85" s="97" t="s">
        <v>24</v>
      </c>
      <c r="T85" s="97" t="s">
        <v>25</v>
      </c>
      <c r="U85" s="96"/>
      <c r="V85" s="96"/>
    </row>
    <row r="86" spans="1:22" s="99" customFormat="1" ht="14.65" customHeight="1" x14ac:dyDescent="0.2">
      <c r="A86" s="143" t="s">
        <v>26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5"/>
      <c r="U86" s="100"/>
      <c r="V86" s="100"/>
    </row>
    <row r="87" spans="1:22" s="94" customFormat="1" ht="18" customHeight="1" x14ac:dyDescent="0.15">
      <c r="A87" s="90" t="s">
        <v>240</v>
      </c>
      <c r="B87" s="91">
        <v>120</v>
      </c>
      <c r="C87" s="92">
        <f>1.3*120/100</f>
        <v>1.56</v>
      </c>
      <c r="D87" s="92">
        <f>1*120/100</f>
        <v>1.2</v>
      </c>
      <c r="E87" s="92">
        <f>8.8*120/100</f>
        <v>10.56</v>
      </c>
      <c r="F87" s="92">
        <f>44.2*120/100</f>
        <v>53.04</v>
      </c>
      <c r="G87" s="92">
        <v>0.06</v>
      </c>
      <c r="H87" s="92">
        <f>90*100/150</f>
        <v>60</v>
      </c>
      <c r="I87" s="92">
        <v>0.02</v>
      </c>
      <c r="J87" s="92">
        <v>0.33</v>
      </c>
      <c r="K87" s="92">
        <v>0</v>
      </c>
      <c r="L87" s="92">
        <v>0.05</v>
      </c>
      <c r="M87" s="92">
        <v>51</v>
      </c>
      <c r="N87" s="92">
        <v>19.5</v>
      </c>
      <c r="O87" s="92">
        <v>34.5</v>
      </c>
      <c r="P87" s="92">
        <v>0.45</v>
      </c>
      <c r="Q87" s="92">
        <v>295.5</v>
      </c>
      <c r="R87" s="92">
        <v>3</v>
      </c>
      <c r="S87" s="92">
        <v>0.03</v>
      </c>
      <c r="T87" s="92">
        <v>0</v>
      </c>
      <c r="U87" s="93" t="s">
        <v>170</v>
      </c>
      <c r="V87" s="93" t="s">
        <v>29</v>
      </c>
    </row>
    <row r="88" spans="1:22" s="94" customFormat="1" ht="13.5" customHeight="1" x14ac:dyDescent="0.15">
      <c r="A88" s="90" t="s">
        <v>88</v>
      </c>
      <c r="B88" s="91">
        <v>160</v>
      </c>
      <c r="C88" s="92">
        <v>10.76</v>
      </c>
      <c r="D88" s="92">
        <v>14.48</v>
      </c>
      <c r="E88" s="92">
        <v>29.7</v>
      </c>
      <c r="F88" s="92">
        <f>138*150/80</f>
        <v>258.75</v>
      </c>
      <c r="G88" s="92">
        <f>0.036*150/80</f>
        <v>6.7499999999999991E-2</v>
      </c>
      <c r="H88" s="92">
        <f>0.63*150/80</f>
        <v>1.1812499999999999</v>
      </c>
      <c r="I88" s="92">
        <f>22.1*150/80</f>
        <v>41.4375</v>
      </c>
      <c r="J88" s="92">
        <v>0.42</v>
      </c>
      <c r="K88" s="92">
        <v>0.19</v>
      </c>
      <c r="L88" s="92">
        <f>0.101*150/80</f>
        <v>0.18937500000000002</v>
      </c>
      <c r="M88" s="92">
        <f>61.29*150/80</f>
        <v>114.91875</v>
      </c>
      <c r="N88" s="92">
        <f>12.68*150/80</f>
        <v>23.774999999999999</v>
      </c>
      <c r="O88" s="92">
        <f>80.7*150/80</f>
        <v>151.3125</v>
      </c>
      <c r="P88" s="92">
        <f>0.59*150/80</f>
        <v>1.10625</v>
      </c>
      <c r="Q88" s="92">
        <f>91.8*150/80</f>
        <v>172.125</v>
      </c>
      <c r="R88" s="92">
        <v>1.51</v>
      </c>
      <c r="S88" s="92">
        <v>0.04</v>
      </c>
      <c r="T88" s="92">
        <v>0.03</v>
      </c>
      <c r="U88" s="93" t="s">
        <v>177</v>
      </c>
      <c r="V88" s="93">
        <v>2023</v>
      </c>
    </row>
    <row r="89" spans="1:22" s="94" customFormat="1" ht="16.5" customHeight="1" x14ac:dyDescent="0.15">
      <c r="A89" s="90" t="s">
        <v>89</v>
      </c>
      <c r="B89" s="91">
        <v>180</v>
      </c>
      <c r="C89" s="92">
        <v>5.8</v>
      </c>
      <c r="D89" s="92">
        <v>5</v>
      </c>
      <c r="E89" s="92">
        <v>8</v>
      </c>
      <c r="F89" s="92">
        <v>106</v>
      </c>
      <c r="G89" s="92">
        <v>0.08</v>
      </c>
      <c r="H89" s="92">
        <v>1.4</v>
      </c>
      <c r="I89" s="92">
        <v>0.05</v>
      </c>
      <c r="J89" s="92">
        <v>0.14000000000000001</v>
      </c>
      <c r="K89" s="92">
        <v>0</v>
      </c>
      <c r="L89" s="92">
        <v>0.34</v>
      </c>
      <c r="M89" s="92">
        <v>240</v>
      </c>
      <c r="N89" s="92">
        <v>28</v>
      </c>
      <c r="O89" s="92">
        <v>190</v>
      </c>
      <c r="P89" s="92">
        <v>0.2</v>
      </c>
      <c r="Q89" s="92">
        <v>292</v>
      </c>
      <c r="R89" s="92">
        <v>18</v>
      </c>
      <c r="S89" s="92">
        <v>0.04</v>
      </c>
      <c r="T89" s="92">
        <v>0</v>
      </c>
      <c r="U89" s="93" t="s">
        <v>70</v>
      </c>
      <c r="V89" s="93" t="s">
        <v>29</v>
      </c>
    </row>
    <row r="90" spans="1:22" s="94" customFormat="1" ht="15" customHeight="1" x14ac:dyDescent="0.15">
      <c r="A90" s="90" t="s">
        <v>49</v>
      </c>
      <c r="B90" s="91">
        <v>30</v>
      </c>
      <c r="C90" s="92">
        <v>2.2999999999999998</v>
      </c>
      <c r="D90" s="92">
        <v>0.19</v>
      </c>
      <c r="E90" s="92">
        <v>15.05</v>
      </c>
      <c r="F90" s="92">
        <v>71.05</v>
      </c>
      <c r="G90" s="92">
        <v>0.05</v>
      </c>
      <c r="H90" s="92">
        <v>0</v>
      </c>
      <c r="I90" s="92">
        <v>0</v>
      </c>
      <c r="J90" s="92">
        <v>0.59</v>
      </c>
      <c r="K90" s="92">
        <v>0</v>
      </c>
      <c r="L90" s="92">
        <v>0.02</v>
      </c>
      <c r="M90" s="92">
        <v>6.9</v>
      </c>
      <c r="N90" s="92">
        <v>9.9</v>
      </c>
      <c r="O90" s="92">
        <v>25.2</v>
      </c>
      <c r="P90" s="92">
        <v>0.6</v>
      </c>
      <c r="Q90" s="92">
        <v>38.700000000000003</v>
      </c>
      <c r="R90" s="92">
        <v>0</v>
      </c>
      <c r="S90" s="92">
        <v>0</v>
      </c>
      <c r="T90" s="92">
        <v>0</v>
      </c>
      <c r="U90" s="93" t="s">
        <v>167</v>
      </c>
      <c r="V90" s="93" t="s">
        <v>39</v>
      </c>
    </row>
    <row r="91" spans="1:22" s="94" customFormat="1" ht="15.75" customHeight="1" x14ac:dyDescent="0.15">
      <c r="A91" s="90" t="s">
        <v>38</v>
      </c>
      <c r="B91" s="91">
        <v>20</v>
      </c>
      <c r="C91" s="92">
        <v>1.1200000000000001</v>
      </c>
      <c r="D91" s="92">
        <v>0.22</v>
      </c>
      <c r="E91" s="92">
        <v>9.8800000000000008</v>
      </c>
      <c r="F91" s="92">
        <v>45.98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  <c r="R91" s="92">
        <v>0</v>
      </c>
      <c r="S91" s="92">
        <v>0</v>
      </c>
      <c r="T91" s="92">
        <v>0</v>
      </c>
      <c r="U91" s="93" t="s">
        <v>167</v>
      </c>
      <c r="V91" s="93" t="s">
        <v>39</v>
      </c>
    </row>
    <row r="92" spans="1:22" s="99" customFormat="1" ht="16.5" customHeight="1" x14ac:dyDescent="0.2">
      <c r="A92" s="95" t="s">
        <v>40</v>
      </c>
      <c r="B92" s="101">
        <f>SUM(B87:B91)</f>
        <v>510</v>
      </c>
      <c r="C92" s="132">
        <v>21.6</v>
      </c>
      <c r="D92" s="132">
        <f t="shared" ref="D92:T92" si="13">SUM(D87:D91)</f>
        <v>21.09</v>
      </c>
      <c r="E92" s="132">
        <v>73.3</v>
      </c>
      <c r="F92" s="97">
        <v>534.9</v>
      </c>
      <c r="G92" s="97">
        <f t="shared" si="13"/>
        <v>0.25750000000000001</v>
      </c>
      <c r="H92" s="97">
        <f t="shared" si="13"/>
        <v>62.581249999999997</v>
      </c>
      <c r="I92" s="97">
        <f t="shared" si="13"/>
        <v>41.5075</v>
      </c>
      <c r="J92" s="97">
        <f t="shared" si="13"/>
        <v>1.48</v>
      </c>
      <c r="K92" s="97">
        <f t="shared" si="13"/>
        <v>0.19</v>
      </c>
      <c r="L92" s="97">
        <f t="shared" si="13"/>
        <v>0.59937499999999999</v>
      </c>
      <c r="M92" s="97">
        <f t="shared" si="13"/>
        <v>412.81874999999997</v>
      </c>
      <c r="N92" s="97">
        <f t="shared" si="13"/>
        <v>81.175000000000011</v>
      </c>
      <c r="O92" s="97">
        <f t="shared" si="13"/>
        <v>401.01249999999999</v>
      </c>
      <c r="P92" s="97">
        <f t="shared" si="13"/>
        <v>2.3562499999999997</v>
      </c>
      <c r="Q92" s="97">
        <f t="shared" si="13"/>
        <v>798.32500000000005</v>
      </c>
      <c r="R92" s="97">
        <f t="shared" si="13"/>
        <v>22.509999999999998</v>
      </c>
      <c r="S92" s="97">
        <f t="shared" si="13"/>
        <v>0.11000000000000001</v>
      </c>
      <c r="T92" s="97">
        <f t="shared" si="13"/>
        <v>0.03</v>
      </c>
      <c r="U92" s="98"/>
      <c r="V92" s="98"/>
    </row>
    <row r="93" spans="1:22" s="99" customFormat="1" ht="14.65" customHeight="1" x14ac:dyDescent="0.2">
      <c r="A93" s="143" t="s">
        <v>41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5"/>
      <c r="U93" s="100"/>
      <c r="V93" s="100"/>
    </row>
    <row r="94" spans="1:22" s="99" customFormat="1" ht="16.5" customHeight="1" x14ac:dyDescent="0.2">
      <c r="A94" s="90" t="s">
        <v>90</v>
      </c>
      <c r="B94" s="91">
        <v>60</v>
      </c>
      <c r="C94" s="92">
        <v>0.8</v>
      </c>
      <c r="D94" s="92">
        <v>1.3</v>
      </c>
      <c r="E94" s="92">
        <v>4.2</v>
      </c>
      <c r="F94" s="92">
        <v>27.5</v>
      </c>
      <c r="G94" s="92">
        <v>0.03</v>
      </c>
      <c r="H94" s="92">
        <v>1.82</v>
      </c>
      <c r="I94" s="92">
        <v>1.1100000000000001</v>
      </c>
      <c r="J94" s="92">
        <v>1.63</v>
      </c>
      <c r="K94" s="92">
        <v>0</v>
      </c>
      <c r="L94" s="92">
        <v>0.03</v>
      </c>
      <c r="M94" s="92">
        <v>30.1</v>
      </c>
      <c r="N94" s="92">
        <v>20.059999999999999</v>
      </c>
      <c r="O94" s="92">
        <v>29.57</v>
      </c>
      <c r="P94" s="92">
        <v>0.54</v>
      </c>
      <c r="Q94" s="92">
        <v>122.7</v>
      </c>
      <c r="R94" s="92">
        <v>2.75</v>
      </c>
      <c r="S94" s="92">
        <v>0.03</v>
      </c>
      <c r="T94" s="92">
        <v>0</v>
      </c>
      <c r="U94" s="93" t="s">
        <v>237</v>
      </c>
      <c r="V94" s="93" t="s">
        <v>52</v>
      </c>
    </row>
    <row r="95" spans="1:22" s="94" customFormat="1" ht="17.25" customHeight="1" x14ac:dyDescent="0.15">
      <c r="A95" s="90" t="s">
        <v>91</v>
      </c>
      <c r="B95" s="91">
        <v>200</v>
      </c>
      <c r="C95" s="92">
        <v>3</v>
      </c>
      <c r="D95" s="92">
        <v>4.7</v>
      </c>
      <c r="E95" s="92">
        <v>12.9</v>
      </c>
      <c r="F95" s="92">
        <v>107.3</v>
      </c>
      <c r="G95" s="92">
        <v>0.06</v>
      </c>
      <c r="H95" s="92">
        <v>5.52</v>
      </c>
      <c r="I95" s="92">
        <v>0.19</v>
      </c>
      <c r="J95" s="92">
        <v>1.84</v>
      </c>
      <c r="K95" s="92">
        <v>0</v>
      </c>
      <c r="L95" s="92">
        <v>0.04</v>
      </c>
      <c r="M95" s="92">
        <v>49.24</v>
      </c>
      <c r="N95" s="92">
        <v>26.69</v>
      </c>
      <c r="O95" s="92">
        <v>72.25</v>
      </c>
      <c r="P95" s="92">
        <v>1.3</v>
      </c>
      <c r="Q95" s="92">
        <v>364.3</v>
      </c>
      <c r="R95" s="92">
        <v>3.94</v>
      </c>
      <c r="S95" s="92">
        <v>0.02</v>
      </c>
      <c r="T95" s="92">
        <v>0</v>
      </c>
      <c r="U95" s="93" t="s">
        <v>92</v>
      </c>
      <c r="V95" s="93" t="s">
        <v>29</v>
      </c>
    </row>
    <row r="96" spans="1:22" s="94" customFormat="1" ht="15" customHeight="1" x14ac:dyDescent="0.15">
      <c r="A96" s="90" t="s">
        <v>93</v>
      </c>
      <c r="B96" s="91">
        <v>170</v>
      </c>
      <c r="C96" s="92">
        <f>12.3*170/175</f>
        <v>11.948571428571428</v>
      </c>
      <c r="D96" s="92">
        <v>21.8</v>
      </c>
      <c r="E96" s="92">
        <f>16.58*170/175</f>
        <v>16.106285714285715</v>
      </c>
      <c r="F96" s="92">
        <f>323*170/175</f>
        <v>313.77142857142854</v>
      </c>
      <c r="G96" s="92">
        <v>0.36</v>
      </c>
      <c r="H96" s="92">
        <v>7.2</v>
      </c>
      <c r="I96" s="92">
        <v>0.03</v>
      </c>
      <c r="J96" s="92">
        <v>1.42</v>
      </c>
      <c r="K96" s="92">
        <v>0.05</v>
      </c>
      <c r="L96" s="92">
        <v>0.13</v>
      </c>
      <c r="M96" s="92">
        <v>25.93</v>
      </c>
      <c r="N96" s="92">
        <v>36.19</v>
      </c>
      <c r="O96" s="92">
        <v>160.52000000000001</v>
      </c>
      <c r="P96" s="92">
        <v>2.1</v>
      </c>
      <c r="Q96" s="92">
        <v>733.2</v>
      </c>
      <c r="R96" s="92">
        <v>9.64</v>
      </c>
      <c r="S96" s="92">
        <v>7.0000000000000007E-2</v>
      </c>
      <c r="T96" s="92">
        <v>0</v>
      </c>
      <c r="U96" s="93" t="s">
        <v>94</v>
      </c>
      <c r="V96" s="93">
        <v>2017</v>
      </c>
    </row>
    <row r="97" spans="1:22" s="94" customFormat="1" ht="17.25" customHeight="1" x14ac:dyDescent="0.15">
      <c r="A97" s="90" t="s">
        <v>118</v>
      </c>
      <c r="B97" s="91">
        <v>180</v>
      </c>
      <c r="C97" s="92">
        <v>2.65</v>
      </c>
      <c r="D97" s="92">
        <v>3.19</v>
      </c>
      <c r="E97" s="92">
        <v>15.82</v>
      </c>
      <c r="F97" s="92">
        <v>106.74</v>
      </c>
      <c r="G97" s="92">
        <v>0.03</v>
      </c>
      <c r="H97" s="92">
        <v>0.47</v>
      </c>
      <c r="I97" s="92">
        <v>0.01</v>
      </c>
      <c r="J97" s="92">
        <v>0</v>
      </c>
      <c r="K97" s="92">
        <v>0</v>
      </c>
      <c r="L97" s="92">
        <v>0.1</v>
      </c>
      <c r="M97" s="92">
        <v>100.28</v>
      </c>
      <c r="N97" s="92">
        <v>24.74</v>
      </c>
      <c r="O97" s="92">
        <v>86.02</v>
      </c>
      <c r="P97" s="92">
        <v>0.78</v>
      </c>
      <c r="Q97" s="92">
        <v>186.56</v>
      </c>
      <c r="R97" s="92">
        <v>8.1</v>
      </c>
      <c r="S97" s="92">
        <v>0</v>
      </c>
      <c r="T97" s="92">
        <v>0</v>
      </c>
      <c r="U97" s="93" t="s">
        <v>95</v>
      </c>
      <c r="V97" s="93" t="s">
        <v>29</v>
      </c>
    </row>
    <row r="98" spans="1:22" s="94" customFormat="1" ht="15" customHeight="1" x14ac:dyDescent="0.15">
      <c r="A98" s="90" t="s">
        <v>96</v>
      </c>
      <c r="B98" s="130">
        <v>30</v>
      </c>
      <c r="C98" s="131">
        <v>2.2999999999999998</v>
      </c>
      <c r="D98" s="131">
        <v>3</v>
      </c>
      <c r="E98" s="131">
        <v>22</v>
      </c>
      <c r="F98" s="131">
        <v>125.1</v>
      </c>
      <c r="G98" s="92">
        <v>0.02</v>
      </c>
      <c r="H98" s="92">
        <v>0</v>
      </c>
      <c r="I98" s="92">
        <v>0</v>
      </c>
      <c r="J98" s="92">
        <v>0</v>
      </c>
      <c r="K98" s="92">
        <v>0</v>
      </c>
      <c r="L98" s="92">
        <v>0.02</v>
      </c>
      <c r="M98" s="92">
        <v>8.6999999999999993</v>
      </c>
      <c r="N98" s="92">
        <v>6</v>
      </c>
      <c r="O98" s="92">
        <v>27</v>
      </c>
      <c r="P98" s="92">
        <v>0.63</v>
      </c>
      <c r="Q98" s="92">
        <v>33</v>
      </c>
      <c r="R98" s="92">
        <v>0</v>
      </c>
      <c r="S98" s="92">
        <v>0</v>
      </c>
      <c r="T98" s="92">
        <v>0</v>
      </c>
      <c r="U98" s="93" t="s">
        <v>167</v>
      </c>
      <c r="V98" s="93">
        <v>2017</v>
      </c>
    </row>
    <row r="99" spans="1:22" s="94" customFormat="1" ht="16.5" customHeight="1" x14ac:dyDescent="0.15">
      <c r="A99" s="90" t="s">
        <v>49</v>
      </c>
      <c r="B99" s="91">
        <v>40</v>
      </c>
      <c r="C99" s="92">
        <v>3.05</v>
      </c>
      <c r="D99" s="92">
        <v>0.25</v>
      </c>
      <c r="E99" s="92">
        <v>20.07</v>
      </c>
      <c r="F99" s="92">
        <v>94.73</v>
      </c>
      <c r="G99" s="92">
        <v>0.06</v>
      </c>
      <c r="H99" s="92">
        <v>0</v>
      </c>
      <c r="I99" s="92">
        <v>0</v>
      </c>
      <c r="J99" s="92">
        <v>0.78</v>
      </c>
      <c r="K99" s="92">
        <v>0</v>
      </c>
      <c r="L99" s="92">
        <v>0.02</v>
      </c>
      <c r="M99" s="92">
        <v>9.1999999999999993</v>
      </c>
      <c r="N99" s="92">
        <v>13.2</v>
      </c>
      <c r="O99" s="92">
        <v>33.6</v>
      </c>
      <c r="P99" s="92">
        <v>0.8</v>
      </c>
      <c r="Q99" s="92">
        <v>51.6</v>
      </c>
      <c r="R99" s="92">
        <v>0</v>
      </c>
      <c r="S99" s="92">
        <v>0.01</v>
      </c>
      <c r="T99" s="92">
        <v>0</v>
      </c>
      <c r="U99" s="93" t="s">
        <v>167</v>
      </c>
      <c r="V99" s="93" t="s">
        <v>39</v>
      </c>
    </row>
    <row r="100" spans="1:22" s="94" customFormat="1" ht="15" customHeight="1" x14ac:dyDescent="0.15">
      <c r="A100" s="90" t="s">
        <v>38</v>
      </c>
      <c r="B100" s="91">
        <v>20</v>
      </c>
      <c r="C100" s="92">
        <v>1.1200000000000001</v>
      </c>
      <c r="D100" s="92">
        <v>0.22</v>
      </c>
      <c r="E100" s="92">
        <v>9.8800000000000008</v>
      </c>
      <c r="F100" s="92">
        <v>45.98</v>
      </c>
      <c r="G100" s="92">
        <v>0</v>
      </c>
      <c r="H100" s="92">
        <v>0</v>
      </c>
      <c r="I100" s="92">
        <v>0</v>
      </c>
      <c r="J100" s="92">
        <v>0</v>
      </c>
      <c r="K100" s="92">
        <v>0</v>
      </c>
      <c r="L100" s="92">
        <v>0</v>
      </c>
      <c r="M100" s="92">
        <v>0</v>
      </c>
      <c r="N100" s="92">
        <v>0</v>
      </c>
      <c r="O100" s="92">
        <v>0</v>
      </c>
      <c r="P100" s="92">
        <v>0</v>
      </c>
      <c r="Q100" s="92">
        <v>0</v>
      </c>
      <c r="R100" s="92">
        <v>0</v>
      </c>
      <c r="S100" s="92">
        <v>0</v>
      </c>
      <c r="T100" s="92">
        <v>0</v>
      </c>
      <c r="U100" s="93" t="s">
        <v>167</v>
      </c>
      <c r="V100" s="93" t="s">
        <v>39</v>
      </c>
    </row>
    <row r="101" spans="1:22" s="99" customFormat="1" ht="21.6" customHeight="1" x14ac:dyDescent="0.2">
      <c r="A101" s="95" t="s">
        <v>40</v>
      </c>
      <c r="B101" s="101">
        <f>SUM(B94:B100)</f>
        <v>700</v>
      </c>
      <c r="C101" s="97">
        <f t="shared" ref="C101:T101" si="14">SUM(C94:C100)</f>
        <v>24.868571428571428</v>
      </c>
      <c r="D101" s="97">
        <f t="shared" si="14"/>
        <v>34.46</v>
      </c>
      <c r="E101" s="97">
        <f t="shared" si="14"/>
        <v>100.97628571428569</v>
      </c>
      <c r="F101" s="97">
        <v>821</v>
      </c>
      <c r="G101" s="97">
        <f t="shared" si="14"/>
        <v>0.56000000000000005</v>
      </c>
      <c r="H101" s="97">
        <f t="shared" si="14"/>
        <v>15.01</v>
      </c>
      <c r="I101" s="97">
        <f t="shared" si="14"/>
        <v>1.34</v>
      </c>
      <c r="J101" s="97">
        <f t="shared" si="14"/>
        <v>5.67</v>
      </c>
      <c r="K101" s="97">
        <f t="shared" si="14"/>
        <v>0.05</v>
      </c>
      <c r="L101" s="97">
        <f t="shared" si="14"/>
        <v>0.34000000000000008</v>
      </c>
      <c r="M101" s="97">
        <f t="shared" si="14"/>
        <v>223.45</v>
      </c>
      <c r="N101" s="97">
        <f t="shared" si="14"/>
        <v>126.88</v>
      </c>
      <c r="O101" s="97">
        <f t="shared" si="14"/>
        <v>408.96000000000004</v>
      </c>
      <c r="P101" s="97">
        <f t="shared" si="14"/>
        <v>6.15</v>
      </c>
      <c r="Q101" s="97">
        <f t="shared" si="14"/>
        <v>1491.36</v>
      </c>
      <c r="R101" s="97">
        <f t="shared" si="14"/>
        <v>24.43</v>
      </c>
      <c r="S101" s="97">
        <f t="shared" si="14"/>
        <v>0.13</v>
      </c>
      <c r="T101" s="97">
        <f t="shared" si="14"/>
        <v>0</v>
      </c>
      <c r="U101" s="98"/>
      <c r="V101" s="98"/>
    </row>
    <row r="102" spans="1:22" s="99" customFormat="1" ht="14.65" customHeight="1" x14ac:dyDescent="0.2">
      <c r="A102" s="143" t="s">
        <v>50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5"/>
      <c r="U102" s="100"/>
      <c r="V102" s="100"/>
    </row>
    <row r="103" spans="1:22" s="94" customFormat="1" ht="14.25" customHeight="1" x14ac:dyDescent="0.15">
      <c r="A103" s="90" t="s">
        <v>128</v>
      </c>
      <c r="B103" s="91">
        <v>150</v>
      </c>
      <c r="C103" s="92">
        <v>6.1</v>
      </c>
      <c r="D103" s="92">
        <v>8.1</v>
      </c>
      <c r="E103" s="92">
        <v>24.4</v>
      </c>
      <c r="F103" s="92">
        <v>198.2</v>
      </c>
      <c r="G103" s="92">
        <v>0.12</v>
      </c>
      <c r="H103" s="92">
        <v>1.4</v>
      </c>
      <c r="I103" s="92">
        <v>0.05</v>
      </c>
      <c r="J103" s="92">
        <v>1.05</v>
      </c>
      <c r="K103" s="92">
        <v>0.09</v>
      </c>
      <c r="L103" s="92">
        <v>0.12</v>
      </c>
      <c r="M103" s="92">
        <v>108.15</v>
      </c>
      <c r="N103" s="92">
        <v>34.479999999999997</v>
      </c>
      <c r="O103" s="92">
        <v>133.16999999999999</v>
      </c>
      <c r="P103" s="92">
        <v>1.35</v>
      </c>
      <c r="Q103" s="92">
        <v>266.17</v>
      </c>
      <c r="R103" s="92">
        <v>10.44</v>
      </c>
      <c r="S103" s="92">
        <v>0.01</v>
      </c>
      <c r="T103" s="92">
        <v>0</v>
      </c>
      <c r="U103" s="93" t="s">
        <v>129</v>
      </c>
      <c r="V103" s="93" t="s">
        <v>130</v>
      </c>
    </row>
    <row r="104" spans="1:22" s="94" customFormat="1" ht="17.25" customHeight="1" x14ac:dyDescent="0.15">
      <c r="A104" s="90" t="s">
        <v>38</v>
      </c>
      <c r="B104" s="91">
        <v>20</v>
      </c>
      <c r="C104" s="92">
        <v>1.1200000000000001</v>
      </c>
      <c r="D104" s="92">
        <v>0.22</v>
      </c>
      <c r="E104" s="92">
        <v>9.8800000000000008</v>
      </c>
      <c r="F104" s="92">
        <v>45.98</v>
      </c>
      <c r="G104" s="92">
        <v>0</v>
      </c>
      <c r="H104" s="92">
        <v>0</v>
      </c>
      <c r="I104" s="92">
        <v>0</v>
      </c>
      <c r="J104" s="92">
        <v>0</v>
      </c>
      <c r="K104" s="92">
        <v>0</v>
      </c>
      <c r="L104" s="92">
        <v>0</v>
      </c>
      <c r="M104" s="92">
        <v>0</v>
      </c>
      <c r="N104" s="92">
        <v>0</v>
      </c>
      <c r="O104" s="92">
        <v>0</v>
      </c>
      <c r="P104" s="92">
        <v>0</v>
      </c>
      <c r="Q104" s="92">
        <v>0</v>
      </c>
      <c r="R104" s="92">
        <v>0</v>
      </c>
      <c r="S104" s="92">
        <v>0</v>
      </c>
      <c r="T104" s="92">
        <v>0</v>
      </c>
      <c r="U104" s="93" t="s">
        <v>167</v>
      </c>
      <c r="V104" s="93" t="s">
        <v>39</v>
      </c>
    </row>
    <row r="105" spans="1:22" s="94" customFormat="1" ht="27" customHeight="1" x14ac:dyDescent="0.15">
      <c r="A105" s="90" t="s">
        <v>71</v>
      </c>
      <c r="B105" s="91">
        <v>180</v>
      </c>
      <c r="C105" s="92">
        <v>0.14000000000000001</v>
      </c>
      <c r="D105" s="92">
        <v>0.14000000000000001</v>
      </c>
      <c r="E105" s="92">
        <v>25.09</v>
      </c>
      <c r="F105" s="92">
        <v>103.14</v>
      </c>
      <c r="G105" s="92">
        <v>0.01</v>
      </c>
      <c r="H105" s="92">
        <v>1.44</v>
      </c>
      <c r="I105" s="92">
        <v>0</v>
      </c>
      <c r="J105" s="92">
        <v>0.23</v>
      </c>
      <c r="K105" s="92">
        <v>0</v>
      </c>
      <c r="L105" s="92">
        <v>0.01</v>
      </c>
      <c r="M105" s="92">
        <v>11.84</v>
      </c>
      <c r="N105" s="92">
        <v>3.99</v>
      </c>
      <c r="O105" s="92">
        <v>3.56</v>
      </c>
      <c r="P105" s="92">
        <v>0.71</v>
      </c>
      <c r="Q105" s="92">
        <v>101.19</v>
      </c>
      <c r="R105" s="92">
        <v>0.72</v>
      </c>
      <c r="S105" s="92">
        <v>0</v>
      </c>
      <c r="T105" s="92">
        <v>0</v>
      </c>
      <c r="U105" s="93" t="s">
        <v>72</v>
      </c>
      <c r="V105" s="93">
        <v>2017</v>
      </c>
    </row>
    <row r="106" spans="1:22" s="99" customFormat="1" ht="22.5" customHeight="1" x14ac:dyDescent="0.2">
      <c r="A106" s="95" t="s">
        <v>40</v>
      </c>
      <c r="B106" s="101">
        <f>SUM(B103:B105)</f>
        <v>350</v>
      </c>
      <c r="C106" s="97">
        <v>7.3</v>
      </c>
      <c r="D106" s="97">
        <v>8.4</v>
      </c>
      <c r="E106" s="97">
        <f t="shared" ref="E106:T106" si="15">SUM(E103:E105)</f>
        <v>59.370000000000005</v>
      </c>
      <c r="F106" s="97">
        <f t="shared" si="15"/>
        <v>347.32</v>
      </c>
      <c r="G106" s="97">
        <f t="shared" si="15"/>
        <v>0.13</v>
      </c>
      <c r="H106" s="97">
        <f t="shared" si="15"/>
        <v>2.84</v>
      </c>
      <c r="I106" s="97">
        <f t="shared" si="15"/>
        <v>0.05</v>
      </c>
      <c r="J106" s="97">
        <f t="shared" si="15"/>
        <v>1.28</v>
      </c>
      <c r="K106" s="97">
        <f t="shared" si="15"/>
        <v>0.09</v>
      </c>
      <c r="L106" s="97">
        <f t="shared" si="15"/>
        <v>0.13</v>
      </c>
      <c r="M106" s="97">
        <f t="shared" si="15"/>
        <v>119.99000000000001</v>
      </c>
      <c r="N106" s="97">
        <f t="shared" si="15"/>
        <v>38.47</v>
      </c>
      <c r="O106" s="97">
        <f t="shared" si="15"/>
        <v>136.72999999999999</v>
      </c>
      <c r="P106" s="97">
        <f t="shared" si="15"/>
        <v>2.06</v>
      </c>
      <c r="Q106" s="97">
        <f t="shared" si="15"/>
        <v>367.36</v>
      </c>
      <c r="R106" s="97">
        <f t="shared" si="15"/>
        <v>11.16</v>
      </c>
      <c r="S106" s="97">
        <f t="shared" si="15"/>
        <v>0.01</v>
      </c>
      <c r="T106" s="97">
        <f t="shared" si="15"/>
        <v>0</v>
      </c>
      <c r="U106" s="98"/>
      <c r="V106" s="98"/>
    </row>
    <row r="107" spans="1:22" s="99" customFormat="1" ht="21.6" customHeight="1" x14ac:dyDescent="0.2">
      <c r="A107" s="95" t="s">
        <v>54</v>
      </c>
      <c r="B107" s="96"/>
      <c r="C107" s="97">
        <f>C106+C101+C92</f>
        <v>53.768571428571427</v>
      </c>
      <c r="D107" s="97">
        <f t="shared" ref="D107:T107" si="16">D106+D101+D92</f>
        <v>63.95</v>
      </c>
      <c r="E107" s="97">
        <f t="shared" si="16"/>
        <v>233.64628571428568</v>
      </c>
      <c r="F107" s="97">
        <f t="shared" si="16"/>
        <v>1703.2199999999998</v>
      </c>
      <c r="G107" s="97">
        <f t="shared" si="16"/>
        <v>0.94750000000000001</v>
      </c>
      <c r="H107" s="97">
        <f t="shared" si="16"/>
        <v>80.431250000000006</v>
      </c>
      <c r="I107" s="97">
        <f t="shared" si="16"/>
        <v>42.897500000000001</v>
      </c>
      <c r="J107" s="97">
        <f t="shared" si="16"/>
        <v>8.43</v>
      </c>
      <c r="K107" s="97">
        <f t="shared" si="16"/>
        <v>0.33</v>
      </c>
      <c r="L107" s="97">
        <f t="shared" si="16"/>
        <v>1.069375</v>
      </c>
      <c r="M107" s="97">
        <f t="shared" si="16"/>
        <v>756.25874999999996</v>
      </c>
      <c r="N107" s="97">
        <f t="shared" si="16"/>
        <v>246.52500000000001</v>
      </c>
      <c r="O107" s="97">
        <f t="shared" si="16"/>
        <v>946.7025000000001</v>
      </c>
      <c r="P107" s="97">
        <f t="shared" si="16"/>
        <v>10.56625</v>
      </c>
      <c r="Q107" s="97">
        <f t="shared" si="16"/>
        <v>2657.0450000000001</v>
      </c>
      <c r="R107" s="97">
        <f t="shared" si="16"/>
        <v>58.1</v>
      </c>
      <c r="S107" s="97">
        <f t="shared" si="16"/>
        <v>0.25</v>
      </c>
      <c r="T107" s="97">
        <f t="shared" si="16"/>
        <v>0.03</v>
      </c>
      <c r="U107" s="98"/>
      <c r="V107" s="98"/>
    </row>
    <row r="108" spans="1:22" s="99" customFormat="1" ht="14.1" customHeight="1" x14ac:dyDescent="0.2">
      <c r="A108" s="102"/>
      <c r="B108" s="102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2"/>
      <c r="V108" s="102"/>
    </row>
    <row r="109" spans="1:22" s="94" customFormat="1" ht="28.35" customHeight="1" x14ac:dyDescent="0.15">
      <c r="A109" s="133" t="s">
        <v>213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</row>
    <row r="110" spans="1:22" s="104" customFormat="1" ht="13.35" customHeight="1" x14ac:dyDescent="0.2">
      <c r="A110" s="135" t="s">
        <v>1</v>
      </c>
      <c r="B110" s="135" t="s">
        <v>2</v>
      </c>
      <c r="C110" s="137" t="s">
        <v>3</v>
      </c>
      <c r="D110" s="138"/>
      <c r="E110" s="139"/>
      <c r="F110" s="140" t="s">
        <v>4</v>
      </c>
      <c r="G110" s="137" t="s">
        <v>5</v>
      </c>
      <c r="H110" s="138"/>
      <c r="I110" s="138"/>
      <c r="J110" s="138"/>
      <c r="K110" s="138"/>
      <c r="L110" s="139"/>
      <c r="M110" s="137" t="s">
        <v>6</v>
      </c>
      <c r="N110" s="138"/>
      <c r="O110" s="138"/>
      <c r="P110" s="138"/>
      <c r="Q110" s="138"/>
      <c r="R110" s="138"/>
      <c r="S110" s="138"/>
      <c r="T110" s="139"/>
      <c r="U110" s="96" t="s">
        <v>7</v>
      </c>
      <c r="V110" s="96" t="s">
        <v>8</v>
      </c>
    </row>
    <row r="111" spans="1:22" s="99" customFormat="1" ht="26.65" customHeight="1" x14ac:dyDescent="0.2">
      <c r="A111" s="136"/>
      <c r="B111" s="136"/>
      <c r="C111" s="97" t="s">
        <v>9</v>
      </c>
      <c r="D111" s="97" t="s">
        <v>10</v>
      </c>
      <c r="E111" s="97" t="s">
        <v>11</v>
      </c>
      <c r="F111" s="141"/>
      <c r="G111" s="97" t="s">
        <v>12</v>
      </c>
      <c r="H111" s="97" t="s">
        <v>13</v>
      </c>
      <c r="I111" s="97" t="s">
        <v>14</v>
      </c>
      <c r="J111" s="97" t="s">
        <v>15</v>
      </c>
      <c r="K111" s="97" t="s">
        <v>16</v>
      </c>
      <c r="L111" s="97" t="s">
        <v>17</v>
      </c>
      <c r="M111" s="97" t="s">
        <v>18</v>
      </c>
      <c r="N111" s="97" t="s">
        <v>19</v>
      </c>
      <c r="O111" s="97" t="s">
        <v>20</v>
      </c>
      <c r="P111" s="97" t="s">
        <v>21</v>
      </c>
      <c r="Q111" s="97" t="s">
        <v>22</v>
      </c>
      <c r="R111" s="97" t="s">
        <v>23</v>
      </c>
      <c r="S111" s="97" t="s">
        <v>24</v>
      </c>
      <c r="T111" s="97" t="s">
        <v>25</v>
      </c>
      <c r="U111" s="96"/>
      <c r="V111" s="96"/>
    </row>
    <row r="112" spans="1:22" s="99" customFormat="1" ht="14.65" customHeight="1" x14ac:dyDescent="0.2">
      <c r="A112" s="143" t="s">
        <v>26</v>
      </c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5"/>
      <c r="U112" s="100"/>
      <c r="V112" s="100"/>
    </row>
    <row r="113" spans="1:22" s="99" customFormat="1" ht="18" customHeight="1" x14ac:dyDescent="0.2">
      <c r="A113" s="90" t="s">
        <v>56</v>
      </c>
      <c r="B113" s="91">
        <v>60</v>
      </c>
      <c r="C113" s="92">
        <v>0.5</v>
      </c>
      <c r="D113" s="92">
        <v>0.1</v>
      </c>
      <c r="E113" s="92">
        <v>1</v>
      </c>
      <c r="F113" s="92">
        <v>7.8</v>
      </c>
      <c r="G113" s="92">
        <v>0.01</v>
      </c>
      <c r="H113" s="92">
        <v>3</v>
      </c>
      <c r="I113" s="92">
        <v>0</v>
      </c>
      <c r="J113" s="92">
        <v>0</v>
      </c>
      <c r="K113" s="92">
        <v>0</v>
      </c>
      <c r="L113" s="92">
        <v>0.01</v>
      </c>
      <c r="M113" s="92">
        <v>13.8</v>
      </c>
      <c r="N113" s="92">
        <v>8.4</v>
      </c>
      <c r="O113" s="92">
        <v>14.4</v>
      </c>
      <c r="P113" s="92">
        <v>0.36</v>
      </c>
      <c r="Q113" s="92">
        <v>84.6</v>
      </c>
      <c r="R113" s="92">
        <v>0</v>
      </c>
      <c r="S113" s="92">
        <v>0</v>
      </c>
      <c r="T113" s="92">
        <v>0</v>
      </c>
      <c r="U113" s="93" t="s">
        <v>57</v>
      </c>
      <c r="V113" s="93">
        <v>2017</v>
      </c>
    </row>
    <row r="114" spans="1:22" s="94" customFormat="1" ht="18.75" customHeight="1" x14ac:dyDescent="0.15">
      <c r="A114" s="90" t="s">
        <v>165</v>
      </c>
      <c r="B114" s="91">
        <v>150</v>
      </c>
      <c r="C114" s="92">
        <f>20.43*0.15</f>
        <v>3.0644999999999998</v>
      </c>
      <c r="D114" s="92">
        <f>32.01*0.15</f>
        <v>4.8014999999999999</v>
      </c>
      <c r="E114" s="92">
        <f>136*0.15</f>
        <v>20.399999999999999</v>
      </c>
      <c r="F114" s="92">
        <f>915*0.15</f>
        <v>137.25</v>
      </c>
      <c r="G114" s="92">
        <f>0.93*0.15</f>
        <v>0.13950000000000001</v>
      </c>
      <c r="H114" s="92">
        <v>8.33</v>
      </c>
      <c r="I114" s="92">
        <v>0.03</v>
      </c>
      <c r="J114" s="92">
        <v>0.22</v>
      </c>
      <c r="K114" s="92">
        <v>0.08</v>
      </c>
      <c r="L114" s="92">
        <f>0.74*0.15</f>
        <v>0.111</v>
      </c>
      <c r="M114" s="92">
        <f>246.5*0.15</f>
        <v>36.975000000000001</v>
      </c>
      <c r="N114" s="92">
        <v>25.06</v>
      </c>
      <c r="O114" s="92">
        <f>577.3*0.15</f>
        <v>86.594999999999985</v>
      </c>
      <c r="P114" s="92">
        <v>1</v>
      </c>
      <c r="Q114" s="92">
        <f>4323*0.15</f>
        <v>648.44999999999993</v>
      </c>
      <c r="R114" s="92">
        <v>7.26</v>
      </c>
      <c r="S114" s="92">
        <v>0.03</v>
      </c>
      <c r="T114" s="92">
        <v>0</v>
      </c>
      <c r="U114" s="93" t="s">
        <v>166</v>
      </c>
      <c r="V114" s="93" t="s">
        <v>29</v>
      </c>
    </row>
    <row r="115" spans="1:22" s="99" customFormat="1" ht="15" customHeight="1" x14ac:dyDescent="0.2">
      <c r="A115" s="90" t="s">
        <v>98</v>
      </c>
      <c r="B115" s="91">
        <v>100</v>
      </c>
      <c r="C115" s="92">
        <v>12.6</v>
      </c>
      <c r="D115" s="92">
        <v>10.6</v>
      </c>
      <c r="E115" s="92">
        <v>6.9</v>
      </c>
      <c r="F115" s="92">
        <v>157.30000000000001</v>
      </c>
      <c r="G115" s="92">
        <v>0.09</v>
      </c>
      <c r="H115" s="92">
        <v>2.2799999999999998</v>
      </c>
      <c r="I115" s="92">
        <v>0.39</v>
      </c>
      <c r="J115" s="92">
        <v>1.72</v>
      </c>
      <c r="K115" s="92">
        <v>0</v>
      </c>
      <c r="L115" s="92">
        <v>0.1</v>
      </c>
      <c r="M115" s="92">
        <v>46.97</v>
      </c>
      <c r="N115" s="92">
        <v>52.14</v>
      </c>
      <c r="O115" s="92">
        <v>197.97</v>
      </c>
      <c r="P115" s="92">
        <v>1.05</v>
      </c>
      <c r="Q115" s="92">
        <v>467.68</v>
      </c>
      <c r="R115" s="92">
        <v>124.9</v>
      </c>
      <c r="S115" s="92">
        <v>0.53</v>
      </c>
      <c r="T115" s="92">
        <v>0.01</v>
      </c>
      <c r="U115" s="93" t="s">
        <v>99</v>
      </c>
      <c r="V115" s="93" t="s">
        <v>29</v>
      </c>
    </row>
    <row r="116" spans="1:22" s="94" customFormat="1" ht="28.5" customHeight="1" x14ac:dyDescent="0.15">
      <c r="A116" s="90" t="s">
        <v>71</v>
      </c>
      <c r="B116" s="91">
        <v>180</v>
      </c>
      <c r="C116" s="92">
        <v>0.14000000000000001</v>
      </c>
      <c r="D116" s="92">
        <v>0.14000000000000001</v>
      </c>
      <c r="E116" s="92">
        <v>25.09</v>
      </c>
      <c r="F116" s="92">
        <v>103.14</v>
      </c>
      <c r="G116" s="92">
        <v>0.01</v>
      </c>
      <c r="H116" s="92">
        <v>1.44</v>
      </c>
      <c r="I116" s="92">
        <v>0</v>
      </c>
      <c r="J116" s="92">
        <v>0.23</v>
      </c>
      <c r="K116" s="92">
        <v>0</v>
      </c>
      <c r="L116" s="92">
        <v>0.01</v>
      </c>
      <c r="M116" s="92">
        <v>11.84</v>
      </c>
      <c r="N116" s="92">
        <v>3.99</v>
      </c>
      <c r="O116" s="92">
        <v>3.56</v>
      </c>
      <c r="P116" s="92">
        <v>0.71</v>
      </c>
      <c r="Q116" s="92">
        <v>101.19</v>
      </c>
      <c r="R116" s="92">
        <v>0.72</v>
      </c>
      <c r="S116" s="92">
        <v>0</v>
      </c>
      <c r="T116" s="92">
        <v>0</v>
      </c>
      <c r="U116" s="93" t="s">
        <v>72</v>
      </c>
      <c r="V116" s="93">
        <v>2017</v>
      </c>
    </row>
    <row r="117" spans="1:22" s="94" customFormat="1" ht="16.5" customHeight="1" x14ac:dyDescent="0.15">
      <c r="A117" s="90" t="s">
        <v>49</v>
      </c>
      <c r="B117" s="91">
        <v>30</v>
      </c>
      <c r="C117" s="92">
        <v>2.2999999999999998</v>
      </c>
      <c r="D117" s="92">
        <v>0.19</v>
      </c>
      <c r="E117" s="92">
        <v>15.05</v>
      </c>
      <c r="F117" s="92">
        <v>71.05</v>
      </c>
      <c r="G117" s="92">
        <v>0.05</v>
      </c>
      <c r="H117" s="92">
        <v>0</v>
      </c>
      <c r="I117" s="92">
        <v>0</v>
      </c>
      <c r="J117" s="92">
        <v>0.59</v>
      </c>
      <c r="K117" s="92">
        <v>0</v>
      </c>
      <c r="L117" s="92">
        <v>0.02</v>
      </c>
      <c r="M117" s="92">
        <v>6.9</v>
      </c>
      <c r="N117" s="92">
        <v>9.9</v>
      </c>
      <c r="O117" s="92">
        <v>25.2</v>
      </c>
      <c r="P117" s="92">
        <v>0.6</v>
      </c>
      <c r="Q117" s="92">
        <v>38.700000000000003</v>
      </c>
      <c r="R117" s="92">
        <v>0</v>
      </c>
      <c r="S117" s="92">
        <v>0</v>
      </c>
      <c r="T117" s="92">
        <v>0</v>
      </c>
      <c r="U117" s="93" t="s">
        <v>167</v>
      </c>
      <c r="V117" s="93" t="s">
        <v>39</v>
      </c>
    </row>
    <row r="118" spans="1:22" s="99" customFormat="1" ht="21.6" customHeight="1" x14ac:dyDescent="0.2">
      <c r="A118" s="95" t="s">
        <v>40</v>
      </c>
      <c r="B118" s="101">
        <f>SUM(B113:B117)</f>
        <v>520</v>
      </c>
      <c r="C118" s="97">
        <f t="shared" ref="C118:T118" si="17">SUM(C113:C117)</f>
        <v>18.604500000000002</v>
      </c>
      <c r="D118" s="97">
        <f t="shared" si="17"/>
        <v>15.8315</v>
      </c>
      <c r="E118" s="97">
        <v>68.5</v>
      </c>
      <c r="F118" s="97">
        <v>476.6</v>
      </c>
      <c r="G118" s="97">
        <f t="shared" si="17"/>
        <v>0.29950000000000004</v>
      </c>
      <c r="H118" s="97">
        <f t="shared" si="17"/>
        <v>15.049999999999999</v>
      </c>
      <c r="I118" s="97">
        <f t="shared" si="17"/>
        <v>0.42000000000000004</v>
      </c>
      <c r="J118" s="97">
        <f t="shared" si="17"/>
        <v>2.76</v>
      </c>
      <c r="K118" s="97">
        <f t="shared" si="17"/>
        <v>0.08</v>
      </c>
      <c r="L118" s="97">
        <f t="shared" si="17"/>
        <v>0.251</v>
      </c>
      <c r="M118" s="97">
        <f t="shared" si="17"/>
        <v>116.48500000000001</v>
      </c>
      <c r="N118" s="97">
        <f t="shared" si="17"/>
        <v>99.49</v>
      </c>
      <c r="O118" s="97">
        <f t="shared" si="17"/>
        <v>327.72499999999997</v>
      </c>
      <c r="P118" s="97">
        <f t="shared" si="17"/>
        <v>3.72</v>
      </c>
      <c r="Q118" s="97">
        <f t="shared" si="17"/>
        <v>1340.6200000000001</v>
      </c>
      <c r="R118" s="97">
        <f t="shared" si="17"/>
        <v>132.88</v>
      </c>
      <c r="S118" s="97">
        <f t="shared" si="17"/>
        <v>0.56000000000000005</v>
      </c>
      <c r="T118" s="97">
        <f t="shared" si="17"/>
        <v>0.01</v>
      </c>
      <c r="U118" s="98"/>
      <c r="V118" s="98"/>
    </row>
    <row r="119" spans="1:22" s="99" customFormat="1" ht="14.65" customHeight="1" x14ac:dyDescent="0.2">
      <c r="A119" s="143" t="s">
        <v>41</v>
      </c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5"/>
      <c r="U119" s="100"/>
      <c r="V119" s="100"/>
    </row>
    <row r="120" spans="1:22" s="94" customFormat="1" ht="22.5" customHeight="1" x14ac:dyDescent="0.15">
      <c r="A120" s="90" t="s">
        <v>100</v>
      </c>
      <c r="B120" s="91">
        <v>60</v>
      </c>
      <c r="C120" s="92">
        <v>0.7</v>
      </c>
      <c r="D120" s="92">
        <v>3.1</v>
      </c>
      <c r="E120" s="92">
        <v>5.7</v>
      </c>
      <c r="F120" s="92">
        <v>44</v>
      </c>
      <c r="G120" s="92">
        <v>0.02</v>
      </c>
      <c r="H120" s="92">
        <v>15.61</v>
      </c>
      <c r="I120" s="92">
        <v>0.19</v>
      </c>
      <c r="J120" s="92">
        <v>1.44</v>
      </c>
      <c r="K120" s="92">
        <v>0</v>
      </c>
      <c r="L120" s="92">
        <v>0</v>
      </c>
      <c r="M120" s="92">
        <v>21.61</v>
      </c>
      <c r="N120" s="92">
        <v>10.210000000000001</v>
      </c>
      <c r="O120" s="92">
        <v>16.21</v>
      </c>
      <c r="P120" s="92">
        <v>0.66</v>
      </c>
      <c r="Q120" s="92">
        <v>0</v>
      </c>
      <c r="R120" s="92">
        <v>0</v>
      </c>
      <c r="S120" s="92">
        <v>0</v>
      </c>
      <c r="T120" s="92">
        <v>0</v>
      </c>
      <c r="U120" s="93" t="s">
        <v>181</v>
      </c>
      <c r="V120" s="93" t="s">
        <v>43</v>
      </c>
    </row>
    <row r="121" spans="1:22" s="94" customFormat="1" ht="24" customHeight="1" x14ac:dyDescent="0.15">
      <c r="A121" s="90" t="s">
        <v>101</v>
      </c>
      <c r="B121" s="91">
        <v>200</v>
      </c>
      <c r="C121" s="92">
        <v>7.7</v>
      </c>
      <c r="D121" s="92">
        <v>12.7</v>
      </c>
      <c r="E121" s="92">
        <v>6.1</v>
      </c>
      <c r="F121" s="92">
        <v>232.9</v>
      </c>
      <c r="G121" s="92">
        <v>0.26</v>
      </c>
      <c r="H121" s="92">
        <v>6.24</v>
      </c>
      <c r="I121" s="92">
        <v>0.15</v>
      </c>
      <c r="J121" s="92">
        <v>1.53</v>
      </c>
      <c r="K121" s="92">
        <v>0.09</v>
      </c>
      <c r="L121" s="92">
        <v>0.11</v>
      </c>
      <c r="M121" s="92">
        <v>36.21</v>
      </c>
      <c r="N121" s="92">
        <v>27.13</v>
      </c>
      <c r="O121" s="92">
        <v>123.38</v>
      </c>
      <c r="P121" s="92">
        <v>1.58</v>
      </c>
      <c r="Q121" s="92">
        <v>405.59</v>
      </c>
      <c r="R121" s="92">
        <v>7.31</v>
      </c>
      <c r="S121" s="92">
        <v>0.06</v>
      </c>
      <c r="T121" s="92">
        <v>0</v>
      </c>
      <c r="U121" s="93" t="s">
        <v>180</v>
      </c>
      <c r="V121" s="93" t="s">
        <v>29</v>
      </c>
    </row>
    <row r="122" spans="1:22" s="94" customFormat="1" ht="22.5" customHeight="1" x14ac:dyDescent="0.15">
      <c r="A122" s="90" t="s">
        <v>102</v>
      </c>
      <c r="B122" s="91">
        <v>150</v>
      </c>
      <c r="C122" s="92">
        <v>6.8</v>
      </c>
      <c r="D122" s="92">
        <v>6.8</v>
      </c>
      <c r="E122" s="92">
        <v>33.200000000000003</v>
      </c>
      <c r="F122" s="92">
        <v>216.9</v>
      </c>
      <c r="G122" s="92">
        <v>0.08</v>
      </c>
      <c r="H122" s="92">
        <v>0.17</v>
      </c>
      <c r="I122" s="92">
        <v>0.14000000000000001</v>
      </c>
      <c r="J122" s="92">
        <v>3.01</v>
      </c>
      <c r="K122" s="92">
        <v>0.92</v>
      </c>
      <c r="L122" s="92">
        <v>0.22</v>
      </c>
      <c r="M122" s="92">
        <v>127.6</v>
      </c>
      <c r="N122" s="92">
        <v>16.29</v>
      </c>
      <c r="O122" s="92">
        <v>155.37</v>
      </c>
      <c r="P122" s="92">
        <v>1.69</v>
      </c>
      <c r="Q122" s="92">
        <v>150.41</v>
      </c>
      <c r="R122" s="92">
        <v>11.03</v>
      </c>
      <c r="S122" s="92">
        <v>0.03</v>
      </c>
      <c r="T122" s="92">
        <v>0.02</v>
      </c>
      <c r="U122" s="93" t="s">
        <v>177</v>
      </c>
      <c r="V122" s="93">
        <v>2017</v>
      </c>
    </row>
    <row r="123" spans="1:22" s="94" customFormat="1" ht="19.5" customHeight="1" x14ac:dyDescent="0.15">
      <c r="A123" s="90" t="s">
        <v>103</v>
      </c>
      <c r="B123" s="91">
        <v>200</v>
      </c>
      <c r="C123" s="92">
        <v>1.4</v>
      </c>
      <c r="D123" s="92">
        <v>0.4</v>
      </c>
      <c r="E123" s="92">
        <v>22.8</v>
      </c>
      <c r="F123" s="92">
        <v>100.4</v>
      </c>
      <c r="G123" s="92">
        <f>0.11*0.18</f>
        <v>1.9799999999999998E-2</v>
      </c>
      <c r="H123" s="92">
        <f>74*0.18</f>
        <v>13.32</v>
      </c>
      <c r="I123" s="92">
        <f>0</f>
        <v>0</v>
      </c>
      <c r="J123" s="92">
        <v>0</v>
      </c>
      <c r="K123" s="92">
        <v>0</v>
      </c>
      <c r="L123" s="92">
        <f>0.22*0.18</f>
        <v>3.9599999999999996E-2</v>
      </c>
      <c r="M123" s="92">
        <f>170*0.18</f>
        <v>30.599999999999998</v>
      </c>
      <c r="N123" s="92">
        <f>60*0.18</f>
        <v>10.799999999999999</v>
      </c>
      <c r="O123" s="92">
        <f>180*0.18</f>
        <v>32.4</v>
      </c>
      <c r="P123" s="92">
        <f>3*0.18</f>
        <v>0.54</v>
      </c>
      <c r="Q123" s="92">
        <f>2500*0.18</f>
        <v>450</v>
      </c>
      <c r="R123" s="92">
        <v>0</v>
      </c>
      <c r="S123" s="92">
        <v>0</v>
      </c>
      <c r="T123" s="92">
        <v>0</v>
      </c>
      <c r="U123" s="93" t="s">
        <v>64</v>
      </c>
      <c r="V123" s="93" t="s">
        <v>29</v>
      </c>
    </row>
    <row r="124" spans="1:22" s="94" customFormat="1" ht="21" customHeight="1" x14ac:dyDescent="0.15">
      <c r="A124" s="90" t="s">
        <v>49</v>
      </c>
      <c r="B124" s="91">
        <v>30</v>
      </c>
      <c r="C124" s="92">
        <v>2.2999999999999998</v>
      </c>
      <c r="D124" s="92">
        <v>0.19</v>
      </c>
      <c r="E124" s="92">
        <v>15.05</v>
      </c>
      <c r="F124" s="92">
        <v>71.05</v>
      </c>
      <c r="G124" s="92">
        <v>0.05</v>
      </c>
      <c r="H124" s="92">
        <v>0</v>
      </c>
      <c r="I124" s="92">
        <v>0</v>
      </c>
      <c r="J124" s="92">
        <v>0.59</v>
      </c>
      <c r="K124" s="92">
        <v>0</v>
      </c>
      <c r="L124" s="92">
        <v>0.02</v>
      </c>
      <c r="M124" s="92">
        <v>6.9</v>
      </c>
      <c r="N124" s="92">
        <v>9.9</v>
      </c>
      <c r="O124" s="92">
        <v>25.2</v>
      </c>
      <c r="P124" s="92">
        <v>0.6</v>
      </c>
      <c r="Q124" s="92">
        <v>38.700000000000003</v>
      </c>
      <c r="R124" s="92">
        <v>0</v>
      </c>
      <c r="S124" s="92">
        <v>0</v>
      </c>
      <c r="T124" s="92">
        <v>0</v>
      </c>
      <c r="U124" s="93" t="s">
        <v>167</v>
      </c>
      <c r="V124" s="93" t="s">
        <v>39</v>
      </c>
    </row>
    <row r="125" spans="1:22" s="94" customFormat="1" ht="16.5" customHeight="1" x14ac:dyDescent="0.15">
      <c r="A125" s="90" t="s">
        <v>38</v>
      </c>
      <c r="B125" s="91">
        <v>20</v>
      </c>
      <c r="C125" s="92">
        <v>1.1200000000000001</v>
      </c>
      <c r="D125" s="92">
        <v>0.22</v>
      </c>
      <c r="E125" s="92">
        <v>9.8800000000000008</v>
      </c>
      <c r="F125" s="92">
        <v>45.98</v>
      </c>
      <c r="G125" s="92">
        <v>0</v>
      </c>
      <c r="H125" s="92">
        <v>0</v>
      </c>
      <c r="I125" s="92">
        <v>0</v>
      </c>
      <c r="J125" s="92">
        <v>0</v>
      </c>
      <c r="K125" s="92">
        <v>0</v>
      </c>
      <c r="L125" s="92">
        <v>0</v>
      </c>
      <c r="M125" s="92">
        <v>0</v>
      </c>
      <c r="N125" s="92">
        <v>0</v>
      </c>
      <c r="O125" s="92">
        <v>0</v>
      </c>
      <c r="P125" s="92">
        <v>0</v>
      </c>
      <c r="Q125" s="92">
        <v>0</v>
      </c>
      <c r="R125" s="92">
        <v>0</v>
      </c>
      <c r="S125" s="92">
        <v>0</v>
      </c>
      <c r="T125" s="92">
        <v>0</v>
      </c>
      <c r="U125" s="93" t="s">
        <v>167</v>
      </c>
      <c r="V125" s="93" t="s">
        <v>39</v>
      </c>
    </row>
    <row r="126" spans="1:22" s="94" customFormat="1" ht="17.25" customHeight="1" x14ac:dyDescent="0.15">
      <c r="A126" s="90" t="s">
        <v>238</v>
      </c>
      <c r="B126" s="91">
        <v>200</v>
      </c>
      <c r="C126" s="92">
        <v>5.8</v>
      </c>
      <c r="D126" s="92">
        <v>5</v>
      </c>
      <c r="E126" s="92">
        <v>9.6</v>
      </c>
      <c r="F126" s="92">
        <v>107</v>
      </c>
      <c r="G126" s="92">
        <v>0.08</v>
      </c>
      <c r="H126" s="92">
        <v>2.6</v>
      </c>
      <c r="I126" s="92">
        <v>40</v>
      </c>
      <c r="J126" s="92">
        <v>0</v>
      </c>
      <c r="K126" s="92">
        <v>0</v>
      </c>
      <c r="L126" s="92">
        <v>0.03</v>
      </c>
      <c r="M126" s="92">
        <v>240</v>
      </c>
      <c r="N126" s="92">
        <v>28</v>
      </c>
      <c r="O126" s="92">
        <v>180</v>
      </c>
      <c r="P126" s="92">
        <v>0.2</v>
      </c>
      <c r="Q126" s="92">
        <v>292</v>
      </c>
      <c r="R126" s="92">
        <v>0</v>
      </c>
      <c r="S126" s="92">
        <v>0</v>
      </c>
      <c r="T126" s="92">
        <v>0</v>
      </c>
      <c r="U126" s="93" t="s">
        <v>167</v>
      </c>
      <c r="V126" s="93"/>
    </row>
    <row r="127" spans="1:22" s="99" customFormat="1" ht="21.6" customHeight="1" x14ac:dyDescent="0.2">
      <c r="A127" s="95" t="s">
        <v>40</v>
      </c>
      <c r="B127" s="101">
        <f>SUM(B120:B126)</f>
        <v>860</v>
      </c>
      <c r="C127" s="97">
        <f t="shared" ref="C127:T127" si="18">SUM(C120:C126)</f>
        <v>25.82</v>
      </c>
      <c r="D127" s="97">
        <f t="shared" si="18"/>
        <v>28.409999999999997</v>
      </c>
      <c r="E127" s="97">
        <v>102.4</v>
      </c>
      <c r="F127" s="97">
        <v>818.3</v>
      </c>
      <c r="G127" s="97">
        <f t="shared" si="18"/>
        <v>0.50980000000000003</v>
      </c>
      <c r="H127" s="97">
        <f t="shared" si="18"/>
        <v>37.940000000000005</v>
      </c>
      <c r="I127" s="97">
        <f t="shared" si="18"/>
        <v>40.479999999999997</v>
      </c>
      <c r="J127" s="97">
        <f t="shared" si="18"/>
        <v>6.5699999999999994</v>
      </c>
      <c r="K127" s="97">
        <f t="shared" si="18"/>
        <v>1.01</v>
      </c>
      <c r="L127" s="97">
        <f t="shared" si="18"/>
        <v>0.41960000000000008</v>
      </c>
      <c r="M127" s="97">
        <f t="shared" si="18"/>
        <v>462.91999999999996</v>
      </c>
      <c r="N127" s="97">
        <f t="shared" si="18"/>
        <v>102.33000000000001</v>
      </c>
      <c r="O127" s="97">
        <f t="shared" si="18"/>
        <v>532.55999999999995</v>
      </c>
      <c r="P127" s="97">
        <f t="shared" si="18"/>
        <v>5.2700000000000005</v>
      </c>
      <c r="Q127" s="97">
        <f t="shared" si="18"/>
        <v>1336.7</v>
      </c>
      <c r="R127" s="97">
        <f t="shared" si="18"/>
        <v>18.34</v>
      </c>
      <c r="S127" s="97">
        <f t="shared" si="18"/>
        <v>0.09</v>
      </c>
      <c r="T127" s="97">
        <f t="shared" si="18"/>
        <v>0.02</v>
      </c>
      <c r="U127" s="98"/>
      <c r="V127" s="98"/>
    </row>
    <row r="128" spans="1:22" s="99" customFormat="1" ht="14.65" customHeight="1" x14ac:dyDescent="0.2">
      <c r="A128" s="143" t="s">
        <v>50</v>
      </c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5"/>
      <c r="U128" s="100"/>
      <c r="V128" s="100"/>
    </row>
    <row r="129" spans="1:22" s="94" customFormat="1" ht="16.5" customHeight="1" x14ac:dyDescent="0.15">
      <c r="A129" s="90" t="s">
        <v>86</v>
      </c>
      <c r="B129" s="91">
        <v>100</v>
      </c>
      <c r="C129" s="92">
        <v>0.4</v>
      </c>
      <c r="D129" s="92">
        <v>0.4</v>
      </c>
      <c r="E129" s="92">
        <v>9.8000000000000007</v>
      </c>
      <c r="F129" s="92">
        <v>47</v>
      </c>
      <c r="G129" s="92">
        <v>0.03</v>
      </c>
      <c r="H129" s="92">
        <v>10</v>
      </c>
      <c r="I129" s="92">
        <v>0.01</v>
      </c>
      <c r="J129" s="92">
        <v>0.63</v>
      </c>
      <c r="K129" s="92">
        <v>0</v>
      </c>
      <c r="L129" s="92">
        <v>0.02</v>
      </c>
      <c r="M129" s="92">
        <v>16</v>
      </c>
      <c r="N129" s="92">
        <v>8</v>
      </c>
      <c r="O129" s="92">
        <v>11</v>
      </c>
      <c r="P129" s="92">
        <v>2.2000000000000002</v>
      </c>
      <c r="Q129" s="92">
        <v>278</v>
      </c>
      <c r="R129" s="92">
        <v>2</v>
      </c>
      <c r="S129" s="92">
        <v>0.01</v>
      </c>
      <c r="T129" s="92">
        <v>0</v>
      </c>
      <c r="U129" s="93" t="s">
        <v>37</v>
      </c>
      <c r="V129" s="93" t="s">
        <v>29</v>
      </c>
    </row>
    <row r="130" spans="1:22" s="94" customFormat="1" ht="17.25" customHeight="1" x14ac:dyDescent="0.15">
      <c r="A130" s="90" t="s">
        <v>182</v>
      </c>
      <c r="B130" s="91">
        <v>180</v>
      </c>
      <c r="C130" s="92">
        <v>4.68</v>
      </c>
      <c r="D130" s="92">
        <v>4.05</v>
      </c>
      <c r="E130" s="92">
        <v>6.48</v>
      </c>
      <c r="F130" s="92">
        <v>85.86</v>
      </c>
      <c r="G130" s="92">
        <v>0</v>
      </c>
      <c r="H130" s="92">
        <v>0</v>
      </c>
      <c r="I130" s="92">
        <v>0</v>
      </c>
      <c r="J130" s="92">
        <v>0</v>
      </c>
      <c r="K130" s="92">
        <v>0</v>
      </c>
      <c r="L130" s="92">
        <v>0</v>
      </c>
      <c r="M130" s="92">
        <v>0</v>
      </c>
      <c r="N130" s="92">
        <v>0</v>
      </c>
      <c r="O130" s="92">
        <v>0</v>
      </c>
      <c r="P130" s="92">
        <v>0</v>
      </c>
      <c r="Q130" s="92">
        <v>0</v>
      </c>
      <c r="R130" s="92">
        <v>0</v>
      </c>
      <c r="S130" s="92">
        <v>0</v>
      </c>
      <c r="T130" s="92">
        <v>0</v>
      </c>
      <c r="U130" s="93" t="s">
        <v>167</v>
      </c>
      <c r="V130" s="93" t="s">
        <v>29</v>
      </c>
    </row>
    <row r="131" spans="1:22" s="94" customFormat="1" ht="18" customHeight="1" x14ac:dyDescent="0.15">
      <c r="A131" s="90" t="s">
        <v>183</v>
      </c>
      <c r="B131" s="93">
        <v>75</v>
      </c>
      <c r="C131" s="92">
        <v>6.71</v>
      </c>
      <c r="D131" s="92">
        <v>7.52</v>
      </c>
      <c r="E131" s="92">
        <v>14.67</v>
      </c>
      <c r="F131" s="92">
        <v>159.15</v>
      </c>
      <c r="G131" s="92">
        <v>0.05</v>
      </c>
      <c r="H131" s="92">
        <v>0</v>
      </c>
      <c r="I131" s="92">
        <v>0</v>
      </c>
      <c r="J131" s="92">
        <v>1.5</v>
      </c>
      <c r="K131" s="92">
        <v>0.02</v>
      </c>
      <c r="L131" s="92">
        <v>0.02</v>
      </c>
      <c r="M131" s="92">
        <v>8.82</v>
      </c>
      <c r="N131" s="92">
        <v>5.71</v>
      </c>
      <c r="O131" s="92">
        <v>31.93</v>
      </c>
      <c r="P131" s="92">
        <v>0.36</v>
      </c>
      <c r="Q131" s="92">
        <v>49.34</v>
      </c>
      <c r="R131" s="92">
        <v>0.74</v>
      </c>
      <c r="S131" s="92">
        <v>0.01</v>
      </c>
      <c r="T131" s="92">
        <v>0.01</v>
      </c>
      <c r="U131" s="93" t="s">
        <v>184</v>
      </c>
      <c r="V131" s="93">
        <v>2017</v>
      </c>
    </row>
    <row r="132" spans="1:22" s="99" customFormat="1" ht="21.75" customHeight="1" x14ac:dyDescent="0.2">
      <c r="A132" s="95" t="s">
        <v>40</v>
      </c>
      <c r="B132" s="101">
        <f>SUM(B129:B131)</f>
        <v>355</v>
      </c>
      <c r="C132" s="97">
        <f t="shared" ref="C132:T132" si="19">SUM(C129:C131)</f>
        <v>11.79</v>
      </c>
      <c r="D132" s="97">
        <f t="shared" si="19"/>
        <v>11.969999999999999</v>
      </c>
      <c r="E132" s="97">
        <f t="shared" si="19"/>
        <v>30.950000000000003</v>
      </c>
      <c r="F132" s="97">
        <v>292.10000000000002</v>
      </c>
      <c r="G132" s="97">
        <f t="shared" si="19"/>
        <v>0.08</v>
      </c>
      <c r="H132" s="97">
        <f t="shared" si="19"/>
        <v>10</v>
      </c>
      <c r="I132" s="97">
        <f t="shared" si="19"/>
        <v>0.01</v>
      </c>
      <c r="J132" s="97">
        <f t="shared" si="19"/>
        <v>2.13</v>
      </c>
      <c r="K132" s="97">
        <f t="shared" si="19"/>
        <v>0.02</v>
      </c>
      <c r="L132" s="97">
        <f t="shared" si="19"/>
        <v>0.04</v>
      </c>
      <c r="M132" s="97">
        <f t="shared" si="19"/>
        <v>24.82</v>
      </c>
      <c r="N132" s="97">
        <f t="shared" si="19"/>
        <v>13.71</v>
      </c>
      <c r="O132" s="97">
        <f t="shared" si="19"/>
        <v>42.93</v>
      </c>
      <c r="P132" s="97">
        <f t="shared" si="19"/>
        <v>2.56</v>
      </c>
      <c r="Q132" s="97">
        <f t="shared" si="19"/>
        <v>327.34000000000003</v>
      </c>
      <c r="R132" s="97">
        <f t="shared" si="19"/>
        <v>2.74</v>
      </c>
      <c r="S132" s="97">
        <f t="shared" si="19"/>
        <v>0.02</v>
      </c>
      <c r="T132" s="97">
        <f t="shared" si="19"/>
        <v>0.01</v>
      </c>
      <c r="U132" s="98"/>
      <c r="V132" s="98"/>
    </row>
    <row r="133" spans="1:22" s="99" customFormat="1" ht="21.6" customHeight="1" x14ac:dyDescent="0.2">
      <c r="A133" s="95" t="s">
        <v>54</v>
      </c>
      <c r="B133" s="96"/>
      <c r="C133" s="97">
        <f>C132+C127+C118</f>
        <v>56.214500000000001</v>
      </c>
      <c r="D133" s="97">
        <f t="shared" ref="D133:T133" si="20">D132+D127+D118</f>
        <v>56.211499999999994</v>
      </c>
      <c r="E133" s="97">
        <f t="shared" si="20"/>
        <v>201.85000000000002</v>
      </c>
      <c r="F133" s="97">
        <f t="shared" si="20"/>
        <v>1587</v>
      </c>
      <c r="G133" s="97">
        <f t="shared" si="20"/>
        <v>0.88929999999999998</v>
      </c>
      <c r="H133" s="97">
        <f t="shared" si="20"/>
        <v>62.99</v>
      </c>
      <c r="I133" s="97">
        <f t="shared" si="20"/>
        <v>40.909999999999997</v>
      </c>
      <c r="J133" s="97">
        <f t="shared" si="20"/>
        <v>11.459999999999999</v>
      </c>
      <c r="K133" s="97">
        <f t="shared" si="20"/>
        <v>1.1100000000000001</v>
      </c>
      <c r="L133" s="97">
        <f t="shared" si="20"/>
        <v>0.71060000000000012</v>
      </c>
      <c r="M133" s="97">
        <f t="shared" si="20"/>
        <v>604.22499999999991</v>
      </c>
      <c r="N133" s="97">
        <f t="shared" si="20"/>
        <v>215.53000000000003</v>
      </c>
      <c r="O133" s="97">
        <f t="shared" si="20"/>
        <v>903.21499999999992</v>
      </c>
      <c r="P133" s="97">
        <f t="shared" si="20"/>
        <v>11.55</v>
      </c>
      <c r="Q133" s="97">
        <f t="shared" si="20"/>
        <v>3004.66</v>
      </c>
      <c r="R133" s="97">
        <f t="shared" si="20"/>
        <v>153.95999999999998</v>
      </c>
      <c r="S133" s="97">
        <f t="shared" si="20"/>
        <v>0.67</v>
      </c>
      <c r="T133" s="97">
        <f t="shared" si="20"/>
        <v>0.04</v>
      </c>
      <c r="U133" s="98"/>
      <c r="V133" s="98"/>
    </row>
    <row r="134" spans="1:22" s="99" customFormat="1" ht="14.1" customHeight="1" x14ac:dyDescent="0.2">
      <c r="A134" s="102"/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2"/>
      <c r="V134" s="102"/>
    </row>
    <row r="135" spans="1:22" s="94" customFormat="1" ht="28.35" customHeight="1" x14ac:dyDescent="0.15">
      <c r="A135" s="133" t="s">
        <v>214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</row>
    <row r="136" spans="1:22" s="104" customFormat="1" ht="13.35" customHeight="1" x14ac:dyDescent="0.2">
      <c r="A136" s="135" t="s">
        <v>1</v>
      </c>
      <c r="B136" s="135" t="s">
        <v>2</v>
      </c>
      <c r="C136" s="137" t="s">
        <v>3</v>
      </c>
      <c r="D136" s="138"/>
      <c r="E136" s="139"/>
      <c r="F136" s="140" t="s">
        <v>4</v>
      </c>
      <c r="G136" s="137" t="s">
        <v>5</v>
      </c>
      <c r="H136" s="138"/>
      <c r="I136" s="138"/>
      <c r="J136" s="138"/>
      <c r="K136" s="138"/>
      <c r="L136" s="139"/>
      <c r="M136" s="137" t="s">
        <v>6</v>
      </c>
      <c r="N136" s="138"/>
      <c r="O136" s="138"/>
      <c r="P136" s="138"/>
      <c r="Q136" s="138"/>
      <c r="R136" s="138"/>
      <c r="S136" s="138"/>
      <c r="T136" s="139"/>
      <c r="U136" s="96" t="s">
        <v>7</v>
      </c>
      <c r="V136" s="96" t="s">
        <v>8</v>
      </c>
    </row>
    <row r="137" spans="1:22" s="99" customFormat="1" ht="26.65" customHeight="1" x14ac:dyDescent="0.2">
      <c r="A137" s="136"/>
      <c r="B137" s="136"/>
      <c r="C137" s="97" t="s">
        <v>9</v>
      </c>
      <c r="D137" s="97" t="s">
        <v>10</v>
      </c>
      <c r="E137" s="97" t="s">
        <v>11</v>
      </c>
      <c r="F137" s="141"/>
      <c r="G137" s="97" t="s">
        <v>12</v>
      </c>
      <c r="H137" s="97" t="s">
        <v>13</v>
      </c>
      <c r="I137" s="97" t="s">
        <v>14</v>
      </c>
      <c r="J137" s="97" t="s">
        <v>15</v>
      </c>
      <c r="K137" s="97" t="s">
        <v>16</v>
      </c>
      <c r="L137" s="97" t="s">
        <v>17</v>
      </c>
      <c r="M137" s="97" t="s">
        <v>18</v>
      </c>
      <c r="N137" s="97" t="s">
        <v>19</v>
      </c>
      <c r="O137" s="97" t="s">
        <v>20</v>
      </c>
      <c r="P137" s="97" t="s">
        <v>21</v>
      </c>
      <c r="Q137" s="97" t="s">
        <v>22</v>
      </c>
      <c r="R137" s="97" t="s">
        <v>23</v>
      </c>
      <c r="S137" s="97" t="s">
        <v>24</v>
      </c>
      <c r="T137" s="97" t="s">
        <v>25</v>
      </c>
      <c r="U137" s="96"/>
      <c r="V137" s="96"/>
    </row>
    <row r="138" spans="1:22" s="99" customFormat="1" ht="14.65" customHeight="1" x14ac:dyDescent="0.2">
      <c r="A138" s="143" t="s">
        <v>26</v>
      </c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5"/>
      <c r="U138" s="100"/>
      <c r="V138" s="100"/>
    </row>
    <row r="139" spans="1:22" s="99" customFormat="1" ht="18" customHeight="1" x14ac:dyDescent="0.2">
      <c r="A139" s="90" t="s">
        <v>105</v>
      </c>
      <c r="B139" s="91">
        <v>200</v>
      </c>
      <c r="C139" s="92">
        <v>6.7</v>
      </c>
      <c r="D139" s="92">
        <v>4.8</v>
      </c>
      <c r="E139" s="92">
        <v>22.4</v>
      </c>
      <c r="F139" s="92">
        <v>161.6</v>
      </c>
      <c r="G139" s="92">
        <v>0.22</v>
      </c>
      <c r="H139" s="92">
        <v>1.03</v>
      </c>
      <c r="I139" s="92">
        <v>0.13</v>
      </c>
      <c r="J139" s="92">
        <v>0.04</v>
      </c>
      <c r="K139" s="92">
        <v>0.6</v>
      </c>
      <c r="L139" s="92">
        <v>0.42</v>
      </c>
      <c r="M139" s="92">
        <v>202.79</v>
      </c>
      <c r="N139" s="92">
        <v>24.6</v>
      </c>
      <c r="O139" s="92">
        <v>142.83000000000001</v>
      </c>
      <c r="P139" s="92">
        <v>3.03</v>
      </c>
      <c r="Q139" s="92">
        <v>308.97000000000003</v>
      </c>
      <c r="R139" s="92">
        <v>17.850000000000001</v>
      </c>
      <c r="S139" s="92">
        <v>0</v>
      </c>
      <c r="T139" s="92">
        <v>0</v>
      </c>
      <c r="U139" s="93" t="s">
        <v>106</v>
      </c>
      <c r="V139" s="93" t="s">
        <v>29</v>
      </c>
    </row>
    <row r="140" spans="1:22" s="94" customFormat="1" ht="19.5" customHeight="1" x14ac:dyDescent="0.15">
      <c r="A140" s="90" t="s">
        <v>107</v>
      </c>
      <c r="B140" s="91">
        <v>75</v>
      </c>
      <c r="C140" s="92">
        <f>3.2</f>
        <v>3.2</v>
      </c>
      <c r="D140" s="92">
        <v>3.95</v>
      </c>
      <c r="E140" s="92">
        <v>29.3</v>
      </c>
      <c r="F140" s="92">
        <v>185</v>
      </c>
      <c r="G140" s="92">
        <v>0.05</v>
      </c>
      <c r="H140" s="92">
        <v>0.15</v>
      </c>
      <c r="I140" s="92">
        <v>20</v>
      </c>
      <c r="J140" s="92">
        <v>1</v>
      </c>
      <c r="K140" s="92">
        <v>0.15</v>
      </c>
      <c r="L140" s="92">
        <v>0.02</v>
      </c>
      <c r="M140" s="92">
        <v>13.4</v>
      </c>
      <c r="N140" s="92">
        <v>7.7</v>
      </c>
      <c r="O140" s="92">
        <v>30.2</v>
      </c>
      <c r="P140" s="92">
        <v>0.84</v>
      </c>
      <c r="Q140" s="92">
        <v>77</v>
      </c>
      <c r="R140" s="92">
        <v>0</v>
      </c>
      <c r="S140" s="92">
        <v>0.01</v>
      </c>
      <c r="T140" s="92">
        <v>0</v>
      </c>
      <c r="U140" s="93" t="s">
        <v>73</v>
      </c>
      <c r="V140" s="93">
        <v>2017</v>
      </c>
    </row>
    <row r="141" spans="1:22" s="99" customFormat="1" ht="18" customHeight="1" x14ac:dyDescent="0.2">
      <c r="A141" s="90" t="s">
        <v>108</v>
      </c>
      <c r="B141" s="91">
        <v>40</v>
      </c>
      <c r="C141" s="92">
        <v>5</v>
      </c>
      <c r="D141" s="92">
        <v>4.5</v>
      </c>
      <c r="E141" s="92">
        <v>0.3</v>
      </c>
      <c r="F141" s="92">
        <v>61.3</v>
      </c>
      <c r="G141" s="92">
        <v>0.02</v>
      </c>
      <c r="H141" s="92">
        <v>0</v>
      </c>
      <c r="I141" s="92">
        <v>0.1</v>
      </c>
      <c r="J141" s="92">
        <v>0.81</v>
      </c>
      <c r="K141" s="92">
        <v>0.89</v>
      </c>
      <c r="L141" s="92">
        <v>0.15</v>
      </c>
      <c r="M141" s="92">
        <v>19.920000000000002</v>
      </c>
      <c r="N141" s="92">
        <v>4.3499999999999996</v>
      </c>
      <c r="O141" s="92">
        <v>69.55</v>
      </c>
      <c r="P141" s="92">
        <v>0.91</v>
      </c>
      <c r="Q141" s="92">
        <v>56.35</v>
      </c>
      <c r="R141" s="92">
        <v>8.0500000000000007</v>
      </c>
      <c r="S141" s="92">
        <v>0.02</v>
      </c>
      <c r="T141" s="92">
        <v>0.01</v>
      </c>
      <c r="U141" s="93" t="s">
        <v>109</v>
      </c>
      <c r="V141" s="93" t="s">
        <v>29</v>
      </c>
    </row>
    <row r="142" spans="1:22" s="94" customFormat="1" ht="18.75" customHeight="1" x14ac:dyDescent="0.15">
      <c r="A142" s="90" t="s">
        <v>110</v>
      </c>
      <c r="B142" s="91">
        <v>200</v>
      </c>
      <c r="C142" s="92">
        <v>3.17</v>
      </c>
      <c r="D142" s="92">
        <v>2.7</v>
      </c>
      <c r="E142" s="92">
        <v>15.94</v>
      </c>
      <c r="F142" s="92">
        <v>100.06</v>
      </c>
      <c r="G142" s="92">
        <v>0.03</v>
      </c>
      <c r="H142" s="92">
        <v>0.47</v>
      </c>
      <c r="I142" s="92">
        <v>0.01</v>
      </c>
      <c r="J142" s="92">
        <v>0</v>
      </c>
      <c r="K142" s="92">
        <v>0</v>
      </c>
      <c r="L142" s="92">
        <v>0.1</v>
      </c>
      <c r="M142" s="92">
        <v>100.26</v>
      </c>
      <c r="N142" s="92">
        <v>17.13</v>
      </c>
      <c r="O142" s="92">
        <v>79.099999999999994</v>
      </c>
      <c r="P142" s="92">
        <v>0.36</v>
      </c>
      <c r="Q142" s="92">
        <v>152.65</v>
      </c>
      <c r="R142" s="92">
        <v>8.1</v>
      </c>
      <c r="S142" s="92">
        <v>0</v>
      </c>
      <c r="T142" s="92">
        <v>0</v>
      </c>
      <c r="U142" s="93" t="s">
        <v>111</v>
      </c>
      <c r="V142" s="93" t="s">
        <v>29</v>
      </c>
    </row>
    <row r="143" spans="1:22" s="94" customFormat="1" ht="17.25" customHeight="1" x14ac:dyDescent="0.15">
      <c r="A143" s="90" t="s">
        <v>38</v>
      </c>
      <c r="B143" s="91">
        <v>20</v>
      </c>
      <c r="C143" s="92">
        <v>1.1200000000000001</v>
      </c>
      <c r="D143" s="92">
        <v>0.22</v>
      </c>
      <c r="E143" s="92">
        <v>9.8800000000000008</v>
      </c>
      <c r="F143" s="92">
        <v>45.98</v>
      </c>
      <c r="G143" s="92">
        <v>0</v>
      </c>
      <c r="H143" s="92">
        <v>0</v>
      </c>
      <c r="I143" s="92">
        <v>0</v>
      </c>
      <c r="J143" s="92">
        <v>0</v>
      </c>
      <c r="K143" s="92">
        <v>0</v>
      </c>
      <c r="L143" s="92">
        <v>0</v>
      </c>
      <c r="M143" s="92">
        <v>0</v>
      </c>
      <c r="N143" s="92">
        <v>0</v>
      </c>
      <c r="O143" s="92">
        <v>0</v>
      </c>
      <c r="P143" s="92">
        <v>0</v>
      </c>
      <c r="Q143" s="92">
        <v>0</v>
      </c>
      <c r="R143" s="92">
        <v>0</v>
      </c>
      <c r="S143" s="92">
        <v>0</v>
      </c>
      <c r="T143" s="92">
        <v>0</v>
      </c>
      <c r="U143" s="93" t="s">
        <v>167</v>
      </c>
      <c r="V143" s="93" t="s">
        <v>39</v>
      </c>
    </row>
    <row r="144" spans="1:22" s="99" customFormat="1" ht="16.5" customHeight="1" x14ac:dyDescent="0.2">
      <c r="A144" s="95" t="s">
        <v>40</v>
      </c>
      <c r="B144" s="101">
        <f>SUM(B139:B143)</f>
        <v>535</v>
      </c>
      <c r="C144" s="97">
        <f t="shared" ref="C144:T144" si="21">SUM(C139:C143)</f>
        <v>19.190000000000001</v>
      </c>
      <c r="D144" s="97">
        <f t="shared" si="21"/>
        <v>16.169999999999998</v>
      </c>
      <c r="E144" s="97">
        <v>77.900000000000006</v>
      </c>
      <c r="F144" s="97">
        <v>554</v>
      </c>
      <c r="G144" s="97">
        <f t="shared" si="21"/>
        <v>0.32000000000000006</v>
      </c>
      <c r="H144" s="97">
        <f t="shared" si="21"/>
        <v>1.65</v>
      </c>
      <c r="I144" s="97">
        <f t="shared" si="21"/>
        <v>20.240000000000002</v>
      </c>
      <c r="J144" s="97">
        <f t="shared" si="21"/>
        <v>1.85</v>
      </c>
      <c r="K144" s="97">
        <f t="shared" si="21"/>
        <v>1.6400000000000001</v>
      </c>
      <c r="L144" s="97">
        <f t="shared" si="21"/>
        <v>0.69</v>
      </c>
      <c r="M144" s="97">
        <f t="shared" si="21"/>
        <v>336.37</v>
      </c>
      <c r="N144" s="97">
        <f t="shared" si="21"/>
        <v>53.78</v>
      </c>
      <c r="O144" s="97">
        <f t="shared" si="21"/>
        <v>321.67999999999995</v>
      </c>
      <c r="P144" s="97">
        <f t="shared" si="21"/>
        <v>5.14</v>
      </c>
      <c r="Q144" s="97">
        <f t="shared" si="21"/>
        <v>594.97</v>
      </c>
      <c r="R144" s="97">
        <f t="shared" si="21"/>
        <v>34</v>
      </c>
      <c r="S144" s="97">
        <f t="shared" si="21"/>
        <v>0.03</v>
      </c>
      <c r="T144" s="97">
        <f t="shared" si="21"/>
        <v>0.01</v>
      </c>
      <c r="U144" s="98"/>
      <c r="V144" s="98"/>
    </row>
    <row r="145" spans="1:22" s="99" customFormat="1" ht="14.65" customHeight="1" x14ac:dyDescent="0.2">
      <c r="A145" s="143" t="s">
        <v>41</v>
      </c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5"/>
      <c r="U145" s="100"/>
      <c r="V145" s="100"/>
    </row>
    <row r="146" spans="1:22" s="94" customFormat="1" ht="16.5" customHeight="1" x14ac:dyDescent="0.15">
      <c r="A146" s="90" t="s">
        <v>42</v>
      </c>
      <c r="B146" s="91">
        <v>60</v>
      </c>
      <c r="C146" s="92">
        <v>1.5</v>
      </c>
      <c r="D146" s="92">
        <v>7.3</v>
      </c>
      <c r="E146" s="92">
        <v>4.5999999999999996</v>
      </c>
      <c r="F146" s="92">
        <v>71.400000000000006</v>
      </c>
      <c r="G146" s="92">
        <v>0.01</v>
      </c>
      <c r="H146" s="92">
        <v>4.2</v>
      </c>
      <c r="I146" s="92">
        <v>0.11</v>
      </c>
      <c r="J146" s="92">
        <v>0</v>
      </c>
      <c r="K146" s="92">
        <v>0</v>
      </c>
      <c r="L146" s="92">
        <v>0.03</v>
      </c>
      <c r="M146" s="92">
        <v>24.6</v>
      </c>
      <c r="N146" s="92">
        <v>9</v>
      </c>
      <c r="O146" s="92">
        <v>22.2</v>
      </c>
      <c r="P146" s="92">
        <v>0.42</v>
      </c>
      <c r="Q146" s="92">
        <v>189</v>
      </c>
      <c r="R146" s="92">
        <v>0</v>
      </c>
      <c r="S146" s="92">
        <v>0</v>
      </c>
      <c r="T146" s="92">
        <v>0</v>
      </c>
      <c r="U146" s="93" t="s">
        <v>167</v>
      </c>
      <c r="V146" s="93" t="s">
        <v>43</v>
      </c>
    </row>
    <row r="147" spans="1:22" s="94" customFormat="1" ht="20.25" customHeight="1" x14ac:dyDescent="0.15">
      <c r="A147" s="90" t="s">
        <v>112</v>
      </c>
      <c r="B147" s="91">
        <v>200</v>
      </c>
      <c r="C147" s="92">
        <f>19.96*0.2</f>
        <v>3.9920000000000004</v>
      </c>
      <c r="D147" s="92">
        <f>21.08*0.2</f>
        <v>4.2160000000000002</v>
      </c>
      <c r="E147" s="92">
        <f>66.14*0.2</f>
        <v>13.228000000000002</v>
      </c>
      <c r="F147" s="92">
        <f>593*0.2</f>
        <v>118.60000000000001</v>
      </c>
      <c r="G147" s="92">
        <f>0.91*0.2</f>
        <v>0.18200000000000002</v>
      </c>
      <c r="H147" s="92">
        <f>29.3*0.2</f>
        <v>5.86</v>
      </c>
      <c r="I147" s="92">
        <v>0</v>
      </c>
      <c r="J147" s="92">
        <v>3.25</v>
      </c>
      <c r="K147" s="92">
        <v>0</v>
      </c>
      <c r="L147" s="92">
        <f>0.29*0.2</f>
        <v>5.7999999999999996E-2</v>
      </c>
      <c r="M147" s="92">
        <f>170.7*0.2</f>
        <v>34.14</v>
      </c>
      <c r="N147" s="92">
        <f>142.3*0.2</f>
        <v>28.460000000000004</v>
      </c>
      <c r="O147" s="92">
        <f>352.4*0.2</f>
        <v>70.48</v>
      </c>
      <c r="P147" s="92">
        <f>8.2*0.2</f>
        <v>1.64</v>
      </c>
      <c r="Q147" s="92">
        <f>1891.3*0.2</f>
        <v>378.26</v>
      </c>
      <c r="R147" s="92">
        <v>3.33</v>
      </c>
      <c r="S147" s="92">
        <v>0.02</v>
      </c>
      <c r="T147" s="92">
        <v>0</v>
      </c>
      <c r="U147" s="93" t="s">
        <v>113</v>
      </c>
      <c r="V147" s="93" t="s">
        <v>29</v>
      </c>
    </row>
    <row r="148" spans="1:22" s="99" customFormat="1" ht="18" customHeight="1" x14ac:dyDescent="0.2">
      <c r="A148" s="90" t="s">
        <v>235</v>
      </c>
      <c r="B148" s="91">
        <v>150</v>
      </c>
      <c r="C148" s="92">
        <v>3.7</v>
      </c>
      <c r="D148" s="92">
        <v>4.3</v>
      </c>
      <c r="E148" s="92">
        <v>22.1</v>
      </c>
      <c r="F148" s="92">
        <v>148.4</v>
      </c>
      <c r="G148" s="92">
        <v>0.04</v>
      </c>
      <c r="H148" s="92">
        <v>21.45</v>
      </c>
      <c r="I148" s="92">
        <v>0.08</v>
      </c>
      <c r="J148" s="92">
        <v>0.3</v>
      </c>
      <c r="K148" s="92">
        <v>0.08</v>
      </c>
      <c r="L148" s="92">
        <v>0.06</v>
      </c>
      <c r="M148" s="92">
        <v>64.849999999999994</v>
      </c>
      <c r="N148" s="92">
        <v>29.78</v>
      </c>
      <c r="O148" s="92">
        <v>66.09</v>
      </c>
      <c r="P148" s="92">
        <v>1.42</v>
      </c>
      <c r="Q148" s="92">
        <v>284.07</v>
      </c>
      <c r="R148" s="92">
        <v>3.93</v>
      </c>
      <c r="S148" s="92">
        <v>0.02</v>
      </c>
      <c r="T148" s="92">
        <v>0</v>
      </c>
      <c r="U148" s="93" t="s">
        <v>59</v>
      </c>
      <c r="V148" s="93">
        <v>2017</v>
      </c>
    </row>
    <row r="149" spans="1:22" s="94" customFormat="1" ht="19.5" customHeight="1" x14ac:dyDescent="0.15">
      <c r="A149" s="90" t="s">
        <v>114</v>
      </c>
      <c r="B149" s="91">
        <v>130</v>
      </c>
      <c r="C149" s="92">
        <f>7.46*130/110</f>
        <v>8.8163636363636364</v>
      </c>
      <c r="D149" s="92">
        <f>6.29*130/110</f>
        <v>7.4336363636363645</v>
      </c>
      <c r="E149" s="92">
        <f>13.44*130/110</f>
        <v>15.883636363636365</v>
      </c>
      <c r="F149" s="92">
        <f>142*130/110</f>
        <v>167.81818181818181</v>
      </c>
      <c r="G149" s="92">
        <f>0.05*130/110</f>
        <v>5.909090909090909E-2</v>
      </c>
      <c r="H149" s="92">
        <f>0.41*130/110</f>
        <v>0.4845454545454545</v>
      </c>
      <c r="I149" s="92">
        <f>33*130/110</f>
        <v>39</v>
      </c>
      <c r="J149" s="92">
        <v>2.69</v>
      </c>
      <c r="K149" s="92">
        <v>0</v>
      </c>
      <c r="L149" s="92">
        <f>0.07*130/110</f>
        <v>8.2727272727272746E-2</v>
      </c>
      <c r="M149" s="92">
        <f>23.65*130/110</f>
        <v>27.95</v>
      </c>
      <c r="N149" s="92">
        <f>16.5*130/110</f>
        <v>19.5</v>
      </c>
      <c r="O149" s="92">
        <f>83.14*130/110</f>
        <v>98.256363636363645</v>
      </c>
      <c r="P149" s="92">
        <f>0.68*130/110</f>
        <v>0.8036363636363637</v>
      </c>
      <c r="Q149" s="92">
        <f>151.6*130/110</f>
        <v>179.16363636363636</v>
      </c>
      <c r="R149" s="92">
        <v>7.65</v>
      </c>
      <c r="S149" s="92">
        <v>7.0000000000000007E-2</v>
      </c>
      <c r="T149" s="92">
        <v>0</v>
      </c>
      <c r="U149" s="93" t="s">
        <v>115</v>
      </c>
      <c r="V149" s="93" t="s">
        <v>29</v>
      </c>
    </row>
    <row r="150" spans="1:22" s="94" customFormat="1" ht="18.75" customHeight="1" x14ac:dyDescent="0.15">
      <c r="A150" s="90" t="s">
        <v>89</v>
      </c>
      <c r="B150" s="91">
        <v>180</v>
      </c>
      <c r="C150" s="92">
        <v>5.2</v>
      </c>
      <c r="D150" s="92">
        <v>4.5</v>
      </c>
      <c r="E150" s="92">
        <v>7.2</v>
      </c>
      <c r="F150" s="92">
        <v>95.4</v>
      </c>
      <c r="G150" s="92">
        <v>7.0000000000000007E-2</v>
      </c>
      <c r="H150" s="92">
        <v>1.26</v>
      </c>
      <c r="I150" s="92">
        <v>0.05</v>
      </c>
      <c r="J150" s="92">
        <v>0.13</v>
      </c>
      <c r="K150" s="92">
        <v>0</v>
      </c>
      <c r="L150" s="92">
        <v>0.31</v>
      </c>
      <c r="M150" s="92">
        <v>216</v>
      </c>
      <c r="N150" s="92">
        <v>25.2</v>
      </c>
      <c r="O150" s="92">
        <v>171</v>
      </c>
      <c r="P150" s="92">
        <v>0.18</v>
      </c>
      <c r="Q150" s="92">
        <v>262.8</v>
      </c>
      <c r="R150" s="92">
        <v>16.2</v>
      </c>
      <c r="S150" s="92">
        <v>0.04</v>
      </c>
      <c r="T150" s="92">
        <v>0</v>
      </c>
      <c r="U150" s="93" t="s">
        <v>167</v>
      </c>
      <c r="V150" s="93" t="s">
        <v>29</v>
      </c>
    </row>
    <row r="151" spans="1:22" s="94" customFormat="1" ht="17.25" customHeight="1" x14ac:dyDescent="0.15">
      <c r="A151" s="90" t="s">
        <v>49</v>
      </c>
      <c r="B151" s="91">
        <v>30</v>
      </c>
      <c r="C151" s="92">
        <v>2.2999999999999998</v>
      </c>
      <c r="D151" s="92">
        <v>0.19</v>
      </c>
      <c r="E151" s="92">
        <v>15.05</v>
      </c>
      <c r="F151" s="92">
        <v>71.05</v>
      </c>
      <c r="G151" s="92">
        <v>0.05</v>
      </c>
      <c r="H151" s="92">
        <v>0</v>
      </c>
      <c r="I151" s="92">
        <v>0</v>
      </c>
      <c r="J151" s="92">
        <v>0.59</v>
      </c>
      <c r="K151" s="92">
        <v>0</v>
      </c>
      <c r="L151" s="92">
        <v>0.02</v>
      </c>
      <c r="M151" s="92">
        <v>6.9</v>
      </c>
      <c r="N151" s="92">
        <v>9.9</v>
      </c>
      <c r="O151" s="92">
        <v>25.2</v>
      </c>
      <c r="P151" s="92">
        <v>0.6</v>
      </c>
      <c r="Q151" s="92">
        <v>38.700000000000003</v>
      </c>
      <c r="R151" s="92">
        <v>0</v>
      </c>
      <c r="S151" s="92">
        <v>0</v>
      </c>
      <c r="T151" s="92">
        <v>0</v>
      </c>
      <c r="U151" s="93" t="s">
        <v>167</v>
      </c>
      <c r="V151" s="93" t="s">
        <v>39</v>
      </c>
    </row>
    <row r="152" spans="1:22" s="94" customFormat="1" ht="18" customHeight="1" x14ac:dyDescent="0.15">
      <c r="A152" s="90" t="s">
        <v>38</v>
      </c>
      <c r="B152" s="91">
        <v>30</v>
      </c>
      <c r="C152" s="92">
        <v>1.99</v>
      </c>
      <c r="D152" s="92">
        <v>0.26</v>
      </c>
      <c r="E152" s="92">
        <v>12.72</v>
      </c>
      <c r="F152" s="92">
        <v>61.19</v>
      </c>
      <c r="G152" s="92">
        <v>0.05</v>
      </c>
      <c r="H152" s="92">
        <v>0</v>
      </c>
      <c r="I152" s="92">
        <v>0</v>
      </c>
      <c r="J152" s="92">
        <v>0.66</v>
      </c>
      <c r="K152" s="92">
        <v>0</v>
      </c>
      <c r="L152" s="92">
        <v>0.02</v>
      </c>
      <c r="M152" s="92">
        <v>5.4</v>
      </c>
      <c r="N152" s="92">
        <v>5.7</v>
      </c>
      <c r="O152" s="92">
        <v>26.1</v>
      </c>
      <c r="P152" s="92">
        <v>1.2</v>
      </c>
      <c r="Q152" s="92">
        <v>40.799999999999997</v>
      </c>
      <c r="R152" s="92">
        <v>1.68</v>
      </c>
      <c r="S152" s="92">
        <v>0</v>
      </c>
      <c r="T152" s="92">
        <v>0</v>
      </c>
      <c r="U152" s="93" t="s">
        <v>167</v>
      </c>
      <c r="V152" s="93" t="s">
        <v>39</v>
      </c>
    </row>
    <row r="153" spans="1:22" s="94" customFormat="1" ht="17.25" customHeight="1" x14ac:dyDescent="0.15">
      <c r="A153" s="90" t="s">
        <v>241</v>
      </c>
      <c r="B153" s="91">
        <v>100</v>
      </c>
      <c r="C153" s="92">
        <v>0.4</v>
      </c>
      <c r="D153" s="92">
        <v>0.4</v>
      </c>
      <c r="E153" s="92">
        <v>9.8000000000000007</v>
      </c>
      <c r="F153" s="92">
        <v>47</v>
      </c>
      <c r="G153" s="92">
        <v>0.03</v>
      </c>
      <c r="H153" s="92">
        <v>10</v>
      </c>
      <c r="I153" s="92">
        <v>0.01</v>
      </c>
      <c r="J153" s="92">
        <v>0.63</v>
      </c>
      <c r="K153" s="92">
        <v>0</v>
      </c>
      <c r="L153" s="92">
        <v>0.02</v>
      </c>
      <c r="M153" s="92">
        <v>16</v>
      </c>
      <c r="N153" s="92">
        <v>8</v>
      </c>
      <c r="O153" s="92">
        <v>11</v>
      </c>
      <c r="P153" s="92">
        <v>2.2000000000000002</v>
      </c>
      <c r="Q153" s="92">
        <v>278</v>
      </c>
      <c r="R153" s="92">
        <v>2</v>
      </c>
      <c r="S153" s="92">
        <v>0.01</v>
      </c>
      <c r="T153" s="92">
        <v>0</v>
      </c>
      <c r="U153" s="93" t="s">
        <v>37</v>
      </c>
      <c r="V153" s="93" t="s">
        <v>29</v>
      </c>
    </row>
    <row r="154" spans="1:22" s="99" customFormat="1" ht="21.6" customHeight="1" x14ac:dyDescent="0.2">
      <c r="A154" s="95" t="s">
        <v>40</v>
      </c>
      <c r="B154" s="101">
        <f>SUM(B146:B153)</f>
        <v>880</v>
      </c>
      <c r="C154" s="97">
        <f t="shared" ref="C154:T154" si="22">SUM(C146:C153)</f>
        <v>27.898363636363634</v>
      </c>
      <c r="D154" s="97">
        <f t="shared" si="22"/>
        <v>28.599636363636364</v>
      </c>
      <c r="E154" s="97">
        <f t="shared" si="22"/>
        <v>100.58163636363636</v>
      </c>
      <c r="F154" s="97">
        <f t="shared" si="22"/>
        <v>780.85818181818172</v>
      </c>
      <c r="G154" s="97">
        <f t="shared" si="22"/>
        <v>0.49109090909090913</v>
      </c>
      <c r="H154" s="97">
        <f t="shared" si="22"/>
        <v>43.25454545454545</v>
      </c>
      <c r="I154" s="97">
        <f t="shared" si="22"/>
        <v>39.249999999999993</v>
      </c>
      <c r="J154" s="97">
        <f t="shared" si="22"/>
        <v>8.25</v>
      </c>
      <c r="K154" s="97">
        <f t="shared" si="22"/>
        <v>0.08</v>
      </c>
      <c r="L154" s="97">
        <f t="shared" si="22"/>
        <v>0.60072727272727278</v>
      </c>
      <c r="M154" s="97">
        <f t="shared" si="22"/>
        <v>395.83999999999992</v>
      </c>
      <c r="N154" s="97">
        <f t="shared" si="22"/>
        <v>135.54000000000002</v>
      </c>
      <c r="O154" s="97">
        <f t="shared" si="22"/>
        <v>490.32636363636368</v>
      </c>
      <c r="P154" s="97">
        <f t="shared" si="22"/>
        <v>8.463636363636363</v>
      </c>
      <c r="Q154" s="97">
        <f t="shared" si="22"/>
        <v>1650.7936363636363</v>
      </c>
      <c r="R154" s="97">
        <f t="shared" si="22"/>
        <v>34.79</v>
      </c>
      <c r="S154" s="97">
        <f t="shared" si="22"/>
        <v>0.16000000000000003</v>
      </c>
      <c r="T154" s="97">
        <f t="shared" si="22"/>
        <v>0</v>
      </c>
      <c r="U154" s="98"/>
      <c r="V154" s="98"/>
    </row>
    <row r="155" spans="1:22" s="99" customFormat="1" ht="14.65" customHeight="1" x14ac:dyDescent="0.2">
      <c r="A155" s="143" t="s">
        <v>50</v>
      </c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5"/>
      <c r="U155" s="100"/>
      <c r="V155" s="100"/>
    </row>
    <row r="156" spans="1:22" s="94" customFormat="1" ht="18" customHeight="1" x14ac:dyDescent="0.15">
      <c r="A156" s="90" t="s">
        <v>116</v>
      </c>
      <c r="B156" s="91">
        <v>150</v>
      </c>
      <c r="C156" s="92">
        <f>2.02*150/105</f>
        <v>2.8857142857142857</v>
      </c>
      <c r="D156" s="92">
        <f>3.96*150/105</f>
        <v>5.6571428571428575</v>
      </c>
      <c r="E156" s="92">
        <v>16.989999999999998</v>
      </c>
      <c r="F156" s="92">
        <v>105</v>
      </c>
      <c r="G156" s="92">
        <v>0.13</v>
      </c>
      <c r="H156" s="92">
        <v>11.77</v>
      </c>
      <c r="I156" s="92">
        <v>0.04</v>
      </c>
      <c r="J156" s="92">
        <v>0.3</v>
      </c>
      <c r="K156" s="92">
        <v>0.11</v>
      </c>
      <c r="L156" s="92">
        <v>0.09</v>
      </c>
      <c r="M156" s="92">
        <v>21.33</v>
      </c>
      <c r="N156" s="92">
        <v>31.55</v>
      </c>
      <c r="O156" s="92">
        <v>78.540000000000006</v>
      </c>
      <c r="P156" s="92">
        <v>1.36</v>
      </c>
      <c r="Q156" s="92">
        <v>836.98</v>
      </c>
      <c r="R156" s="92">
        <v>7.36</v>
      </c>
      <c r="S156" s="92">
        <v>0.04</v>
      </c>
      <c r="T156" s="92">
        <v>0</v>
      </c>
      <c r="U156" s="93" t="s">
        <v>117</v>
      </c>
      <c r="V156" s="93">
        <v>2017</v>
      </c>
    </row>
    <row r="157" spans="1:22" s="94" customFormat="1" ht="17.25" customHeight="1" x14ac:dyDescent="0.15">
      <c r="A157" s="90" t="s">
        <v>185</v>
      </c>
      <c r="B157" s="91">
        <v>95</v>
      </c>
      <c r="C157" s="92">
        <f>4.88*95/105</f>
        <v>4.4152380952380952</v>
      </c>
      <c r="D157" s="92">
        <f>5.6*95/105</f>
        <v>5.0666666666666664</v>
      </c>
      <c r="E157" s="92">
        <f>7.61*95/105</f>
        <v>6.8852380952380958</v>
      </c>
      <c r="F157" s="92">
        <f>116*95/105</f>
        <v>104.95238095238095</v>
      </c>
      <c r="G157" s="92">
        <v>0.09</v>
      </c>
      <c r="H157" s="92">
        <v>0.34</v>
      </c>
      <c r="I157" s="92">
        <v>0.02</v>
      </c>
      <c r="J157" s="92">
        <v>4.28</v>
      </c>
      <c r="K157" s="92">
        <v>0.01</v>
      </c>
      <c r="L157" s="92">
        <v>0.09</v>
      </c>
      <c r="M157" s="92">
        <v>45.82</v>
      </c>
      <c r="N157" s="92">
        <v>46.35</v>
      </c>
      <c r="O157" s="92">
        <v>185.71</v>
      </c>
      <c r="P157" s="92">
        <v>1.54</v>
      </c>
      <c r="Q157" s="92">
        <v>332.76</v>
      </c>
      <c r="R157" s="92">
        <v>95.2</v>
      </c>
      <c r="S157" s="92">
        <v>0.4</v>
      </c>
      <c r="T157" s="92">
        <v>0.01</v>
      </c>
      <c r="U157" s="93" t="s">
        <v>85</v>
      </c>
      <c r="V157" s="93" t="s">
        <v>29</v>
      </c>
    </row>
    <row r="158" spans="1:22" s="94" customFormat="1" ht="17.25" customHeight="1" x14ac:dyDescent="0.15">
      <c r="A158" s="90" t="s">
        <v>118</v>
      </c>
      <c r="B158" s="91">
        <v>180</v>
      </c>
      <c r="C158" s="92">
        <v>2.65</v>
      </c>
      <c r="D158" s="92">
        <f>17.72*0.18</f>
        <v>3.1895999999999995</v>
      </c>
      <c r="E158" s="92">
        <f>87.89*0.18</f>
        <v>15.8202</v>
      </c>
      <c r="F158" s="92">
        <f>593*0.18</f>
        <v>106.74</v>
      </c>
      <c r="G158" s="92">
        <v>0.03</v>
      </c>
      <c r="H158" s="92">
        <v>0.47</v>
      </c>
      <c r="I158" s="92">
        <v>0.01</v>
      </c>
      <c r="J158" s="92">
        <v>0</v>
      </c>
      <c r="K158" s="92">
        <v>0</v>
      </c>
      <c r="L158" s="92">
        <v>0.1</v>
      </c>
      <c r="M158" s="92">
        <v>100.28</v>
      </c>
      <c r="N158" s="92">
        <v>24.74</v>
      </c>
      <c r="O158" s="92">
        <v>86.02</v>
      </c>
      <c r="P158" s="92">
        <v>0.78</v>
      </c>
      <c r="Q158" s="92">
        <v>186.56</v>
      </c>
      <c r="R158" s="92">
        <v>8.1</v>
      </c>
      <c r="S158" s="92">
        <v>0</v>
      </c>
      <c r="T158" s="92">
        <v>0</v>
      </c>
      <c r="U158" s="93" t="s">
        <v>95</v>
      </c>
      <c r="V158" s="93" t="s">
        <v>29</v>
      </c>
    </row>
    <row r="159" spans="1:22" s="94" customFormat="1" ht="20.25" customHeight="1" x14ac:dyDescent="0.15">
      <c r="A159" s="90" t="s">
        <v>38</v>
      </c>
      <c r="B159" s="91">
        <v>20</v>
      </c>
      <c r="C159" s="92">
        <v>1.1200000000000001</v>
      </c>
      <c r="D159" s="92">
        <v>0.22</v>
      </c>
      <c r="E159" s="92">
        <v>9.8800000000000008</v>
      </c>
      <c r="F159" s="92">
        <v>45.98</v>
      </c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2">
        <v>0</v>
      </c>
      <c r="M159" s="92">
        <v>0</v>
      </c>
      <c r="N159" s="92">
        <v>0</v>
      </c>
      <c r="O159" s="92">
        <v>0</v>
      </c>
      <c r="P159" s="92">
        <v>0</v>
      </c>
      <c r="Q159" s="92">
        <v>0</v>
      </c>
      <c r="R159" s="92">
        <v>0</v>
      </c>
      <c r="S159" s="92">
        <v>0</v>
      </c>
      <c r="T159" s="92">
        <v>0</v>
      </c>
      <c r="U159" s="93" t="s">
        <v>167</v>
      </c>
      <c r="V159" s="93" t="s">
        <v>39</v>
      </c>
    </row>
    <row r="160" spans="1:22" s="99" customFormat="1" ht="21.6" customHeight="1" x14ac:dyDescent="0.2">
      <c r="A160" s="95" t="s">
        <v>40</v>
      </c>
      <c r="B160" s="101">
        <f>SUM(B156:B159)</f>
        <v>445</v>
      </c>
      <c r="C160" s="97">
        <f t="shared" ref="C160:T160" si="23">SUM(C156:C159)</f>
        <v>11.070952380952381</v>
      </c>
      <c r="D160" s="97">
        <v>14.2</v>
      </c>
      <c r="E160" s="97">
        <f t="shared" si="23"/>
        <v>49.575438095238098</v>
      </c>
      <c r="F160" s="97">
        <f t="shared" si="23"/>
        <v>362.67238095238099</v>
      </c>
      <c r="G160" s="97">
        <f t="shared" si="23"/>
        <v>0.25</v>
      </c>
      <c r="H160" s="97">
        <f t="shared" si="23"/>
        <v>12.58</v>
      </c>
      <c r="I160" s="97">
        <f t="shared" si="23"/>
        <v>6.9999999999999993E-2</v>
      </c>
      <c r="J160" s="97">
        <f t="shared" si="23"/>
        <v>4.58</v>
      </c>
      <c r="K160" s="97">
        <f t="shared" si="23"/>
        <v>0.12</v>
      </c>
      <c r="L160" s="97">
        <f t="shared" si="23"/>
        <v>0.28000000000000003</v>
      </c>
      <c r="M160" s="97">
        <f t="shared" si="23"/>
        <v>167.43</v>
      </c>
      <c r="N160" s="97">
        <f t="shared" si="23"/>
        <v>102.64</v>
      </c>
      <c r="O160" s="97">
        <f t="shared" si="23"/>
        <v>350.27</v>
      </c>
      <c r="P160" s="97">
        <f t="shared" si="23"/>
        <v>3.6800000000000006</v>
      </c>
      <c r="Q160" s="97">
        <f t="shared" si="23"/>
        <v>1356.3</v>
      </c>
      <c r="R160" s="97">
        <f t="shared" si="23"/>
        <v>110.66</v>
      </c>
      <c r="S160" s="97">
        <f t="shared" si="23"/>
        <v>0.44</v>
      </c>
      <c r="T160" s="97">
        <f t="shared" si="23"/>
        <v>0.01</v>
      </c>
      <c r="U160" s="98"/>
      <c r="V160" s="98"/>
    </row>
    <row r="161" spans="1:22" s="99" customFormat="1" ht="21.6" customHeight="1" x14ac:dyDescent="0.2">
      <c r="A161" s="95" t="s">
        <v>54</v>
      </c>
      <c r="B161" s="96"/>
      <c r="C161" s="97">
        <f>C160+C154+C144</f>
        <v>58.159316017316016</v>
      </c>
      <c r="D161" s="97">
        <f t="shared" ref="D161:T161" si="24">D160+D154+D144</f>
        <v>58.969636363636369</v>
      </c>
      <c r="E161" s="97">
        <f t="shared" si="24"/>
        <v>228.05707445887447</v>
      </c>
      <c r="F161" s="97">
        <f t="shared" si="24"/>
        <v>1697.5305627705627</v>
      </c>
      <c r="G161" s="97">
        <f t="shared" si="24"/>
        <v>1.0610909090909093</v>
      </c>
      <c r="H161" s="97">
        <f t="shared" si="24"/>
        <v>57.484545454545447</v>
      </c>
      <c r="I161" s="97">
        <f t="shared" si="24"/>
        <v>59.559999999999995</v>
      </c>
      <c r="J161" s="97">
        <f t="shared" si="24"/>
        <v>14.68</v>
      </c>
      <c r="K161" s="97">
        <f t="shared" si="24"/>
        <v>1.84</v>
      </c>
      <c r="L161" s="97">
        <f t="shared" si="24"/>
        <v>1.5707272727272727</v>
      </c>
      <c r="M161" s="97">
        <f t="shared" si="24"/>
        <v>899.64</v>
      </c>
      <c r="N161" s="97">
        <f t="shared" si="24"/>
        <v>291.96000000000004</v>
      </c>
      <c r="O161" s="97">
        <f t="shared" si="24"/>
        <v>1162.2763636363636</v>
      </c>
      <c r="P161" s="97">
        <f t="shared" si="24"/>
        <v>17.283636363636365</v>
      </c>
      <c r="Q161" s="97">
        <f t="shared" si="24"/>
        <v>3602.0636363636368</v>
      </c>
      <c r="R161" s="97">
        <f t="shared" si="24"/>
        <v>179.45</v>
      </c>
      <c r="S161" s="97">
        <f t="shared" si="24"/>
        <v>0.63000000000000012</v>
      </c>
      <c r="T161" s="97">
        <f t="shared" si="24"/>
        <v>0.02</v>
      </c>
      <c r="U161" s="98"/>
      <c r="V161" s="98"/>
    </row>
    <row r="162" spans="1:22" s="99" customFormat="1" ht="14.1" customHeight="1" x14ac:dyDescent="0.2">
      <c r="A162" s="102"/>
      <c r="B162" s="102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2"/>
      <c r="V162" s="102"/>
    </row>
    <row r="163" spans="1:22" s="94" customFormat="1" ht="28.35" customHeight="1" x14ac:dyDescent="0.15">
      <c r="A163" s="133" t="s">
        <v>215</v>
      </c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</row>
    <row r="164" spans="1:22" s="104" customFormat="1" ht="13.35" customHeight="1" x14ac:dyDescent="0.2">
      <c r="A164" s="135" t="s">
        <v>1</v>
      </c>
      <c r="B164" s="135" t="s">
        <v>2</v>
      </c>
      <c r="C164" s="137" t="s">
        <v>3</v>
      </c>
      <c r="D164" s="138"/>
      <c r="E164" s="139"/>
      <c r="F164" s="140" t="s">
        <v>4</v>
      </c>
      <c r="G164" s="137" t="s">
        <v>5</v>
      </c>
      <c r="H164" s="138"/>
      <c r="I164" s="138"/>
      <c r="J164" s="138"/>
      <c r="K164" s="138"/>
      <c r="L164" s="139"/>
      <c r="M164" s="137" t="s">
        <v>6</v>
      </c>
      <c r="N164" s="138"/>
      <c r="O164" s="138"/>
      <c r="P164" s="138"/>
      <c r="Q164" s="138"/>
      <c r="R164" s="138"/>
      <c r="S164" s="138"/>
      <c r="T164" s="139"/>
      <c r="U164" s="96" t="s">
        <v>7</v>
      </c>
      <c r="V164" s="96" t="s">
        <v>8</v>
      </c>
    </row>
    <row r="165" spans="1:22" s="99" customFormat="1" ht="26.65" customHeight="1" x14ac:dyDescent="0.2">
      <c r="A165" s="136"/>
      <c r="B165" s="136"/>
      <c r="C165" s="97" t="s">
        <v>9</v>
      </c>
      <c r="D165" s="97" t="s">
        <v>10</v>
      </c>
      <c r="E165" s="97" t="s">
        <v>11</v>
      </c>
      <c r="F165" s="141"/>
      <c r="G165" s="97" t="s">
        <v>12</v>
      </c>
      <c r="H165" s="97" t="s">
        <v>13</v>
      </c>
      <c r="I165" s="97" t="s">
        <v>14</v>
      </c>
      <c r="J165" s="97" t="s">
        <v>15</v>
      </c>
      <c r="K165" s="97" t="s">
        <v>16</v>
      </c>
      <c r="L165" s="97" t="s">
        <v>17</v>
      </c>
      <c r="M165" s="97" t="s">
        <v>18</v>
      </c>
      <c r="N165" s="97" t="s">
        <v>19</v>
      </c>
      <c r="O165" s="97" t="s">
        <v>20</v>
      </c>
      <c r="P165" s="97" t="s">
        <v>21</v>
      </c>
      <c r="Q165" s="97" t="s">
        <v>22</v>
      </c>
      <c r="R165" s="97" t="s">
        <v>23</v>
      </c>
      <c r="S165" s="97" t="s">
        <v>24</v>
      </c>
      <c r="T165" s="97" t="s">
        <v>25</v>
      </c>
      <c r="U165" s="96"/>
      <c r="V165" s="96"/>
    </row>
    <row r="166" spans="1:22" s="99" customFormat="1" ht="14.65" customHeight="1" x14ac:dyDescent="0.2">
      <c r="A166" s="143" t="s">
        <v>26</v>
      </c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5"/>
      <c r="U166" s="100"/>
      <c r="V166" s="100"/>
    </row>
    <row r="167" spans="1:22" s="99" customFormat="1" ht="19.5" customHeight="1" x14ac:dyDescent="0.2">
      <c r="A167" s="90" t="s">
        <v>120</v>
      </c>
      <c r="B167" s="91">
        <v>60</v>
      </c>
      <c r="C167" s="92">
        <v>0.7</v>
      </c>
      <c r="D167" s="92">
        <v>3.4</v>
      </c>
      <c r="E167" s="92">
        <v>1.8</v>
      </c>
      <c r="F167" s="92">
        <v>40.700000000000003</v>
      </c>
      <c r="G167" s="92">
        <v>0.02</v>
      </c>
      <c r="H167" s="92">
        <v>5.23</v>
      </c>
      <c r="I167" s="92">
        <v>0</v>
      </c>
      <c r="J167" s="92">
        <v>1.49</v>
      </c>
      <c r="K167" s="92">
        <v>0</v>
      </c>
      <c r="L167" s="92">
        <v>0.02</v>
      </c>
      <c r="M167" s="92">
        <v>9.1999999999999993</v>
      </c>
      <c r="N167" s="92">
        <v>10.85</v>
      </c>
      <c r="O167" s="92">
        <v>17.170000000000002</v>
      </c>
      <c r="P167" s="92">
        <v>0.56999999999999995</v>
      </c>
      <c r="Q167" s="92">
        <v>156.66</v>
      </c>
      <c r="R167" s="92">
        <v>0.25</v>
      </c>
      <c r="S167" s="92">
        <v>0</v>
      </c>
      <c r="T167" s="92">
        <v>0</v>
      </c>
      <c r="U167" s="93" t="s">
        <v>57</v>
      </c>
      <c r="V167" s="93">
        <v>2017</v>
      </c>
    </row>
    <row r="168" spans="1:22" s="99" customFormat="1" ht="20.25" customHeight="1" x14ac:dyDescent="0.2">
      <c r="A168" s="90" t="s">
        <v>121</v>
      </c>
      <c r="B168" s="91">
        <v>150</v>
      </c>
      <c r="C168" s="92">
        <v>3.1</v>
      </c>
      <c r="D168" s="92">
        <v>3.9</v>
      </c>
      <c r="E168" s="92">
        <v>23.6</v>
      </c>
      <c r="F168" s="92">
        <v>142.5</v>
      </c>
      <c r="G168" s="92">
        <v>0.13</v>
      </c>
      <c r="H168" s="92">
        <v>12</v>
      </c>
      <c r="I168" s="92">
        <v>0.31</v>
      </c>
      <c r="J168" s="92">
        <v>1.73</v>
      </c>
      <c r="K168" s="92">
        <v>0</v>
      </c>
      <c r="L168" s="92">
        <v>0.09</v>
      </c>
      <c r="M168" s="92">
        <v>31.06</v>
      </c>
      <c r="N168" s="92">
        <v>36.520000000000003</v>
      </c>
      <c r="O168" s="92">
        <v>89.15</v>
      </c>
      <c r="P168" s="92">
        <v>1.59</v>
      </c>
      <c r="Q168" s="92">
        <v>822.68</v>
      </c>
      <c r="R168" s="92">
        <v>8.1199999999999992</v>
      </c>
      <c r="S168" s="92">
        <v>0.05</v>
      </c>
      <c r="T168" s="92">
        <v>0</v>
      </c>
      <c r="U168" s="93" t="s">
        <v>122</v>
      </c>
      <c r="V168" s="93" t="s">
        <v>32</v>
      </c>
    </row>
    <row r="169" spans="1:22" s="94" customFormat="1" ht="18" customHeight="1" x14ac:dyDescent="0.15">
      <c r="A169" s="90" t="s">
        <v>186</v>
      </c>
      <c r="B169" s="91">
        <v>90</v>
      </c>
      <c r="C169" s="92">
        <f>4.55*90/55</f>
        <v>7.4454545454545453</v>
      </c>
      <c r="D169" s="92">
        <f>6.7*90/55</f>
        <v>10.963636363636363</v>
      </c>
      <c r="E169" s="92">
        <f>9.73*90/55</f>
        <v>15.921818181818182</v>
      </c>
      <c r="F169" s="92">
        <f>124*90/55</f>
        <v>202.90909090909091</v>
      </c>
      <c r="G169" s="92">
        <v>0.09</v>
      </c>
      <c r="H169" s="92">
        <v>0.49</v>
      </c>
      <c r="I169" s="92">
        <v>0.05</v>
      </c>
      <c r="J169" s="92">
        <v>2.97</v>
      </c>
      <c r="K169" s="92">
        <v>0</v>
      </c>
      <c r="L169" s="92">
        <v>0.11</v>
      </c>
      <c r="M169" s="92">
        <v>24.76</v>
      </c>
      <c r="N169" s="92">
        <v>29.11</v>
      </c>
      <c r="O169" s="92">
        <v>158.86000000000001</v>
      </c>
      <c r="P169" s="92">
        <v>2.31</v>
      </c>
      <c r="Q169" s="92">
        <v>198.96</v>
      </c>
      <c r="R169" s="92">
        <v>4.08</v>
      </c>
      <c r="S169" s="92">
        <v>0.08</v>
      </c>
      <c r="T169" s="92">
        <v>0.01</v>
      </c>
      <c r="U169" s="93">
        <v>294</v>
      </c>
      <c r="V169" s="93" t="s">
        <v>29</v>
      </c>
    </row>
    <row r="170" spans="1:22" s="94" customFormat="1" ht="18" customHeight="1" x14ac:dyDescent="0.15">
      <c r="A170" s="90" t="s">
        <v>187</v>
      </c>
      <c r="B170" s="91">
        <v>180</v>
      </c>
      <c r="C170" s="92">
        <v>4.68</v>
      </c>
      <c r="D170" s="92">
        <v>4.05</v>
      </c>
      <c r="E170" s="92">
        <v>6.48</v>
      </c>
      <c r="F170" s="92">
        <v>85.86</v>
      </c>
      <c r="G170" s="92">
        <v>0</v>
      </c>
      <c r="H170" s="92">
        <v>0</v>
      </c>
      <c r="I170" s="92">
        <v>0</v>
      </c>
      <c r="J170" s="92">
        <v>0</v>
      </c>
      <c r="K170" s="92">
        <v>0</v>
      </c>
      <c r="L170" s="92">
        <v>0</v>
      </c>
      <c r="M170" s="92">
        <v>0</v>
      </c>
      <c r="N170" s="92">
        <v>0</v>
      </c>
      <c r="O170" s="92">
        <v>0</v>
      </c>
      <c r="P170" s="92">
        <v>0</v>
      </c>
      <c r="Q170" s="92">
        <v>0</v>
      </c>
      <c r="R170" s="92">
        <v>0</v>
      </c>
      <c r="S170" s="92">
        <v>0</v>
      </c>
      <c r="T170" s="92">
        <v>0</v>
      </c>
      <c r="U170" s="93" t="s">
        <v>167</v>
      </c>
      <c r="V170" s="93" t="s">
        <v>29</v>
      </c>
    </row>
    <row r="171" spans="1:22" s="94" customFormat="1" ht="20.25" customHeight="1" x14ac:dyDescent="0.15">
      <c r="A171" s="90" t="s">
        <v>49</v>
      </c>
      <c r="B171" s="91">
        <v>20</v>
      </c>
      <c r="C171" s="92">
        <v>1.53</v>
      </c>
      <c r="D171" s="92">
        <v>0.12</v>
      </c>
      <c r="E171" s="92">
        <v>10.039999999999999</v>
      </c>
      <c r="F171" s="92">
        <v>47.36</v>
      </c>
      <c r="G171" s="92">
        <v>0.03</v>
      </c>
      <c r="H171" s="92">
        <v>0</v>
      </c>
      <c r="I171" s="92">
        <v>0</v>
      </c>
      <c r="J171" s="92">
        <v>0.39</v>
      </c>
      <c r="K171" s="92">
        <v>0</v>
      </c>
      <c r="L171" s="92">
        <v>0.01</v>
      </c>
      <c r="M171" s="92">
        <v>4.5999999999999996</v>
      </c>
      <c r="N171" s="92">
        <v>6.6</v>
      </c>
      <c r="O171" s="92">
        <v>16.8</v>
      </c>
      <c r="P171" s="92">
        <v>0.4</v>
      </c>
      <c r="Q171" s="92">
        <v>25.8</v>
      </c>
      <c r="R171" s="92">
        <v>0</v>
      </c>
      <c r="S171" s="92">
        <v>0</v>
      </c>
      <c r="T171" s="92">
        <v>0</v>
      </c>
      <c r="U171" s="93" t="s">
        <v>167</v>
      </c>
      <c r="V171" s="93" t="s">
        <v>39</v>
      </c>
    </row>
    <row r="172" spans="1:22" s="94" customFormat="1" ht="18.75" customHeight="1" x14ac:dyDescent="0.15">
      <c r="A172" s="90" t="s">
        <v>38</v>
      </c>
      <c r="B172" s="91">
        <v>20</v>
      </c>
      <c r="C172" s="92">
        <v>1.1200000000000001</v>
      </c>
      <c r="D172" s="92">
        <v>0.22</v>
      </c>
      <c r="E172" s="92">
        <v>9.8800000000000008</v>
      </c>
      <c r="F172" s="92">
        <v>45.98</v>
      </c>
      <c r="G172" s="92">
        <v>0</v>
      </c>
      <c r="H172" s="92">
        <v>0</v>
      </c>
      <c r="I172" s="92">
        <v>0</v>
      </c>
      <c r="J172" s="92">
        <v>0</v>
      </c>
      <c r="K172" s="92">
        <v>0</v>
      </c>
      <c r="L172" s="92">
        <v>0</v>
      </c>
      <c r="M172" s="92">
        <v>0</v>
      </c>
      <c r="N172" s="92">
        <v>0</v>
      </c>
      <c r="O172" s="92">
        <v>0</v>
      </c>
      <c r="P172" s="92">
        <v>0</v>
      </c>
      <c r="Q172" s="92">
        <v>0</v>
      </c>
      <c r="R172" s="92">
        <v>0</v>
      </c>
      <c r="S172" s="92">
        <v>0</v>
      </c>
      <c r="T172" s="92">
        <v>0</v>
      </c>
      <c r="U172" s="93" t="s">
        <v>167</v>
      </c>
      <c r="V172" s="93" t="s">
        <v>39</v>
      </c>
    </row>
    <row r="173" spans="1:22" s="99" customFormat="1" ht="21.6" customHeight="1" x14ac:dyDescent="0.2">
      <c r="A173" s="95" t="s">
        <v>40</v>
      </c>
      <c r="B173" s="101">
        <f>SUM(B167:B172)</f>
        <v>520</v>
      </c>
      <c r="C173" s="97">
        <f t="shared" ref="C173:T173" si="25">SUM(C167:C172)</f>
        <v>18.575454545454548</v>
      </c>
      <c r="D173" s="132">
        <f t="shared" si="25"/>
        <v>22.653636363636362</v>
      </c>
      <c r="E173" s="97">
        <f t="shared" si="25"/>
        <v>67.721818181818193</v>
      </c>
      <c r="F173" s="97">
        <v>565.4</v>
      </c>
      <c r="G173" s="97">
        <f t="shared" si="25"/>
        <v>0.27</v>
      </c>
      <c r="H173" s="97">
        <f t="shared" si="25"/>
        <v>17.72</v>
      </c>
      <c r="I173" s="97">
        <f t="shared" si="25"/>
        <v>0.36</v>
      </c>
      <c r="J173" s="97">
        <f t="shared" si="25"/>
        <v>6.5799999999999992</v>
      </c>
      <c r="K173" s="97">
        <f t="shared" si="25"/>
        <v>0</v>
      </c>
      <c r="L173" s="97">
        <f t="shared" si="25"/>
        <v>0.23</v>
      </c>
      <c r="M173" s="97">
        <f t="shared" si="25"/>
        <v>69.61999999999999</v>
      </c>
      <c r="N173" s="97">
        <f t="shared" si="25"/>
        <v>83.08</v>
      </c>
      <c r="O173" s="97">
        <f t="shared" si="25"/>
        <v>281.98</v>
      </c>
      <c r="P173" s="97">
        <f t="shared" si="25"/>
        <v>4.870000000000001</v>
      </c>
      <c r="Q173" s="97">
        <f t="shared" si="25"/>
        <v>1204.0999999999999</v>
      </c>
      <c r="R173" s="97">
        <f t="shared" si="25"/>
        <v>12.45</v>
      </c>
      <c r="S173" s="97">
        <f t="shared" si="25"/>
        <v>0.13</v>
      </c>
      <c r="T173" s="97">
        <f t="shared" si="25"/>
        <v>0.01</v>
      </c>
      <c r="U173" s="98"/>
      <c r="V173" s="98"/>
    </row>
    <row r="174" spans="1:22" s="99" customFormat="1" ht="14.65" customHeight="1" x14ac:dyDescent="0.2">
      <c r="A174" s="143" t="s">
        <v>41</v>
      </c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5"/>
      <c r="U174" s="100"/>
      <c r="V174" s="100"/>
    </row>
    <row r="175" spans="1:22" s="94" customFormat="1" ht="20.25" customHeight="1" x14ac:dyDescent="0.15">
      <c r="A175" s="90" t="s">
        <v>188</v>
      </c>
      <c r="B175" s="91">
        <v>60</v>
      </c>
      <c r="C175" s="92">
        <v>0.9</v>
      </c>
      <c r="D175" s="92">
        <v>3.06</v>
      </c>
      <c r="E175" s="92">
        <v>5.55</v>
      </c>
      <c r="F175" s="92">
        <v>53.88</v>
      </c>
      <c r="G175" s="92">
        <f>0.22*0.06</f>
        <v>1.32E-2</v>
      </c>
      <c r="H175" s="92">
        <f>198.1*0.06</f>
        <v>11.885999999999999</v>
      </c>
      <c r="I175" s="92">
        <v>0</v>
      </c>
      <c r="J175" s="92">
        <v>1.27</v>
      </c>
      <c r="K175" s="92">
        <v>0</v>
      </c>
      <c r="L175" s="92">
        <f>0.27*0.06</f>
        <v>1.6199999999999999E-2</v>
      </c>
      <c r="M175" s="92">
        <f>522.47*0.06</f>
        <v>31.348200000000002</v>
      </c>
      <c r="N175" s="92">
        <f>160.11*0.06</f>
        <v>9.6066000000000003</v>
      </c>
      <c r="O175" s="92">
        <f>339.52*0.06</f>
        <v>20.371199999999998</v>
      </c>
      <c r="P175" s="92">
        <f>6.67*0.06</f>
        <v>0.4002</v>
      </c>
      <c r="Q175" s="92">
        <f>2832*0.06</f>
        <v>169.92</v>
      </c>
      <c r="R175" s="92">
        <v>1.64</v>
      </c>
      <c r="S175" s="92">
        <v>0.01</v>
      </c>
      <c r="T175" s="92">
        <v>0</v>
      </c>
      <c r="U175" s="93" t="s">
        <v>76</v>
      </c>
      <c r="V175" s="93" t="s">
        <v>29</v>
      </c>
    </row>
    <row r="176" spans="1:22" s="94" customFormat="1" ht="24" customHeight="1" x14ac:dyDescent="0.15">
      <c r="A176" s="90" t="s">
        <v>123</v>
      </c>
      <c r="B176" s="91">
        <v>200</v>
      </c>
      <c r="C176" s="92">
        <f>8.07*0.2</f>
        <v>1.6140000000000001</v>
      </c>
      <c r="D176" s="92">
        <f>20.36*0.2</f>
        <v>4.0720000000000001</v>
      </c>
      <c r="E176" s="92">
        <v>10.1</v>
      </c>
      <c r="F176" s="92">
        <v>92.8</v>
      </c>
      <c r="G176" s="92">
        <v>0.06</v>
      </c>
      <c r="H176" s="92">
        <v>4.62</v>
      </c>
      <c r="I176" s="92">
        <v>0.15</v>
      </c>
      <c r="J176" s="92">
        <v>1.93</v>
      </c>
      <c r="K176" s="92">
        <v>0</v>
      </c>
      <c r="L176" s="92">
        <v>0.04</v>
      </c>
      <c r="M176" s="92">
        <v>23.17</v>
      </c>
      <c r="N176" s="92">
        <v>17.84</v>
      </c>
      <c r="O176" s="92">
        <v>47.15</v>
      </c>
      <c r="P176" s="92">
        <v>0.72</v>
      </c>
      <c r="Q176" s="92">
        <v>335.2</v>
      </c>
      <c r="R176" s="92">
        <v>3.1</v>
      </c>
      <c r="S176" s="92">
        <v>0.02</v>
      </c>
      <c r="T176" s="92">
        <v>0</v>
      </c>
      <c r="U176" s="93" t="s">
        <v>124</v>
      </c>
      <c r="V176" s="93" t="s">
        <v>29</v>
      </c>
    </row>
    <row r="177" spans="1:22" s="94" customFormat="1" ht="20.25" customHeight="1" x14ac:dyDescent="0.15">
      <c r="A177" s="90" t="s">
        <v>125</v>
      </c>
      <c r="B177" s="91">
        <v>180</v>
      </c>
      <c r="C177" s="92">
        <f>6.03*180/70</f>
        <v>15.505714285714287</v>
      </c>
      <c r="D177" s="92">
        <f>5.74*180/70</f>
        <v>14.76</v>
      </c>
      <c r="E177" s="92">
        <v>39</v>
      </c>
      <c r="F177" s="92">
        <v>381.9</v>
      </c>
      <c r="G177" s="92">
        <v>0.08</v>
      </c>
      <c r="H177" s="92">
        <v>0.39</v>
      </c>
      <c r="I177" s="92">
        <v>0.12</v>
      </c>
      <c r="J177" s="92">
        <v>0.56000000000000005</v>
      </c>
      <c r="K177" s="92">
        <v>0.25</v>
      </c>
      <c r="L177" s="92">
        <v>0.39</v>
      </c>
      <c r="M177" s="92">
        <v>278.16000000000003</v>
      </c>
      <c r="N177" s="92">
        <v>42.33</v>
      </c>
      <c r="O177" s="92">
        <v>347.09</v>
      </c>
      <c r="P177" s="92">
        <v>1.23</v>
      </c>
      <c r="Q177" s="92">
        <v>292.38</v>
      </c>
      <c r="R177" s="92">
        <v>3.26</v>
      </c>
      <c r="S177" s="92">
        <v>0.05</v>
      </c>
      <c r="T177" s="92">
        <v>0.04</v>
      </c>
      <c r="U177" s="93" t="s">
        <v>126</v>
      </c>
      <c r="V177" s="93" t="s">
        <v>29</v>
      </c>
    </row>
    <row r="178" spans="1:22" s="94" customFormat="1" ht="17.25" customHeight="1" x14ac:dyDescent="0.15">
      <c r="A178" s="90" t="s">
        <v>33</v>
      </c>
      <c r="B178" s="91">
        <v>200</v>
      </c>
      <c r="C178" s="92">
        <f>1.37*200/180</f>
        <v>1.5222222222222221</v>
      </c>
      <c r="D178" s="92">
        <f>1.22*200/180</f>
        <v>1.3555555555555556</v>
      </c>
      <c r="E178" s="92">
        <f>14.31*200/180</f>
        <v>15.9</v>
      </c>
      <c r="F178" s="92">
        <f>72.9*200/180</f>
        <v>81.000000000000014</v>
      </c>
      <c r="G178" s="92">
        <f>0.04</f>
        <v>0.04</v>
      </c>
      <c r="H178" s="92">
        <v>1.33</v>
      </c>
      <c r="I178" s="92">
        <v>0.41</v>
      </c>
      <c r="J178" s="92">
        <v>0</v>
      </c>
      <c r="K178" s="92">
        <v>0</v>
      </c>
      <c r="L178" s="92">
        <v>0.16</v>
      </c>
      <c r="M178" s="92">
        <v>126.6</v>
      </c>
      <c r="N178" s="92">
        <v>15.4</v>
      </c>
      <c r="O178" s="92">
        <v>92.8</v>
      </c>
      <c r="P178" s="92">
        <v>0.41</v>
      </c>
      <c r="Q178" s="92">
        <v>154.6</v>
      </c>
      <c r="R178" s="92">
        <v>4.5</v>
      </c>
      <c r="S178" s="92">
        <v>0</v>
      </c>
      <c r="T178" s="92">
        <v>0</v>
      </c>
      <c r="U178" s="93" t="s">
        <v>34</v>
      </c>
      <c r="V178" s="93" t="s">
        <v>29</v>
      </c>
    </row>
    <row r="179" spans="1:22" s="94" customFormat="1" ht="17.25" customHeight="1" x14ac:dyDescent="0.15">
      <c r="A179" s="90" t="s">
        <v>49</v>
      </c>
      <c r="B179" s="91">
        <v>40</v>
      </c>
      <c r="C179" s="92">
        <v>3.05</v>
      </c>
      <c r="D179" s="92">
        <v>0.25</v>
      </c>
      <c r="E179" s="92">
        <v>20.07</v>
      </c>
      <c r="F179" s="92">
        <v>94.73</v>
      </c>
      <c r="G179" s="92">
        <v>0.06</v>
      </c>
      <c r="H179" s="92">
        <v>0</v>
      </c>
      <c r="I179" s="92">
        <v>0</v>
      </c>
      <c r="J179" s="92">
        <v>0.78</v>
      </c>
      <c r="K179" s="92">
        <v>0</v>
      </c>
      <c r="L179" s="92">
        <v>0.02</v>
      </c>
      <c r="M179" s="92">
        <v>9.1999999999999993</v>
      </c>
      <c r="N179" s="92">
        <v>13.2</v>
      </c>
      <c r="O179" s="92">
        <v>33.6</v>
      </c>
      <c r="P179" s="92">
        <v>0.8</v>
      </c>
      <c r="Q179" s="92">
        <v>51.6</v>
      </c>
      <c r="R179" s="92">
        <v>0</v>
      </c>
      <c r="S179" s="92">
        <v>0.01</v>
      </c>
      <c r="T179" s="92">
        <v>0</v>
      </c>
      <c r="U179" s="93" t="s">
        <v>167</v>
      </c>
      <c r="V179" s="93" t="s">
        <v>39</v>
      </c>
    </row>
    <row r="180" spans="1:22" s="94" customFormat="1" ht="18" customHeight="1" x14ac:dyDescent="0.15">
      <c r="A180" s="90" t="s">
        <v>38</v>
      </c>
      <c r="B180" s="91">
        <v>20</v>
      </c>
      <c r="C180" s="92">
        <v>1.1200000000000001</v>
      </c>
      <c r="D180" s="92">
        <v>0.22</v>
      </c>
      <c r="E180" s="92">
        <v>9.8800000000000008</v>
      </c>
      <c r="F180" s="92">
        <v>45.98</v>
      </c>
      <c r="G180" s="92">
        <v>0</v>
      </c>
      <c r="H180" s="92">
        <v>0</v>
      </c>
      <c r="I180" s="92">
        <v>0</v>
      </c>
      <c r="J180" s="92">
        <v>0</v>
      </c>
      <c r="K180" s="92">
        <v>0</v>
      </c>
      <c r="L180" s="92">
        <v>0</v>
      </c>
      <c r="M180" s="92">
        <v>0</v>
      </c>
      <c r="N180" s="92">
        <v>0</v>
      </c>
      <c r="O180" s="92">
        <v>0</v>
      </c>
      <c r="P180" s="92">
        <v>0</v>
      </c>
      <c r="Q180" s="92">
        <v>0</v>
      </c>
      <c r="R180" s="92">
        <v>0</v>
      </c>
      <c r="S180" s="92">
        <v>0</v>
      </c>
      <c r="T180" s="92">
        <v>0</v>
      </c>
      <c r="U180" s="93" t="s">
        <v>167</v>
      </c>
      <c r="V180" s="93" t="s">
        <v>39</v>
      </c>
    </row>
    <row r="181" spans="1:22" s="94" customFormat="1" ht="12.2" hidden="1" customHeight="1" x14ac:dyDescent="0.15">
      <c r="A181" s="90"/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3"/>
      <c r="V181" s="93"/>
    </row>
    <row r="182" spans="1:22" s="99" customFormat="1" ht="21.6" customHeight="1" x14ac:dyDescent="0.2">
      <c r="A182" s="95" t="s">
        <v>40</v>
      </c>
      <c r="B182" s="101">
        <f>SUM(B175:B181)</f>
        <v>700</v>
      </c>
      <c r="C182" s="97">
        <f t="shared" ref="C182:T182" si="26">SUM(C175:C181)</f>
        <v>23.71193650793651</v>
      </c>
      <c r="D182" s="97">
        <v>23.9</v>
      </c>
      <c r="E182" s="97">
        <f t="shared" ref="E182:F182" si="27">SUM(E175:E181)</f>
        <v>100.5</v>
      </c>
      <c r="F182" s="97">
        <f t="shared" si="27"/>
        <v>750.29</v>
      </c>
      <c r="G182" s="97">
        <f t="shared" si="26"/>
        <v>0.25319999999999998</v>
      </c>
      <c r="H182" s="97">
        <f t="shared" si="26"/>
        <v>18.225999999999999</v>
      </c>
      <c r="I182" s="97">
        <f t="shared" si="26"/>
        <v>0.67999999999999994</v>
      </c>
      <c r="J182" s="97">
        <f t="shared" si="26"/>
        <v>4.54</v>
      </c>
      <c r="K182" s="97">
        <f t="shared" si="26"/>
        <v>0.25</v>
      </c>
      <c r="L182" s="97">
        <f t="shared" si="26"/>
        <v>0.62620000000000009</v>
      </c>
      <c r="M182" s="97">
        <f t="shared" si="26"/>
        <v>468.47820000000007</v>
      </c>
      <c r="N182" s="97">
        <f t="shared" si="26"/>
        <v>98.37660000000001</v>
      </c>
      <c r="O182" s="97">
        <f t="shared" si="26"/>
        <v>541.01119999999992</v>
      </c>
      <c r="P182" s="97">
        <f t="shared" si="26"/>
        <v>3.5602</v>
      </c>
      <c r="Q182" s="97">
        <f t="shared" si="26"/>
        <v>1003.7</v>
      </c>
      <c r="R182" s="97">
        <f t="shared" si="26"/>
        <v>12.5</v>
      </c>
      <c r="S182" s="97">
        <f t="shared" si="26"/>
        <v>0.09</v>
      </c>
      <c r="T182" s="97">
        <f t="shared" si="26"/>
        <v>0.04</v>
      </c>
      <c r="U182" s="98"/>
      <c r="V182" s="98"/>
    </row>
    <row r="183" spans="1:22" s="99" customFormat="1" ht="14.65" customHeight="1" x14ac:dyDescent="0.2">
      <c r="A183" s="143" t="s">
        <v>50</v>
      </c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5"/>
      <c r="U183" s="100"/>
      <c r="V183" s="100"/>
    </row>
    <row r="184" spans="1:22" s="94" customFormat="1" ht="19.5" customHeight="1" x14ac:dyDescent="0.15">
      <c r="A184" s="90" t="s">
        <v>142</v>
      </c>
      <c r="B184" s="91">
        <v>150</v>
      </c>
      <c r="C184" s="92">
        <v>7.1</v>
      </c>
      <c r="D184" s="92">
        <v>9.1999999999999993</v>
      </c>
      <c r="E184" s="92">
        <v>13.1</v>
      </c>
      <c r="F184" s="92">
        <v>209.5</v>
      </c>
      <c r="G184" s="92">
        <v>0.3</v>
      </c>
      <c r="H184" s="92">
        <v>5.7</v>
      </c>
      <c r="I184" s="92">
        <v>0.4</v>
      </c>
      <c r="J184" s="92">
        <v>0.34</v>
      </c>
      <c r="K184" s="92">
        <v>0.05</v>
      </c>
      <c r="L184" s="92">
        <v>0.12</v>
      </c>
      <c r="M184" s="92">
        <v>29.45</v>
      </c>
      <c r="N184" s="92">
        <v>34.94</v>
      </c>
      <c r="O184" s="92">
        <v>139.22</v>
      </c>
      <c r="P184" s="92">
        <v>1.82</v>
      </c>
      <c r="Q184" s="92">
        <v>591</v>
      </c>
      <c r="R184" s="92">
        <v>8.6999999999999993</v>
      </c>
      <c r="S184" s="92">
        <v>7.0000000000000007E-2</v>
      </c>
      <c r="T184" s="92">
        <v>0</v>
      </c>
      <c r="U184" s="93" t="s">
        <v>189</v>
      </c>
      <c r="V184" s="93" t="s">
        <v>143</v>
      </c>
    </row>
    <row r="185" spans="1:22" s="94" customFormat="1" ht="18.75" customHeight="1" x14ac:dyDescent="0.15">
      <c r="A185" s="90" t="s">
        <v>38</v>
      </c>
      <c r="B185" s="91">
        <v>20</v>
      </c>
      <c r="C185" s="92">
        <v>1.1200000000000001</v>
      </c>
      <c r="D185" s="92">
        <v>0.22</v>
      </c>
      <c r="E185" s="92">
        <v>9.8800000000000008</v>
      </c>
      <c r="F185" s="92">
        <v>45.98</v>
      </c>
      <c r="G185" s="92">
        <v>0</v>
      </c>
      <c r="H185" s="92">
        <v>0</v>
      </c>
      <c r="I185" s="92">
        <v>0</v>
      </c>
      <c r="J185" s="92">
        <v>0</v>
      </c>
      <c r="K185" s="92">
        <v>0</v>
      </c>
      <c r="L185" s="92">
        <v>0</v>
      </c>
      <c r="M185" s="92">
        <v>0</v>
      </c>
      <c r="N185" s="92">
        <v>0</v>
      </c>
      <c r="O185" s="92">
        <v>0</v>
      </c>
      <c r="P185" s="92">
        <v>0</v>
      </c>
      <c r="Q185" s="92">
        <v>0</v>
      </c>
      <c r="R185" s="92">
        <v>0</v>
      </c>
      <c r="S185" s="92">
        <v>0</v>
      </c>
      <c r="T185" s="92">
        <v>0</v>
      </c>
      <c r="U185" s="93" t="s">
        <v>167</v>
      </c>
      <c r="V185" s="93" t="s">
        <v>39</v>
      </c>
    </row>
    <row r="186" spans="1:22" s="94" customFormat="1" ht="24.75" customHeight="1" x14ac:dyDescent="0.15">
      <c r="A186" s="90" t="s">
        <v>110</v>
      </c>
      <c r="B186" s="91">
        <v>180</v>
      </c>
      <c r="C186" s="92">
        <v>2.85</v>
      </c>
      <c r="D186" s="92">
        <v>2.4300000000000002</v>
      </c>
      <c r="E186" s="92">
        <v>14.35</v>
      </c>
      <c r="F186" s="92">
        <v>93.15</v>
      </c>
      <c r="G186" s="92">
        <v>0.03</v>
      </c>
      <c r="H186" s="92">
        <v>0.47</v>
      </c>
      <c r="I186" s="92">
        <v>0.01</v>
      </c>
      <c r="J186" s="92">
        <v>0</v>
      </c>
      <c r="K186" s="92">
        <v>0</v>
      </c>
      <c r="L186" s="92">
        <v>0.1</v>
      </c>
      <c r="M186" s="92">
        <v>100.26</v>
      </c>
      <c r="N186" s="92">
        <v>17.13</v>
      </c>
      <c r="O186" s="92">
        <v>79.099999999999994</v>
      </c>
      <c r="P186" s="92">
        <v>0.36</v>
      </c>
      <c r="Q186" s="92">
        <v>152.65</v>
      </c>
      <c r="R186" s="92">
        <v>8.1</v>
      </c>
      <c r="S186" s="92">
        <v>0</v>
      </c>
      <c r="T186" s="92">
        <v>0</v>
      </c>
      <c r="U186" s="93" t="s">
        <v>111</v>
      </c>
      <c r="V186" s="93" t="s">
        <v>29</v>
      </c>
    </row>
    <row r="187" spans="1:22" s="99" customFormat="1" ht="26.25" customHeight="1" x14ac:dyDescent="0.2">
      <c r="A187" s="95" t="s">
        <v>40</v>
      </c>
      <c r="B187" s="101">
        <f t="shared" ref="B187:T187" si="28">SUM(B184:B186)</f>
        <v>350</v>
      </c>
      <c r="C187" s="97">
        <f t="shared" si="28"/>
        <v>11.069999999999999</v>
      </c>
      <c r="D187" s="97">
        <v>11.8</v>
      </c>
      <c r="E187" s="97">
        <v>37.4</v>
      </c>
      <c r="F187" s="97">
        <v>348.7</v>
      </c>
      <c r="G187" s="97">
        <f t="shared" si="28"/>
        <v>0.32999999999999996</v>
      </c>
      <c r="H187" s="97">
        <f t="shared" si="28"/>
        <v>6.17</v>
      </c>
      <c r="I187" s="97">
        <f t="shared" si="28"/>
        <v>0.41000000000000003</v>
      </c>
      <c r="J187" s="97">
        <f t="shared" si="28"/>
        <v>0.34</v>
      </c>
      <c r="K187" s="97">
        <f t="shared" si="28"/>
        <v>0.05</v>
      </c>
      <c r="L187" s="97">
        <f t="shared" si="28"/>
        <v>0.22</v>
      </c>
      <c r="M187" s="97">
        <f t="shared" si="28"/>
        <v>129.71</v>
      </c>
      <c r="N187" s="97">
        <f t="shared" si="28"/>
        <v>52.069999999999993</v>
      </c>
      <c r="O187" s="97">
        <f t="shared" si="28"/>
        <v>218.32</v>
      </c>
      <c r="P187" s="97">
        <f t="shared" si="28"/>
        <v>2.1800000000000002</v>
      </c>
      <c r="Q187" s="97">
        <f t="shared" si="28"/>
        <v>743.65</v>
      </c>
      <c r="R187" s="97">
        <f t="shared" si="28"/>
        <v>16.799999999999997</v>
      </c>
      <c r="S187" s="97">
        <f t="shared" si="28"/>
        <v>7.0000000000000007E-2</v>
      </c>
      <c r="T187" s="97">
        <f t="shared" si="28"/>
        <v>0</v>
      </c>
      <c r="U187" s="98"/>
      <c r="V187" s="98"/>
    </row>
    <row r="188" spans="1:22" s="99" customFormat="1" ht="21.6" customHeight="1" x14ac:dyDescent="0.2">
      <c r="A188" s="95" t="s">
        <v>54</v>
      </c>
      <c r="B188" s="96"/>
      <c r="C188" s="97">
        <f t="shared" ref="C188:T188" si="29">C187+C182+C173</f>
        <v>53.357391053391055</v>
      </c>
      <c r="D188" s="97">
        <f t="shared" si="29"/>
        <v>58.353636363636369</v>
      </c>
      <c r="E188" s="97">
        <f t="shared" si="29"/>
        <v>205.62181818181818</v>
      </c>
      <c r="F188" s="97">
        <f t="shared" si="29"/>
        <v>1664.3899999999999</v>
      </c>
      <c r="G188" s="97">
        <f t="shared" si="29"/>
        <v>0.85319999999999996</v>
      </c>
      <c r="H188" s="97">
        <f t="shared" si="29"/>
        <v>42.116</v>
      </c>
      <c r="I188" s="97">
        <f t="shared" si="29"/>
        <v>1.4499999999999997</v>
      </c>
      <c r="J188" s="97">
        <f t="shared" si="29"/>
        <v>11.459999999999999</v>
      </c>
      <c r="K188" s="97">
        <f t="shared" si="29"/>
        <v>0.3</v>
      </c>
      <c r="L188" s="97">
        <f t="shared" si="29"/>
        <v>1.0762</v>
      </c>
      <c r="M188" s="97">
        <f t="shared" si="29"/>
        <v>667.80820000000006</v>
      </c>
      <c r="N188" s="97">
        <f t="shared" si="29"/>
        <v>233.52659999999997</v>
      </c>
      <c r="O188" s="97">
        <f t="shared" si="29"/>
        <v>1041.3111999999999</v>
      </c>
      <c r="P188" s="97">
        <f t="shared" si="29"/>
        <v>10.610200000000001</v>
      </c>
      <c r="Q188" s="97">
        <f t="shared" si="29"/>
        <v>2951.45</v>
      </c>
      <c r="R188" s="97">
        <f t="shared" si="29"/>
        <v>41.75</v>
      </c>
      <c r="S188" s="97">
        <f t="shared" si="29"/>
        <v>0.29000000000000004</v>
      </c>
      <c r="T188" s="97">
        <f t="shared" si="29"/>
        <v>0.05</v>
      </c>
      <c r="U188" s="98"/>
      <c r="V188" s="98"/>
    </row>
    <row r="189" spans="1:22" s="99" customFormat="1" ht="14.1" customHeight="1" x14ac:dyDescent="0.2">
      <c r="A189" s="102"/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2"/>
      <c r="V189" s="102"/>
    </row>
    <row r="190" spans="1:22" s="94" customFormat="1" ht="28.35" customHeight="1" x14ac:dyDescent="0.15">
      <c r="A190" s="133" t="s">
        <v>216</v>
      </c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</row>
    <row r="191" spans="1:22" s="104" customFormat="1" ht="13.35" customHeight="1" x14ac:dyDescent="0.2">
      <c r="A191" s="135" t="s">
        <v>1</v>
      </c>
      <c r="B191" s="135" t="s">
        <v>2</v>
      </c>
      <c r="C191" s="137" t="s">
        <v>3</v>
      </c>
      <c r="D191" s="138"/>
      <c r="E191" s="139"/>
      <c r="F191" s="140" t="s">
        <v>4</v>
      </c>
      <c r="G191" s="137" t="s">
        <v>5</v>
      </c>
      <c r="H191" s="138"/>
      <c r="I191" s="138"/>
      <c r="J191" s="138"/>
      <c r="K191" s="138"/>
      <c r="L191" s="139"/>
      <c r="M191" s="137" t="s">
        <v>6</v>
      </c>
      <c r="N191" s="138"/>
      <c r="O191" s="138"/>
      <c r="P191" s="138"/>
      <c r="Q191" s="138"/>
      <c r="R191" s="138"/>
      <c r="S191" s="138"/>
      <c r="T191" s="139"/>
      <c r="U191" s="96" t="s">
        <v>7</v>
      </c>
      <c r="V191" s="96" t="s">
        <v>8</v>
      </c>
    </row>
    <row r="192" spans="1:22" s="99" customFormat="1" ht="26.65" customHeight="1" x14ac:dyDescent="0.2">
      <c r="A192" s="136"/>
      <c r="B192" s="136"/>
      <c r="C192" s="97" t="s">
        <v>9</v>
      </c>
      <c r="D192" s="97" t="s">
        <v>10</v>
      </c>
      <c r="E192" s="97" t="s">
        <v>11</v>
      </c>
      <c r="F192" s="141"/>
      <c r="G192" s="97" t="s">
        <v>12</v>
      </c>
      <c r="H192" s="97" t="s">
        <v>13</v>
      </c>
      <c r="I192" s="97" t="s">
        <v>14</v>
      </c>
      <c r="J192" s="97" t="s">
        <v>15</v>
      </c>
      <c r="K192" s="97" t="s">
        <v>16</v>
      </c>
      <c r="L192" s="97" t="s">
        <v>17</v>
      </c>
      <c r="M192" s="97" t="s">
        <v>18</v>
      </c>
      <c r="N192" s="97" t="s">
        <v>19</v>
      </c>
      <c r="O192" s="97" t="s">
        <v>20</v>
      </c>
      <c r="P192" s="97" t="s">
        <v>21</v>
      </c>
      <c r="Q192" s="97" t="s">
        <v>22</v>
      </c>
      <c r="R192" s="97" t="s">
        <v>23</v>
      </c>
      <c r="S192" s="97" t="s">
        <v>24</v>
      </c>
      <c r="T192" s="97" t="s">
        <v>25</v>
      </c>
      <c r="U192" s="96"/>
      <c r="V192" s="96"/>
    </row>
    <row r="193" spans="1:22" s="99" customFormat="1" ht="14.65" customHeight="1" x14ac:dyDescent="0.2">
      <c r="A193" s="143" t="s">
        <v>26</v>
      </c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5"/>
      <c r="U193" s="100"/>
      <c r="V193" s="100"/>
    </row>
    <row r="194" spans="1:22" s="99" customFormat="1" ht="17.25" customHeight="1" x14ac:dyDescent="0.2">
      <c r="A194" s="90" t="s">
        <v>75</v>
      </c>
      <c r="B194" s="91">
        <v>100</v>
      </c>
      <c r="C194" s="92">
        <v>1.6</v>
      </c>
      <c r="D194" s="92">
        <v>5.0999999999999996</v>
      </c>
      <c r="E194" s="92">
        <v>8.3000000000000007</v>
      </c>
      <c r="F194" s="92">
        <v>87.6</v>
      </c>
      <c r="G194" s="92">
        <v>0.02</v>
      </c>
      <c r="H194" s="92">
        <v>25.3</v>
      </c>
      <c r="I194" s="92">
        <v>0</v>
      </c>
      <c r="J194" s="92">
        <v>2.12</v>
      </c>
      <c r="K194" s="92">
        <v>0</v>
      </c>
      <c r="L194" s="92">
        <v>0.02</v>
      </c>
      <c r="M194" s="92">
        <v>42.08</v>
      </c>
      <c r="N194" s="92">
        <v>14.36</v>
      </c>
      <c r="O194" s="92">
        <v>31.01</v>
      </c>
      <c r="P194" s="92">
        <v>0.59</v>
      </c>
      <c r="Q194" s="92">
        <v>260.64999999999998</v>
      </c>
      <c r="R194" s="92">
        <v>2.73</v>
      </c>
      <c r="S194" s="92">
        <v>0.01</v>
      </c>
      <c r="T194" s="92">
        <v>0</v>
      </c>
      <c r="U194" s="93" t="s">
        <v>76</v>
      </c>
      <c r="V194" s="93">
        <v>2017</v>
      </c>
    </row>
    <row r="195" spans="1:22" s="99" customFormat="1" ht="18" customHeight="1" x14ac:dyDescent="0.2">
      <c r="A195" s="90" t="s">
        <v>132</v>
      </c>
      <c r="B195" s="91">
        <v>150</v>
      </c>
      <c r="C195" s="92">
        <v>6.1</v>
      </c>
      <c r="D195" s="92">
        <v>7.5</v>
      </c>
      <c r="E195" s="92">
        <v>27</v>
      </c>
      <c r="F195" s="92">
        <v>195</v>
      </c>
      <c r="G195" s="92">
        <v>7.0000000000000007E-2</v>
      </c>
      <c r="H195" s="92">
        <v>0</v>
      </c>
      <c r="I195" s="92">
        <v>0.04</v>
      </c>
      <c r="J195" s="92">
        <v>2.1800000000000002</v>
      </c>
      <c r="K195" s="92">
        <v>0.21</v>
      </c>
      <c r="L195" s="92">
        <v>0.05</v>
      </c>
      <c r="M195" s="92">
        <v>18.350000000000001</v>
      </c>
      <c r="N195" s="92">
        <v>11.69</v>
      </c>
      <c r="O195" s="92">
        <v>58.3</v>
      </c>
      <c r="P195" s="92">
        <v>1.22</v>
      </c>
      <c r="Q195" s="92">
        <v>77.94</v>
      </c>
      <c r="R195" s="92">
        <v>1.85</v>
      </c>
      <c r="S195" s="92">
        <v>0.01</v>
      </c>
      <c r="T195" s="92">
        <v>0.01</v>
      </c>
      <c r="U195" s="93" t="s">
        <v>133</v>
      </c>
      <c r="V195" s="93" t="s">
        <v>29</v>
      </c>
    </row>
    <row r="196" spans="1:22" s="99" customFormat="1" ht="18.75" customHeight="1" x14ac:dyDescent="0.2">
      <c r="A196" s="90" t="s">
        <v>108</v>
      </c>
      <c r="B196" s="91">
        <v>40</v>
      </c>
      <c r="C196" s="92">
        <v>5</v>
      </c>
      <c r="D196" s="92">
        <v>4.5</v>
      </c>
      <c r="E196" s="92">
        <v>0.3</v>
      </c>
      <c r="F196" s="92">
        <v>61.3</v>
      </c>
      <c r="G196" s="92">
        <v>0.02</v>
      </c>
      <c r="H196" s="92">
        <v>0</v>
      </c>
      <c r="I196" s="92">
        <v>0.1</v>
      </c>
      <c r="J196" s="92">
        <v>0.81</v>
      </c>
      <c r="K196" s="92">
        <v>0.89</v>
      </c>
      <c r="L196" s="92">
        <v>0.15</v>
      </c>
      <c r="M196" s="92">
        <v>19.920000000000002</v>
      </c>
      <c r="N196" s="92">
        <v>4.3499999999999996</v>
      </c>
      <c r="O196" s="92">
        <v>69.55</v>
      </c>
      <c r="P196" s="92">
        <v>0.91</v>
      </c>
      <c r="Q196" s="92">
        <v>56.35</v>
      </c>
      <c r="R196" s="92">
        <v>8.0500000000000007</v>
      </c>
      <c r="S196" s="92">
        <v>0.02</v>
      </c>
      <c r="T196" s="92">
        <v>0.01</v>
      </c>
      <c r="U196" s="93" t="s">
        <v>109</v>
      </c>
      <c r="V196" s="93" t="s">
        <v>29</v>
      </c>
    </row>
    <row r="197" spans="1:22" s="94" customFormat="1" ht="16.5" customHeight="1" x14ac:dyDescent="0.15">
      <c r="A197" s="90" t="s">
        <v>182</v>
      </c>
      <c r="B197" s="91">
        <v>180</v>
      </c>
      <c r="C197" s="92">
        <v>4.68</v>
      </c>
      <c r="D197" s="92">
        <v>4.05</v>
      </c>
      <c r="E197" s="92">
        <v>6.48</v>
      </c>
      <c r="F197" s="92">
        <v>85.86</v>
      </c>
      <c r="G197" s="92">
        <v>0</v>
      </c>
      <c r="H197" s="92">
        <v>0</v>
      </c>
      <c r="I197" s="92">
        <v>0</v>
      </c>
      <c r="J197" s="92">
        <v>0</v>
      </c>
      <c r="K197" s="92">
        <v>0</v>
      </c>
      <c r="L197" s="92">
        <v>0</v>
      </c>
      <c r="M197" s="92">
        <v>0</v>
      </c>
      <c r="N197" s="92">
        <v>0</v>
      </c>
      <c r="O197" s="92">
        <v>0</v>
      </c>
      <c r="P197" s="92">
        <v>0</v>
      </c>
      <c r="Q197" s="92">
        <v>0</v>
      </c>
      <c r="R197" s="92">
        <v>0</v>
      </c>
      <c r="S197" s="92">
        <v>0</v>
      </c>
      <c r="T197" s="92">
        <v>0</v>
      </c>
      <c r="U197" s="93" t="s">
        <v>167</v>
      </c>
      <c r="V197" s="93" t="s">
        <v>29</v>
      </c>
    </row>
    <row r="198" spans="1:22" s="94" customFormat="1" ht="16.5" customHeight="1" x14ac:dyDescent="0.15">
      <c r="A198" s="90" t="s">
        <v>49</v>
      </c>
      <c r="B198" s="91">
        <v>30</v>
      </c>
      <c r="C198" s="92">
        <v>2.2999999999999998</v>
      </c>
      <c r="D198" s="92">
        <v>0.19</v>
      </c>
      <c r="E198" s="92">
        <v>15.05</v>
      </c>
      <c r="F198" s="92">
        <v>71.05</v>
      </c>
      <c r="G198" s="92">
        <v>0.05</v>
      </c>
      <c r="H198" s="92">
        <v>0</v>
      </c>
      <c r="I198" s="92">
        <v>0</v>
      </c>
      <c r="J198" s="92">
        <v>0.59</v>
      </c>
      <c r="K198" s="92">
        <v>0</v>
      </c>
      <c r="L198" s="92">
        <v>0.02</v>
      </c>
      <c r="M198" s="92">
        <v>6.9</v>
      </c>
      <c r="N198" s="92">
        <v>9.9</v>
      </c>
      <c r="O198" s="92">
        <v>25.2</v>
      </c>
      <c r="P198" s="92">
        <v>0.6</v>
      </c>
      <c r="Q198" s="92">
        <v>38.700000000000003</v>
      </c>
      <c r="R198" s="92">
        <v>0</v>
      </c>
      <c r="S198" s="92">
        <v>0</v>
      </c>
      <c r="T198" s="92">
        <v>0</v>
      </c>
      <c r="U198" s="93" t="s">
        <v>167</v>
      </c>
      <c r="V198" s="93">
        <v>2020</v>
      </c>
    </row>
    <row r="199" spans="1:22" s="94" customFormat="1" ht="17.25" customHeight="1" x14ac:dyDescent="0.15">
      <c r="A199" s="90" t="s">
        <v>38</v>
      </c>
      <c r="B199" s="91">
        <v>20</v>
      </c>
      <c r="C199" s="92">
        <v>1.1200000000000001</v>
      </c>
      <c r="D199" s="92">
        <v>0.22</v>
      </c>
      <c r="E199" s="92">
        <v>9.8800000000000008</v>
      </c>
      <c r="F199" s="92">
        <v>45.98</v>
      </c>
      <c r="G199" s="92">
        <v>0</v>
      </c>
      <c r="H199" s="92">
        <v>0</v>
      </c>
      <c r="I199" s="92">
        <v>0</v>
      </c>
      <c r="J199" s="92">
        <v>0</v>
      </c>
      <c r="K199" s="92">
        <v>0</v>
      </c>
      <c r="L199" s="92">
        <v>0</v>
      </c>
      <c r="M199" s="92">
        <v>0</v>
      </c>
      <c r="N199" s="92">
        <v>0</v>
      </c>
      <c r="O199" s="92">
        <v>0</v>
      </c>
      <c r="P199" s="92">
        <v>0</v>
      </c>
      <c r="Q199" s="92">
        <v>0</v>
      </c>
      <c r="R199" s="92">
        <v>0</v>
      </c>
      <c r="S199" s="92">
        <v>0</v>
      </c>
      <c r="T199" s="92">
        <v>0</v>
      </c>
      <c r="U199" s="93" t="s">
        <v>167</v>
      </c>
      <c r="V199" s="93" t="s">
        <v>39</v>
      </c>
    </row>
    <row r="200" spans="1:22" s="99" customFormat="1" ht="19.5" customHeight="1" x14ac:dyDescent="0.2">
      <c r="A200" s="95" t="s">
        <v>40</v>
      </c>
      <c r="B200" s="101">
        <f>SUM(B194:B199)</f>
        <v>520</v>
      </c>
      <c r="C200" s="97">
        <f t="shared" ref="C200:T200" si="30">SUM(C194:C199)</f>
        <v>20.8</v>
      </c>
      <c r="D200" s="97">
        <v>21.5</v>
      </c>
      <c r="E200" s="97">
        <f t="shared" ref="E200" si="31">SUM(E194:E199)</f>
        <v>67.009999999999991</v>
      </c>
      <c r="F200" s="97">
        <f t="shared" si="30"/>
        <v>546.79000000000008</v>
      </c>
      <c r="G200" s="97">
        <f t="shared" si="30"/>
        <v>0.16000000000000003</v>
      </c>
      <c r="H200" s="97">
        <f t="shared" si="30"/>
        <v>25.3</v>
      </c>
      <c r="I200" s="97">
        <f t="shared" si="30"/>
        <v>0.14000000000000001</v>
      </c>
      <c r="J200" s="97">
        <f t="shared" si="30"/>
        <v>5.7000000000000011</v>
      </c>
      <c r="K200" s="97">
        <f t="shared" si="30"/>
        <v>1.1000000000000001</v>
      </c>
      <c r="L200" s="97">
        <f t="shared" si="30"/>
        <v>0.24</v>
      </c>
      <c r="M200" s="97">
        <f t="shared" si="30"/>
        <v>87.25</v>
      </c>
      <c r="N200" s="97">
        <f t="shared" si="30"/>
        <v>40.299999999999997</v>
      </c>
      <c r="O200" s="97">
        <f t="shared" si="30"/>
        <v>184.06</v>
      </c>
      <c r="P200" s="97">
        <f t="shared" si="30"/>
        <v>3.3200000000000003</v>
      </c>
      <c r="Q200" s="97">
        <f t="shared" si="30"/>
        <v>433.64</v>
      </c>
      <c r="R200" s="97">
        <f t="shared" si="30"/>
        <v>12.63</v>
      </c>
      <c r="S200" s="97">
        <f t="shared" si="30"/>
        <v>0.04</v>
      </c>
      <c r="T200" s="97">
        <f t="shared" si="30"/>
        <v>0.02</v>
      </c>
      <c r="U200" s="98"/>
      <c r="V200" s="98"/>
    </row>
    <row r="201" spans="1:22" s="99" customFormat="1" ht="14.65" customHeight="1" x14ac:dyDescent="0.2">
      <c r="A201" s="143" t="s">
        <v>41</v>
      </c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5"/>
      <c r="U201" s="100"/>
      <c r="V201" s="100"/>
    </row>
    <row r="202" spans="1:22" s="99" customFormat="1" ht="16.5" customHeight="1" x14ac:dyDescent="0.2">
      <c r="A202" s="90" t="s">
        <v>135</v>
      </c>
      <c r="B202" s="91">
        <v>60</v>
      </c>
      <c r="C202" s="92">
        <v>1.5</v>
      </c>
      <c r="D202" s="92">
        <v>4.4000000000000004</v>
      </c>
      <c r="E202" s="92">
        <v>8</v>
      </c>
      <c r="F202" s="92">
        <v>78.599999999999994</v>
      </c>
      <c r="G202" s="92">
        <v>0.03</v>
      </c>
      <c r="H202" s="92">
        <v>4.84</v>
      </c>
      <c r="I202" s="92">
        <v>0.05</v>
      </c>
      <c r="J202" s="92">
        <v>2.12</v>
      </c>
      <c r="K202" s="92">
        <v>0</v>
      </c>
      <c r="L202" s="92">
        <v>0.04</v>
      </c>
      <c r="M202" s="92">
        <v>19.98</v>
      </c>
      <c r="N202" s="92">
        <v>16.600000000000001</v>
      </c>
      <c r="O202" s="92">
        <v>31.4</v>
      </c>
      <c r="P202" s="92">
        <v>0.95</v>
      </c>
      <c r="Q202" s="92">
        <v>273.64999999999998</v>
      </c>
      <c r="R202" s="92">
        <v>4.68</v>
      </c>
      <c r="S202" s="92">
        <v>0.01</v>
      </c>
      <c r="T202" s="92">
        <v>0</v>
      </c>
      <c r="U202" s="93" t="s">
        <v>136</v>
      </c>
      <c r="V202" s="93" t="s">
        <v>29</v>
      </c>
    </row>
    <row r="203" spans="1:22" s="94" customFormat="1" ht="17.25" customHeight="1" x14ac:dyDescent="0.15">
      <c r="A203" s="90" t="s">
        <v>137</v>
      </c>
      <c r="B203" s="91">
        <v>200</v>
      </c>
      <c r="C203" s="92">
        <f>10.26*0.2</f>
        <v>2.052</v>
      </c>
      <c r="D203" s="92">
        <f>22.17*0.2</f>
        <v>4.4340000000000002</v>
      </c>
      <c r="E203" s="92">
        <f>46.48*0.2</f>
        <v>9.2959999999999994</v>
      </c>
      <c r="F203" s="92">
        <f>463*0.2</f>
        <v>92.600000000000009</v>
      </c>
      <c r="G203" s="92">
        <v>0.02</v>
      </c>
      <c r="H203" s="92">
        <v>0.32</v>
      </c>
      <c r="I203" s="92">
        <v>0.01</v>
      </c>
      <c r="J203" s="92">
        <v>1.78</v>
      </c>
      <c r="K203" s="92">
        <v>0.09</v>
      </c>
      <c r="L203" s="92">
        <v>0.03</v>
      </c>
      <c r="M203" s="92">
        <v>21.08</v>
      </c>
      <c r="N203" s="92">
        <v>5.73</v>
      </c>
      <c r="O203" s="92">
        <v>24.12</v>
      </c>
      <c r="P203" s="92">
        <v>0.35</v>
      </c>
      <c r="Q203" s="92">
        <v>38.659999999999997</v>
      </c>
      <c r="R203" s="92">
        <v>1.27</v>
      </c>
      <c r="S203" s="92">
        <v>0</v>
      </c>
      <c r="T203" s="92">
        <v>0</v>
      </c>
      <c r="U203" s="93" t="s">
        <v>138</v>
      </c>
      <c r="V203" s="93" t="s">
        <v>29</v>
      </c>
    </row>
    <row r="204" spans="1:22" s="99" customFormat="1" ht="16.5" customHeight="1" x14ac:dyDescent="0.2">
      <c r="A204" s="90" t="s">
        <v>139</v>
      </c>
      <c r="B204" s="91">
        <v>150</v>
      </c>
      <c r="C204" s="92">
        <v>6.3</v>
      </c>
      <c r="D204" s="92">
        <v>6.3</v>
      </c>
      <c r="E204" s="92">
        <v>22.1</v>
      </c>
      <c r="F204" s="92">
        <v>137.69999999999999</v>
      </c>
      <c r="G204" s="92">
        <v>0.13</v>
      </c>
      <c r="H204" s="92">
        <v>0</v>
      </c>
      <c r="I204" s="92">
        <v>0.04</v>
      </c>
      <c r="J204" s="92">
        <v>0.18</v>
      </c>
      <c r="K204" s="92">
        <v>0.12</v>
      </c>
      <c r="L204" s="92">
        <v>0.05</v>
      </c>
      <c r="M204" s="92">
        <v>29.82</v>
      </c>
      <c r="N204" s="92">
        <v>31.59</v>
      </c>
      <c r="O204" s="92">
        <v>134.41</v>
      </c>
      <c r="P204" s="92">
        <v>2.2799999999999998</v>
      </c>
      <c r="Q204" s="92">
        <v>131.12</v>
      </c>
      <c r="R204" s="92">
        <v>0</v>
      </c>
      <c r="S204" s="92">
        <v>0</v>
      </c>
      <c r="T204" s="92">
        <v>0.04</v>
      </c>
      <c r="U204" s="93" t="s">
        <v>140</v>
      </c>
      <c r="V204" s="93">
        <v>2017</v>
      </c>
    </row>
    <row r="205" spans="1:22" s="94" customFormat="1" ht="18" customHeight="1" x14ac:dyDescent="0.15">
      <c r="A205" s="90" t="s">
        <v>141</v>
      </c>
      <c r="B205" s="91">
        <v>115</v>
      </c>
      <c r="C205" s="92">
        <f>6.59*115/80</f>
        <v>9.4731249999999996</v>
      </c>
      <c r="D205" s="92">
        <f>5.64*115/80</f>
        <v>8.1074999999999982</v>
      </c>
      <c r="E205" s="92">
        <f>9.38*115/80</f>
        <v>13.483750000000001</v>
      </c>
      <c r="F205" s="92">
        <f>115*115/80</f>
        <v>165.3125</v>
      </c>
      <c r="G205" s="92">
        <v>0.1</v>
      </c>
      <c r="H205" s="92">
        <v>0.21</v>
      </c>
      <c r="I205" s="92">
        <v>0.02</v>
      </c>
      <c r="J205" s="92">
        <v>4.29</v>
      </c>
      <c r="K205" s="92">
        <v>0.02</v>
      </c>
      <c r="L205" s="92">
        <v>0.09</v>
      </c>
      <c r="M205" s="92">
        <v>55.69</v>
      </c>
      <c r="N205" s="92">
        <v>47.02</v>
      </c>
      <c r="O205" s="92">
        <v>191.17</v>
      </c>
      <c r="P205" s="92">
        <v>1.5</v>
      </c>
      <c r="Q205" s="92">
        <v>339.53</v>
      </c>
      <c r="R205" s="92">
        <v>95.87</v>
      </c>
      <c r="S205" s="92">
        <v>0.4</v>
      </c>
      <c r="T205" s="92">
        <v>0.01</v>
      </c>
      <c r="U205" s="93" t="s">
        <v>85</v>
      </c>
      <c r="V205" s="93" t="s">
        <v>29</v>
      </c>
    </row>
    <row r="206" spans="1:22" s="94" customFormat="1" ht="16.5" customHeight="1" x14ac:dyDescent="0.15">
      <c r="A206" s="90" t="s">
        <v>127</v>
      </c>
      <c r="B206" s="91">
        <v>200</v>
      </c>
      <c r="C206" s="92">
        <f>3*0.2</f>
        <v>0.60000000000000009</v>
      </c>
      <c r="D206" s="92">
        <v>0.4</v>
      </c>
      <c r="E206" s="92">
        <f>163*0.2</f>
        <v>32.6</v>
      </c>
      <c r="F206" s="92">
        <f>682*0.2</f>
        <v>136.4</v>
      </c>
      <c r="G206" s="92">
        <v>0.03</v>
      </c>
      <c r="H206" s="92">
        <v>1.6</v>
      </c>
      <c r="I206" s="92">
        <v>0</v>
      </c>
      <c r="J206" s="92">
        <v>0</v>
      </c>
      <c r="K206" s="92">
        <v>0</v>
      </c>
      <c r="L206" s="92">
        <v>0.02</v>
      </c>
      <c r="M206" s="92">
        <v>36</v>
      </c>
      <c r="N206" s="92">
        <v>16.2</v>
      </c>
      <c r="O206" s="92">
        <v>21.6</v>
      </c>
      <c r="P206" s="92">
        <v>0.72</v>
      </c>
      <c r="Q206" s="92">
        <v>300</v>
      </c>
      <c r="R206" s="92">
        <v>12</v>
      </c>
      <c r="S206" s="92">
        <v>0</v>
      </c>
      <c r="T206" s="92">
        <v>0</v>
      </c>
      <c r="U206" s="93" t="s">
        <v>64</v>
      </c>
      <c r="V206" s="93" t="s">
        <v>29</v>
      </c>
    </row>
    <row r="207" spans="1:22" s="94" customFormat="1" ht="16.5" customHeight="1" x14ac:dyDescent="0.15">
      <c r="A207" s="90" t="s">
        <v>49</v>
      </c>
      <c r="B207" s="91">
        <v>40</v>
      </c>
      <c r="C207" s="92">
        <v>3.05</v>
      </c>
      <c r="D207" s="92">
        <v>0.25</v>
      </c>
      <c r="E207" s="92">
        <v>20.07</v>
      </c>
      <c r="F207" s="92">
        <v>94.73</v>
      </c>
      <c r="G207" s="92">
        <v>0.06</v>
      </c>
      <c r="H207" s="92">
        <v>0</v>
      </c>
      <c r="I207" s="92">
        <v>0</v>
      </c>
      <c r="J207" s="92">
        <v>0.78</v>
      </c>
      <c r="K207" s="92">
        <v>0</v>
      </c>
      <c r="L207" s="92">
        <v>0.02</v>
      </c>
      <c r="M207" s="92">
        <v>9.1999999999999993</v>
      </c>
      <c r="N207" s="92">
        <v>13.2</v>
      </c>
      <c r="O207" s="92">
        <v>33.6</v>
      </c>
      <c r="P207" s="92">
        <v>0.8</v>
      </c>
      <c r="Q207" s="92">
        <v>51.6</v>
      </c>
      <c r="R207" s="92">
        <v>0</v>
      </c>
      <c r="S207" s="92">
        <v>0.01</v>
      </c>
      <c r="T207" s="92">
        <v>0</v>
      </c>
      <c r="U207" s="93" t="s">
        <v>167</v>
      </c>
      <c r="V207" s="93" t="s">
        <v>39</v>
      </c>
    </row>
    <row r="208" spans="1:22" s="94" customFormat="1" ht="17.25" customHeight="1" x14ac:dyDescent="0.15">
      <c r="A208" s="90" t="s">
        <v>38</v>
      </c>
      <c r="B208" s="91">
        <v>30</v>
      </c>
      <c r="C208" s="92">
        <v>1.99</v>
      </c>
      <c r="D208" s="92">
        <v>0.26</v>
      </c>
      <c r="E208" s="92">
        <v>12.72</v>
      </c>
      <c r="F208" s="92">
        <v>61.19</v>
      </c>
      <c r="G208" s="92">
        <v>0.05</v>
      </c>
      <c r="H208" s="92">
        <v>0</v>
      </c>
      <c r="I208" s="92">
        <v>0</v>
      </c>
      <c r="J208" s="92">
        <v>0.66</v>
      </c>
      <c r="K208" s="92">
        <v>0</v>
      </c>
      <c r="L208" s="92">
        <v>0.02</v>
      </c>
      <c r="M208" s="92">
        <v>5.4</v>
      </c>
      <c r="N208" s="92">
        <v>5.7</v>
      </c>
      <c r="O208" s="92">
        <v>26.1</v>
      </c>
      <c r="P208" s="92">
        <v>1.2</v>
      </c>
      <c r="Q208" s="92">
        <v>40.799999999999997</v>
      </c>
      <c r="R208" s="92">
        <v>1.68</v>
      </c>
      <c r="S208" s="92">
        <v>0</v>
      </c>
      <c r="T208" s="92">
        <v>0</v>
      </c>
      <c r="U208" s="93" t="s">
        <v>167</v>
      </c>
      <c r="V208" s="93" t="s">
        <v>39</v>
      </c>
    </row>
    <row r="209" spans="1:22" s="94" customFormat="1" ht="21" customHeight="1" x14ac:dyDescent="0.15">
      <c r="A209" s="90" t="s">
        <v>240</v>
      </c>
      <c r="B209" s="91">
        <v>150</v>
      </c>
      <c r="C209" s="92">
        <f>1.3*150/100</f>
        <v>1.95</v>
      </c>
      <c r="D209" s="92">
        <f>1*150/100</f>
        <v>1.5</v>
      </c>
      <c r="E209" s="92">
        <f>8.8*150/100</f>
        <v>13.2</v>
      </c>
      <c r="F209" s="92">
        <f>44.2*150/100</f>
        <v>66.3</v>
      </c>
      <c r="G209" s="92">
        <v>0.06</v>
      </c>
      <c r="H209" s="92">
        <f>90*100/150</f>
        <v>60</v>
      </c>
      <c r="I209" s="92">
        <v>0.02</v>
      </c>
      <c r="J209" s="92">
        <v>0.33</v>
      </c>
      <c r="K209" s="92">
        <v>0</v>
      </c>
      <c r="L209" s="92">
        <v>0.05</v>
      </c>
      <c r="M209" s="92">
        <v>51</v>
      </c>
      <c r="N209" s="92">
        <v>19.5</v>
      </c>
      <c r="O209" s="92">
        <v>34.5</v>
      </c>
      <c r="P209" s="92">
        <v>0.45</v>
      </c>
      <c r="Q209" s="92">
        <v>295.5</v>
      </c>
      <c r="R209" s="92">
        <v>3</v>
      </c>
      <c r="S209" s="92">
        <v>0.03</v>
      </c>
      <c r="T209" s="92">
        <v>0</v>
      </c>
      <c r="U209" s="93" t="s">
        <v>170</v>
      </c>
      <c r="V209" s="93" t="s">
        <v>29</v>
      </c>
    </row>
    <row r="210" spans="1:22" s="99" customFormat="1" ht="21.75" customHeight="1" x14ac:dyDescent="0.2">
      <c r="A210" s="95" t="s">
        <v>40</v>
      </c>
      <c r="B210" s="101">
        <f>SUM(B202:B209)</f>
        <v>945</v>
      </c>
      <c r="C210" s="97">
        <v>27</v>
      </c>
      <c r="D210" s="97">
        <f t="shared" ref="D210:T210" si="32">SUM(D202:D209)</f>
        <v>25.651499999999999</v>
      </c>
      <c r="E210" s="97">
        <v>131.6</v>
      </c>
      <c r="F210" s="97">
        <f t="shared" si="32"/>
        <v>832.83249999999998</v>
      </c>
      <c r="G210" s="97">
        <f t="shared" si="32"/>
        <v>0.48000000000000004</v>
      </c>
      <c r="H210" s="97">
        <f t="shared" si="32"/>
        <v>66.97</v>
      </c>
      <c r="I210" s="97">
        <f t="shared" si="32"/>
        <v>0.14000000000000001</v>
      </c>
      <c r="J210" s="97">
        <f t="shared" si="32"/>
        <v>10.14</v>
      </c>
      <c r="K210" s="97">
        <f t="shared" si="32"/>
        <v>0.22999999999999998</v>
      </c>
      <c r="L210" s="97">
        <f t="shared" si="32"/>
        <v>0.32</v>
      </c>
      <c r="M210" s="97">
        <f t="shared" si="32"/>
        <v>228.17</v>
      </c>
      <c r="N210" s="97">
        <f t="shared" si="32"/>
        <v>155.54</v>
      </c>
      <c r="O210" s="97">
        <f t="shared" si="32"/>
        <v>496.90000000000009</v>
      </c>
      <c r="P210" s="97">
        <f t="shared" si="32"/>
        <v>8.25</v>
      </c>
      <c r="Q210" s="97">
        <f t="shared" si="32"/>
        <v>1470.86</v>
      </c>
      <c r="R210" s="97">
        <f t="shared" si="32"/>
        <v>118.50000000000001</v>
      </c>
      <c r="S210" s="97">
        <f t="shared" si="32"/>
        <v>0.45000000000000007</v>
      </c>
      <c r="T210" s="97">
        <f t="shared" si="32"/>
        <v>0.05</v>
      </c>
      <c r="U210" s="98"/>
      <c r="V210" s="98"/>
    </row>
    <row r="211" spans="1:22" s="99" customFormat="1" ht="14.65" customHeight="1" x14ac:dyDescent="0.2">
      <c r="A211" s="143" t="s">
        <v>50</v>
      </c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5"/>
      <c r="U211" s="100"/>
      <c r="V211" s="100"/>
    </row>
    <row r="212" spans="1:22" s="94" customFormat="1" ht="24.75" customHeight="1" x14ac:dyDescent="0.15">
      <c r="A212" s="90" t="s">
        <v>178</v>
      </c>
      <c r="B212" s="91">
        <v>160</v>
      </c>
      <c r="C212" s="92">
        <v>11.06</v>
      </c>
      <c r="D212" s="92">
        <f>5.24*150/80</f>
        <v>9.8249999999999993</v>
      </c>
      <c r="E212" s="92">
        <v>24.79</v>
      </c>
      <c r="F212" s="92">
        <v>249.1</v>
      </c>
      <c r="G212" s="92">
        <v>0.05</v>
      </c>
      <c r="H212" s="92">
        <v>0.63</v>
      </c>
      <c r="I212" s="92">
        <v>0.42</v>
      </c>
      <c r="J212" s="92">
        <v>2.12</v>
      </c>
      <c r="K212" s="92">
        <v>0.09</v>
      </c>
      <c r="L212" s="92">
        <v>0.17</v>
      </c>
      <c r="M212" s="92">
        <v>122.96</v>
      </c>
      <c r="N212" s="92">
        <v>26.24</v>
      </c>
      <c r="O212" s="92">
        <v>154.96</v>
      </c>
      <c r="P212" s="92">
        <v>1.04</v>
      </c>
      <c r="Q212" s="92">
        <v>188.59</v>
      </c>
      <c r="R212" s="92">
        <v>3.84</v>
      </c>
      <c r="S212" s="92">
        <v>0.03</v>
      </c>
      <c r="T212" s="92">
        <v>0.02</v>
      </c>
      <c r="U212" s="93" t="s">
        <v>179</v>
      </c>
      <c r="V212" s="93">
        <v>2023</v>
      </c>
    </row>
    <row r="213" spans="1:22" s="94" customFormat="1" ht="21.75" customHeight="1" x14ac:dyDescent="0.15">
      <c r="A213" s="90" t="s">
        <v>47</v>
      </c>
      <c r="B213" s="91">
        <v>180</v>
      </c>
      <c r="C213" s="92">
        <v>0.21</v>
      </c>
      <c r="D213" s="92">
        <v>0.01</v>
      </c>
      <c r="E213" s="92">
        <v>26.54</v>
      </c>
      <c r="F213" s="92">
        <v>136.08000000000001</v>
      </c>
      <c r="G213" s="92">
        <v>0</v>
      </c>
      <c r="H213" s="92">
        <v>0.1</v>
      </c>
      <c r="I213" s="92">
        <v>0</v>
      </c>
      <c r="J213" s="92">
        <v>0</v>
      </c>
      <c r="K213" s="92">
        <v>0</v>
      </c>
      <c r="L213" s="92">
        <v>0</v>
      </c>
      <c r="M213" s="92">
        <v>24.05</v>
      </c>
      <c r="N213" s="92">
        <v>5.26</v>
      </c>
      <c r="O213" s="92">
        <v>13.86</v>
      </c>
      <c r="P213" s="92">
        <v>0.65</v>
      </c>
      <c r="Q213" s="92">
        <v>72.17</v>
      </c>
      <c r="R213" s="92">
        <v>0</v>
      </c>
      <c r="S213" s="92">
        <v>0</v>
      </c>
      <c r="T213" s="92">
        <v>0</v>
      </c>
      <c r="U213" s="93" t="s">
        <v>48</v>
      </c>
      <c r="V213" s="93" t="s">
        <v>29</v>
      </c>
    </row>
    <row r="214" spans="1:22" s="94" customFormat="1" ht="20.25" customHeight="1" x14ac:dyDescent="0.15">
      <c r="A214" s="90" t="s">
        <v>38</v>
      </c>
      <c r="B214" s="91">
        <v>20</v>
      </c>
      <c r="C214" s="92">
        <v>1.1200000000000001</v>
      </c>
      <c r="D214" s="92">
        <v>0.22</v>
      </c>
      <c r="E214" s="92">
        <v>9.8800000000000008</v>
      </c>
      <c r="F214" s="92">
        <v>45.98</v>
      </c>
      <c r="G214" s="92">
        <v>0</v>
      </c>
      <c r="H214" s="92">
        <v>0</v>
      </c>
      <c r="I214" s="92">
        <v>0</v>
      </c>
      <c r="J214" s="92">
        <v>0</v>
      </c>
      <c r="K214" s="92">
        <v>0</v>
      </c>
      <c r="L214" s="92">
        <v>0</v>
      </c>
      <c r="M214" s="92">
        <v>0</v>
      </c>
      <c r="N214" s="92">
        <v>0</v>
      </c>
      <c r="O214" s="92">
        <v>0</v>
      </c>
      <c r="P214" s="92">
        <v>0</v>
      </c>
      <c r="Q214" s="92">
        <v>0</v>
      </c>
      <c r="R214" s="92">
        <v>0</v>
      </c>
      <c r="S214" s="92">
        <v>0</v>
      </c>
      <c r="T214" s="92">
        <v>0</v>
      </c>
      <c r="U214" s="93" t="s">
        <v>167</v>
      </c>
      <c r="V214" s="93" t="s">
        <v>39</v>
      </c>
    </row>
    <row r="215" spans="1:22" s="99" customFormat="1" ht="20.25" customHeight="1" x14ac:dyDescent="0.2">
      <c r="A215" s="95" t="s">
        <v>40</v>
      </c>
      <c r="B215" s="101">
        <f t="shared" ref="B215:T215" si="33">SUM(B212:B214)</f>
        <v>360</v>
      </c>
      <c r="C215" s="97">
        <f t="shared" si="33"/>
        <v>12.39</v>
      </c>
      <c r="D215" s="97">
        <v>10</v>
      </c>
      <c r="E215" s="97">
        <f t="shared" si="33"/>
        <v>61.21</v>
      </c>
      <c r="F215" s="97">
        <f t="shared" si="33"/>
        <v>431.16</v>
      </c>
      <c r="G215" s="97">
        <f t="shared" si="33"/>
        <v>0.05</v>
      </c>
      <c r="H215" s="97">
        <f t="shared" si="33"/>
        <v>0.73</v>
      </c>
      <c r="I215" s="97">
        <f t="shared" si="33"/>
        <v>0.42</v>
      </c>
      <c r="J215" s="97">
        <f t="shared" si="33"/>
        <v>2.12</v>
      </c>
      <c r="K215" s="97">
        <f t="shared" si="33"/>
        <v>0.09</v>
      </c>
      <c r="L215" s="97">
        <f t="shared" si="33"/>
        <v>0.17</v>
      </c>
      <c r="M215" s="97">
        <f t="shared" si="33"/>
        <v>147.01</v>
      </c>
      <c r="N215" s="97">
        <f t="shared" si="33"/>
        <v>31.5</v>
      </c>
      <c r="O215" s="97">
        <f t="shared" si="33"/>
        <v>168.82</v>
      </c>
      <c r="P215" s="97">
        <f t="shared" si="33"/>
        <v>1.69</v>
      </c>
      <c r="Q215" s="97">
        <f t="shared" si="33"/>
        <v>260.76</v>
      </c>
      <c r="R215" s="97">
        <f t="shared" si="33"/>
        <v>3.84</v>
      </c>
      <c r="S215" s="97">
        <f t="shared" si="33"/>
        <v>0.03</v>
      </c>
      <c r="T215" s="97">
        <f t="shared" si="33"/>
        <v>0.02</v>
      </c>
      <c r="U215" s="98"/>
      <c r="V215" s="98"/>
    </row>
    <row r="216" spans="1:22" s="99" customFormat="1" ht="21.6" customHeight="1" x14ac:dyDescent="0.2">
      <c r="A216" s="95" t="s">
        <v>54</v>
      </c>
      <c r="B216" s="96"/>
      <c r="C216" s="97">
        <f t="shared" ref="C216:T216" si="34">C215+C210+C200</f>
        <v>60.19</v>
      </c>
      <c r="D216" s="97">
        <f t="shared" si="34"/>
        <v>57.151499999999999</v>
      </c>
      <c r="E216" s="97">
        <f t="shared" si="34"/>
        <v>259.82</v>
      </c>
      <c r="F216" s="97">
        <f t="shared" si="34"/>
        <v>1810.7825000000003</v>
      </c>
      <c r="G216" s="97">
        <f t="shared" si="34"/>
        <v>0.69000000000000006</v>
      </c>
      <c r="H216" s="97">
        <f t="shared" si="34"/>
        <v>93</v>
      </c>
      <c r="I216" s="97">
        <f t="shared" si="34"/>
        <v>0.70000000000000007</v>
      </c>
      <c r="J216" s="97">
        <f t="shared" si="34"/>
        <v>17.96</v>
      </c>
      <c r="K216" s="97">
        <f t="shared" si="34"/>
        <v>1.42</v>
      </c>
      <c r="L216" s="97">
        <f t="shared" si="34"/>
        <v>0.73</v>
      </c>
      <c r="M216" s="97">
        <f t="shared" si="34"/>
        <v>462.42999999999995</v>
      </c>
      <c r="N216" s="97">
        <f t="shared" si="34"/>
        <v>227.33999999999997</v>
      </c>
      <c r="O216" s="97">
        <f t="shared" si="34"/>
        <v>849.78</v>
      </c>
      <c r="P216" s="97">
        <f t="shared" si="34"/>
        <v>13.26</v>
      </c>
      <c r="Q216" s="97">
        <f t="shared" si="34"/>
        <v>2165.2599999999998</v>
      </c>
      <c r="R216" s="97">
        <f t="shared" si="34"/>
        <v>134.97000000000003</v>
      </c>
      <c r="S216" s="97">
        <f t="shared" si="34"/>
        <v>0.52000000000000013</v>
      </c>
      <c r="T216" s="97">
        <f t="shared" si="34"/>
        <v>9.0000000000000011E-2</v>
      </c>
      <c r="U216" s="98"/>
      <c r="V216" s="98"/>
    </row>
    <row r="217" spans="1:22" s="99" customFormat="1" ht="14.1" customHeight="1" x14ac:dyDescent="0.2">
      <c r="A217" s="102"/>
      <c r="B217" s="102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2"/>
      <c r="V217" s="102"/>
    </row>
    <row r="218" spans="1:22" s="94" customFormat="1" ht="28.35" customHeight="1" x14ac:dyDescent="0.15">
      <c r="A218" s="133" t="s">
        <v>217</v>
      </c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</row>
    <row r="219" spans="1:22" s="105" customFormat="1" ht="14.65" customHeight="1" x14ac:dyDescent="0.2">
      <c r="A219" s="147" t="s">
        <v>218</v>
      </c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</row>
    <row r="220" spans="1:22" s="104" customFormat="1" ht="13.35" customHeight="1" x14ac:dyDescent="0.2">
      <c r="A220" s="135" t="s">
        <v>1</v>
      </c>
      <c r="B220" s="135" t="s">
        <v>2</v>
      </c>
      <c r="C220" s="137" t="s">
        <v>3</v>
      </c>
      <c r="D220" s="138"/>
      <c r="E220" s="139"/>
      <c r="F220" s="140" t="s">
        <v>4</v>
      </c>
      <c r="G220" s="137" t="s">
        <v>5</v>
      </c>
      <c r="H220" s="138"/>
      <c r="I220" s="138"/>
      <c r="J220" s="138"/>
      <c r="K220" s="138"/>
      <c r="L220" s="139"/>
      <c r="M220" s="137" t="s">
        <v>6</v>
      </c>
      <c r="N220" s="138"/>
      <c r="O220" s="138"/>
      <c r="P220" s="138"/>
      <c r="Q220" s="138"/>
      <c r="R220" s="138"/>
      <c r="S220" s="138"/>
      <c r="T220" s="139"/>
      <c r="U220" s="96" t="s">
        <v>7</v>
      </c>
      <c r="V220" s="96" t="s">
        <v>8</v>
      </c>
    </row>
    <row r="221" spans="1:22" s="99" customFormat="1" ht="26.65" customHeight="1" x14ac:dyDescent="0.2">
      <c r="A221" s="136"/>
      <c r="B221" s="136"/>
      <c r="C221" s="97" t="s">
        <v>9</v>
      </c>
      <c r="D221" s="97" t="s">
        <v>10</v>
      </c>
      <c r="E221" s="97" t="s">
        <v>11</v>
      </c>
      <c r="F221" s="141"/>
      <c r="G221" s="97" t="s">
        <v>12</v>
      </c>
      <c r="H221" s="97" t="s">
        <v>13</v>
      </c>
      <c r="I221" s="97" t="s">
        <v>14</v>
      </c>
      <c r="J221" s="97" t="s">
        <v>15</v>
      </c>
      <c r="K221" s="97" t="s">
        <v>16</v>
      </c>
      <c r="L221" s="97" t="s">
        <v>17</v>
      </c>
      <c r="M221" s="97" t="s">
        <v>18</v>
      </c>
      <c r="N221" s="97" t="s">
        <v>19</v>
      </c>
      <c r="O221" s="97" t="s">
        <v>20</v>
      </c>
      <c r="P221" s="97" t="s">
        <v>21</v>
      </c>
      <c r="Q221" s="97" t="s">
        <v>22</v>
      </c>
      <c r="R221" s="97" t="s">
        <v>23</v>
      </c>
      <c r="S221" s="97" t="s">
        <v>24</v>
      </c>
      <c r="T221" s="97" t="s">
        <v>25</v>
      </c>
      <c r="U221" s="96"/>
      <c r="V221" s="96"/>
    </row>
    <row r="222" spans="1:22" s="99" customFormat="1" ht="14.65" customHeight="1" x14ac:dyDescent="0.2">
      <c r="A222" s="143" t="s">
        <v>26</v>
      </c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5"/>
      <c r="U222" s="100"/>
      <c r="V222" s="100"/>
    </row>
    <row r="223" spans="1:22" s="94" customFormat="1" ht="24" customHeight="1" x14ac:dyDescent="0.15">
      <c r="A223" s="90" t="s">
        <v>145</v>
      </c>
      <c r="B223" s="91">
        <v>110</v>
      </c>
      <c r="C223" s="92">
        <v>0.5</v>
      </c>
      <c r="D223" s="92">
        <v>0.4</v>
      </c>
      <c r="E223" s="92">
        <v>26.7</v>
      </c>
      <c r="F223" s="92">
        <v>114.5</v>
      </c>
      <c r="G223" s="92">
        <v>0.03</v>
      </c>
      <c r="H223" s="92">
        <v>3.52</v>
      </c>
      <c r="I223" s="92">
        <v>0</v>
      </c>
      <c r="J223" s="92">
        <v>0.55000000000000004</v>
      </c>
      <c r="K223" s="92">
        <v>0</v>
      </c>
      <c r="L223" s="92">
        <v>0.02</v>
      </c>
      <c r="M223" s="92">
        <v>17.170000000000002</v>
      </c>
      <c r="N223" s="92">
        <v>8.6</v>
      </c>
      <c r="O223" s="92">
        <v>15.68</v>
      </c>
      <c r="P223" s="92">
        <v>1.9</v>
      </c>
      <c r="Q223" s="92">
        <v>294.74</v>
      </c>
      <c r="R223" s="92">
        <v>1.76</v>
      </c>
      <c r="S223" s="92">
        <v>0.01</v>
      </c>
      <c r="T223" s="92">
        <v>0</v>
      </c>
      <c r="U223" s="93" t="s">
        <v>190</v>
      </c>
      <c r="V223" s="93" t="s">
        <v>52</v>
      </c>
    </row>
    <row r="224" spans="1:22" s="94" customFormat="1" ht="21.75" customHeight="1" x14ac:dyDescent="0.15">
      <c r="A224" s="90" t="s">
        <v>236</v>
      </c>
      <c r="B224" s="91">
        <v>150</v>
      </c>
      <c r="C224" s="92">
        <f>14.2*150/175</f>
        <v>12.171428571428571</v>
      </c>
      <c r="D224" s="92">
        <f>16.9*150/175</f>
        <v>14.485714285714286</v>
      </c>
      <c r="E224" s="92">
        <f>16.58*150/175</f>
        <v>14.211428571428568</v>
      </c>
      <c r="F224" s="92">
        <f>295*150/175</f>
        <v>252.85714285714286</v>
      </c>
      <c r="G224" s="92">
        <v>0.31</v>
      </c>
      <c r="H224" s="92">
        <v>7.73</v>
      </c>
      <c r="I224" s="92">
        <v>0.01</v>
      </c>
      <c r="J224" s="92">
        <v>2.2400000000000002</v>
      </c>
      <c r="K224" s="92">
        <v>0</v>
      </c>
      <c r="L224" s="92">
        <v>0.12</v>
      </c>
      <c r="M224" s="92">
        <v>23.67</v>
      </c>
      <c r="N224" s="92">
        <v>34.450000000000003</v>
      </c>
      <c r="O224" s="92">
        <v>143.11000000000001</v>
      </c>
      <c r="P224" s="92">
        <v>1.93</v>
      </c>
      <c r="Q224" s="92">
        <v>729.18</v>
      </c>
      <c r="R224" s="92">
        <v>9.01</v>
      </c>
      <c r="S224" s="92">
        <v>7.0000000000000007E-2</v>
      </c>
      <c r="T224" s="92">
        <v>0</v>
      </c>
      <c r="U224" s="93" t="s">
        <v>94</v>
      </c>
      <c r="V224" s="93">
        <v>2017</v>
      </c>
    </row>
    <row r="225" spans="1:22" s="94" customFormat="1" ht="21.75" customHeight="1" x14ac:dyDescent="0.15">
      <c r="A225" s="90" t="s">
        <v>146</v>
      </c>
      <c r="B225" s="91">
        <v>200</v>
      </c>
      <c r="C225" s="92">
        <v>2.94</v>
      </c>
      <c r="D225" s="92">
        <f>17.72*0.2</f>
        <v>3.544</v>
      </c>
      <c r="E225" s="92">
        <f>87.89*0.2</f>
        <v>17.577999999999999</v>
      </c>
      <c r="F225" s="92">
        <f>593*0.2</f>
        <v>118.60000000000001</v>
      </c>
      <c r="G225" s="92">
        <v>0.03</v>
      </c>
      <c r="H225" s="92">
        <v>0.47</v>
      </c>
      <c r="I225" s="92">
        <v>0.01</v>
      </c>
      <c r="J225" s="92">
        <v>0</v>
      </c>
      <c r="K225" s="92">
        <v>0</v>
      </c>
      <c r="L225" s="92">
        <v>0.1</v>
      </c>
      <c r="M225" s="92">
        <v>100.28</v>
      </c>
      <c r="N225" s="92">
        <v>24.74</v>
      </c>
      <c r="O225" s="92">
        <v>86.02</v>
      </c>
      <c r="P225" s="92">
        <v>0.78</v>
      </c>
      <c r="Q225" s="92">
        <v>186.56</v>
      </c>
      <c r="R225" s="92">
        <v>8.1</v>
      </c>
      <c r="S225" s="92">
        <v>0</v>
      </c>
      <c r="T225" s="92">
        <v>0</v>
      </c>
      <c r="U225" s="93" t="s">
        <v>95</v>
      </c>
      <c r="V225" s="93" t="s">
        <v>29</v>
      </c>
    </row>
    <row r="226" spans="1:22" s="94" customFormat="1" ht="18" customHeight="1" x14ac:dyDescent="0.15">
      <c r="A226" s="90" t="s">
        <v>49</v>
      </c>
      <c r="B226" s="91">
        <v>40</v>
      </c>
      <c r="C226" s="92">
        <v>3.05</v>
      </c>
      <c r="D226" s="92">
        <v>0.25</v>
      </c>
      <c r="E226" s="92">
        <v>20.07</v>
      </c>
      <c r="F226" s="92">
        <v>94.73</v>
      </c>
      <c r="G226" s="92">
        <v>0.06</v>
      </c>
      <c r="H226" s="92">
        <v>0</v>
      </c>
      <c r="I226" s="92">
        <v>0</v>
      </c>
      <c r="J226" s="92">
        <v>0.78</v>
      </c>
      <c r="K226" s="92">
        <v>0</v>
      </c>
      <c r="L226" s="92">
        <v>0.02</v>
      </c>
      <c r="M226" s="92">
        <v>9.1999999999999993</v>
      </c>
      <c r="N226" s="92">
        <v>13.2</v>
      </c>
      <c r="O226" s="92">
        <v>33.6</v>
      </c>
      <c r="P226" s="92">
        <v>0.8</v>
      </c>
      <c r="Q226" s="92">
        <v>51.6</v>
      </c>
      <c r="R226" s="92">
        <v>0</v>
      </c>
      <c r="S226" s="92">
        <v>0.01</v>
      </c>
      <c r="T226" s="92">
        <v>0</v>
      </c>
      <c r="U226" s="93" t="s">
        <v>167</v>
      </c>
      <c r="V226" s="93" t="s">
        <v>39</v>
      </c>
    </row>
    <row r="227" spans="1:22" s="99" customFormat="1" ht="21.6" customHeight="1" x14ac:dyDescent="0.2">
      <c r="A227" s="95" t="s">
        <v>40</v>
      </c>
      <c r="B227" s="101">
        <f>SUM(B223:B226)</f>
        <v>500</v>
      </c>
      <c r="C227" s="97">
        <f t="shared" ref="C227:T227" si="35">SUM(C223:C226)</f>
        <v>18.661428571428569</v>
      </c>
      <c r="D227" s="97">
        <f t="shared" si="35"/>
        <v>18.679714285714287</v>
      </c>
      <c r="E227" s="97">
        <f t="shared" si="35"/>
        <v>78.559428571428555</v>
      </c>
      <c r="F227" s="97">
        <f t="shared" si="35"/>
        <v>580.68714285714293</v>
      </c>
      <c r="G227" s="97">
        <f t="shared" si="35"/>
        <v>0.43</v>
      </c>
      <c r="H227" s="97">
        <f t="shared" si="35"/>
        <v>11.72</v>
      </c>
      <c r="I227" s="97">
        <f t="shared" si="35"/>
        <v>0.02</v>
      </c>
      <c r="J227" s="97">
        <f t="shared" si="35"/>
        <v>3.5700000000000003</v>
      </c>
      <c r="K227" s="97">
        <f t="shared" si="35"/>
        <v>0</v>
      </c>
      <c r="L227" s="97">
        <f t="shared" si="35"/>
        <v>0.26</v>
      </c>
      <c r="M227" s="97">
        <f t="shared" si="35"/>
        <v>150.32</v>
      </c>
      <c r="N227" s="97">
        <f t="shared" si="35"/>
        <v>80.990000000000009</v>
      </c>
      <c r="O227" s="97">
        <f t="shared" si="35"/>
        <v>278.41000000000003</v>
      </c>
      <c r="P227" s="97">
        <f t="shared" si="35"/>
        <v>5.41</v>
      </c>
      <c r="Q227" s="97">
        <f t="shared" si="35"/>
        <v>1262.08</v>
      </c>
      <c r="R227" s="97">
        <f t="shared" si="35"/>
        <v>18.869999999999997</v>
      </c>
      <c r="S227" s="97">
        <f t="shared" si="35"/>
        <v>0.09</v>
      </c>
      <c r="T227" s="97">
        <f t="shared" si="35"/>
        <v>0</v>
      </c>
      <c r="U227" s="98"/>
      <c r="V227" s="98"/>
    </row>
    <row r="228" spans="1:22" s="99" customFormat="1" ht="14.65" customHeight="1" x14ac:dyDescent="0.2">
      <c r="A228" s="143" t="s">
        <v>41</v>
      </c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5"/>
      <c r="U228" s="100"/>
      <c r="V228" s="100"/>
    </row>
    <row r="229" spans="1:22" s="94" customFormat="1" ht="22.5" customHeight="1" x14ac:dyDescent="0.15">
      <c r="A229" s="90" t="s">
        <v>147</v>
      </c>
      <c r="B229" s="91">
        <v>60</v>
      </c>
      <c r="C229" s="92">
        <v>0.7</v>
      </c>
      <c r="D229" s="92">
        <v>2.5</v>
      </c>
      <c r="E229" s="92">
        <v>7.4</v>
      </c>
      <c r="F229" s="92">
        <v>51.9</v>
      </c>
      <c r="G229" s="92">
        <v>0.02</v>
      </c>
      <c r="H229" s="92">
        <v>6.31</v>
      </c>
      <c r="I229" s="92">
        <v>0.15</v>
      </c>
      <c r="J229" s="92">
        <v>1.5</v>
      </c>
      <c r="K229" s="92">
        <v>0</v>
      </c>
      <c r="L229" s="92">
        <v>0.02</v>
      </c>
      <c r="M229" s="92">
        <v>19.899999999999999</v>
      </c>
      <c r="N229" s="92">
        <v>8.67</v>
      </c>
      <c r="O229" s="92">
        <v>14.36</v>
      </c>
      <c r="P229" s="92">
        <v>0.87</v>
      </c>
      <c r="Q229" s="92">
        <v>144.75</v>
      </c>
      <c r="R229" s="92">
        <v>1.78</v>
      </c>
      <c r="S229" s="92">
        <v>0.01</v>
      </c>
      <c r="T229" s="92">
        <v>0</v>
      </c>
      <c r="U229" s="93" t="s">
        <v>191</v>
      </c>
      <c r="V229" s="93" t="s">
        <v>43</v>
      </c>
    </row>
    <row r="230" spans="1:22" s="94" customFormat="1" ht="19.5" customHeight="1" x14ac:dyDescent="0.15">
      <c r="A230" s="90" t="s">
        <v>148</v>
      </c>
      <c r="B230" s="91">
        <v>200</v>
      </c>
      <c r="C230" s="92">
        <v>2.2000000000000002</v>
      </c>
      <c r="D230" s="92">
        <v>4.0999999999999996</v>
      </c>
      <c r="E230" s="92">
        <v>12.9</v>
      </c>
      <c r="F230" s="92">
        <v>88.4</v>
      </c>
      <c r="G230" s="92">
        <v>0.05</v>
      </c>
      <c r="H230" s="92">
        <v>11.74</v>
      </c>
      <c r="I230" s="92">
        <v>0.21</v>
      </c>
      <c r="J230" s="92">
        <v>1.95</v>
      </c>
      <c r="K230" s="92">
        <v>0</v>
      </c>
      <c r="L230" s="92">
        <v>0.05</v>
      </c>
      <c r="M230" s="92">
        <v>53.27</v>
      </c>
      <c r="N230" s="92">
        <v>26.74</v>
      </c>
      <c r="O230" s="92">
        <v>50.95</v>
      </c>
      <c r="P230" s="92">
        <v>1.2</v>
      </c>
      <c r="Q230" s="92">
        <v>428.11</v>
      </c>
      <c r="R230" s="92">
        <v>5.28</v>
      </c>
      <c r="S230" s="92">
        <v>0.03</v>
      </c>
      <c r="T230" s="92">
        <v>0</v>
      </c>
      <c r="U230" s="93" t="s">
        <v>192</v>
      </c>
      <c r="V230" s="93" t="s">
        <v>52</v>
      </c>
    </row>
    <row r="231" spans="1:22" s="94" customFormat="1" ht="18.75" customHeight="1" x14ac:dyDescent="0.15">
      <c r="A231" s="90" t="s">
        <v>149</v>
      </c>
      <c r="B231" s="91">
        <v>150</v>
      </c>
      <c r="C231" s="92">
        <v>6</v>
      </c>
      <c r="D231" s="92">
        <v>9.4</v>
      </c>
      <c r="E231" s="92">
        <v>21.5</v>
      </c>
      <c r="F231" s="92">
        <v>197.2</v>
      </c>
      <c r="G231" s="92">
        <v>0.12</v>
      </c>
      <c r="H231" s="92">
        <v>10.130000000000001</v>
      </c>
      <c r="I231" s="92">
        <v>0.06</v>
      </c>
      <c r="J231" s="92">
        <v>2.81</v>
      </c>
      <c r="K231" s="92">
        <v>0.05</v>
      </c>
      <c r="L231" s="92">
        <v>0.11</v>
      </c>
      <c r="M231" s="92">
        <v>158.41999999999999</v>
      </c>
      <c r="N231" s="92">
        <v>32.520000000000003</v>
      </c>
      <c r="O231" s="92">
        <v>150.36000000000001</v>
      </c>
      <c r="P231" s="92">
        <v>1.45</v>
      </c>
      <c r="Q231" s="92">
        <v>706.27</v>
      </c>
      <c r="R231" s="92">
        <v>6.84</v>
      </c>
      <c r="S231" s="92">
        <v>0.04</v>
      </c>
      <c r="T231" s="92">
        <v>0</v>
      </c>
      <c r="U231" s="93" t="s">
        <v>193</v>
      </c>
      <c r="V231" s="93" t="s">
        <v>43</v>
      </c>
    </row>
    <row r="232" spans="1:22" s="94" customFormat="1" ht="21.75" customHeight="1" x14ac:dyDescent="0.15">
      <c r="A232" s="90" t="s">
        <v>150</v>
      </c>
      <c r="B232" s="91">
        <v>90</v>
      </c>
      <c r="C232" s="92">
        <v>9.5</v>
      </c>
      <c r="D232" s="92">
        <v>10.199999999999999</v>
      </c>
      <c r="E232" s="92">
        <v>12</v>
      </c>
      <c r="F232" s="92">
        <v>190.1</v>
      </c>
      <c r="G232" s="92">
        <v>7.0000000000000007E-2</v>
      </c>
      <c r="H232" s="92">
        <v>2.94</v>
      </c>
      <c r="I232" s="92">
        <v>0.08</v>
      </c>
      <c r="J232" s="92">
        <v>2.81</v>
      </c>
      <c r="K232" s="92">
        <v>0.33</v>
      </c>
      <c r="L232" s="92">
        <v>0.15</v>
      </c>
      <c r="M232" s="92">
        <v>36.229999999999997</v>
      </c>
      <c r="N232" s="92">
        <v>25.05</v>
      </c>
      <c r="O232" s="92">
        <v>151.03</v>
      </c>
      <c r="P232" s="92">
        <v>2.17</v>
      </c>
      <c r="Q232" s="92">
        <v>207.64</v>
      </c>
      <c r="R232" s="92">
        <v>6.8</v>
      </c>
      <c r="S232" s="92">
        <v>0.08</v>
      </c>
      <c r="T232" s="92">
        <v>0.02</v>
      </c>
      <c r="U232" s="93" t="s">
        <v>194</v>
      </c>
      <c r="V232" s="93" t="s">
        <v>52</v>
      </c>
    </row>
    <row r="233" spans="1:22" s="94" customFormat="1" ht="20.25" customHeight="1" x14ac:dyDescent="0.15">
      <c r="A233" s="90" t="s">
        <v>151</v>
      </c>
      <c r="B233" s="91">
        <v>180</v>
      </c>
      <c r="C233" s="92">
        <v>0.3</v>
      </c>
      <c r="D233" s="92">
        <v>0.1</v>
      </c>
      <c r="E233" s="92">
        <v>20.2</v>
      </c>
      <c r="F233" s="92">
        <v>89.5</v>
      </c>
      <c r="G233" s="92">
        <v>0.01</v>
      </c>
      <c r="H233" s="92">
        <v>44</v>
      </c>
      <c r="I233" s="92">
        <v>0.08</v>
      </c>
      <c r="J233" s="92">
        <v>0</v>
      </c>
      <c r="K233" s="92">
        <v>0</v>
      </c>
      <c r="L233" s="92">
        <v>0.03</v>
      </c>
      <c r="M233" s="92">
        <v>12.98</v>
      </c>
      <c r="N233" s="92">
        <v>3.15</v>
      </c>
      <c r="O233" s="92">
        <v>1.53</v>
      </c>
      <c r="P233" s="92">
        <v>0.27</v>
      </c>
      <c r="Q233" s="92">
        <v>6.02</v>
      </c>
      <c r="R233" s="92">
        <v>0</v>
      </c>
      <c r="S233" s="92">
        <v>0</v>
      </c>
      <c r="T233" s="92">
        <v>0</v>
      </c>
      <c r="U233" s="93" t="s">
        <v>195</v>
      </c>
      <c r="V233" s="93" t="s">
        <v>52</v>
      </c>
    </row>
    <row r="234" spans="1:22" s="94" customFormat="1" ht="21" customHeight="1" x14ac:dyDescent="0.15">
      <c r="A234" s="90" t="s">
        <v>49</v>
      </c>
      <c r="B234" s="91">
        <v>40</v>
      </c>
      <c r="C234" s="92">
        <v>3.05</v>
      </c>
      <c r="D234" s="92">
        <v>0.25</v>
      </c>
      <c r="E234" s="92">
        <v>20.07</v>
      </c>
      <c r="F234" s="92">
        <v>94.73</v>
      </c>
      <c r="G234" s="92">
        <v>0.05</v>
      </c>
      <c r="H234" s="92">
        <v>0</v>
      </c>
      <c r="I234" s="92">
        <v>0</v>
      </c>
      <c r="J234" s="92">
        <v>0.59</v>
      </c>
      <c r="K234" s="92">
        <v>0</v>
      </c>
      <c r="L234" s="92">
        <v>0.02</v>
      </c>
      <c r="M234" s="92">
        <v>6.9</v>
      </c>
      <c r="N234" s="92">
        <v>9.9</v>
      </c>
      <c r="O234" s="92">
        <v>25.2</v>
      </c>
      <c r="P234" s="92">
        <v>0.6</v>
      </c>
      <c r="Q234" s="92">
        <v>38.700000000000003</v>
      </c>
      <c r="R234" s="92">
        <v>0</v>
      </c>
      <c r="S234" s="92">
        <v>0</v>
      </c>
      <c r="T234" s="92">
        <v>0</v>
      </c>
      <c r="U234" s="93" t="s">
        <v>167</v>
      </c>
      <c r="V234" s="93" t="s">
        <v>39</v>
      </c>
    </row>
    <row r="235" spans="1:22" s="94" customFormat="1" ht="24.75" customHeight="1" x14ac:dyDescent="0.15">
      <c r="A235" s="90" t="s">
        <v>38</v>
      </c>
      <c r="B235" s="91">
        <v>40</v>
      </c>
      <c r="C235" s="92">
        <v>2.65</v>
      </c>
      <c r="D235" s="92">
        <v>0.35</v>
      </c>
      <c r="E235" s="92">
        <v>16.96</v>
      </c>
      <c r="F235" s="92">
        <v>81.58</v>
      </c>
      <c r="G235" s="92">
        <v>7.0000000000000007E-2</v>
      </c>
      <c r="H235" s="92">
        <v>0</v>
      </c>
      <c r="I235" s="92">
        <v>0</v>
      </c>
      <c r="J235" s="92">
        <v>0.88</v>
      </c>
      <c r="K235" s="92">
        <v>0</v>
      </c>
      <c r="L235" s="92">
        <v>0.03</v>
      </c>
      <c r="M235" s="92">
        <v>7.2</v>
      </c>
      <c r="N235" s="92">
        <v>7.6</v>
      </c>
      <c r="O235" s="92">
        <v>34.799999999999997</v>
      </c>
      <c r="P235" s="92">
        <v>1.6</v>
      </c>
      <c r="Q235" s="92">
        <v>54.4</v>
      </c>
      <c r="R235" s="92">
        <v>2.2400000000000002</v>
      </c>
      <c r="S235" s="92">
        <v>0</v>
      </c>
      <c r="T235" s="92">
        <v>0</v>
      </c>
      <c r="U235" s="93" t="s">
        <v>167</v>
      </c>
      <c r="V235" s="93" t="s">
        <v>39</v>
      </c>
    </row>
    <row r="236" spans="1:22" s="94" customFormat="1" ht="21" customHeight="1" x14ac:dyDescent="0.15">
      <c r="A236" s="90" t="s">
        <v>238</v>
      </c>
      <c r="B236" s="91">
        <v>200</v>
      </c>
      <c r="C236" s="92">
        <v>5.8</v>
      </c>
      <c r="D236" s="92">
        <v>5</v>
      </c>
      <c r="E236" s="92">
        <v>9.6</v>
      </c>
      <c r="F236" s="92">
        <v>107</v>
      </c>
      <c r="G236" s="92">
        <v>0.08</v>
      </c>
      <c r="H236" s="92">
        <v>2.6</v>
      </c>
      <c r="I236" s="92">
        <v>40</v>
      </c>
      <c r="J236" s="92">
        <v>0</v>
      </c>
      <c r="K236" s="92">
        <v>0</v>
      </c>
      <c r="L236" s="92">
        <v>0.03</v>
      </c>
      <c r="M236" s="92">
        <v>240</v>
      </c>
      <c r="N236" s="92">
        <v>28</v>
      </c>
      <c r="O236" s="92">
        <v>180</v>
      </c>
      <c r="P236" s="92">
        <v>0.2</v>
      </c>
      <c r="Q236" s="92">
        <v>292</v>
      </c>
      <c r="R236" s="92">
        <v>0</v>
      </c>
      <c r="S236" s="92">
        <v>0</v>
      </c>
      <c r="T236" s="92">
        <v>0</v>
      </c>
      <c r="U236" s="93" t="s">
        <v>167</v>
      </c>
      <c r="V236" s="93"/>
    </row>
    <row r="237" spans="1:22" s="99" customFormat="1" ht="21.6" customHeight="1" x14ac:dyDescent="0.2">
      <c r="A237" s="95" t="s">
        <v>40</v>
      </c>
      <c r="B237" s="101">
        <f>SUM(B229:B236)</f>
        <v>960</v>
      </c>
      <c r="C237" s="97">
        <f t="shared" ref="C237:T237" si="36">SUM(C229:C236)</f>
        <v>30.2</v>
      </c>
      <c r="D237" s="97">
        <v>32</v>
      </c>
      <c r="E237" s="97">
        <v>120.7</v>
      </c>
      <c r="F237" s="97">
        <f t="shared" si="36"/>
        <v>900.41000000000008</v>
      </c>
      <c r="G237" s="97">
        <f t="shared" si="36"/>
        <v>0.47000000000000003</v>
      </c>
      <c r="H237" s="97">
        <f t="shared" si="36"/>
        <v>77.72</v>
      </c>
      <c r="I237" s="97">
        <f t="shared" si="36"/>
        <v>40.58</v>
      </c>
      <c r="J237" s="97">
        <f t="shared" si="36"/>
        <v>10.540000000000001</v>
      </c>
      <c r="K237" s="97">
        <f t="shared" si="36"/>
        <v>0.38</v>
      </c>
      <c r="L237" s="97">
        <f t="shared" si="36"/>
        <v>0.44000000000000006</v>
      </c>
      <c r="M237" s="97">
        <f t="shared" si="36"/>
        <v>534.9</v>
      </c>
      <c r="N237" s="97">
        <f t="shared" si="36"/>
        <v>141.63</v>
      </c>
      <c r="O237" s="97">
        <f t="shared" si="36"/>
        <v>608.23</v>
      </c>
      <c r="P237" s="97">
        <f t="shared" si="36"/>
        <v>8.3599999999999977</v>
      </c>
      <c r="Q237" s="97">
        <f t="shared" si="36"/>
        <v>1877.89</v>
      </c>
      <c r="R237" s="97">
        <f t="shared" si="36"/>
        <v>22.939999999999998</v>
      </c>
      <c r="S237" s="97">
        <f t="shared" si="36"/>
        <v>0.16</v>
      </c>
      <c r="T237" s="97">
        <f t="shared" si="36"/>
        <v>0.02</v>
      </c>
      <c r="U237" s="98"/>
      <c r="V237" s="98"/>
    </row>
    <row r="238" spans="1:22" s="99" customFormat="1" ht="14.65" customHeight="1" x14ac:dyDescent="0.2">
      <c r="A238" s="143" t="s">
        <v>50</v>
      </c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5"/>
      <c r="U238" s="100"/>
      <c r="V238" s="100"/>
    </row>
    <row r="239" spans="1:22" s="94" customFormat="1" ht="20.25" customHeight="1" x14ac:dyDescent="0.15">
      <c r="A239" s="90" t="s">
        <v>152</v>
      </c>
      <c r="B239" s="91">
        <v>100</v>
      </c>
      <c r="C239" s="92">
        <v>6.58</v>
      </c>
      <c r="D239" s="92">
        <v>6.91</v>
      </c>
      <c r="E239" s="92">
        <v>29.73</v>
      </c>
      <c r="F239" s="92">
        <v>205.18</v>
      </c>
      <c r="G239" s="92">
        <v>0.05</v>
      </c>
      <c r="H239" s="92">
        <v>0</v>
      </c>
      <c r="I239" s="92">
        <v>0</v>
      </c>
      <c r="J239" s="92">
        <v>1.5</v>
      </c>
      <c r="K239" s="92">
        <v>0.02</v>
      </c>
      <c r="L239" s="92">
        <v>0.02</v>
      </c>
      <c r="M239" s="92">
        <v>8.82</v>
      </c>
      <c r="N239" s="92">
        <v>5.71</v>
      </c>
      <c r="O239" s="92">
        <v>31.93</v>
      </c>
      <c r="P239" s="92">
        <v>0.36</v>
      </c>
      <c r="Q239" s="92">
        <v>49.34</v>
      </c>
      <c r="R239" s="92">
        <v>0.74</v>
      </c>
      <c r="S239" s="92">
        <v>0.01</v>
      </c>
      <c r="T239" s="92">
        <v>0.01</v>
      </c>
      <c r="U239" s="93" t="s">
        <v>167</v>
      </c>
      <c r="V239" s="93">
        <v>2017</v>
      </c>
    </row>
    <row r="240" spans="1:22" s="94" customFormat="1" ht="17.25" customHeight="1" x14ac:dyDescent="0.15">
      <c r="A240" s="90" t="s">
        <v>153</v>
      </c>
      <c r="B240" s="91">
        <v>15</v>
      </c>
      <c r="C240" s="92">
        <v>3.48</v>
      </c>
      <c r="D240" s="92">
        <v>4.42</v>
      </c>
      <c r="E240" s="92">
        <v>6.5000000000000002E-2</v>
      </c>
      <c r="F240" s="92">
        <v>54</v>
      </c>
      <c r="G240" s="92">
        <v>0</v>
      </c>
      <c r="H240" s="92">
        <v>0.08</v>
      </c>
      <c r="I240" s="92">
        <v>0.04</v>
      </c>
      <c r="J240" s="92">
        <v>0.03</v>
      </c>
      <c r="K240" s="92">
        <v>0</v>
      </c>
      <c r="L240" s="92">
        <v>0.03</v>
      </c>
      <c r="M240" s="92">
        <v>99.44</v>
      </c>
      <c r="N240" s="92">
        <v>3.96</v>
      </c>
      <c r="O240" s="92">
        <v>56.5</v>
      </c>
      <c r="P240" s="92">
        <v>0.11</v>
      </c>
      <c r="Q240" s="92">
        <v>9.94</v>
      </c>
      <c r="R240" s="92">
        <v>0</v>
      </c>
      <c r="S240" s="92">
        <v>0</v>
      </c>
      <c r="T240" s="92">
        <v>0</v>
      </c>
      <c r="U240" s="93" t="s">
        <v>154</v>
      </c>
      <c r="V240" s="93">
        <v>2017</v>
      </c>
    </row>
    <row r="241" spans="1:22" s="94" customFormat="1" ht="21.75" customHeight="1" x14ac:dyDescent="0.15">
      <c r="A241" s="90" t="s">
        <v>63</v>
      </c>
      <c r="B241" s="91">
        <v>200</v>
      </c>
      <c r="C241" s="92">
        <v>1</v>
      </c>
      <c r="D241" s="92">
        <v>0</v>
      </c>
      <c r="E241" s="92">
        <v>20.2</v>
      </c>
      <c r="F241" s="92">
        <v>84.8</v>
      </c>
      <c r="G241" s="92">
        <v>0.03</v>
      </c>
      <c r="H241" s="92">
        <v>1.6</v>
      </c>
      <c r="I241" s="92">
        <v>0</v>
      </c>
      <c r="J241" s="92">
        <v>0</v>
      </c>
      <c r="K241" s="92">
        <v>0</v>
      </c>
      <c r="L241" s="92">
        <v>0.02</v>
      </c>
      <c r="M241" s="92">
        <v>36</v>
      </c>
      <c r="N241" s="92">
        <v>16.2</v>
      </c>
      <c r="O241" s="92">
        <v>21.6</v>
      </c>
      <c r="P241" s="92">
        <v>0.72</v>
      </c>
      <c r="Q241" s="92">
        <v>300</v>
      </c>
      <c r="R241" s="92">
        <v>12</v>
      </c>
      <c r="S241" s="92">
        <v>0</v>
      </c>
      <c r="T241" s="92">
        <v>0</v>
      </c>
      <c r="U241" s="93" t="s">
        <v>64</v>
      </c>
      <c r="V241" s="93">
        <v>2017</v>
      </c>
    </row>
    <row r="242" spans="1:22" s="99" customFormat="1" ht="20.25" customHeight="1" x14ac:dyDescent="0.2">
      <c r="A242" s="95" t="s">
        <v>40</v>
      </c>
      <c r="B242" s="101">
        <f>SUM(B239:B241)</f>
        <v>315</v>
      </c>
      <c r="C242" s="97">
        <f t="shared" ref="C242:T242" si="37">SUM(C239:C241)</f>
        <v>11.06</v>
      </c>
      <c r="D242" s="97">
        <f t="shared" si="37"/>
        <v>11.33</v>
      </c>
      <c r="E242" s="97">
        <f t="shared" si="37"/>
        <v>49.995000000000005</v>
      </c>
      <c r="F242" s="97">
        <f t="shared" si="37"/>
        <v>343.98</v>
      </c>
      <c r="G242" s="97">
        <f t="shared" si="37"/>
        <v>0.08</v>
      </c>
      <c r="H242" s="97">
        <f t="shared" si="37"/>
        <v>1.6800000000000002</v>
      </c>
      <c r="I242" s="97">
        <f t="shared" si="37"/>
        <v>0.04</v>
      </c>
      <c r="J242" s="97">
        <f t="shared" si="37"/>
        <v>1.53</v>
      </c>
      <c r="K242" s="97">
        <f t="shared" si="37"/>
        <v>0.02</v>
      </c>
      <c r="L242" s="97">
        <f t="shared" si="37"/>
        <v>7.0000000000000007E-2</v>
      </c>
      <c r="M242" s="97">
        <f t="shared" si="37"/>
        <v>144.26</v>
      </c>
      <c r="N242" s="97">
        <f t="shared" si="37"/>
        <v>25.869999999999997</v>
      </c>
      <c r="O242" s="97">
        <f t="shared" si="37"/>
        <v>110.03</v>
      </c>
      <c r="P242" s="97">
        <f t="shared" si="37"/>
        <v>1.19</v>
      </c>
      <c r="Q242" s="97">
        <f t="shared" si="37"/>
        <v>359.28</v>
      </c>
      <c r="R242" s="97">
        <f t="shared" si="37"/>
        <v>12.74</v>
      </c>
      <c r="S242" s="97">
        <f t="shared" si="37"/>
        <v>0.01</v>
      </c>
      <c r="T242" s="97">
        <f t="shared" si="37"/>
        <v>0.01</v>
      </c>
      <c r="U242" s="98"/>
      <c r="V242" s="98"/>
    </row>
    <row r="243" spans="1:22" s="99" customFormat="1" ht="21.6" customHeight="1" x14ac:dyDescent="0.2">
      <c r="A243" s="95" t="s">
        <v>54</v>
      </c>
      <c r="B243" s="96"/>
      <c r="C243" s="97">
        <f>C242+C237+C227</f>
        <v>59.921428571428564</v>
      </c>
      <c r="D243" s="97">
        <f t="shared" ref="D243:T243" si="38">D242+D237+D227</f>
        <v>62.009714285714281</v>
      </c>
      <c r="E243" s="97">
        <f t="shared" si="38"/>
        <v>249.25442857142855</v>
      </c>
      <c r="F243" s="97">
        <f t="shared" si="38"/>
        <v>1825.0771428571429</v>
      </c>
      <c r="G243" s="97">
        <f t="shared" si="38"/>
        <v>0.98</v>
      </c>
      <c r="H243" s="97">
        <f t="shared" si="38"/>
        <v>91.12</v>
      </c>
      <c r="I243" s="97">
        <f t="shared" si="38"/>
        <v>40.64</v>
      </c>
      <c r="J243" s="97">
        <f t="shared" si="38"/>
        <v>15.64</v>
      </c>
      <c r="K243" s="97">
        <f t="shared" si="38"/>
        <v>0.4</v>
      </c>
      <c r="L243" s="97">
        <f t="shared" si="38"/>
        <v>0.77</v>
      </c>
      <c r="M243" s="97">
        <f t="shared" si="38"/>
        <v>829.48</v>
      </c>
      <c r="N243" s="97">
        <f t="shared" si="38"/>
        <v>248.49</v>
      </c>
      <c r="O243" s="97">
        <f t="shared" si="38"/>
        <v>996.67000000000007</v>
      </c>
      <c r="P243" s="97">
        <f t="shared" si="38"/>
        <v>14.959999999999997</v>
      </c>
      <c r="Q243" s="97">
        <f t="shared" si="38"/>
        <v>3499.25</v>
      </c>
      <c r="R243" s="97">
        <f t="shared" si="38"/>
        <v>54.55</v>
      </c>
      <c r="S243" s="97">
        <f t="shared" si="38"/>
        <v>0.26</v>
      </c>
      <c r="T243" s="97">
        <f t="shared" si="38"/>
        <v>0.03</v>
      </c>
      <c r="U243" s="98"/>
      <c r="V243" s="98"/>
    </row>
    <row r="244" spans="1:22" s="99" customFormat="1" ht="14.1" customHeight="1" x14ac:dyDescent="0.2">
      <c r="A244" s="102"/>
      <c r="B244" s="102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2"/>
      <c r="V244" s="102"/>
    </row>
    <row r="245" spans="1:22" s="94" customFormat="1" ht="28.35" customHeight="1" x14ac:dyDescent="0.15">
      <c r="A245" s="133" t="s">
        <v>219</v>
      </c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</row>
    <row r="246" spans="1:22" s="104" customFormat="1" ht="13.35" customHeight="1" x14ac:dyDescent="0.2">
      <c r="A246" s="135" t="s">
        <v>1</v>
      </c>
      <c r="B246" s="135" t="s">
        <v>2</v>
      </c>
      <c r="C246" s="137" t="s">
        <v>3</v>
      </c>
      <c r="D246" s="138"/>
      <c r="E246" s="139"/>
      <c r="F246" s="140" t="s">
        <v>4</v>
      </c>
      <c r="G246" s="137" t="s">
        <v>5</v>
      </c>
      <c r="H246" s="138"/>
      <c r="I246" s="138"/>
      <c r="J246" s="138"/>
      <c r="K246" s="138"/>
      <c r="L246" s="139"/>
      <c r="M246" s="137" t="s">
        <v>6</v>
      </c>
      <c r="N246" s="138"/>
      <c r="O246" s="138"/>
      <c r="P246" s="138"/>
      <c r="Q246" s="138"/>
      <c r="R246" s="138"/>
      <c r="S246" s="138"/>
      <c r="T246" s="139"/>
      <c r="U246" s="96" t="s">
        <v>7</v>
      </c>
      <c r="V246" s="96" t="s">
        <v>8</v>
      </c>
    </row>
    <row r="247" spans="1:22" s="99" customFormat="1" ht="26.65" customHeight="1" x14ac:dyDescent="0.2">
      <c r="A247" s="136"/>
      <c r="B247" s="136"/>
      <c r="C247" s="97" t="s">
        <v>9</v>
      </c>
      <c r="D247" s="97" t="s">
        <v>10</v>
      </c>
      <c r="E247" s="97" t="s">
        <v>11</v>
      </c>
      <c r="F247" s="141"/>
      <c r="G247" s="97" t="s">
        <v>12</v>
      </c>
      <c r="H247" s="97" t="s">
        <v>13</v>
      </c>
      <c r="I247" s="97" t="s">
        <v>14</v>
      </c>
      <c r="J247" s="97" t="s">
        <v>15</v>
      </c>
      <c r="K247" s="97" t="s">
        <v>16</v>
      </c>
      <c r="L247" s="97" t="s">
        <v>17</v>
      </c>
      <c r="M247" s="97" t="s">
        <v>18</v>
      </c>
      <c r="N247" s="97" t="s">
        <v>19</v>
      </c>
      <c r="O247" s="97" t="s">
        <v>20</v>
      </c>
      <c r="P247" s="97" t="s">
        <v>21</v>
      </c>
      <c r="Q247" s="97" t="s">
        <v>22</v>
      </c>
      <c r="R247" s="97" t="s">
        <v>23</v>
      </c>
      <c r="S247" s="97" t="s">
        <v>24</v>
      </c>
      <c r="T247" s="97" t="s">
        <v>25</v>
      </c>
      <c r="U247" s="96"/>
      <c r="V247" s="96"/>
    </row>
    <row r="248" spans="1:22" s="99" customFormat="1" ht="14.65" customHeight="1" x14ac:dyDescent="0.2">
      <c r="A248" s="143" t="s">
        <v>26</v>
      </c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5"/>
      <c r="U248" s="100"/>
      <c r="V248" s="100"/>
    </row>
    <row r="249" spans="1:22" s="99" customFormat="1" ht="24" customHeight="1" x14ac:dyDescent="0.2">
      <c r="A249" s="90" t="s">
        <v>155</v>
      </c>
      <c r="B249" s="91">
        <v>60</v>
      </c>
      <c r="C249" s="92">
        <v>1.1000000000000001</v>
      </c>
      <c r="D249" s="92">
        <v>3.1</v>
      </c>
      <c r="E249" s="92">
        <v>3.7</v>
      </c>
      <c r="F249" s="92">
        <v>47.3</v>
      </c>
      <c r="G249" s="92">
        <v>0.03</v>
      </c>
      <c r="H249" s="92">
        <v>1.54</v>
      </c>
      <c r="I249" s="92">
        <v>0.74</v>
      </c>
      <c r="J249" s="92">
        <v>1.73</v>
      </c>
      <c r="K249" s="92">
        <v>0</v>
      </c>
      <c r="L249" s="92">
        <v>0.03</v>
      </c>
      <c r="M249" s="92">
        <v>20.58</v>
      </c>
      <c r="N249" s="92">
        <v>16.43</v>
      </c>
      <c r="O249" s="92">
        <v>29.54</v>
      </c>
      <c r="P249" s="92">
        <v>0.46</v>
      </c>
      <c r="Q249" s="92">
        <v>93.8</v>
      </c>
      <c r="R249" s="92">
        <v>1.85</v>
      </c>
      <c r="S249" s="92">
        <v>0.02</v>
      </c>
      <c r="T249" s="92">
        <v>0</v>
      </c>
      <c r="U249" s="93" t="s">
        <v>134</v>
      </c>
      <c r="V249" s="93" t="s">
        <v>143</v>
      </c>
    </row>
    <row r="250" spans="1:22" s="99" customFormat="1" ht="20.25" customHeight="1" x14ac:dyDescent="0.2">
      <c r="A250" s="90" t="s">
        <v>156</v>
      </c>
      <c r="B250" s="91">
        <v>150</v>
      </c>
      <c r="C250" s="92">
        <v>6.5</v>
      </c>
      <c r="D250" s="92">
        <v>4.9000000000000004</v>
      </c>
      <c r="E250" s="92">
        <v>28.6</v>
      </c>
      <c r="F250" s="92">
        <v>200.1</v>
      </c>
      <c r="G250" s="92">
        <v>0.21</v>
      </c>
      <c r="H250" s="92">
        <v>0</v>
      </c>
      <c r="I250" s="92">
        <v>0.03</v>
      </c>
      <c r="J250" s="92">
        <v>0.57999999999999996</v>
      </c>
      <c r="K250" s="92">
        <v>0</v>
      </c>
      <c r="L250" s="92">
        <v>0</v>
      </c>
      <c r="M250" s="92">
        <v>18.36</v>
      </c>
      <c r="N250" s="92">
        <v>135.4</v>
      </c>
      <c r="O250" s="92">
        <v>201.95</v>
      </c>
      <c r="P250" s="92">
        <v>4.59</v>
      </c>
      <c r="Q250" s="92">
        <v>0</v>
      </c>
      <c r="R250" s="92">
        <v>0</v>
      </c>
      <c r="S250" s="92">
        <v>0</v>
      </c>
      <c r="T250" s="92">
        <v>0</v>
      </c>
      <c r="U250" s="93" t="s">
        <v>157</v>
      </c>
      <c r="V250" s="93" t="s">
        <v>32</v>
      </c>
    </row>
    <row r="251" spans="1:22" s="94" customFormat="1" ht="21.75" customHeight="1" x14ac:dyDescent="0.15">
      <c r="A251" s="90" t="s">
        <v>197</v>
      </c>
      <c r="B251" s="91">
        <v>95</v>
      </c>
      <c r="C251" s="92">
        <v>11.7</v>
      </c>
      <c r="D251" s="92">
        <v>10.9</v>
      </c>
      <c r="E251" s="92">
        <v>15.8</v>
      </c>
      <c r="F251" s="92">
        <v>192</v>
      </c>
      <c r="G251" s="92">
        <v>0.08</v>
      </c>
      <c r="H251" s="92">
        <v>0.82</v>
      </c>
      <c r="I251" s="92">
        <v>0.41</v>
      </c>
      <c r="J251" s="92">
        <v>0.69</v>
      </c>
      <c r="K251" s="92">
        <v>0.25</v>
      </c>
      <c r="L251" s="92">
        <v>0.12</v>
      </c>
      <c r="M251" s="92">
        <v>47.84</v>
      </c>
      <c r="N251" s="92">
        <v>41.49</v>
      </c>
      <c r="O251" s="92">
        <v>173.06</v>
      </c>
      <c r="P251" s="92">
        <v>1.01</v>
      </c>
      <c r="Q251" s="92">
        <v>341.35</v>
      </c>
      <c r="R251" s="92">
        <v>95.55</v>
      </c>
      <c r="S251" s="92">
        <v>0.4</v>
      </c>
      <c r="T251" s="92">
        <v>0.01</v>
      </c>
      <c r="U251" s="93" t="s">
        <v>158</v>
      </c>
      <c r="V251" s="93" t="s">
        <v>32</v>
      </c>
    </row>
    <row r="252" spans="1:22" s="94" customFormat="1" ht="24.75" customHeight="1" x14ac:dyDescent="0.15">
      <c r="A252" s="90" t="s">
        <v>63</v>
      </c>
      <c r="B252" s="91">
        <v>200</v>
      </c>
      <c r="C252" s="92">
        <v>1</v>
      </c>
      <c r="D252" s="92">
        <v>0</v>
      </c>
      <c r="E252" s="92">
        <v>20.2</v>
      </c>
      <c r="F252" s="92">
        <v>84.8</v>
      </c>
      <c r="G252" s="92">
        <v>0.03</v>
      </c>
      <c r="H252" s="92">
        <v>1.6</v>
      </c>
      <c r="I252" s="92">
        <v>0</v>
      </c>
      <c r="J252" s="92">
        <v>0</v>
      </c>
      <c r="K252" s="92">
        <v>0</v>
      </c>
      <c r="L252" s="92">
        <v>0.02</v>
      </c>
      <c r="M252" s="92">
        <v>36</v>
      </c>
      <c r="N252" s="92">
        <v>16.2</v>
      </c>
      <c r="O252" s="92">
        <v>21.6</v>
      </c>
      <c r="P252" s="92">
        <v>0.72</v>
      </c>
      <c r="Q252" s="92">
        <v>300</v>
      </c>
      <c r="R252" s="92">
        <v>12</v>
      </c>
      <c r="S252" s="92">
        <v>0</v>
      </c>
      <c r="T252" s="92">
        <v>0</v>
      </c>
      <c r="U252" s="93" t="s">
        <v>64</v>
      </c>
      <c r="V252" s="93">
        <v>2017</v>
      </c>
    </row>
    <row r="253" spans="1:22" s="94" customFormat="1" ht="21" customHeight="1" x14ac:dyDescent="0.15">
      <c r="A253" s="90" t="s">
        <v>38</v>
      </c>
      <c r="B253" s="91">
        <v>20</v>
      </c>
      <c r="C253" s="92">
        <v>1.1200000000000001</v>
      </c>
      <c r="D253" s="92">
        <v>0.22</v>
      </c>
      <c r="E253" s="92">
        <v>9.8800000000000008</v>
      </c>
      <c r="F253" s="92">
        <v>45.98</v>
      </c>
      <c r="G253" s="92">
        <v>0</v>
      </c>
      <c r="H253" s="92">
        <v>0</v>
      </c>
      <c r="I253" s="92">
        <v>0</v>
      </c>
      <c r="J253" s="92">
        <v>0</v>
      </c>
      <c r="K253" s="92">
        <v>0</v>
      </c>
      <c r="L253" s="92">
        <v>0</v>
      </c>
      <c r="M253" s="92">
        <v>0</v>
      </c>
      <c r="N253" s="92">
        <v>0</v>
      </c>
      <c r="O253" s="92">
        <v>0</v>
      </c>
      <c r="P253" s="92">
        <v>0</v>
      </c>
      <c r="Q253" s="92">
        <v>0</v>
      </c>
      <c r="R253" s="92">
        <v>0</v>
      </c>
      <c r="S253" s="92">
        <v>0</v>
      </c>
      <c r="T253" s="92">
        <v>0</v>
      </c>
      <c r="U253" s="93" t="s">
        <v>167</v>
      </c>
      <c r="V253" s="93" t="s">
        <v>39</v>
      </c>
    </row>
    <row r="254" spans="1:22" s="99" customFormat="1" ht="20.25" customHeight="1" x14ac:dyDescent="0.2">
      <c r="A254" s="95" t="s">
        <v>40</v>
      </c>
      <c r="B254" s="101">
        <f>SUM(B249:B253)</f>
        <v>525</v>
      </c>
      <c r="C254" s="97">
        <f t="shared" ref="C254:T254" si="39">SUM(C249:C253)</f>
        <v>21.419999999999998</v>
      </c>
      <c r="D254" s="97">
        <f t="shared" si="39"/>
        <v>19.119999999999997</v>
      </c>
      <c r="E254" s="97">
        <f t="shared" si="39"/>
        <v>78.180000000000007</v>
      </c>
      <c r="F254" s="97">
        <f t="shared" si="39"/>
        <v>570.17999999999995</v>
      </c>
      <c r="G254" s="97">
        <f t="shared" si="39"/>
        <v>0.35</v>
      </c>
      <c r="H254" s="97">
        <f t="shared" si="39"/>
        <v>3.96</v>
      </c>
      <c r="I254" s="97">
        <f t="shared" si="39"/>
        <v>1.18</v>
      </c>
      <c r="J254" s="97">
        <f t="shared" si="39"/>
        <v>3</v>
      </c>
      <c r="K254" s="97">
        <f t="shared" si="39"/>
        <v>0.25</v>
      </c>
      <c r="L254" s="97">
        <f t="shared" si="39"/>
        <v>0.16999999999999998</v>
      </c>
      <c r="M254" s="97">
        <f t="shared" si="39"/>
        <v>122.78</v>
      </c>
      <c r="N254" s="97">
        <f t="shared" si="39"/>
        <v>209.52</v>
      </c>
      <c r="O254" s="97">
        <f t="shared" si="39"/>
        <v>426.15</v>
      </c>
      <c r="P254" s="97">
        <f t="shared" si="39"/>
        <v>6.7799999999999994</v>
      </c>
      <c r="Q254" s="97">
        <f t="shared" si="39"/>
        <v>735.15000000000009</v>
      </c>
      <c r="R254" s="97">
        <f t="shared" si="39"/>
        <v>109.39999999999999</v>
      </c>
      <c r="S254" s="97">
        <f t="shared" si="39"/>
        <v>0.42000000000000004</v>
      </c>
      <c r="T254" s="97">
        <f t="shared" si="39"/>
        <v>0.01</v>
      </c>
      <c r="U254" s="98"/>
      <c r="V254" s="98"/>
    </row>
    <row r="255" spans="1:22" s="99" customFormat="1" ht="14.65" customHeight="1" x14ac:dyDescent="0.2">
      <c r="A255" s="143" t="s">
        <v>41</v>
      </c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5"/>
      <c r="U255" s="100"/>
      <c r="V255" s="100"/>
    </row>
    <row r="256" spans="1:22" s="99" customFormat="1" ht="20.25" customHeight="1" x14ac:dyDescent="0.2">
      <c r="A256" s="90" t="s">
        <v>75</v>
      </c>
      <c r="B256" s="91">
        <v>60</v>
      </c>
      <c r="C256" s="92">
        <v>1</v>
      </c>
      <c r="D256" s="92">
        <v>3.1</v>
      </c>
      <c r="E256" s="92">
        <v>4.9000000000000004</v>
      </c>
      <c r="F256" s="92">
        <v>52.6</v>
      </c>
      <c r="G256" s="92">
        <v>0.01</v>
      </c>
      <c r="H256" s="92">
        <v>15.18</v>
      </c>
      <c r="I256" s="92">
        <v>0</v>
      </c>
      <c r="J256" s="92">
        <v>1.27</v>
      </c>
      <c r="K256" s="92">
        <v>0</v>
      </c>
      <c r="L256" s="92">
        <v>0.01</v>
      </c>
      <c r="M256" s="92">
        <v>25.25</v>
      </c>
      <c r="N256" s="92">
        <v>8.6199999999999992</v>
      </c>
      <c r="O256" s="92">
        <v>18.61</v>
      </c>
      <c r="P256" s="92">
        <v>0.35</v>
      </c>
      <c r="Q256" s="92">
        <v>156.38999999999999</v>
      </c>
      <c r="R256" s="92">
        <v>1.64</v>
      </c>
      <c r="S256" s="92">
        <v>0.01</v>
      </c>
      <c r="T256" s="92">
        <v>0</v>
      </c>
      <c r="U256" s="93" t="s">
        <v>76</v>
      </c>
      <c r="V256" s="93">
        <v>2017</v>
      </c>
    </row>
    <row r="257" spans="1:22" s="94" customFormat="1" ht="19.5" customHeight="1" x14ac:dyDescent="0.15">
      <c r="A257" s="90" t="s">
        <v>159</v>
      </c>
      <c r="B257" s="91">
        <v>200</v>
      </c>
      <c r="C257" s="92">
        <f>6.35*0.2</f>
        <v>1.27</v>
      </c>
      <c r="D257" s="92">
        <f>19.95*0.2</f>
        <v>3.99</v>
      </c>
      <c r="E257" s="92">
        <f>36.55*0.2</f>
        <v>7.31</v>
      </c>
      <c r="F257" s="92">
        <f>381*0.2</f>
        <v>76.2</v>
      </c>
      <c r="G257" s="92">
        <f>0.29*0.2</f>
        <v>5.7999999999999996E-2</v>
      </c>
      <c r="H257" s="92">
        <f>41.5*0.2</f>
        <v>8.3000000000000007</v>
      </c>
      <c r="I257" s="92">
        <v>0</v>
      </c>
      <c r="J257" s="92">
        <v>0.25</v>
      </c>
      <c r="K257" s="92">
        <v>0.06</v>
      </c>
      <c r="L257" s="92">
        <f>0.19*0.2</f>
        <v>3.8000000000000006E-2</v>
      </c>
      <c r="M257" s="92">
        <f>139.4*0.2</f>
        <v>27.880000000000003</v>
      </c>
      <c r="N257" s="92">
        <f>83*0.2</f>
        <v>16.600000000000001</v>
      </c>
      <c r="O257" s="92">
        <f>197.1*0.2</f>
        <v>39.42</v>
      </c>
      <c r="P257" s="92">
        <f>3.1*0.2</f>
        <v>0.62000000000000011</v>
      </c>
      <c r="Q257" s="92">
        <f>1536.4*0.2</f>
        <v>307.28000000000003</v>
      </c>
      <c r="R257" s="92">
        <v>5.51</v>
      </c>
      <c r="S257" s="92">
        <v>0.02</v>
      </c>
      <c r="T257" s="92">
        <v>0</v>
      </c>
      <c r="U257" s="93" t="s">
        <v>160</v>
      </c>
      <c r="V257" s="93">
        <v>2017</v>
      </c>
    </row>
    <row r="258" spans="1:22" s="94" customFormat="1" ht="20.25" customHeight="1" x14ac:dyDescent="0.15">
      <c r="A258" s="90" t="s">
        <v>161</v>
      </c>
      <c r="B258" s="91">
        <v>150</v>
      </c>
      <c r="C258" s="92">
        <f>6.4*150/90</f>
        <v>10.666666666666666</v>
      </c>
      <c r="D258" s="92">
        <f>9.5*150/90</f>
        <v>15.833333333333334</v>
      </c>
      <c r="E258" s="92">
        <v>41.18</v>
      </c>
      <c r="F258" s="92">
        <v>296.25</v>
      </c>
      <c r="G258" s="92">
        <v>0.14000000000000001</v>
      </c>
      <c r="H258" s="92">
        <v>7.41</v>
      </c>
      <c r="I258" s="92">
        <v>3.48</v>
      </c>
      <c r="J258" s="92">
        <v>2.98</v>
      </c>
      <c r="K258" s="92">
        <v>0.89</v>
      </c>
      <c r="L258" s="92">
        <v>0.97</v>
      </c>
      <c r="M258" s="92">
        <v>57</v>
      </c>
      <c r="N258" s="92">
        <v>19.78</v>
      </c>
      <c r="O258" s="92">
        <v>229.97</v>
      </c>
      <c r="P258" s="92">
        <v>4.0199999999999996</v>
      </c>
      <c r="Q258" s="92">
        <v>278.43</v>
      </c>
      <c r="R258" s="92">
        <v>14.44</v>
      </c>
      <c r="S258" s="92">
        <v>0.12</v>
      </c>
      <c r="T258" s="92">
        <v>0.03</v>
      </c>
      <c r="U258" s="93" t="s">
        <v>198</v>
      </c>
      <c r="V258" s="93" t="s">
        <v>52</v>
      </c>
    </row>
    <row r="259" spans="1:22" s="94" customFormat="1" ht="21.75" customHeight="1" x14ac:dyDescent="0.15">
      <c r="A259" s="90" t="s">
        <v>62</v>
      </c>
      <c r="B259" s="91">
        <v>25</v>
      </c>
      <c r="C259" s="92">
        <v>0.3</v>
      </c>
      <c r="D259" s="92">
        <v>2.7</v>
      </c>
      <c r="E259" s="92">
        <v>2.2999999999999998</v>
      </c>
      <c r="F259" s="92">
        <v>44</v>
      </c>
      <c r="G259" s="92">
        <v>0.01</v>
      </c>
      <c r="H259" s="92">
        <v>0.74</v>
      </c>
      <c r="I259" s="92">
        <v>0.09</v>
      </c>
      <c r="J259" s="92">
        <v>1.66</v>
      </c>
      <c r="K259" s="92">
        <v>0</v>
      </c>
      <c r="L259" s="92">
        <v>0.01</v>
      </c>
      <c r="M259" s="92">
        <v>7.04</v>
      </c>
      <c r="N259" s="92">
        <v>3.64</v>
      </c>
      <c r="O259" s="92">
        <v>7.35</v>
      </c>
      <c r="P259" s="92">
        <v>0.16</v>
      </c>
      <c r="Q259" s="92">
        <v>40.22</v>
      </c>
      <c r="R259" s="92">
        <v>0.6</v>
      </c>
      <c r="S259" s="92">
        <v>0</v>
      </c>
      <c r="T259" s="92">
        <v>0</v>
      </c>
      <c r="U259" s="93" t="s">
        <v>196</v>
      </c>
      <c r="V259" s="93" t="s">
        <v>52</v>
      </c>
    </row>
    <row r="260" spans="1:22" s="94" customFormat="1" ht="28.5" customHeight="1" x14ac:dyDescent="0.15">
      <c r="A260" s="90" t="s">
        <v>89</v>
      </c>
      <c r="B260" s="91">
        <v>180</v>
      </c>
      <c r="C260" s="92">
        <v>5.22</v>
      </c>
      <c r="D260" s="92">
        <v>4.5</v>
      </c>
      <c r="E260" s="92">
        <v>7.2</v>
      </c>
      <c r="F260" s="92">
        <v>95.4</v>
      </c>
      <c r="G260" s="92">
        <v>7.0000000000000007E-2</v>
      </c>
      <c r="H260" s="92">
        <v>1.26</v>
      </c>
      <c r="I260" s="92">
        <v>0.05</v>
      </c>
      <c r="J260" s="92">
        <v>0.13</v>
      </c>
      <c r="K260" s="92">
        <v>0</v>
      </c>
      <c r="L260" s="92">
        <v>0.31</v>
      </c>
      <c r="M260" s="92">
        <v>216</v>
      </c>
      <c r="N260" s="92">
        <v>25.2</v>
      </c>
      <c r="O260" s="92">
        <v>171</v>
      </c>
      <c r="P260" s="92">
        <v>0.18</v>
      </c>
      <c r="Q260" s="92">
        <v>262.8</v>
      </c>
      <c r="R260" s="92">
        <v>16.2</v>
      </c>
      <c r="S260" s="92">
        <v>0.04</v>
      </c>
      <c r="T260" s="92">
        <v>0</v>
      </c>
      <c r="U260" s="93" t="s">
        <v>167</v>
      </c>
      <c r="V260" s="93" t="s">
        <v>29</v>
      </c>
    </row>
    <row r="261" spans="1:22" s="94" customFormat="1" ht="24" customHeight="1" x14ac:dyDescent="0.15">
      <c r="A261" s="90" t="s">
        <v>49</v>
      </c>
      <c r="B261" s="91">
        <v>40</v>
      </c>
      <c r="C261" s="92">
        <v>3.05</v>
      </c>
      <c r="D261" s="92">
        <v>0.25</v>
      </c>
      <c r="E261" s="92">
        <v>20.07</v>
      </c>
      <c r="F261" s="92">
        <v>94.73</v>
      </c>
      <c r="G261" s="92">
        <v>0.05</v>
      </c>
      <c r="H261" s="92">
        <v>0</v>
      </c>
      <c r="I261" s="92">
        <v>0</v>
      </c>
      <c r="J261" s="92">
        <v>0.59</v>
      </c>
      <c r="K261" s="92">
        <v>0</v>
      </c>
      <c r="L261" s="92">
        <v>0.02</v>
      </c>
      <c r="M261" s="92">
        <v>6.9</v>
      </c>
      <c r="N261" s="92">
        <v>9.9</v>
      </c>
      <c r="O261" s="92">
        <v>25.2</v>
      </c>
      <c r="P261" s="92">
        <v>0.6</v>
      </c>
      <c r="Q261" s="92">
        <v>38.700000000000003</v>
      </c>
      <c r="R261" s="92">
        <v>0</v>
      </c>
      <c r="S261" s="92">
        <v>0</v>
      </c>
      <c r="T261" s="92">
        <v>0</v>
      </c>
      <c r="U261" s="93" t="s">
        <v>167</v>
      </c>
      <c r="V261" s="93" t="s">
        <v>39</v>
      </c>
    </row>
    <row r="262" spans="1:22" s="94" customFormat="1" ht="21" customHeight="1" x14ac:dyDescent="0.15">
      <c r="A262" s="90" t="s">
        <v>38</v>
      </c>
      <c r="B262" s="91">
        <v>20</v>
      </c>
      <c r="C262" s="92">
        <v>1.1200000000000001</v>
      </c>
      <c r="D262" s="92">
        <v>0.22</v>
      </c>
      <c r="E262" s="92">
        <v>9.8800000000000008</v>
      </c>
      <c r="F262" s="92">
        <v>45.98</v>
      </c>
      <c r="G262" s="92">
        <v>0</v>
      </c>
      <c r="H262" s="92">
        <v>0</v>
      </c>
      <c r="I262" s="92">
        <v>0</v>
      </c>
      <c r="J262" s="92">
        <v>0</v>
      </c>
      <c r="K262" s="92">
        <v>0</v>
      </c>
      <c r="L262" s="92">
        <v>0</v>
      </c>
      <c r="M262" s="92">
        <v>0</v>
      </c>
      <c r="N262" s="92">
        <v>0</v>
      </c>
      <c r="O262" s="92">
        <v>0</v>
      </c>
      <c r="P262" s="92">
        <v>0</v>
      </c>
      <c r="Q262" s="92">
        <v>0</v>
      </c>
      <c r="R262" s="92">
        <v>0</v>
      </c>
      <c r="S262" s="92">
        <v>0</v>
      </c>
      <c r="T262" s="92">
        <v>0</v>
      </c>
      <c r="U262" s="93" t="s">
        <v>167</v>
      </c>
      <c r="V262" s="93" t="s">
        <v>39</v>
      </c>
    </row>
    <row r="263" spans="1:22" s="94" customFormat="1" ht="18" customHeight="1" x14ac:dyDescent="0.15">
      <c r="A263" s="90" t="s">
        <v>36</v>
      </c>
      <c r="B263" s="91">
        <v>100</v>
      </c>
      <c r="C263" s="92">
        <v>0.4</v>
      </c>
      <c r="D263" s="92">
        <v>0.4</v>
      </c>
      <c r="E263" s="92">
        <v>9.8000000000000007</v>
      </c>
      <c r="F263" s="92">
        <v>47</v>
      </c>
      <c r="G263" s="92">
        <v>0.03</v>
      </c>
      <c r="H263" s="92">
        <v>10</v>
      </c>
      <c r="I263" s="92">
        <v>0.01</v>
      </c>
      <c r="J263" s="92">
        <v>0.63</v>
      </c>
      <c r="K263" s="92">
        <v>0</v>
      </c>
      <c r="L263" s="92">
        <v>0.02</v>
      </c>
      <c r="M263" s="92">
        <v>16</v>
      </c>
      <c r="N263" s="92">
        <v>8</v>
      </c>
      <c r="O263" s="92">
        <v>11</v>
      </c>
      <c r="P263" s="92">
        <v>2.2000000000000002</v>
      </c>
      <c r="Q263" s="92">
        <v>278</v>
      </c>
      <c r="R263" s="92">
        <v>2</v>
      </c>
      <c r="S263" s="92">
        <v>0.01</v>
      </c>
      <c r="T263" s="92">
        <v>0</v>
      </c>
      <c r="U263" s="93" t="s">
        <v>37</v>
      </c>
      <c r="V263" s="93" t="s">
        <v>29</v>
      </c>
    </row>
    <row r="264" spans="1:22" s="99" customFormat="1" ht="21.6" customHeight="1" x14ac:dyDescent="0.2">
      <c r="A264" s="95" t="s">
        <v>40</v>
      </c>
      <c r="B264" s="101">
        <f>SUM(B256:B263)</f>
        <v>775</v>
      </c>
      <c r="C264" s="97">
        <v>23.1</v>
      </c>
      <c r="D264" s="97">
        <f t="shared" ref="D264:T264" si="40">SUM(D256:D263)</f>
        <v>30.993333333333329</v>
      </c>
      <c r="E264" s="97">
        <v>102.7</v>
      </c>
      <c r="F264" s="97">
        <f t="shared" si="40"/>
        <v>752.16000000000008</v>
      </c>
      <c r="G264" s="97">
        <f t="shared" si="40"/>
        <v>0.36799999999999999</v>
      </c>
      <c r="H264" s="97">
        <f t="shared" si="40"/>
        <v>42.89</v>
      </c>
      <c r="I264" s="97">
        <f t="shared" si="40"/>
        <v>3.6299999999999994</v>
      </c>
      <c r="J264" s="97">
        <f t="shared" si="40"/>
        <v>7.51</v>
      </c>
      <c r="K264" s="97">
        <f t="shared" si="40"/>
        <v>0.95</v>
      </c>
      <c r="L264" s="97">
        <f t="shared" si="40"/>
        <v>1.3780000000000001</v>
      </c>
      <c r="M264" s="97">
        <f t="shared" si="40"/>
        <v>356.07</v>
      </c>
      <c r="N264" s="97">
        <f t="shared" si="40"/>
        <v>91.740000000000009</v>
      </c>
      <c r="O264" s="97">
        <f t="shared" si="40"/>
        <v>502.55</v>
      </c>
      <c r="P264" s="97">
        <f t="shared" si="40"/>
        <v>8.129999999999999</v>
      </c>
      <c r="Q264" s="97">
        <f t="shared" si="40"/>
        <v>1361.8200000000002</v>
      </c>
      <c r="R264" s="97">
        <f t="shared" si="40"/>
        <v>40.39</v>
      </c>
      <c r="S264" s="97">
        <f t="shared" si="40"/>
        <v>0.2</v>
      </c>
      <c r="T264" s="97">
        <f t="shared" si="40"/>
        <v>0.03</v>
      </c>
      <c r="U264" s="98"/>
      <c r="V264" s="98"/>
    </row>
    <row r="265" spans="1:22" s="99" customFormat="1" ht="14.65" customHeight="1" x14ac:dyDescent="0.2">
      <c r="A265" s="143" t="s">
        <v>50</v>
      </c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5"/>
      <c r="U265" s="100"/>
      <c r="V265" s="100"/>
    </row>
    <row r="266" spans="1:22" s="94" customFormat="1" ht="19.5" customHeight="1" x14ac:dyDescent="0.15">
      <c r="A266" s="90" t="s">
        <v>162</v>
      </c>
      <c r="B266" s="91">
        <v>150</v>
      </c>
      <c r="C266" s="92">
        <v>7.9</v>
      </c>
      <c r="D266" s="92">
        <v>12.3</v>
      </c>
      <c r="E266" s="92">
        <v>25.1</v>
      </c>
      <c r="F266" s="92">
        <v>257.60000000000002</v>
      </c>
      <c r="G266" s="92">
        <v>7.0000000000000007E-2</v>
      </c>
      <c r="H266" s="92">
        <v>0.14000000000000001</v>
      </c>
      <c r="I266" s="92">
        <v>0.1</v>
      </c>
      <c r="J266" s="92">
        <v>2.81</v>
      </c>
      <c r="K266" s="92">
        <v>0.67</v>
      </c>
      <c r="L266" s="92">
        <v>0.14000000000000001</v>
      </c>
      <c r="M266" s="92">
        <v>52.99</v>
      </c>
      <c r="N266" s="92">
        <v>12.12</v>
      </c>
      <c r="O266" s="92">
        <v>94.02</v>
      </c>
      <c r="P266" s="92">
        <v>1.3</v>
      </c>
      <c r="Q266" s="92">
        <v>122.1</v>
      </c>
      <c r="R266" s="92">
        <v>8.0399999999999991</v>
      </c>
      <c r="S266" s="92">
        <v>0.02</v>
      </c>
      <c r="T266" s="92">
        <v>0.02</v>
      </c>
      <c r="U266" s="93" t="s">
        <v>163</v>
      </c>
      <c r="V266" s="93" t="s">
        <v>29</v>
      </c>
    </row>
    <row r="267" spans="1:22" s="94" customFormat="1" ht="33" customHeight="1" x14ac:dyDescent="0.15">
      <c r="A267" s="90" t="s">
        <v>71</v>
      </c>
      <c r="B267" s="91">
        <v>180</v>
      </c>
      <c r="C267" s="92">
        <v>0.14000000000000001</v>
      </c>
      <c r="D267" s="92">
        <v>0.14000000000000001</v>
      </c>
      <c r="E267" s="92">
        <v>25.09</v>
      </c>
      <c r="F267" s="92">
        <v>103.14</v>
      </c>
      <c r="G267" s="92">
        <v>0.01</v>
      </c>
      <c r="H267" s="92">
        <v>1.44</v>
      </c>
      <c r="I267" s="92">
        <v>0</v>
      </c>
      <c r="J267" s="92">
        <v>0.23</v>
      </c>
      <c r="K267" s="92">
        <v>0</v>
      </c>
      <c r="L267" s="92">
        <v>0.01</v>
      </c>
      <c r="M267" s="92">
        <v>11.84</v>
      </c>
      <c r="N267" s="92">
        <v>3.99</v>
      </c>
      <c r="O267" s="92">
        <v>3.56</v>
      </c>
      <c r="P267" s="92">
        <v>0.71</v>
      </c>
      <c r="Q267" s="92">
        <v>101.19</v>
      </c>
      <c r="R267" s="92">
        <v>0.72</v>
      </c>
      <c r="S267" s="92">
        <v>0</v>
      </c>
      <c r="T267" s="92">
        <v>0</v>
      </c>
      <c r="U267" s="93" t="s">
        <v>72</v>
      </c>
      <c r="V267" s="93">
        <v>2017</v>
      </c>
    </row>
    <row r="268" spans="1:22" s="99" customFormat="1" ht="20.25" customHeight="1" x14ac:dyDescent="0.2">
      <c r="A268" s="95" t="s">
        <v>40</v>
      </c>
      <c r="B268" s="101">
        <f>SUM(B266:B267)</f>
        <v>330</v>
      </c>
      <c r="C268" s="97">
        <f t="shared" ref="C268:T268" si="41">SUM(C266:C267)</f>
        <v>8.0400000000000009</v>
      </c>
      <c r="D268" s="97">
        <f t="shared" si="41"/>
        <v>12.440000000000001</v>
      </c>
      <c r="E268" s="97">
        <f t="shared" si="41"/>
        <v>50.19</v>
      </c>
      <c r="F268" s="97">
        <f t="shared" si="41"/>
        <v>360.74</v>
      </c>
      <c r="G268" s="97">
        <f t="shared" si="41"/>
        <v>0.08</v>
      </c>
      <c r="H268" s="97">
        <f t="shared" si="41"/>
        <v>1.58</v>
      </c>
      <c r="I268" s="97">
        <f t="shared" si="41"/>
        <v>0.1</v>
      </c>
      <c r="J268" s="97">
        <f t="shared" si="41"/>
        <v>3.04</v>
      </c>
      <c r="K268" s="97">
        <f t="shared" si="41"/>
        <v>0.67</v>
      </c>
      <c r="L268" s="97">
        <f t="shared" si="41"/>
        <v>0.15000000000000002</v>
      </c>
      <c r="M268" s="97">
        <f t="shared" si="41"/>
        <v>64.83</v>
      </c>
      <c r="N268" s="97">
        <f t="shared" si="41"/>
        <v>16.11</v>
      </c>
      <c r="O268" s="97">
        <f t="shared" si="41"/>
        <v>97.58</v>
      </c>
      <c r="P268" s="97">
        <f t="shared" si="41"/>
        <v>2.0099999999999998</v>
      </c>
      <c r="Q268" s="97">
        <f t="shared" si="41"/>
        <v>223.29</v>
      </c>
      <c r="R268" s="97">
        <f t="shared" si="41"/>
        <v>8.76</v>
      </c>
      <c r="S268" s="97">
        <f t="shared" si="41"/>
        <v>0.02</v>
      </c>
      <c r="T268" s="97">
        <f t="shared" si="41"/>
        <v>0.02</v>
      </c>
      <c r="U268" s="98"/>
      <c r="V268" s="98"/>
    </row>
    <row r="269" spans="1:22" s="99" customFormat="1" ht="21.6" customHeight="1" x14ac:dyDescent="0.2">
      <c r="A269" s="95" t="s">
        <v>54</v>
      </c>
      <c r="B269" s="96"/>
      <c r="C269" s="97">
        <f>C268+C264+C254</f>
        <v>52.56</v>
      </c>
      <c r="D269" s="97">
        <f t="shared" ref="D269:T269" si="42">D268+D264+D254</f>
        <v>62.553333333333327</v>
      </c>
      <c r="E269" s="97">
        <f t="shared" si="42"/>
        <v>231.07</v>
      </c>
      <c r="F269" s="97">
        <f t="shared" si="42"/>
        <v>1683.08</v>
      </c>
      <c r="G269" s="97">
        <f t="shared" si="42"/>
        <v>0.79800000000000004</v>
      </c>
      <c r="H269" s="97">
        <f t="shared" si="42"/>
        <v>48.43</v>
      </c>
      <c r="I269" s="97">
        <f t="shared" si="42"/>
        <v>4.9099999999999993</v>
      </c>
      <c r="J269" s="97">
        <f t="shared" si="42"/>
        <v>13.55</v>
      </c>
      <c r="K269" s="97">
        <f t="shared" si="42"/>
        <v>1.87</v>
      </c>
      <c r="L269" s="97">
        <f t="shared" si="42"/>
        <v>1.698</v>
      </c>
      <c r="M269" s="97">
        <f t="shared" si="42"/>
        <v>543.67999999999995</v>
      </c>
      <c r="N269" s="97">
        <f t="shared" si="42"/>
        <v>317.37</v>
      </c>
      <c r="O269" s="97">
        <f t="shared" si="42"/>
        <v>1026.28</v>
      </c>
      <c r="P269" s="97">
        <f t="shared" si="42"/>
        <v>16.919999999999998</v>
      </c>
      <c r="Q269" s="97">
        <f t="shared" si="42"/>
        <v>2320.2600000000002</v>
      </c>
      <c r="R269" s="97">
        <f t="shared" si="42"/>
        <v>158.54999999999998</v>
      </c>
      <c r="S269" s="97">
        <f t="shared" si="42"/>
        <v>0.64</v>
      </c>
      <c r="T269" s="97">
        <f t="shared" si="42"/>
        <v>6.0000000000000005E-2</v>
      </c>
      <c r="U269" s="98"/>
      <c r="V269" s="98"/>
    </row>
    <row r="270" spans="1:22" s="99" customFormat="1" ht="14.1" customHeight="1" x14ac:dyDescent="0.2">
      <c r="A270" s="102" t="s">
        <v>164</v>
      </c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2"/>
      <c r="V270" s="102"/>
    </row>
    <row r="271" spans="1:22" s="105" customFormat="1" ht="14.1" customHeight="1" x14ac:dyDescent="0.2">
      <c r="A271" s="133" t="s">
        <v>199</v>
      </c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</row>
    <row r="272" spans="1:22" s="104" customFormat="1" ht="13.35" customHeight="1" x14ac:dyDescent="0.2">
      <c r="A272" s="135" t="s">
        <v>1</v>
      </c>
      <c r="B272" s="135" t="s">
        <v>2</v>
      </c>
      <c r="C272" s="137" t="s">
        <v>3</v>
      </c>
      <c r="D272" s="138"/>
      <c r="E272" s="139"/>
      <c r="F272" s="140" t="s">
        <v>4</v>
      </c>
      <c r="G272" s="137" t="s">
        <v>5</v>
      </c>
      <c r="H272" s="138"/>
      <c r="I272" s="138"/>
      <c r="J272" s="138"/>
      <c r="K272" s="138"/>
      <c r="L272" s="139"/>
      <c r="M272" s="137" t="s">
        <v>6</v>
      </c>
      <c r="N272" s="138"/>
      <c r="O272" s="138"/>
      <c r="P272" s="138"/>
      <c r="Q272" s="138"/>
      <c r="R272" s="138"/>
      <c r="S272" s="138"/>
      <c r="T272" s="139"/>
      <c r="U272" s="96"/>
      <c r="V272" s="96"/>
    </row>
    <row r="273" spans="1:23" s="99" customFormat="1" ht="26.65" customHeight="1" x14ac:dyDescent="0.2">
      <c r="A273" s="136"/>
      <c r="B273" s="136"/>
      <c r="C273" s="97" t="s">
        <v>9</v>
      </c>
      <c r="D273" s="97" t="s">
        <v>10</v>
      </c>
      <c r="E273" s="97" t="s">
        <v>11</v>
      </c>
      <c r="F273" s="141"/>
      <c r="G273" s="97" t="s">
        <v>12</v>
      </c>
      <c r="H273" s="97" t="s">
        <v>13</v>
      </c>
      <c r="I273" s="97" t="s">
        <v>14</v>
      </c>
      <c r="J273" s="97" t="s">
        <v>15</v>
      </c>
      <c r="K273" s="97" t="s">
        <v>16</v>
      </c>
      <c r="L273" s="97" t="s">
        <v>17</v>
      </c>
      <c r="M273" s="97" t="s">
        <v>18</v>
      </c>
      <c r="N273" s="97" t="s">
        <v>19</v>
      </c>
      <c r="O273" s="97" t="s">
        <v>20</v>
      </c>
      <c r="P273" s="97" t="s">
        <v>21</v>
      </c>
      <c r="Q273" s="97" t="s">
        <v>22</v>
      </c>
      <c r="R273" s="97" t="s">
        <v>23</v>
      </c>
      <c r="S273" s="97" t="s">
        <v>24</v>
      </c>
      <c r="T273" s="97" t="s">
        <v>25</v>
      </c>
      <c r="U273" s="96"/>
      <c r="V273" s="96"/>
    </row>
    <row r="274" spans="1:23" s="109" customFormat="1" ht="18" customHeight="1" x14ac:dyDescent="0.2">
      <c r="A274" s="106" t="s">
        <v>200</v>
      </c>
      <c r="B274" s="107"/>
      <c r="C274" s="108">
        <f t="shared" ref="C274:T274" si="43">C269+C243+C216+C188+C161+C133+C107+C81+C55+C28</f>
        <v>549.56628399378394</v>
      </c>
      <c r="D274" s="108">
        <f t="shared" si="43"/>
        <v>578.00737828837839</v>
      </c>
      <c r="E274" s="108">
        <f t="shared" si="43"/>
        <v>2284.6138926406929</v>
      </c>
      <c r="F274" s="108">
        <f t="shared" si="43"/>
        <v>16946.321074758573</v>
      </c>
      <c r="G274" s="108">
        <f t="shared" si="43"/>
        <v>8.6632337662337662</v>
      </c>
      <c r="H274" s="108">
        <f t="shared" si="43"/>
        <v>730.56573831168839</v>
      </c>
      <c r="I274" s="108">
        <f t="shared" si="43"/>
        <v>367.80035714285714</v>
      </c>
      <c r="J274" s="108">
        <f t="shared" si="43"/>
        <v>130.74</v>
      </c>
      <c r="K274" s="108">
        <f t="shared" si="43"/>
        <v>8.5100000000000016</v>
      </c>
      <c r="L274" s="108">
        <f t="shared" si="43"/>
        <v>11.557283225108225</v>
      </c>
      <c r="M274" s="108">
        <f t="shared" si="43"/>
        <v>6708.4066642857133</v>
      </c>
      <c r="N274" s="108">
        <f t="shared" si="43"/>
        <v>2551.2712666666666</v>
      </c>
      <c r="O274" s="108">
        <f t="shared" si="43"/>
        <v>9751.4734922077914</v>
      </c>
      <c r="P274" s="108">
        <f t="shared" si="43"/>
        <v>141.71577207792205</v>
      </c>
      <c r="Q274" s="108">
        <f t="shared" si="43"/>
        <v>29486.106255411261</v>
      </c>
      <c r="R274" s="108">
        <f t="shared" si="43"/>
        <v>1118.01</v>
      </c>
      <c r="S274" s="108">
        <f t="shared" si="43"/>
        <v>4.8899999999999997</v>
      </c>
      <c r="T274" s="108">
        <f t="shared" si="43"/>
        <v>0.40999999999999992</v>
      </c>
    </row>
    <row r="275" spans="1:23" s="109" customFormat="1" ht="20.25" customHeight="1" x14ac:dyDescent="0.2">
      <c r="A275" s="106" t="s">
        <v>201</v>
      </c>
      <c r="B275" s="107"/>
      <c r="C275" s="108">
        <f>C274/10</f>
        <v>54.956628399378395</v>
      </c>
      <c r="D275" s="108">
        <f t="shared" ref="D275:T275" si="44">D274/10</f>
        <v>57.800737828837839</v>
      </c>
      <c r="E275" s="108">
        <f t="shared" si="44"/>
        <v>228.46138926406928</v>
      </c>
      <c r="F275" s="108">
        <f t="shared" si="44"/>
        <v>1694.6321074758573</v>
      </c>
      <c r="G275" s="108">
        <f t="shared" si="44"/>
        <v>0.86632337662337666</v>
      </c>
      <c r="H275" s="108">
        <f t="shared" si="44"/>
        <v>73.056573831168834</v>
      </c>
      <c r="I275" s="108">
        <f t="shared" si="44"/>
        <v>36.780035714285717</v>
      </c>
      <c r="J275" s="108">
        <f t="shared" si="44"/>
        <v>13.074000000000002</v>
      </c>
      <c r="K275" s="108">
        <f t="shared" si="44"/>
        <v>0.8510000000000002</v>
      </c>
      <c r="L275" s="108">
        <f t="shared" si="44"/>
        <v>1.1557283225108226</v>
      </c>
      <c r="M275" s="108">
        <f t="shared" si="44"/>
        <v>670.84066642857135</v>
      </c>
      <c r="N275" s="108">
        <f t="shared" si="44"/>
        <v>255.12712666666667</v>
      </c>
      <c r="O275" s="108">
        <f t="shared" si="44"/>
        <v>975.14734922077912</v>
      </c>
      <c r="P275" s="108">
        <f t="shared" si="44"/>
        <v>14.171577207792206</v>
      </c>
      <c r="Q275" s="108">
        <f t="shared" si="44"/>
        <v>2948.610625541126</v>
      </c>
      <c r="R275" s="108">
        <f t="shared" si="44"/>
        <v>111.801</v>
      </c>
      <c r="S275" s="108">
        <f t="shared" si="44"/>
        <v>0.48899999999999999</v>
      </c>
      <c r="T275" s="108">
        <f t="shared" si="44"/>
        <v>4.0999999999999995E-2</v>
      </c>
    </row>
    <row r="276" spans="1:23" s="105" customFormat="1" ht="14.1" customHeight="1" x14ac:dyDescent="0.2">
      <c r="A276" s="110"/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3"/>
      <c r="N276" s="113"/>
      <c r="O276" s="113"/>
      <c r="P276" s="113"/>
      <c r="Q276" s="113"/>
      <c r="R276" s="113"/>
      <c r="S276" s="113"/>
      <c r="T276" s="113"/>
    </row>
    <row r="277" spans="1:23" s="114" customFormat="1" ht="35.450000000000003" customHeight="1" x14ac:dyDescent="0.15">
      <c r="A277" s="142" t="s">
        <v>202</v>
      </c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</row>
    <row r="278" spans="1:23" s="10" customFormat="1" ht="24" customHeight="1" x14ac:dyDescent="0.15">
      <c r="A278" s="120" t="s">
        <v>203</v>
      </c>
      <c r="B278" s="121"/>
      <c r="C278" s="122" t="s">
        <v>204</v>
      </c>
      <c r="D278" s="122" t="s">
        <v>205</v>
      </c>
      <c r="E278" s="122" t="s">
        <v>206</v>
      </c>
      <c r="F278" s="123"/>
      <c r="G278" s="123"/>
      <c r="H278" s="123"/>
      <c r="I278" s="123"/>
      <c r="J278" s="123"/>
      <c r="K278" s="123"/>
      <c r="L278" s="123"/>
      <c r="M278" s="124"/>
      <c r="N278" s="124"/>
      <c r="O278" s="124"/>
      <c r="P278" s="124"/>
      <c r="Q278" s="124"/>
      <c r="R278" s="124"/>
      <c r="S278" s="124"/>
      <c r="T278" s="124"/>
    </row>
    <row r="279" spans="1:23" s="109" customFormat="1" ht="14.1" customHeight="1" x14ac:dyDescent="0.2">
      <c r="A279" s="106" t="s">
        <v>207</v>
      </c>
      <c r="B279" s="107"/>
      <c r="C279" s="108">
        <f>(B254+B227+B200+B173+B144+B118+B92+B66+B40+B13)/10</f>
        <v>517</v>
      </c>
      <c r="D279" s="108">
        <f>(C257+B264+B237+B210+B182+B154+B127+B101+B75+B49+B22)/10</f>
        <v>837.12700000000007</v>
      </c>
      <c r="E279" s="108">
        <f>(B268+B242+B215+B187+B160+B132+B106+B80+B54+B27)/10</f>
        <v>359.5</v>
      </c>
      <c r="F279" s="115"/>
      <c r="G279" s="115"/>
      <c r="H279" s="115"/>
      <c r="I279" s="115"/>
      <c r="J279" s="115"/>
      <c r="K279" s="115"/>
      <c r="L279" s="115"/>
      <c r="M279" s="116"/>
      <c r="N279" s="116"/>
      <c r="O279" s="116"/>
      <c r="P279" s="116"/>
      <c r="Q279" s="116"/>
      <c r="R279" s="116"/>
      <c r="S279" s="116"/>
      <c r="T279" s="116"/>
    </row>
    <row r="280" spans="1:23" s="5" customFormat="1" x14ac:dyDescent="0.15">
      <c r="A280" s="1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</row>
  </sheetData>
  <mergeCells count="112">
    <mergeCell ref="R1:V1"/>
    <mergeCell ref="A166:T166"/>
    <mergeCell ref="A174:T174"/>
    <mergeCell ref="A183:T183"/>
    <mergeCell ref="A190:V190"/>
    <mergeCell ref="A191:A192"/>
    <mergeCell ref="B191:B192"/>
    <mergeCell ref="C191:E191"/>
    <mergeCell ref="F191:F192"/>
    <mergeCell ref="G191:L191"/>
    <mergeCell ref="M191:T191"/>
    <mergeCell ref="A119:T119"/>
    <mergeCell ref="A128:T128"/>
    <mergeCell ref="A135:V135"/>
    <mergeCell ref="A136:A137"/>
    <mergeCell ref="B136:B137"/>
    <mergeCell ref="C136:E136"/>
    <mergeCell ref="F136:F137"/>
    <mergeCell ref="G136:L136"/>
    <mergeCell ref="M136:T136"/>
    <mergeCell ref="A60:T60"/>
    <mergeCell ref="A67:T67"/>
    <mergeCell ref="A76:T76"/>
    <mergeCell ref="A83:V83"/>
    <mergeCell ref="A84:A85"/>
    <mergeCell ref="B84:B85"/>
    <mergeCell ref="C84:E84"/>
    <mergeCell ref="F84:F85"/>
    <mergeCell ref="G84:L84"/>
    <mergeCell ref="M84:T84"/>
    <mergeCell ref="A138:T138"/>
    <mergeCell ref="A145:T145"/>
    <mergeCell ref="A155:T155"/>
    <mergeCell ref="A163:V163"/>
    <mergeCell ref="A164:A165"/>
    <mergeCell ref="B164:B165"/>
    <mergeCell ref="C164:E164"/>
    <mergeCell ref="F164:F165"/>
    <mergeCell ref="G164:L164"/>
    <mergeCell ref="M164:T164"/>
    <mergeCell ref="A86:T86"/>
    <mergeCell ref="A93:T93"/>
    <mergeCell ref="A102:T102"/>
    <mergeCell ref="A109:V109"/>
    <mergeCell ref="A110:A111"/>
    <mergeCell ref="B110:B111"/>
    <mergeCell ref="C110:E110"/>
    <mergeCell ref="F110:F111"/>
    <mergeCell ref="G110:L110"/>
    <mergeCell ref="M110:T110"/>
    <mergeCell ref="F31:F32"/>
    <mergeCell ref="G31:L31"/>
    <mergeCell ref="A41:T41"/>
    <mergeCell ref="A50:T50"/>
    <mergeCell ref="A57:V57"/>
    <mergeCell ref="A58:A59"/>
    <mergeCell ref="B58:B59"/>
    <mergeCell ref="C58:E58"/>
    <mergeCell ref="F58:F59"/>
    <mergeCell ref="G58:L58"/>
    <mergeCell ref="M58:T58"/>
    <mergeCell ref="A219:V219"/>
    <mergeCell ref="A193:T193"/>
    <mergeCell ref="A1:C1"/>
    <mergeCell ref="A3:V3"/>
    <mergeCell ref="A30:V30"/>
    <mergeCell ref="A33:T33"/>
    <mergeCell ref="A7:T7"/>
    <mergeCell ref="A14:T14"/>
    <mergeCell ref="A23:T23"/>
    <mergeCell ref="A4:V4"/>
    <mergeCell ref="A201:T201"/>
    <mergeCell ref="A211:T211"/>
    <mergeCell ref="A218:V218"/>
    <mergeCell ref="A112:T112"/>
    <mergeCell ref="C5:E5"/>
    <mergeCell ref="G5:L5"/>
    <mergeCell ref="M5:T5"/>
    <mergeCell ref="A5:A6"/>
    <mergeCell ref="B5:B6"/>
    <mergeCell ref="F5:F6"/>
    <mergeCell ref="M31:T31"/>
    <mergeCell ref="A31:A32"/>
    <mergeCell ref="B31:B32"/>
    <mergeCell ref="C31:E31"/>
    <mergeCell ref="A220:A221"/>
    <mergeCell ref="B220:B221"/>
    <mergeCell ref="C220:E220"/>
    <mergeCell ref="F220:F221"/>
    <mergeCell ref="G220:L220"/>
    <mergeCell ref="M220:T220"/>
    <mergeCell ref="A222:T222"/>
    <mergeCell ref="A228:T228"/>
    <mergeCell ref="A238:T238"/>
    <mergeCell ref="A245:V245"/>
    <mergeCell ref="A246:A247"/>
    <mergeCell ref="A272:A273"/>
    <mergeCell ref="B272:B273"/>
    <mergeCell ref="C272:E272"/>
    <mergeCell ref="F272:F273"/>
    <mergeCell ref="G272:L272"/>
    <mergeCell ref="M272:T272"/>
    <mergeCell ref="A277:W277"/>
    <mergeCell ref="B246:B247"/>
    <mergeCell ref="C246:E246"/>
    <mergeCell ref="F246:F247"/>
    <mergeCell ref="G246:L246"/>
    <mergeCell ref="M246:T246"/>
    <mergeCell ref="A248:T248"/>
    <mergeCell ref="A255:T255"/>
    <mergeCell ref="A265:T265"/>
    <mergeCell ref="A271:V271"/>
  </mergeCells>
  <pageMargins left="0.39" right="0.39" top="0.39" bottom="0.39" header="0" footer="0"/>
  <pageSetup paperSize="9" scale="67" orientation="landscape" horizontalDpi="300" verticalDpi="300" r:id="rId1"/>
  <rowBreaks count="9" manualBreakCount="9">
    <brk id="29" max="16383" man="1"/>
    <brk id="56" max="16383" man="1"/>
    <brk id="82" max="16383" man="1"/>
    <brk id="108" max="16383" man="1"/>
    <brk id="134" max="16383" man="1"/>
    <brk id="162" max="16383" man="1"/>
    <brk id="189" max="16383" man="1"/>
    <brk id="217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view="pageBreakPreview" zoomScale="60" zoomScaleNormal="100" workbookViewId="0">
      <selection sqref="A1:C1"/>
    </sheetView>
  </sheetViews>
  <sheetFormatPr defaultColWidth="9.1640625" defaultRowHeight="12.75" x14ac:dyDescent="0.2"/>
  <cols>
    <col min="1" max="1" width="57.5" style="72" customWidth="1"/>
    <col min="2" max="2" width="13.5" style="5" customWidth="1"/>
    <col min="3" max="20" width="8.6640625" style="18" customWidth="1"/>
    <col min="21" max="21" width="9.5" style="67" customWidth="1"/>
    <col min="22" max="22" width="11" style="67" customWidth="1"/>
    <col min="23" max="16384" width="9.1640625" style="67"/>
  </cols>
  <sheetData>
    <row r="1" spans="1:22" s="13" customFormat="1" ht="82.5" customHeight="1" x14ac:dyDescent="0.25">
      <c r="A1" s="163" t="s">
        <v>242</v>
      </c>
      <c r="B1" s="163"/>
      <c r="C1" s="163"/>
      <c r="D1" s="70"/>
      <c r="E1" s="70"/>
      <c r="F1" s="70"/>
      <c r="G1" s="70"/>
      <c r="H1" s="70"/>
      <c r="I1" s="70"/>
      <c r="J1" s="70"/>
      <c r="K1" s="164" t="s">
        <v>208</v>
      </c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</row>
    <row r="2" spans="1:22" s="13" customFormat="1" ht="22.9" customHeight="1" x14ac:dyDescent="0.25">
      <c r="A2" s="71"/>
      <c r="C2" s="70"/>
      <c r="D2" s="70"/>
      <c r="E2" s="70"/>
      <c r="F2" s="70"/>
      <c r="G2" s="70"/>
      <c r="H2" s="70"/>
      <c r="I2" s="70"/>
      <c r="J2" s="70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1:22" s="15" customFormat="1" ht="13.5" customHeight="1" x14ac:dyDescent="0.15">
      <c r="A3" s="149" t="s">
        <v>232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22" s="22" customFormat="1" ht="13.5" customHeight="1" x14ac:dyDescent="0.15">
      <c r="A4" s="168" t="s">
        <v>220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5" spans="1:22" s="15" customFormat="1" ht="28.35" customHeight="1" x14ac:dyDescent="0.15">
      <c r="A5" s="153" t="s">
        <v>209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</row>
    <row r="6" spans="1:22" s="72" customFormat="1" ht="13.35" customHeight="1" x14ac:dyDescent="0.2">
      <c r="A6" s="158" t="s">
        <v>1</v>
      </c>
      <c r="B6" s="158" t="s">
        <v>2</v>
      </c>
      <c r="C6" s="155" t="s">
        <v>3</v>
      </c>
      <c r="D6" s="156"/>
      <c r="E6" s="157"/>
      <c r="F6" s="160" t="s">
        <v>4</v>
      </c>
      <c r="G6" s="155" t="s">
        <v>5</v>
      </c>
      <c r="H6" s="156"/>
      <c r="I6" s="156"/>
      <c r="J6" s="156"/>
      <c r="K6" s="156"/>
      <c r="L6" s="157"/>
      <c r="M6" s="155" t="s">
        <v>6</v>
      </c>
      <c r="N6" s="156"/>
      <c r="O6" s="156"/>
      <c r="P6" s="156"/>
      <c r="Q6" s="156"/>
      <c r="R6" s="156"/>
      <c r="S6" s="156"/>
      <c r="T6" s="157"/>
      <c r="U6" s="81" t="s">
        <v>7</v>
      </c>
      <c r="V6" s="81" t="s">
        <v>8</v>
      </c>
    </row>
    <row r="7" spans="1:22" ht="26.65" customHeight="1" x14ac:dyDescent="0.2">
      <c r="A7" s="159"/>
      <c r="B7" s="159"/>
      <c r="C7" s="82" t="s">
        <v>9</v>
      </c>
      <c r="D7" s="82" t="s">
        <v>10</v>
      </c>
      <c r="E7" s="82" t="s">
        <v>11</v>
      </c>
      <c r="F7" s="161"/>
      <c r="G7" s="82" t="s">
        <v>12</v>
      </c>
      <c r="H7" s="82" t="s">
        <v>13</v>
      </c>
      <c r="I7" s="82" t="s">
        <v>14</v>
      </c>
      <c r="J7" s="82" t="s">
        <v>15</v>
      </c>
      <c r="K7" s="82" t="s">
        <v>16</v>
      </c>
      <c r="L7" s="82" t="s">
        <v>17</v>
      </c>
      <c r="M7" s="82" t="s">
        <v>18</v>
      </c>
      <c r="N7" s="82" t="s">
        <v>19</v>
      </c>
      <c r="O7" s="82" t="s">
        <v>20</v>
      </c>
      <c r="P7" s="82" t="s">
        <v>21</v>
      </c>
      <c r="Q7" s="82" t="s">
        <v>22</v>
      </c>
      <c r="R7" s="82" t="s">
        <v>23</v>
      </c>
      <c r="S7" s="82" t="s">
        <v>24</v>
      </c>
      <c r="T7" s="82" t="s">
        <v>25</v>
      </c>
      <c r="U7" s="81"/>
      <c r="V7" s="81"/>
    </row>
    <row r="8" spans="1:22" ht="14.65" customHeight="1" x14ac:dyDescent="0.2">
      <c r="A8" s="150" t="s">
        <v>26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2"/>
      <c r="U8" s="21"/>
      <c r="V8" s="21"/>
    </row>
    <row r="9" spans="1:22" s="5" customFormat="1" ht="12.2" customHeight="1" x14ac:dyDescent="0.15">
      <c r="A9" s="1" t="s">
        <v>27</v>
      </c>
      <c r="B9" s="2">
        <v>150</v>
      </c>
      <c r="C9" s="16">
        <v>6.08</v>
      </c>
      <c r="D9" s="16">
        <f>11.18*150/210</f>
        <v>7.9857142857142858</v>
      </c>
      <c r="E9" s="16">
        <f>33.48*150/210</f>
        <v>23.914285714285711</v>
      </c>
      <c r="F9" s="16">
        <f>260*150/210</f>
        <v>185.71428571428572</v>
      </c>
      <c r="G9" s="16">
        <f>0.1*150/210</f>
        <v>7.1428571428571425E-2</v>
      </c>
      <c r="H9" s="16">
        <f>0.96*150/210</f>
        <v>0.68571428571428572</v>
      </c>
      <c r="I9" s="16">
        <f>54.08*150/210</f>
        <v>38.628571428571426</v>
      </c>
      <c r="J9" s="16">
        <v>0.64</v>
      </c>
      <c r="K9" s="16">
        <v>0.15</v>
      </c>
      <c r="L9" s="16">
        <f>0.14*160/210</f>
        <v>0.10666666666666667</v>
      </c>
      <c r="M9" s="16">
        <v>83.75</v>
      </c>
      <c r="N9" s="16">
        <f>37.22*160/210</f>
        <v>28.358095238095238</v>
      </c>
      <c r="O9" s="16">
        <f>156.72*160/210</f>
        <v>119.40571428571428</v>
      </c>
      <c r="P9" s="16">
        <f>0.81*160/210</f>
        <v>0.61714285714285722</v>
      </c>
      <c r="Q9" s="16">
        <f>201.34*160/210</f>
        <v>153.40190476190477</v>
      </c>
      <c r="R9" s="16">
        <v>7.53</v>
      </c>
      <c r="S9" s="16">
        <v>0.01</v>
      </c>
      <c r="T9" s="16">
        <v>0</v>
      </c>
      <c r="U9" s="4" t="s">
        <v>28</v>
      </c>
      <c r="V9" s="4" t="s">
        <v>29</v>
      </c>
    </row>
    <row r="10" spans="1:22" s="5" customFormat="1" ht="12.2" customHeight="1" x14ac:dyDescent="0.15">
      <c r="A10" s="1" t="s">
        <v>30</v>
      </c>
      <c r="B10" s="2">
        <v>50</v>
      </c>
      <c r="C10" s="16">
        <v>6.27</v>
      </c>
      <c r="D10" s="16">
        <v>7.86</v>
      </c>
      <c r="E10" s="16">
        <v>14.83</v>
      </c>
      <c r="F10" s="16">
        <v>180</v>
      </c>
      <c r="G10" s="16">
        <v>0.05</v>
      </c>
      <c r="H10" s="16">
        <v>7.0000000000000007E-2</v>
      </c>
      <c r="I10" s="16">
        <v>0.08</v>
      </c>
      <c r="J10" s="16">
        <v>0.84</v>
      </c>
      <c r="K10" s="16">
        <v>0.15</v>
      </c>
      <c r="L10" s="16">
        <v>0.05</v>
      </c>
      <c r="M10" s="16">
        <v>95.92</v>
      </c>
      <c r="N10" s="16">
        <v>13.4</v>
      </c>
      <c r="O10" s="16">
        <v>76.72</v>
      </c>
      <c r="P10" s="16">
        <v>0.72</v>
      </c>
      <c r="Q10" s="16">
        <v>49</v>
      </c>
      <c r="R10" s="16">
        <v>0</v>
      </c>
      <c r="S10" s="16">
        <v>0.01</v>
      </c>
      <c r="T10" s="16">
        <v>0</v>
      </c>
      <c r="U10" s="4" t="s">
        <v>31</v>
      </c>
      <c r="V10" s="4">
        <v>2017</v>
      </c>
    </row>
    <row r="11" spans="1:22" s="5" customFormat="1" ht="12.2" customHeight="1" x14ac:dyDescent="0.15">
      <c r="A11" s="1" t="s">
        <v>33</v>
      </c>
      <c r="B11" s="2">
        <v>180</v>
      </c>
      <c r="C11" s="16">
        <f>1.52*180/200</f>
        <v>1.3680000000000001</v>
      </c>
      <c r="D11" s="16">
        <f>1.35*180/200</f>
        <v>1.2150000000000001</v>
      </c>
      <c r="E11" s="16">
        <v>14.31</v>
      </c>
      <c r="F11" s="16">
        <f>81*180/200</f>
        <v>72.900000000000006</v>
      </c>
      <c r="G11" s="16">
        <f>0.04</f>
        <v>0.04</v>
      </c>
      <c r="H11" s="16">
        <v>1.33</v>
      </c>
      <c r="I11" s="16">
        <v>0.41</v>
      </c>
      <c r="J11" s="16">
        <v>0</v>
      </c>
      <c r="K11" s="16">
        <v>0</v>
      </c>
      <c r="L11" s="16">
        <v>0.16</v>
      </c>
      <c r="M11" s="16">
        <v>126.6</v>
      </c>
      <c r="N11" s="16">
        <v>15.4</v>
      </c>
      <c r="O11" s="16">
        <v>92.8</v>
      </c>
      <c r="P11" s="16">
        <v>0.41</v>
      </c>
      <c r="Q11" s="16">
        <v>154.6</v>
      </c>
      <c r="R11" s="16">
        <v>4.5</v>
      </c>
      <c r="S11" s="16">
        <v>0</v>
      </c>
      <c r="T11" s="16">
        <v>0</v>
      </c>
      <c r="U11" s="4" t="s">
        <v>34</v>
      </c>
      <c r="V11" s="4">
        <v>2017</v>
      </c>
    </row>
    <row r="12" spans="1:22" s="5" customFormat="1" ht="12.2" customHeight="1" x14ac:dyDescent="0.15">
      <c r="A12" s="1" t="s">
        <v>36</v>
      </c>
      <c r="B12" s="2">
        <v>100</v>
      </c>
      <c r="C12" s="16">
        <v>0.4</v>
      </c>
      <c r="D12" s="16">
        <v>0.4</v>
      </c>
      <c r="E12" s="16">
        <v>9.8000000000000007</v>
      </c>
      <c r="F12" s="16">
        <v>47</v>
      </c>
      <c r="G12" s="16">
        <v>0.03</v>
      </c>
      <c r="H12" s="16">
        <v>10</v>
      </c>
      <c r="I12" s="16">
        <v>0.01</v>
      </c>
      <c r="J12" s="16">
        <v>0.63</v>
      </c>
      <c r="K12" s="16">
        <v>0</v>
      </c>
      <c r="L12" s="16">
        <v>0.02</v>
      </c>
      <c r="M12" s="16">
        <v>16</v>
      </c>
      <c r="N12" s="16">
        <v>8</v>
      </c>
      <c r="O12" s="16">
        <v>11</v>
      </c>
      <c r="P12" s="16">
        <v>2.2000000000000002</v>
      </c>
      <c r="Q12" s="16">
        <v>278</v>
      </c>
      <c r="R12" s="16">
        <v>2</v>
      </c>
      <c r="S12" s="16">
        <v>0.01</v>
      </c>
      <c r="T12" s="16">
        <v>0</v>
      </c>
      <c r="U12" s="4" t="s">
        <v>37</v>
      </c>
      <c r="V12" s="4" t="s">
        <v>29</v>
      </c>
    </row>
    <row r="13" spans="1:22" s="5" customFormat="1" ht="12.2" customHeight="1" x14ac:dyDescent="0.15">
      <c r="A13" s="1" t="s">
        <v>38</v>
      </c>
      <c r="B13" s="2">
        <v>20</v>
      </c>
      <c r="C13" s="16">
        <v>1.1200000000000001</v>
      </c>
      <c r="D13" s="16">
        <v>0.22</v>
      </c>
      <c r="E13" s="16">
        <v>9.8800000000000008</v>
      </c>
      <c r="F13" s="16">
        <v>45.98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4" t="s">
        <v>167</v>
      </c>
      <c r="V13" s="4" t="s">
        <v>39</v>
      </c>
    </row>
    <row r="14" spans="1:22" ht="12.2" customHeight="1" x14ac:dyDescent="0.2">
      <c r="A14" s="29" t="s">
        <v>40</v>
      </c>
      <c r="B14" s="81">
        <f>SUM(B9:B13)</f>
        <v>500</v>
      </c>
      <c r="C14" s="82">
        <f t="shared" ref="C14:T14" si="0">SUM(C9:C13)</f>
        <v>15.238</v>
      </c>
      <c r="D14" s="82">
        <f t="shared" si="0"/>
        <v>17.680714285714284</v>
      </c>
      <c r="E14" s="82">
        <f t="shared" si="0"/>
        <v>72.734285714285704</v>
      </c>
      <c r="F14" s="82">
        <f t="shared" si="0"/>
        <v>531.59428571428577</v>
      </c>
      <c r="G14" s="82">
        <f t="shared" si="0"/>
        <v>0.19142857142857142</v>
      </c>
      <c r="H14" s="82">
        <f t="shared" si="0"/>
        <v>12.085714285714285</v>
      </c>
      <c r="I14" s="82">
        <f t="shared" si="0"/>
        <v>39.128571428571419</v>
      </c>
      <c r="J14" s="82">
        <f t="shared" si="0"/>
        <v>2.11</v>
      </c>
      <c r="K14" s="82">
        <f t="shared" si="0"/>
        <v>0.3</v>
      </c>
      <c r="L14" s="82">
        <f t="shared" si="0"/>
        <v>0.33666666666666667</v>
      </c>
      <c r="M14" s="82">
        <f t="shared" si="0"/>
        <v>322.27</v>
      </c>
      <c r="N14" s="82">
        <f t="shared" si="0"/>
        <v>65.158095238095228</v>
      </c>
      <c r="O14" s="82">
        <f t="shared" si="0"/>
        <v>299.92571428571426</v>
      </c>
      <c r="P14" s="82">
        <f t="shared" si="0"/>
        <v>3.9471428571428575</v>
      </c>
      <c r="Q14" s="82">
        <f t="shared" si="0"/>
        <v>635.00190476190483</v>
      </c>
      <c r="R14" s="82">
        <f t="shared" si="0"/>
        <v>14.030000000000001</v>
      </c>
      <c r="S14" s="82">
        <f t="shared" si="0"/>
        <v>0.03</v>
      </c>
      <c r="T14" s="82">
        <f t="shared" si="0"/>
        <v>0</v>
      </c>
      <c r="U14" s="83"/>
      <c r="V14" s="83"/>
    </row>
    <row r="15" spans="1:22" ht="14.1" customHeight="1" x14ac:dyDescent="0.2">
      <c r="A15" s="32"/>
      <c r="B15" s="3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32"/>
      <c r="V15" s="32"/>
    </row>
    <row r="16" spans="1:22" s="5" customFormat="1" ht="28.35" customHeight="1" x14ac:dyDescent="0.15">
      <c r="A16" s="166" t="s">
        <v>210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</row>
    <row r="17" spans="1:22" s="72" customFormat="1" ht="13.35" customHeight="1" x14ac:dyDescent="0.2">
      <c r="A17" s="158" t="s">
        <v>1</v>
      </c>
      <c r="B17" s="158" t="s">
        <v>2</v>
      </c>
      <c r="C17" s="155" t="s">
        <v>3</v>
      </c>
      <c r="D17" s="156"/>
      <c r="E17" s="157"/>
      <c r="F17" s="160" t="s">
        <v>4</v>
      </c>
      <c r="G17" s="155" t="s">
        <v>5</v>
      </c>
      <c r="H17" s="156"/>
      <c r="I17" s="156"/>
      <c r="J17" s="156"/>
      <c r="K17" s="156"/>
      <c r="L17" s="157"/>
      <c r="M17" s="155" t="s">
        <v>6</v>
      </c>
      <c r="N17" s="156"/>
      <c r="O17" s="156"/>
      <c r="P17" s="156"/>
      <c r="Q17" s="156"/>
      <c r="R17" s="156"/>
      <c r="S17" s="156"/>
      <c r="T17" s="157"/>
      <c r="U17" s="81" t="s">
        <v>7</v>
      </c>
      <c r="V17" s="81" t="s">
        <v>8</v>
      </c>
    </row>
    <row r="18" spans="1:22" ht="26.65" customHeight="1" x14ac:dyDescent="0.2">
      <c r="A18" s="159"/>
      <c r="B18" s="159"/>
      <c r="C18" s="82" t="s">
        <v>9</v>
      </c>
      <c r="D18" s="82" t="s">
        <v>10</v>
      </c>
      <c r="E18" s="82" t="s">
        <v>11</v>
      </c>
      <c r="F18" s="161"/>
      <c r="G18" s="82" t="s">
        <v>12</v>
      </c>
      <c r="H18" s="82" t="s">
        <v>13</v>
      </c>
      <c r="I18" s="82" t="s">
        <v>14</v>
      </c>
      <c r="J18" s="82" t="s">
        <v>15</v>
      </c>
      <c r="K18" s="82" t="s">
        <v>16</v>
      </c>
      <c r="L18" s="82" t="s">
        <v>17</v>
      </c>
      <c r="M18" s="82" t="s">
        <v>18</v>
      </c>
      <c r="N18" s="82" t="s">
        <v>19</v>
      </c>
      <c r="O18" s="82" t="s">
        <v>20</v>
      </c>
      <c r="P18" s="82" t="s">
        <v>21</v>
      </c>
      <c r="Q18" s="82" t="s">
        <v>22</v>
      </c>
      <c r="R18" s="82" t="s">
        <v>23</v>
      </c>
      <c r="S18" s="82" t="s">
        <v>24</v>
      </c>
      <c r="T18" s="82" t="s">
        <v>25</v>
      </c>
      <c r="U18" s="81"/>
      <c r="V18" s="81"/>
    </row>
    <row r="19" spans="1:22" ht="14.65" customHeight="1" x14ac:dyDescent="0.2">
      <c r="A19" s="150" t="s">
        <v>26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2"/>
      <c r="U19" s="21"/>
      <c r="V19" s="21"/>
    </row>
    <row r="20" spans="1:22" ht="12.2" customHeight="1" x14ac:dyDescent="0.2">
      <c r="A20" s="1" t="s">
        <v>56</v>
      </c>
      <c r="B20" s="2">
        <v>60</v>
      </c>
      <c r="C20" s="16">
        <v>0.5</v>
      </c>
      <c r="D20" s="16">
        <v>0.1</v>
      </c>
      <c r="E20" s="16">
        <v>1</v>
      </c>
      <c r="F20" s="16">
        <v>7.8</v>
      </c>
      <c r="G20" s="16">
        <v>0.01</v>
      </c>
      <c r="H20" s="16">
        <v>3</v>
      </c>
      <c r="I20" s="16">
        <v>0</v>
      </c>
      <c r="J20" s="16">
        <v>0</v>
      </c>
      <c r="K20" s="16">
        <v>0</v>
      </c>
      <c r="L20" s="16">
        <v>0.01</v>
      </c>
      <c r="M20" s="16">
        <v>13.8</v>
      </c>
      <c r="N20" s="16">
        <v>8.4</v>
      </c>
      <c r="O20" s="16">
        <v>14.4</v>
      </c>
      <c r="P20" s="16">
        <v>0.36</v>
      </c>
      <c r="Q20" s="16">
        <v>84.6</v>
      </c>
      <c r="R20" s="16">
        <v>0</v>
      </c>
      <c r="S20" s="16">
        <v>0</v>
      </c>
      <c r="T20" s="16">
        <v>0</v>
      </c>
      <c r="U20" s="4" t="s">
        <v>57</v>
      </c>
      <c r="V20" s="4">
        <v>2017</v>
      </c>
    </row>
    <row r="21" spans="1:22" ht="12.2" customHeight="1" x14ac:dyDescent="0.2">
      <c r="A21" s="1" t="s">
        <v>58</v>
      </c>
      <c r="B21" s="2">
        <v>150</v>
      </c>
      <c r="C21" s="16">
        <v>3.6</v>
      </c>
      <c r="D21" s="16">
        <v>3.9</v>
      </c>
      <c r="E21" s="16">
        <v>13.2</v>
      </c>
      <c r="F21" s="16">
        <v>109.5</v>
      </c>
      <c r="G21" s="16">
        <v>0.05</v>
      </c>
      <c r="H21" s="16">
        <v>32.18</v>
      </c>
      <c r="I21" s="16">
        <v>0.11</v>
      </c>
      <c r="J21" s="16">
        <v>0.25</v>
      </c>
      <c r="K21" s="16">
        <v>0.08</v>
      </c>
      <c r="L21" s="16">
        <v>7.0000000000000007E-2</v>
      </c>
      <c r="M21" s="16">
        <v>84.95</v>
      </c>
      <c r="N21" s="16">
        <v>30.86</v>
      </c>
      <c r="O21" s="16">
        <v>61.45</v>
      </c>
      <c r="P21" s="16">
        <v>1.85</v>
      </c>
      <c r="Q21" s="16">
        <v>398.02</v>
      </c>
      <c r="R21" s="16">
        <v>5.51</v>
      </c>
      <c r="S21" s="16">
        <v>0.02</v>
      </c>
      <c r="T21" s="16">
        <v>0</v>
      </c>
      <c r="U21" s="4" t="s">
        <v>59</v>
      </c>
      <c r="V21" s="4" t="s">
        <v>29</v>
      </c>
    </row>
    <row r="22" spans="1:22" ht="12.2" customHeight="1" x14ac:dyDescent="0.2">
      <c r="A22" s="1" t="s">
        <v>60</v>
      </c>
      <c r="B22" s="2">
        <v>90</v>
      </c>
      <c r="C22" s="16">
        <v>9.48</v>
      </c>
      <c r="D22" s="16">
        <v>13.2</v>
      </c>
      <c r="E22" s="16">
        <v>9.6999999999999993</v>
      </c>
      <c r="F22" s="16">
        <v>281.2</v>
      </c>
      <c r="G22" s="16">
        <v>0.21</v>
      </c>
      <c r="H22" s="16">
        <v>0.09</v>
      </c>
      <c r="I22" s="16">
        <v>0</v>
      </c>
      <c r="J22" s="16">
        <v>0.45</v>
      </c>
      <c r="K22" s="16">
        <v>0.02</v>
      </c>
      <c r="L22" s="16">
        <v>0.09</v>
      </c>
      <c r="M22" s="16">
        <v>16.440000000000001</v>
      </c>
      <c r="N22" s="16">
        <v>23.56</v>
      </c>
      <c r="O22" s="16">
        <v>134.91</v>
      </c>
      <c r="P22" s="16">
        <v>1.91</v>
      </c>
      <c r="Q22" s="16">
        <v>269.55</v>
      </c>
      <c r="R22" s="16">
        <v>5.5</v>
      </c>
      <c r="S22" s="16">
        <v>0.05</v>
      </c>
      <c r="T22" s="16">
        <v>0</v>
      </c>
      <c r="U22" s="4" t="s">
        <v>61</v>
      </c>
      <c r="V22" s="4" t="s">
        <v>29</v>
      </c>
    </row>
    <row r="23" spans="1:22" s="5" customFormat="1" ht="12.2" customHeight="1" x14ac:dyDescent="0.15">
      <c r="A23" s="1" t="s">
        <v>63</v>
      </c>
      <c r="B23" s="2">
        <v>200</v>
      </c>
      <c r="C23" s="16">
        <v>1</v>
      </c>
      <c r="D23" s="16">
        <v>0</v>
      </c>
      <c r="E23" s="16">
        <v>20.2</v>
      </c>
      <c r="F23" s="16">
        <v>84.8</v>
      </c>
      <c r="G23" s="16">
        <v>0.03</v>
      </c>
      <c r="H23" s="16">
        <v>1.6</v>
      </c>
      <c r="I23" s="16">
        <v>0</v>
      </c>
      <c r="J23" s="16">
        <v>0</v>
      </c>
      <c r="K23" s="16">
        <v>0</v>
      </c>
      <c r="L23" s="16">
        <v>0.02</v>
      </c>
      <c r="M23" s="16">
        <v>36</v>
      </c>
      <c r="N23" s="16">
        <v>16.2</v>
      </c>
      <c r="O23" s="16">
        <v>21.6</v>
      </c>
      <c r="P23" s="16">
        <v>0.72</v>
      </c>
      <c r="Q23" s="16">
        <v>300</v>
      </c>
      <c r="R23" s="16">
        <v>12</v>
      </c>
      <c r="S23" s="16">
        <v>0</v>
      </c>
      <c r="T23" s="16">
        <v>0</v>
      </c>
      <c r="U23" s="4" t="s">
        <v>64</v>
      </c>
      <c r="V23" s="4">
        <v>2017</v>
      </c>
    </row>
    <row r="24" spans="1:22" s="5" customFormat="1" ht="12.2" customHeight="1" x14ac:dyDescent="0.15">
      <c r="A24" s="1" t="s">
        <v>49</v>
      </c>
      <c r="B24" s="2">
        <v>20</v>
      </c>
      <c r="C24" s="16">
        <v>1.53</v>
      </c>
      <c r="D24" s="16">
        <v>0.12</v>
      </c>
      <c r="E24" s="16">
        <v>10.039999999999999</v>
      </c>
      <c r="F24" s="16">
        <v>47.36</v>
      </c>
      <c r="G24" s="16">
        <v>0.03</v>
      </c>
      <c r="H24" s="16">
        <v>0</v>
      </c>
      <c r="I24" s="16">
        <v>0</v>
      </c>
      <c r="J24" s="16">
        <v>0.39</v>
      </c>
      <c r="K24" s="16">
        <v>0</v>
      </c>
      <c r="L24" s="16">
        <v>0.01</v>
      </c>
      <c r="M24" s="16">
        <v>4.5999999999999996</v>
      </c>
      <c r="N24" s="16">
        <v>6.6</v>
      </c>
      <c r="O24" s="16">
        <v>16.8</v>
      </c>
      <c r="P24" s="16">
        <v>0.4</v>
      </c>
      <c r="Q24" s="16">
        <v>25.8</v>
      </c>
      <c r="R24" s="16">
        <v>0</v>
      </c>
      <c r="S24" s="16">
        <v>0</v>
      </c>
      <c r="T24" s="16">
        <v>0</v>
      </c>
      <c r="U24" s="4" t="s">
        <v>167</v>
      </c>
      <c r="V24" s="4" t="s">
        <v>39</v>
      </c>
    </row>
    <row r="25" spans="1:22" s="5" customFormat="1" ht="12.2" customHeight="1" x14ac:dyDescent="0.15">
      <c r="A25" s="1" t="s">
        <v>38</v>
      </c>
      <c r="B25" s="2">
        <v>20</v>
      </c>
      <c r="C25" s="16">
        <v>1.1200000000000001</v>
      </c>
      <c r="D25" s="16">
        <v>0.22</v>
      </c>
      <c r="E25" s="16">
        <v>9.8800000000000008</v>
      </c>
      <c r="F25" s="16">
        <v>45.98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4" t="s">
        <v>167</v>
      </c>
      <c r="V25" s="4" t="s">
        <v>39</v>
      </c>
    </row>
    <row r="26" spans="1:22" ht="21.6" customHeight="1" x14ac:dyDescent="0.2">
      <c r="A26" s="29" t="s">
        <v>40</v>
      </c>
      <c r="B26" s="30">
        <f t="shared" ref="B26:T26" si="1">SUM(B20:B25)</f>
        <v>540</v>
      </c>
      <c r="C26" s="82">
        <f t="shared" si="1"/>
        <v>17.23</v>
      </c>
      <c r="D26" s="82">
        <f t="shared" si="1"/>
        <v>17.54</v>
      </c>
      <c r="E26" s="82">
        <f t="shared" si="1"/>
        <v>64.02</v>
      </c>
      <c r="F26" s="82">
        <f t="shared" si="1"/>
        <v>576.64</v>
      </c>
      <c r="G26" s="82">
        <f t="shared" si="1"/>
        <v>0.33000000000000007</v>
      </c>
      <c r="H26" s="82">
        <f t="shared" si="1"/>
        <v>36.870000000000005</v>
      </c>
      <c r="I26" s="82">
        <f t="shared" si="1"/>
        <v>0.11</v>
      </c>
      <c r="J26" s="82">
        <f t="shared" si="1"/>
        <v>1.0899999999999999</v>
      </c>
      <c r="K26" s="82">
        <f t="shared" si="1"/>
        <v>0.1</v>
      </c>
      <c r="L26" s="82">
        <f t="shared" si="1"/>
        <v>0.19999999999999998</v>
      </c>
      <c r="M26" s="82">
        <f t="shared" si="1"/>
        <v>155.79</v>
      </c>
      <c r="N26" s="82">
        <f t="shared" si="1"/>
        <v>85.61999999999999</v>
      </c>
      <c r="O26" s="82">
        <f t="shared" si="1"/>
        <v>249.16</v>
      </c>
      <c r="P26" s="82">
        <f t="shared" si="1"/>
        <v>5.24</v>
      </c>
      <c r="Q26" s="82">
        <f t="shared" si="1"/>
        <v>1077.97</v>
      </c>
      <c r="R26" s="82">
        <f t="shared" si="1"/>
        <v>23.009999999999998</v>
      </c>
      <c r="S26" s="82">
        <f t="shared" si="1"/>
        <v>7.0000000000000007E-2</v>
      </c>
      <c r="T26" s="82">
        <f t="shared" si="1"/>
        <v>0</v>
      </c>
      <c r="U26" s="83"/>
      <c r="V26" s="83"/>
    </row>
    <row r="27" spans="1:22" ht="14.1" customHeight="1" x14ac:dyDescent="0.2">
      <c r="A27" s="32"/>
      <c r="B27" s="3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32"/>
      <c r="V27" s="32"/>
    </row>
    <row r="28" spans="1:22" s="5" customFormat="1" ht="28.35" customHeight="1" x14ac:dyDescent="0.15">
      <c r="A28" s="166" t="s">
        <v>211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</row>
    <row r="29" spans="1:22" s="72" customFormat="1" ht="13.35" customHeight="1" x14ac:dyDescent="0.2">
      <c r="A29" s="158" t="s">
        <v>1</v>
      </c>
      <c r="B29" s="158" t="s">
        <v>2</v>
      </c>
      <c r="C29" s="155" t="s">
        <v>3</v>
      </c>
      <c r="D29" s="156"/>
      <c r="E29" s="157"/>
      <c r="F29" s="160" t="s">
        <v>4</v>
      </c>
      <c r="G29" s="155" t="s">
        <v>5</v>
      </c>
      <c r="H29" s="156"/>
      <c r="I29" s="156"/>
      <c r="J29" s="156"/>
      <c r="K29" s="156"/>
      <c r="L29" s="157"/>
      <c r="M29" s="155" t="s">
        <v>6</v>
      </c>
      <c r="N29" s="156"/>
      <c r="O29" s="156"/>
      <c r="P29" s="156"/>
      <c r="Q29" s="156"/>
      <c r="R29" s="156"/>
      <c r="S29" s="156"/>
      <c r="T29" s="157"/>
      <c r="U29" s="81" t="s">
        <v>7</v>
      </c>
      <c r="V29" s="81" t="s">
        <v>8</v>
      </c>
    </row>
    <row r="30" spans="1:22" ht="26.65" customHeight="1" x14ac:dyDescent="0.2">
      <c r="A30" s="159"/>
      <c r="B30" s="159"/>
      <c r="C30" s="82" t="s">
        <v>9</v>
      </c>
      <c r="D30" s="82" t="s">
        <v>10</v>
      </c>
      <c r="E30" s="82" t="s">
        <v>11</v>
      </c>
      <c r="F30" s="161"/>
      <c r="G30" s="82" t="s">
        <v>12</v>
      </c>
      <c r="H30" s="82" t="s">
        <v>13</v>
      </c>
      <c r="I30" s="82" t="s">
        <v>14</v>
      </c>
      <c r="J30" s="82" t="s">
        <v>15</v>
      </c>
      <c r="K30" s="82" t="s">
        <v>16</v>
      </c>
      <c r="L30" s="82" t="s">
        <v>17</v>
      </c>
      <c r="M30" s="82" t="s">
        <v>18</v>
      </c>
      <c r="N30" s="82" t="s">
        <v>19</v>
      </c>
      <c r="O30" s="82" t="s">
        <v>20</v>
      </c>
      <c r="P30" s="82" t="s">
        <v>21</v>
      </c>
      <c r="Q30" s="82" t="s">
        <v>22</v>
      </c>
      <c r="R30" s="82" t="s">
        <v>23</v>
      </c>
      <c r="S30" s="82" t="s">
        <v>24</v>
      </c>
      <c r="T30" s="82" t="s">
        <v>25</v>
      </c>
      <c r="U30" s="81"/>
      <c r="V30" s="81"/>
    </row>
    <row r="31" spans="1:22" ht="14.65" customHeight="1" x14ac:dyDescent="0.2">
      <c r="A31" s="150" t="s">
        <v>26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2"/>
      <c r="U31" s="21"/>
      <c r="V31" s="21"/>
    </row>
    <row r="32" spans="1:22" ht="12.2" customHeight="1" x14ac:dyDescent="0.2">
      <c r="A32" s="1" t="s">
        <v>75</v>
      </c>
      <c r="B32" s="2">
        <v>60</v>
      </c>
      <c r="C32" s="16">
        <v>1</v>
      </c>
      <c r="D32" s="16">
        <v>3.1</v>
      </c>
      <c r="E32" s="16">
        <v>4.9000000000000004</v>
      </c>
      <c r="F32" s="16">
        <v>52.6</v>
      </c>
      <c r="G32" s="16">
        <v>0.01</v>
      </c>
      <c r="H32" s="16">
        <v>15.18</v>
      </c>
      <c r="I32" s="16">
        <v>0</v>
      </c>
      <c r="J32" s="16">
        <v>1.27</v>
      </c>
      <c r="K32" s="16">
        <v>0</v>
      </c>
      <c r="L32" s="16">
        <v>0.01</v>
      </c>
      <c r="M32" s="16">
        <v>25.25</v>
      </c>
      <c r="N32" s="16">
        <v>8.6199999999999992</v>
      </c>
      <c r="O32" s="16">
        <v>18.61</v>
      </c>
      <c r="P32" s="16">
        <v>0.35</v>
      </c>
      <c r="Q32" s="16">
        <v>156.38999999999999</v>
      </c>
      <c r="R32" s="16">
        <v>1.64</v>
      </c>
      <c r="S32" s="16">
        <v>0.01</v>
      </c>
      <c r="T32" s="16">
        <v>0</v>
      </c>
      <c r="U32" s="4" t="s">
        <v>76</v>
      </c>
      <c r="V32" s="4" t="s">
        <v>35</v>
      </c>
    </row>
    <row r="33" spans="1:22" s="5" customFormat="1" ht="12.2" customHeight="1" x14ac:dyDescent="0.15">
      <c r="A33" s="1" t="s">
        <v>77</v>
      </c>
      <c r="B33" s="2">
        <v>200</v>
      </c>
      <c r="C33" s="16">
        <v>15.2</v>
      </c>
      <c r="D33" s="16">
        <v>16.100000000000001</v>
      </c>
      <c r="E33" s="16">
        <v>23.3</v>
      </c>
      <c r="F33" s="16">
        <v>307.39999999999998</v>
      </c>
      <c r="G33" s="16">
        <v>0.23</v>
      </c>
      <c r="H33" s="16">
        <v>16.96</v>
      </c>
      <c r="I33" s="16">
        <v>4.32</v>
      </c>
      <c r="J33" s="16">
        <v>6.32</v>
      </c>
      <c r="K33" s="16">
        <v>0</v>
      </c>
      <c r="L33" s="16">
        <v>1.04</v>
      </c>
      <c r="M33" s="16">
        <v>135.96</v>
      </c>
      <c r="N33" s="16">
        <v>46.64</v>
      </c>
      <c r="O33" s="16">
        <v>287.91000000000003</v>
      </c>
      <c r="P33" s="16">
        <v>4.88</v>
      </c>
      <c r="Q33" s="16">
        <v>815.11</v>
      </c>
      <c r="R33" s="16">
        <v>12.11</v>
      </c>
      <c r="S33" s="16">
        <v>0.16</v>
      </c>
      <c r="T33" s="16">
        <v>0.02</v>
      </c>
      <c r="U33" s="4" t="s">
        <v>173</v>
      </c>
      <c r="V33" s="4" t="s">
        <v>52</v>
      </c>
    </row>
    <row r="34" spans="1:22" s="5" customFormat="1" ht="12.2" customHeight="1" x14ac:dyDescent="0.15">
      <c r="A34" s="1" t="s">
        <v>78</v>
      </c>
      <c r="B34" s="2">
        <v>200</v>
      </c>
      <c r="C34" s="16">
        <v>0.59</v>
      </c>
      <c r="D34" s="16">
        <f>0.45*0.18</f>
        <v>8.1000000000000003E-2</v>
      </c>
      <c r="E34" s="16">
        <v>28.92</v>
      </c>
      <c r="F34" s="16">
        <v>119.52</v>
      </c>
      <c r="G34" s="16">
        <f>0.02*0.18</f>
        <v>3.5999999999999999E-3</v>
      </c>
      <c r="H34" s="16">
        <f>3.63*0.18</f>
        <v>0.65339999999999998</v>
      </c>
      <c r="I34" s="16">
        <v>0</v>
      </c>
      <c r="J34" s="16">
        <v>0</v>
      </c>
      <c r="K34" s="16">
        <v>0</v>
      </c>
      <c r="L34" s="16">
        <v>0</v>
      </c>
      <c r="M34" s="16">
        <f>162.4*0.18</f>
        <v>29.231999999999999</v>
      </c>
      <c r="N34" s="16">
        <f>87.3*0.18</f>
        <v>15.713999999999999</v>
      </c>
      <c r="O34" s="16">
        <f>117.2*0.18</f>
        <v>21.096</v>
      </c>
      <c r="P34" s="16">
        <f>3.49*0.18</f>
        <v>0.62819999999999998</v>
      </c>
      <c r="Q34" s="16">
        <f>1149*0.18</f>
        <v>206.82</v>
      </c>
      <c r="R34" s="16">
        <v>0</v>
      </c>
      <c r="S34" s="16">
        <v>0</v>
      </c>
      <c r="T34" s="16">
        <v>0</v>
      </c>
      <c r="U34" s="4" t="s">
        <v>79</v>
      </c>
      <c r="V34" s="4" t="s">
        <v>29</v>
      </c>
    </row>
    <row r="35" spans="1:22" s="5" customFormat="1" ht="12.2" customHeight="1" x14ac:dyDescent="0.15">
      <c r="A35" s="1" t="s">
        <v>49</v>
      </c>
      <c r="B35" s="2">
        <v>20</v>
      </c>
      <c r="C35" s="16">
        <v>1.53</v>
      </c>
      <c r="D35" s="16">
        <v>0.12</v>
      </c>
      <c r="E35" s="16">
        <v>10.039999999999999</v>
      </c>
      <c r="F35" s="16">
        <v>47.36</v>
      </c>
      <c r="G35" s="16">
        <v>0.03</v>
      </c>
      <c r="H35" s="16">
        <v>0</v>
      </c>
      <c r="I35" s="16">
        <v>0</v>
      </c>
      <c r="J35" s="16">
        <v>0.39</v>
      </c>
      <c r="K35" s="16">
        <v>0</v>
      </c>
      <c r="L35" s="16">
        <v>0.01</v>
      </c>
      <c r="M35" s="16">
        <v>4.5999999999999996</v>
      </c>
      <c r="N35" s="16">
        <v>6.6</v>
      </c>
      <c r="O35" s="16">
        <v>16.8</v>
      </c>
      <c r="P35" s="16">
        <v>0.4</v>
      </c>
      <c r="Q35" s="16">
        <v>25.8</v>
      </c>
      <c r="R35" s="16">
        <v>0</v>
      </c>
      <c r="S35" s="16">
        <v>0</v>
      </c>
      <c r="T35" s="16">
        <v>0</v>
      </c>
      <c r="U35" s="4" t="s">
        <v>167</v>
      </c>
      <c r="V35" s="4" t="s">
        <v>39</v>
      </c>
    </row>
    <row r="36" spans="1:22" s="5" customFormat="1" ht="12.2" customHeight="1" x14ac:dyDescent="0.15">
      <c r="A36" s="1" t="s">
        <v>38</v>
      </c>
      <c r="B36" s="2">
        <v>20</v>
      </c>
      <c r="C36" s="16">
        <v>1.1200000000000001</v>
      </c>
      <c r="D36" s="16">
        <v>0.22</v>
      </c>
      <c r="E36" s="16">
        <v>9.8800000000000008</v>
      </c>
      <c r="F36" s="16">
        <v>45.98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4" t="s">
        <v>167</v>
      </c>
      <c r="V36" s="4" t="s">
        <v>39</v>
      </c>
    </row>
    <row r="37" spans="1:22" ht="21.6" customHeight="1" x14ac:dyDescent="0.2">
      <c r="A37" s="29" t="s">
        <v>40</v>
      </c>
      <c r="B37" s="30">
        <f>SUM(B32:B36)</f>
        <v>500</v>
      </c>
      <c r="C37" s="82">
        <f t="shared" ref="C37:T37" si="2">SUM(C32:C36)</f>
        <v>19.440000000000001</v>
      </c>
      <c r="D37" s="82">
        <f t="shared" si="2"/>
        <v>19.621000000000002</v>
      </c>
      <c r="E37" s="82">
        <f t="shared" si="2"/>
        <v>77.039999999999992</v>
      </c>
      <c r="F37" s="82">
        <f t="shared" si="2"/>
        <v>572.86</v>
      </c>
      <c r="G37" s="82">
        <f t="shared" si="2"/>
        <v>0.27360000000000001</v>
      </c>
      <c r="H37" s="82">
        <f t="shared" si="2"/>
        <v>32.793399999999998</v>
      </c>
      <c r="I37" s="82">
        <f t="shared" si="2"/>
        <v>4.32</v>
      </c>
      <c r="J37" s="82">
        <f t="shared" si="2"/>
        <v>7.9799999999999995</v>
      </c>
      <c r="K37" s="82">
        <f t="shared" si="2"/>
        <v>0</v>
      </c>
      <c r="L37" s="82">
        <f t="shared" si="2"/>
        <v>1.06</v>
      </c>
      <c r="M37" s="82">
        <f t="shared" si="2"/>
        <v>195.042</v>
      </c>
      <c r="N37" s="82">
        <f t="shared" si="2"/>
        <v>77.573999999999984</v>
      </c>
      <c r="O37" s="82">
        <f t="shared" si="2"/>
        <v>344.41600000000005</v>
      </c>
      <c r="P37" s="82">
        <f t="shared" si="2"/>
        <v>6.2581999999999995</v>
      </c>
      <c r="Q37" s="82">
        <f t="shared" si="2"/>
        <v>1204.1199999999999</v>
      </c>
      <c r="R37" s="82">
        <f t="shared" si="2"/>
        <v>13.75</v>
      </c>
      <c r="S37" s="82">
        <f t="shared" si="2"/>
        <v>0.17</v>
      </c>
      <c r="T37" s="82">
        <f t="shared" si="2"/>
        <v>0.02</v>
      </c>
      <c r="U37" s="83"/>
      <c r="V37" s="83"/>
    </row>
    <row r="38" spans="1:22" ht="14.1" customHeight="1" x14ac:dyDescent="0.2">
      <c r="A38" s="32"/>
      <c r="B38" s="3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32"/>
      <c r="V38" s="32"/>
    </row>
    <row r="39" spans="1:22" s="5" customFormat="1" ht="28.35" customHeight="1" x14ac:dyDescent="0.15">
      <c r="A39" s="166" t="s">
        <v>212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</row>
    <row r="40" spans="1:22" s="72" customFormat="1" ht="13.35" customHeight="1" x14ac:dyDescent="0.2">
      <c r="A40" s="158" t="s">
        <v>1</v>
      </c>
      <c r="B40" s="158" t="s">
        <v>2</v>
      </c>
      <c r="C40" s="155" t="s">
        <v>3</v>
      </c>
      <c r="D40" s="156"/>
      <c r="E40" s="157"/>
      <c r="F40" s="160" t="s">
        <v>4</v>
      </c>
      <c r="G40" s="155" t="s">
        <v>5</v>
      </c>
      <c r="H40" s="156"/>
      <c r="I40" s="156"/>
      <c r="J40" s="156"/>
      <c r="K40" s="156"/>
      <c r="L40" s="157"/>
      <c r="M40" s="155" t="s">
        <v>6</v>
      </c>
      <c r="N40" s="156"/>
      <c r="O40" s="156"/>
      <c r="P40" s="156"/>
      <c r="Q40" s="156"/>
      <c r="R40" s="156"/>
      <c r="S40" s="156"/>
      <c r="T40" s="157"/>
      <c r="U40" s="81" t="s">
        <v>7</v>
      </c>
      <c r="V40" s="81" t="s">
        <v>8</v>
      </c>
    </row>
    <row r="41" spans="1:22" ht="26.65" customHeight="1" x14ac:dyDescent="0.2">
      <c r="A41" s="159"/>
      <c r="B41" s="159"/>
      <c r="C41" s="82" t="s">
        <v>9</v>
      </c>
      <c r="D41" s="82" t="s">
        <v>10</v>
      </c>
      <c r="E41" s="82" t="s">
        <v>11</v>
      </c>
      <c r="F41" s="161"/>
      <c r="G41" s="82" t="s">
        <v>12</v>
      </c>
      <c r="H41" s="82" t="s">
        <v>13</v>
      </c>
      <c r="I41" s="82" t="s">
        <v>14</v>
      </c>
      <c r="J41" s="82" t="s">
        <v>15</v>
      </c>
      <c r="K41" s="82" t="s">
        <v>16</v>
      </c>
      <c r="L41" s="82" t="s">
        <v>17</v>
      </c>
      <c r="M41" s="82" t="s">
        <v>18</v>
      </c>
      <c r="N41" s="82" t="s">
        <v>19</v>
      </c>
      <c r="O41" s="82" t="s">
        <v>20</v>
      </c>
      <c r="P41" s="82" t="s">
        <v>21</v>
      </c>
      <c r="Q41" s="82" t="s">
        <v>22</v>
      </c>
      <c r="R41" s="82" t="s">
        <v>23</v>
      </c>
      <c r="S41" s="82" t="s">
        <v>24</v>
      </c>
      <c r="T41" s="82" t="s">
        <v>25</v>
      </c>
      <c r="U41" s="81"/>
      <c r="V41" s="81"/>
    </row>
    <row r="42" spans="1:22" ht="14.65" customHeight="1" x14ac:dyDescent="0.2">
      <c r="A42" s="150" t="s">
        <v>26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2"/>
      <c r="U42" s="21"/>
      <c r="V42" s="21"/>
    </row>
    <row r="43" spans="1:22" s="94" customFormat="1" ht="15" customHeight="1" x14ac:dyDescent="0.15">
      <c r="A43" s="90" t="s">
        <v>240</v>
      </c>
      <c r="B43" s="91">
        <v>120</v>
      </c>
      <c r="C43" s="92">
        <f>1.3*120/100</f>
        <v>1.56</v>
      </c>
      <c r="D43" s="92">
        <f>1*120/100</f>
        <v>1.2</v>
      </c>
      <c r="E43" s="92">
        <f>8.8*120/100</f>
        <v>10.56</v>
      </c>
      <c r="F43" s="92">
        <f>44.2*120/100</f>
        <v>53.04</v>
      </c>
      <c r="G43" s="92">
        <v>0.06</v>
      </c>
      <c r="H43" s="92">
        <f>90*100/150</f>
        <v>60</v>
      </c>
      <c r="I43" s="92">
        <v>0.02</v>
      </c>
      <c r="J43" s="92">
        <v>0.33</v>
      </c>
      <c r="K43" s="92">
        <v>0</v>
      </c>
      <c r="L43" s="92">
        <v>0.05</v>
      </c>
      <c r="M43" s="92">
        <v>51</v>
      </c>
      <c r="N43" s="92">
        <v>19.5</v>
      </c>
      <c r="O43" s="92">
        <v>34.5</v>
      </c>
      <c r="P43" s="92">
        <v>0.45</v>
      </c>
      <c r="Q43" s="92">
        <v>295.5</v>
      </c>
      <c r="R43" s="92">
        <v>3</v>
      </c>
      <c r="S43" s="92">
        <v>0.03</v>
      </c>
      <c r="T43" s="92">
        <v>0</v>
      </c>
      <c r="U43" s="93" t="s">
        <v>170</v>
      </c>
      <c r="V43" s="93" t="s">
        <v>29</v>
      </c>
    </row>
    <row r="44" spans="1:22" s="5" customFormat="1" ht="12.2" customHeight="1" x14ac:dyDescent="0.15">
      <c r="A44" s="1" t="s">
        <v>88</v>
      </c>
      <c r="B44" s="2">
        <v>160</v>
      </c>
      <c r="C44" s="16">
        <v>10.76</v>
      </c>
      <c r="D44" s="16">
        <v>14.48</v>
      </c>
      <c r="E44" s="16">
        <v>29.7</v>
      </c>
      <c r="F44" s="16">
        <f>138*150/80</f>
        <v>258.75</v>
      </c>
      <c r="G44" s="16">
        <f>0.036*150/80</f>
        <v>6.7499999999999991E-2</v>
      </c>
      <c r="H44" s="16">
        <f>0.63*150/80</f>
        <v>1.1812499999999999</v>
      </c>
      <c r="I44" s="16">
        <f>22.1*150/80</f>
        <v>41.4375</v>
      </c>
      <c r="J44" s="16">
        <v>0.42</v>
      </c>
      <c r="K44" s="16">
        <v>0.19</v>
      </c>
      <c r="L44" s="16">
        <f>0.101*150/80</f>
        <v>0.18937500000000002</v>
      </c>
      <c r="M44" s="16">
        <f>61.29*150/80</f>
        <v>114.91875</v>
      </c>
      <c r="N44" s="16">
        <f>12.68*150/80</f>
        <v>23.774999999999999</v>
      </c>
      <c r="O44" s="16">
        <f>80.7*150/80</f>
        <v>151.3125</v>
      </c>
      <c r="P44" s="16">
        <f>0.59*150/80</f>
        <v>1.10625</v>
      </c>
      <c r="Q44" s="16">
        <f>91.8*150/80</f>
        <v>172.125</v>
      </c>
      <c r="R44" s="16">
        <v>1.51</v>
      </c>
      <c r="S44" s="16">
        <v>0.04</v>
      </c>
      <c r="T44" s="16">
        <v>0.03</v>
      </c>
      <c r="U44" s="4" t="s">
        <v>177</v>
      </c>
      <c r="V44" s="4">
        <v>2023</v>
      </c>
    </row>
    <row r="45" spans="1:22" s="5" customFormat="1" ht="12.2" customHeight="1" x14ac:dyDescent="0.15">
      <c r="A45" s="1" t="s">
        <v>89</v>
      </c>
      <c r="B45" s="2">
        <v>180</v>
      </c>
      <c r="C45" s="16">
        <v>5.8</v>
      </c>
      <c r="D45" s="16">
        <v>5</v>
      </c>
      <c r="E45" s="16">
        <v>8</v>
      </c>
      <c r="F45" s="16">
        <v>106</v>
      </c>
      <c r="G45" s="16">
        <v>0.08</v>
      </c>
      <c r="H45" s="16">
        <v>1.4</v>
      </c>
      <c r="I45" s="16">
        <v>0.05</v>
      </c>
      <c r="J45" s="16">
        <v>0.14000000000000001</v>
      </c>
      <c r="K45" s="16">
        <v>0</v>
      </c>
      <c r="L45" s="16">
        <v>0.34</v>
      </c>
      <c r="M45" s="16">
        <v>240</v>
      </c>
      <c r="N45" s="16">
        <v>28</v>
      </c>
      <c r="O45" s="16">
        <v>190</v>
      </c>
      <c r="P45" s="16">
        <v>0.2</v>
      </c>
      <c r="Q45" s="16">
        <v>292</v>
      </c>
      <c r="R45" s="16">
        <v>18</v>
      </c>
      <c r="S45" s="16">
        <v>0.04</v>
      </c>
      <c r="T45" s="16">
        <v>0</v>
      </c>
      <c r="U45" s="4" t="s">
        <v>70</v>
      </c>
      <c r="V45" s="4" t="s">
        <v>29</v>
      </c>
    </row>
    <row r="46" spans="1:22" s="5" customFormat="1" ht="12.2" customHeight="1" x14ac:dyDescent="0.15">
      <c r="A46" s="1" t="s">
        <v>49</v>
      </c>
      <c r="B46" s="2">
        <v>30</v>
      </c>
      <c r="C46" s="16">
        <v>2.2999999999999998</v>
      </c>
      <c r="D46" s="16">
        <v>0.19</v>
      </c>
      <c r="E46" s="16">
        <v>15.05</v>
      </c>
      <c r="F46" s="16">
        <v>71.05</v>
      </c>
      <c r="G46" s="16">
        <v>0.05</v>
      </c>
      <c r="H46" s="16">
        <v>0</v>
      </c>
      <c r="I46" s="16">
        <v>0</v>
      </c>
      <c r="J46" s="16">
        <v>0.59</v>
      </c>
      <c r="K46" s="16">
        <v>0</v>
      </c>
      <c r="L46" s="16">
        <v>0.02</v>
      </c>
      <c r="M46" s="16">
        <v>6.9</v>
      </c>
      <c r="N46" s="16">
        <v>9.9</v>
      </c>
      <c r="O46" s="16">
        <v>25.2</v>
      </c>
      <c r="P46" s="16">
        <v>0.6</v>
      </c>
      <c r="Q46" s="16">
        <v>38.700000000000003</v>
      </c>
      <c r="R46" s="16">
        <v>0</v>
      </c>
      <c r="S46" s="16">
        <v>0</v>
      </c>
      <c r="T46" s="16">
        <v>0</v>
      </c>
      <c r="U46" s="4" t="s">
        <v>167</v>
      </c>
      <c r="V46" s="4" t="s">
        <v>39</v>
      </c>
    </row>
    <row r="47" spans="1:22" s="5" customFormat="1" ht="12.2" customHeight="1" x14ac:dyDescent="0.15">
      <c r="A47" s="1" t="s">
        <v>38</v>
      </c>
      <c r="B47" s="2">
        <v>20</v>
      </c>
      <c r="C47" s="16">
        <v>1.1200000000000001</v>
      </c>
      <c r="D47" s="16">
        <v>0.22</v>
      </c>
      <c r="E47" s="16">
        <v>9.8800000000000008</v>
      </c>
      <c r="F47" s="16">
        <v>45.98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4" t="s">
        <v>167</v>
      </c>
      <c r="V47" s="4" t="s">
        <v>39</v>
      </c>
    </row>
    <row r="48" spans="1:22" ht="12.2" customHeight="1" x14ac:dyDescent="0.2">
      <c r="A48" s="29" t="s">
        <v>40</v>
      </c>
      <c r="B48" s="30">
        <f>SUM(B43:B47)</f>
        <v>510</v>
      </c>
      <c r="C48" s="82">
        <f t="shared" ref="C48:T48" si="3">SUM(C43:C47)</f>
        <v>21.540000000000003</v>
      </c>
      <c r="D48" s="82">
        <f t="shared" si="3"/>
        <v>21.09</v>
      </c>
      <c r="E48" s="82">
        <f t="shared" si="3"/>
        <v>73.19</v>
      </c>
      <c r="F48" s="82">
        <f t="shared" si="3"/>
        <v>534.82000000000005</v>
      </c>
      <c r="G48" s="82">
        <f t="shared" si="3"/>
        <v>0.25750000000000001</v>
      </c>
      <c r="H48" s="82">
        <f t="shared" si="3"/>
        <v>62.581249999999997</v>
      </c>
      <c r="I48" s="82">
        <f t="shared" si="3"/>
        <v>41.5075</v>
      </c>
      <c r="J48" s="82">
        <f t="shared" si="3"/>
        <v>1.48</v>
      </c>
      <c r="K48" s="82">
        <f t="shared" si="3"/>
        <v>0.19</v>
      </c>
      <c r="L48" s="82">
        <f t="shared" si="3"/>
        <v>0.59937499999999999</v>
      </c>
      <c r="M48" s="82">
        <f t="shared" si="3"/>
        <v>412.81874999999997</v>
      </c>
      <c r="N48" s="82">
        <f t="shared" si="3"/>
        <v>81.175000000000011</v>
      </c>
      <c r="O48" s="82">
        <f t="shared" si="3"/>
        <v>401.01249999999999</v>
      </c>
      <c r="P48" s="82">
        <f t="shared" si="3"/>
        <v>2.3562499999999997</v>
      </c>
      <c r="Q48" s="82">
        <f t="shared" si="3"/>
        <v>798.32500000000005</v>
      </c>
      <c r="R48" s="82">
        <f t="shared" si="3"/>
        <v>22.509999999999998</v>
      </c>
      <c r="S48" s="82">
        <f t="shared" si="3"/>
        <v>0.11000000000000001</v>
      </c>
      <c r="T48" s="82">
        <f t="shared" si="3"/>
        <v>0.03</v>
      </c>
      <c r="U48" s="83"/>
      <c r="V48" s="83"/>
    </row>
    <row r="49" spans="1:22" ht="14.1" customHeight="1" x14ac:dyDescent="0.2">
      <c r="A49" s="32"/>
      <c r="B49" s="3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32"/>
      <c r="V49" s="32"/>
    </row>
    <row r="50" spans="1:22" s="5" customFormat="1" ht="28.35" customHeight="1" x14ac:dyDescent="0.15">
      <c r="A50" s="166" t="s">
        <v>213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</row>
    <row r="51" spans="1:22" s="72" customFormat="1" ht="13.35" customHeight="1" x14ac:dyDescent="0.2">
      <c r="A51" s="158" t="s">
        <v>1</v>
      </c>
      <c r="B51" s="158" t="s">
        <v>2</v>
      </c>
      <c r="C51" s="155" t="s">
        <v>3</v>
      </c>
      <c r="D51" s="156"/>
      <c r="E51" s="157"/>
      <c r="F51" s="160" t="s">
        <v>4</v>
      </c>
      <c r="G51" s="155" t="s">
        <v>5</v>
      </c>
      <c r="H51" s="156"/>
      <c r="I51" s="156"/>
      <c r="J51" s="156"/>
      <c r="K51" s="156"/>
      <c r="L51" s="157"/>
      <c r="M51" s="155" t="s">
        <v>6</v>
      </c>
      <c r="N51" s="156"/>
      <c r="O51" s="156"/>
      <c r="P51" s="156"/>
      <c r="Q51" s="156"/>
      <c r="R51" s="156"/>
      <c r="S51" s="156"/>
      <c r="T51" s="157"/>
      <c r="U51" s="81" t="s">
        <v>7</v>
      </c>
      <c r="V51" s="81" t="s">
        <v>8</v>
      </c>
    </row>
    <row r="52" spans="1:22" ht="26.65" customHeight="1" x14ac:dyDescent="0.2">
      <c r="A52" s="159"/>
      <c r="B52" s="159"/>
      <c r="C52" s="82" t="s">
        <v>9</v>
      </c>
      <c r="D52" s="82" t="s">
        <v>10</v>
      </c>
      <c r="E52" s="82" t="s">
        <v>11</v>
      </c>
      <c r="F52" s="161"/>
      <c r="G52" s="82" t="s">
        <v>12</v>
      </c>
      <c r="H52" s="82" t="s">
        <v>13</v>
      </c>
      <c r="I52" s="82" t="s">
        <v>14</v>
      </c>
      <c r="J52" s="82" t="s">
        <v>15</v>
      </c>
      <c r="K52" s="82" t="s">
        <v>16</v>
      </c>
      <c r="L52" s="82" t="s">
        <v>17</v>
      </c>
      <c r="M52" s="82" t="s">
        <v>18</v>
      </c>
      <c r="N52" s="82" t="s">
        <v>19</v>
      </c>
      <c r="O52" s="82" t="s">
        <v>20</v>
      </c>
      <c r="P52" s="82" t="s">
        <v>21</v>
      </c>
      <c r="Q52" s="82" t="s">
        <v>22</v>
      </c>
      <c r="R52" s="82" t="s">
        <v>23</v>
      </c>
      <c r="S52" s="82" t="s">
        <v>24</v>
      </c>
      <c r="T52" s="82" t="s">
        <v>25</v>
      </c>
      <c r="U52" s="81"/>
      <c r="V52" s="81"/>
    </row>
    <row r="53" spans="1:22" ht="14.65" customHeight="1" x14ac:dyDescent="0.2">
      <c r="A53" s="150" t="s">
        <v>26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2"/>
      <c r="U53" s="21"/>
      <c r="V53" s="21"/>
    </row>
    <row r="54" spans="1:22" ht="12.2" customHeight="1" x14ac:dyDescent="0.2">
      <c r="A54" s="1" t="s">
        <v>56</v>
      </c>
      <c r="B54" s="2">
        <v>60</v>
      </c>
      <c r="C54" s="16">
        <v>0.5</v>
      </c>
      <c r="D54" s="16">
        <v>0.1</v>
      </c>
      <c r="E54" s="16">
        <v>1</v>
      </c>
      <c r="F54" s="16">
        <v>7.8</v>
      </c>
      <c r="G54" s="16">
        <v>0.01</v>
      </c>
      <c r="H54" s="16">
        <v>3</v>
      </c>
      <c r="I54" s="16">
        <v>0</v>
      </c>
      <c r="J54" s="16">
        <v>0</v>
      </c>
      <c r="K54" s="16">
        <v>0</v>
      </c>
      <c r="L54" s="16">
        <v>0.01</v>
      </c>
      <c r="M54" s="16">
        <v>13.8</v>
      </c>
      <c r="N54" s="16">
        <v>8.4</v>
      </c>
      <c r="O54" s="16">
        <v>14.4</v>
      </c>
      <c r="P54" s="16">
        <v>0.36</v>
      </c>
      <c r="Q54" s="16">
        <v>84.6</v>
      </c>
      <c r="R54" s="16">
        <v>0</v>
      </c>
      <c r="S54" s="16">
        <v>0</v>
      </c>
      <c r="T54" s="16">
        <v>0</v>
      </c>
      <c r="U54" s="4" t="s">
        <v>57</v>
      </c>
      <c r="V54" s="4">
        <v>2017</v>
      </c>
    </row>
    <row r="55" spans="1:22" s="5" customFormat="1" ht="12.2" customHeight="1" x14ac:dyDescent="0.15">
      <c r="A55" s="1" t="s">
        <v>165</v>
      </c>
      <c r="B55" s="2">
        <v>150</v>
      </c>
      <c r="C55" s="16">
        <f>20.43*0.15</f>
        <v>3.0644999999999998</v>
      </c>
      <c r="D55" s="16">
        <f>32.01*0.15</f>
        <v>4.8014999999999999</v>
      </c>
      <c r="E55" s="16">
        <f>136*0.15</f>
        <v>20.399999999999999</v>
      </c>
      <c r="F55" s="16">
        <f>915*0.15</f>
        <v>137.25</v>
      </c>
      <c r="G55" s="16">
        <f>0.93*0.15</f>
        <v>0.13950000000000001</v>
      </c>
      <c r="H55" s="16">
        <v>8.33</v>
      </c>
      <c r="I55" s="16">
        <v>0.03</v>
      </c>
      <c r="J55" s="16">
        <v>0.22</v>
      </c>
      <c r="K55" s="16">
        <v>0.08</v>
      </c>
      <c r="L55" s="16">
        <f>0.74*0.15</f>
        <v>0.111</v>
      </c>
      <c r="M55" s="16">
        <f>246.5*0.15</f>
        <v>36.975000000000001</v>
      </c>
      <c r="N55" s="16">
        <v>25.06</v>
      </c>
      <c r="O55" s="16">
        <f>577.3*0.15</f>
        <v>86.594999999999985</v>
      </c>
      <c r="P55" s="16">
        <v>1</v>
      </c>
      <c r="Q55" s="16">
        <f>4323*0.15</f>
        <v>648.44999999999993</v>
      </c>
      <c r="R55" s="16">
        <v>7.26</v>
      </c>
      <c r="S55" s="16">
        <v>0.03</v>
      </c>
      <c r="T55" s="16">
        <v>0</v>
      </c>
      <c r="U55" s="4" t="s">
        <v>166</v>
      </c>
      <c r="V55" s="4" t="s">
        <v>29</v>
      </c>
    </row>
    <row r="56" spans="1:22" ht="12.2" customHeight="1" x14ac:dyDescent="0.2">
      <c r="A56" s="1" t="s">
        <v>98</v>
      </c>
      <c r="B56" s="2">
        <v>100</v>
      </c>
      <c r="C56" s="16">
        <v>12.6</v>
      </c>
      <c r="D56" s="16">
        <v>10.6</v>
      </c>
      <c r="E56" s="16">
        <v>6.9</v>
      </c>
      <c r="F56" s="16">
        <v>157.30000000000001</v>
      </c>
      <c r="G56" s="16">
        <v>0.09</v>
      </c>
      <c r="H56" s="16">
        <v>2.2799999999999998</v>
      </c>
      <c r="I56" s="16">
        <v>0.39</v>
      </c>
      <c r="J56" s="16">
        <v>1.72</v>
      </c>
      <c r="K56" s="16">
        <v>0</v>
      </c>
      <c r="L56" s="16">
        <v>0.1</v>
      </c>
      <c r="M56" s="16">
        <v>46.97</v>
      </c>
      <c r="N56" s="16">
        <v>52.14</v>
      </c>
      <c r="O56" s="16">
        <v>197.97</v>
      </c>
      <c r="P56" s="16">
        <v>1.05</v>
      </c>
      <c r="Q56" s="16">
        <v>467.68</v>
      </c>
      <c r="R56" s="16">
        <v>124.9</v>
      </c>
      <c r="S56" s="16">
        <v>0.53</v>
      </c>
      <c r="T56" s="16">
        <v>0.01</v>
      </c>
      <c r="U56" s="4" t="s">
        <v>99</v>
      </c>
      <c r="V56" s="4" t="s">
        <v>29</v>
      </c>
    </row>
    <row r="57" spans="1:22" s="5" customFormat="1" ht="12.2" customHeight="1" x14ac:dyDescent="0.15">
      <c r="A57" s="1" t="s">
        <v>71</v>
      </c>
      <c r="B57" s="2">
        <v>180</v>
      </c>
      <c r="C57" s="16">
        <v>0.14000000000000001</v>
      </c>
      <c r="D57" s="16">
        <v>0.14000000000000001</v>
      </c>
      <c r="E57" s="16">
        <v>25.09</v>
      </c>
      <c r="F57" s="16">
        <v>103.14</v>
      </c>
      <c r="G57" s="16">
        <v>0.01</v>
      </c>
      <c r="H57" s="16">
        <v>1.44</v>
      </c>
      <c r="I57" s="16">
        <v>0</v>
      </c>
      <c r="J57" s="16">
        <v>0.23</v>
      </c>
      <c r="K57" s="16">
        <v>0</v>
      </c>
      <c r="L57" s="16">
        <v>0.01</v>
      </c>
      <c r="M57" s="16">
        <v>11.84</v>
      </c>
      <c r="N57" s="16">
        <v>3.99</v>
      </c>
      <c r="O57" s="16">
        <v>3.56</v>
      </c>
      <c r="P57" s="16">
        <v>0.71</v>
      </c>
      <c r="Q57" s="16">
        <v>101.19</v>
      </c>
      <c r="R57" s="16">
        <v>0.72</v>
      </c>
      <c r="S57" s="16">
        <v>0</v>
      </c>
      <c r="T57" s="16">
        <v>0</v>
      </c>
      <c r="U57" s="4" t="s">
        <v>72</v>
      </c>
      <c r="V57" s="4">
        <v>2017</v>
      </c>
    </row>
    <row r="58" spans="1:22" s="5" customFormat="1" ht="12.2" customHeight="1" x14ac:dyDescent="0.15">
      <c r="A58" s="1" t="s">
        <v>49</v>
      </c>
      <c r="B58" s="2">
        <v>30</v>
      </c>
      <c r="C58" s="16">
        <v>2.2999999999999998</v>
      </c>
      <c r="D58" s="16">
        <v>0.19</v>
      </c>
      <c r="E58" s="16">
        <v>15.05</v>
      </c>
      <c r="F58" s="16">
        <v>71.05</v>
      </c>
      <c r="G58" s="16">
        <v>0.05</v>
      </c>
      <c r="H58" s="16">
        <v>0</v>
      </c>
      <c r="I58" s="16">
        <v>0</v>
      </c>
      <c r="J58" s="16">
        <v>0.59</v>
      </c>
      <c r="K58" s="16">
        <v>0</v>
      </c>
      <c r="L58" s="16">
        <v>0.02</v>
      </c>
      <c r="M58" s="16">
        <v>6.9</v>
      </c>
      <c r="N58" s="16">
        <v>9.9</v>
      </c>
      <c r="O58" s="16">
        <v>25.2</v>
      </c>
      <c r="P58" s="16">
        <v>0.6</v>
      </c>
      <c r="Q58" s="16">
        <v>38.700000000000003</v>
      </c>
      <c r="R58" s="16">
        <v>0</v>
      </c>
      <c r="S58" s="16">
        <v>0</v>
      </c>
      <c r="T58" s="16">
        <v>0</v>
      </c>
      <c r="U58" s="4" t="s">
        <v>167</v>
      </c>
      <c r="V58" s="4" t="s">
        <v>39</v>
      </c>
    </row>
    <row r="59" spans="1:22" ht="21.6" customHeight="1" x14ac:dyDescent="0.2">
      <c r="A59" s="29" t="s">
        <v>40</v>
      </c>
      <c r="B59" s="30">
        <f>SUM(B54:B58)</f>
        <v>520</v>
      </c>
      <c r="C59" s="82">
        <f t="shared" ref="C59:T59" si="4">SUM(C54:C58)</f>
        <v>18.604500000000002</v>
      </c>
      <c r="D59" s="82">
        <f t="shared" si="4"/>
        <v>15.8315</v>
      </c>
      <c r="E59" s="82">
        <f t="shared" si="4"/>
        <v>68.44</v>
      </c>
      <c r="F59" s="82">
        <f t="shared" si="4"/>
        <v>476.54</v>
      </c>
      <c r="G59" s="82">
        <f t="shared" si="4"/>
        <v>0.29950000000000004</v>
      </c>
      <c r="H59" s="82">
        <f t="shared" si="4"/>
        <v>15.049999999999999</v>
      </c>
      <c r="I59" s="82">
        <f t="shared" si="4"/>
        <v>0.42000000000000004</v>
      </c>
      <c r="J59" s="82">
        <f t="shared" si="4"/>
        <v>2.76</v>
      </c>
      <c r="K59" s="82">
        <f t="shared" si="4"/>
        <v>0.08</v>
      </c>
      <c r="L59" s="82">
        <f t="shared" si="4"/>
        <v>0.251</v>
      </c>
      <c r="M59" s="82">
        <f t="shared" si="4"/>
        <v>116.48500000000001</v>
      </c>
      <c r="N59" s="82">
        <f t="shared" si="4"/>
        <v>99.49</v>
      </c>
      <c r="O59" s="82">
        <f t="shared" si="4"/>
        <v>327.72499999999997</v>
      </c>
      <c r="P59" s="82">
        <f t="shared" si="4"/>
        <v>3.72</v>
      </c>
      <c r="Q59" s="82">
        <f t="shared" si="4"/>
        <v>1340.6200000000001</v>
      </c>
      <c r="R59" s="82">
        <f t="shared" si="4"/>
        <v>132.88</v>
      </c>
      <c r="S59" s="82">
        <f t="shared" si="4"/>
        <v>0.56000000000000005</v>
      </c>
      <c r="T59" s="82">
        <f t="shared" si="4"/>
        <v>0.01</v>
      </c>
      <c r="U59" s="83"/>
      <c r="V59" s="83"/>
    </row>
    <row r="60" spans="1:22" ht="14.1" customHeight="1" x14ac:dyDescent="0.2">
      <c r="A60" s="32"/>
      <c r="B60" s="3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32"/>
      <c r="V60" s="32"/>
    </row>
    <row r="61" spans="1:22" s="5" customFormat="1" ht="28.35" customHeight="1" x14ac:dyDescent="0.15">
      <c r="A61" s="166" t="s">
        <v>214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</row>
    <row r="62" spans="1:22" s="72" customFormat="1" ht="13.35" customHeight="1" x14ac:dyDescent="0.2">
      <c r="A62" s="158" t="s">
        <v>1</v>
      </c>
      <c r="B62" s="158" t="s">
        <v>2</v>
      </c>
      <c r="C62" s="155" t="s">
        <v>3</v>
      </c>
      <c r="D62" s="156"/>
      <c r="E62" s="157"/>
      <c r="F62" s="160" t="s">
        <v>4</v>
      </c>
      <c r="G62" s="155" t="s">
        <v>5</v>
      </c>
      <c r="H62" s="156"/>
      <c r="I62" s="156"/>
      <c r="J62" s="156"/>
      <c r="K62" s="156"/>
      <c r="L62" s="157"/>
      <c r="M62" s="155" t="s">
        <v>6</v>
      </c>
      <c r="N62" s="156"/>
      <c r="O62" s="156"/>
      <c r="P62" s="156"/>
      <c r="Q62" s="156"/>
      <c r="R62" s="156"/>
      <c r="S62" s="156"/>
      <c r="T62" s="157"/>
      <c r="U62" s="81" t="s">
        <v>7</v>
      </c>
      <c r="V62" s="81" t="s">
        <v>8</v>
      </c>
    </row>
    <row r="63" spans="1:22" ht="26.65" customHeight="1" x14ac:dyDescent="0.2">
      <c r="A63" s="159"/>
      <c r="B63" s="159"/>
      <c r="C63" s="82" t="s">
        <v>9</v>
      </c>
      <c r="D63" s="82" t="s">
        <v>10</v>
      </c>
      <c r="E63" s="82" t="s">
        <v>11</v>
      </c>
      <c r="F63" s="161"/>
      <c r="G63" s="82" t="s">
        <v>12</v>
      </c>
      <c r="H63" s="82" t="s">
        <v>13</v>
      </c>
      <c r="I63" s="82" t="s">
        <v>14</v>
      </c>
      <c r="J63" s="82" t="s">
        <v>15</v>
      </c>
      <c r="K63" s="82" t="s">
        <v>16</v>
      </c>
      <c r="L63" s="82" t="s">
        <v>17</v>
      </c>
      <c r="M63" s="82" t="s">
        <v>18</v>
      </c>
      <c r="N63" s="82" t="s">
        <v>19</v>
      </c>
      <c r="O63" s="82" t="s">
        <v>20</v>
      </c>
      <c r="P63" s="82" t="s">
        <v>21</v>
      </c>
      <c r="Q63" s="82" t="s">
        <v>22</v>
      </c>
      <c r="R63" s="82" t="s">
        <v>23</v>
      </c>
      <c r="S63" s="82" t="s">
        <v>24</v>
      </c>
      <c r="T63" s="82" t="s">
        <v>25</v>
      </c>
      <c r="U63" s="81"/>
      <c r="V63" s="81"/>
    </row>
    <row r="64" spans="1:22" ht="14.65" customHeight="1" x14ac:dyDescent="0.2">
      <c r="A64" s="150" t="s">
        <v>26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2"/>
      <c r="U64" s="21"/>
      <c r="V64" s="21"/>
    </row>
    <row r="65" spans="1:22" ht="12.2" customHeight="1" x14ac:dyDescent="0.2">
      <c r="A65" s="1" t="s">
        <v>105</v>
      </c>
      <c r="B65" s="2">
        <v>200</v>
      </c>
      <c r="C65" s="16">
        <v>6.7</v>
      </c>
      <c r="D65" s="16">
        <v>4.8</v>
      </c>
      <c r="E65" s="16">
        <v>22.4</v>
      </c>
      <c r="F65" s="16">
        <v>161.6</v>
      </c>
      <c r="G65" s="16">
        <v>0.22</v>
      </c>
      <c r="H65" s="16">
        <v>1.03</v>
      </c>
      <c r="I65" s="16">
        <v>0.13</v>
      </c>
      <c r="J65" s="16">
        <v>0.04</v>
      </c>
      <c r="K65" s="16">
        <v>0.6</v>
      </c>
      <c r="L65" s="16">
        <v>0.42</v>
      </c>
      <c r="M65" s="16">
        <v>202.79</v>
      </c>
      <c r="N65" s="16">
        <v>24.6</v>
      </c>
      <c r="O65" s="16">
        <v>142.83000000000001</v>
      </c>
      <c r="P65" s="16">
        <v>3.03</v>
      </c>
      <c r="Q65" s="16">
        <v>308.97000000000003</v>
      </c>
      <c r="R65" s="16">
        <v>17.850000000000001</v>
      </c>
      <c r="S65" s="16">
        <v>0</v>
      </c>
      <c r="T65" s="16">
        <v>0</v>
      </c>
      <c r="U65" s="4" t="s">
        <v>106</v>
      </c>
      <c r="V65" s="4" t="s">
        <v>29</v>
      </c>
    </row>
    <row r="66" spans="1:22" s="5" customFormat="1" ht="12.2" customHeight="1" x14ac:dyDescent="0.15">
      <c r="A66" s="1" t="s">
        <v>107</v>
      </c>
      <c r="B66" s="2">
        <v>75</v>
      </c>
      <c r="C66" s="16">
        <f>3.2</f>
        <v>3.2</v>
      </c>
      <c r="D66" s="16">
        <v>3.95</v>
      </c>
      <c r="E66" s="16">
        <v>29.3</v>
      </c>
      <c r="F66" s="16">
        <v>185</v>
      </c>
      <c r="G66" s="16">
        <v>0.05</v>
      </c>
      <c r="H66" s="16">
        <v>0.15</v>
      </c>
      <c r="I66" s="16">
        <v>20</v>
      </c>
      <c r="J66" s="16">
        <v>1</v>
      </c>
      <c r="K66" s="16">
        <v>0.15</v>
      </c>
      <c r="L66" s="16">
        <v>0.02</v>
      </c>
      <c r="M66" s="16">
        <v>13.4</v>
      </c>
      <c r="N66" s="16">
        <v>7.7</v>
      </c>
      <c r="O66" s="16">
        <v>30.2</v>
      </c>
      <c r="P66" s="16">
        <v>0.84</v>
      </c>
      <c r="Q66" s="16">
        <v>77</v>
      </c>
      <c r="R66" s="16">
        <v>0</v>
      </c>
      <c r="S66" s="16">
        <v>0.01</v>
      </c>
      <c r="T66" s="16">
        <v>0</v>
      </c>
      <c r="U66" s="4" t="s">
        <v>73</v>
      </c>
      <c r="V66" s="4">
        <v>2017</v>
      </c>
    </row>
    <row r="67" spans="1:22" ht="12.2" customHeight="1" x14ac:dyDescent="0.2">
      <c r="A67" s="1" t="s">
        <v>108</v>
      </c>
      <c r="B67" s="2">
        <v>40</v>
      </c>
      <c r="C67" s="16">
        <v>5</v>
      </c>
      <c r="D67" s="16">
        <v>4.5</v>
      </c>
      <c r="E67" s="16">
        <v>0.3</v>
      </c>
      <c r="F67" s="16">
        <v>51.3</v>
      </c>
      <c r="G67" s="16">
        <v>0.02</v>
      </c>
      <c r="H67" s="16">
        <v>0</v>
      </c>
      <c r="I67" s="16">
        <v>0.1</v>
      </c>
      <c r="J67" s="16">
        <v>0.81</v>
      </c>
      <c r="K67" s="16">
        <v>0.89</v>
      </c>
      <c r="L67" s="16">
        <v>0.15</v>
      </c>
      <c r="M67" s="16">
        <v>19.920000000000002</v>
      </c>
      <c r="N67" s="16">
        <v>4.3499999999999996</v>
      </c>
      <c r="O67" s="16">
        <v>69.55</v>
      </c>
      <c r="P67" s="16">
        <v>0.91</v>
      </c>
      <c r="Q67" s="16">
        <v>56.35</v>
      </c>
      <c r="R67" s="16">
        <v>8.0500000000000007</v>
      </c>
      <c r="S67" s="16">
        <v>0.02</v>
      </c>
      <c r="T67" s="16">
        <v>0.01</v>
      </c>
      <c r="U67" s="4" t="s">
        <v>109</v>
      </c>
      <c r="V67" s="4" t="s">
        <v>29</v>
      </c>
    </row>
    <row r="68" spans="1:22" s="5" customFormat="1" ht="12.2" customHeight="1" x14ac:dyDescent="0.15">
      <c r="A68" s="1" t="s">
        <v>110</v>
      </c>
      <c r="B68" s="2">
        <v>200</v>
      </c>
      <c r="C68" s="16">
        <v>3.17</v>
      </c>
      <c r="D68" s="16">
        <v>2.7</v>
      </c>
      <c r="E68" s="16">
        <v>15.94</v>
      </c>
      <c r="F68" s="16">
        <v>100.06</v>
      </c>
      <c r="G68" s="16">
        <v>0.03</v>
      </c>
      <c r="H68" s="16">
        <v>0.47</v>
      </c>
      <c r="I68" s="16">
        <v>0.01</v>
      </c>
      <c r="J68" s="16">
        <v>0</v>
      </c>
      <c r="K68" s="16">
        <v>0</v>
      </c>
      <c r="L68" s="16">
        <v>0.1</v>
      </c>
      <c r="M68" s="16">
        <v>100.26</v>
      </c>
      <c r="N68" s="16">
        <v>17.13</v>
      </c>
      <c r="O68" s="16">
        <v>79.099999999999994</v>
      </c>
      <c r="P68" s="16">
        <v>0.36</v>
      </c>
      <c r="Q68" s="16">
        <v>152.65</v>
      </c>
      <c r="R68" s="16">
        <v>8.1</v>
      </c>
      <c r="S68" s="16">
        <v>0</v>
      </c>
      <c r="T68" s="16">
        <v>0</v>
      </c>
      <c r="U68" s="4" t="s">
        <v>111</v>
      </c>
      <c r="V68" s="4" t="s">
        <v>29</v>
      </c>
    </row>
    <row r="69" spans="1:22" s="5" customFormat="1" ht="12.2" customHeight="1" x14ac:dyDescent="0.15">
      <c r="A69" s="1" t="s">
        <v>38</v>
      </c>
      <c r="B69" s="2">
        <v>20</v>
      </c>
      <c r="C69" s="16">
        <v>1.1200000000000001</v>
      </c>
      <c r="D69" s="16">
        <v>0.22</v>
      </c>
      <c r="E69" s="16">
        <v>9.8800000000000008</v>
      </c>
      <c r="F69" s="16">
        <v>45.98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4" t="s">
        <v>167</v>
      </c>
      <c r="V69" s="4" t="s">
        <v>39</v>
      </c>
    </row>
    <row r="70" spans="1:22" ht="12.2" customHeight="1" x14ac:dyDescent="0.2">
      <c r="A70" s="29" t="s">
        <v>40</v>
      </c>
      <c r="B70" s="30">
        <f>SUM(B65:B69)</f>
        <v>535</v>
      </c>
      <c r="C70" s="82">
        <f t="shared" ref="C70:T70" si="5">SUM(C65:C69)</f>
        <v>19.190000000000001</v>
      </c>
      <c r="D70" s="82">
        <f t="shared" si="5"/>
        <v>16.169999999999998</v>
      </c>
      <c r="E70" s="82">
        <f t="shared" si="5"/>
        <v>77.819999999999993</v>
      </c>
      <c r="F70" s="82">
        <f t="shared" si="5"/>
        <v>543.94000000000005</v>
      </c>
      <c r="G70" s="82">
        <f t="shared" si="5"/>
        <v>0.32000000000000006</v>
      </c>
      <c r="H70" s="82">
        <f t="shared" si="5"/>
        <v>1.65</v>
      </c>
      <c r="I70" s="82">
        <f t="shared" si="5"/>
        <v>20.240000000000002</v>
      </c>
      <c r="J70" s="82">
        <f t="shared" si="5"/>
        <v>1.85</v>
      </c>
      <c r="K70" s="82">
        <f t="shared" si="5"/>
        <v>1.6400000000000001</v>
      </c>
      <c r="L70" s="82">
        <f t="shared" si="5"/>
        <v>0.69</v>
      </c>
      <c r="M70" s="82">
        <f t="shared" si="5"/>
        <v>336.37</v>
      </c>
      <c r="N70" s="82">
        <f t="shared" si="5"/>
        <v>53.78</v>
      </c>
      <c r="O70" s="82">
        <f t="shared" si="5"/>
        <v>321.67999999999995</v>
      </c>
      <c r="P70" s="82">
        <f t="shared" si="5"/>
        <v>5.14</v>
      </c>
      <c r="Q70" s="82">
        <f t="shared" si="5"/>
        <v>594.97</v>
      </c>
      <c r="R70" s="82">
        <f t="shared" si="5"/>
        <v>34</v>
      </c>
      <c r="S70" s="82">
        <f t="shared" si="5"/>
        <v>0.03</v>
      </c>
      <c r="T70" s="82">
        <f t="shared" si="5"/>
        <v>0.01</v>
      </c>
      <c r="U70" s="83"/>
      <c r="V70" s="83"/>
    </row>
    <row r="71" spans="1:22" ht="14.1" customHeight="1" x14ac:dyDescent="0.2">
      <c r="A71" s="32"/>
      <c r="B71" s="32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32"/>
      <c r="V71" s="32"/>
    </row>
    <row r="72" spans="1:22" s="5" customFormat="1" ht="28.35" customHeight="1" x14ac:dyDescent="0.15">
      <c r="A72" s="166" t="s">
        <v>215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</row>
    <row r="73" spans="1:22" s="72" customFormat="1" ht="13.35" customHeight="1" x14ac:dyDescent="0.2">
      <c r="A73" s="158" t="s">
        <v>1</v>
      </c>
      <c r="B73" s="158" t="s">
        <v>2</v>
      </c>
      <c r="C73" s="155" t="s">
        <v>3</v>
      </c>
      <c r="D73" s="156"/>
      <c r="E73" s="157"/>
      <c r="F73" s="160" t="s">
        <v>4</v>
      </c>
      <c r="G73" s="155" t="s">
        <v>5</v>
      </c>
      <c r="H73" s="156"/>
      <c r="I73" s="156"/>
      <c r="J73" s="156"/>
      <c r="K73" s="156"/>
      <c r="L73" s="157"/>
      <c r="M73" s="155" t="s">
        <v>6</v>
      </c>
      <c r="N73" s="156"/>
      <c r="O73" s="156"/>
      <c r="P73" s="156"/>
      <c r="Q73" s="156"/>
      <c r="R73" s="156"/>
      <c r="S73" s="156"/>
      <c r="T73" s="157"/>
      <c r="U73" s="81" t="s">
        <v>7</v>
      </c>
      <c r="V73" s="81" t="s">
        <v>8</v>
      </c>
    </row>
    <row r="74" spans="1:22" ht="26.65" customHeight="1" x14ac:dyDescent="0.2">
      <c r="A74" s="159"/>
      <c r="B74" s="159"/>
      <c r="C74" s="82" t="s">
        <v>9</v>
      </c>
      <c r="D74" s="82" t="s">
        <v>10</v>
      </c>
      <c r="E74" s="82" t="s">
        <v>11</v>
      </c>
      <c r="F74" s="161"/>
      <c r="G74" s="82" t="s">
        <v>12</v>
      </c>
      <c r="H74" s="82" t="s">
        <v>13</v>
      </c>
      <c r="I74" s="82" t="s">
        <v>14</v>
      </c>
      <c r="J74" s="82" t="s">
        <v>15</v>
      </c>
      <c r="K74" s="82" t="s">
        <v>16</v>
      </c>
      <c r="L74" s="82" t="s">
        <v>17</v>
      </c>
      <c r="M74" s="82" t="s">
        <v>18</v>
      </c>
      <c r="N74" s="82" t="s">
        <v>19</v>
      </c>
      <c r="O74" s="82" t="s">
        <v>20</v>
      </c>
      <c r="P74" s="82" t="s">
        <v>21</v>
      </c>
      <c r="Q74" s="82" t="s">
        <v>22</v>
      </c>
      <c r="R74" s="82" t="s">
        <v>23</v>
      </c>
      <c r="S74" s="82" t="s">
        <v>24</v>
      </c>
      <c r="T74" s="82" t="s">
        <v>25</v>
      </c>
      <c r="U74" s="81"/>
      <c r="V74" s="81"/>
    </row>
    <row r="75" spans="1:22" ht="14.65" customHeight="1" x14ac:dyDescent="0.2">
      <c r="A75" s="150" t="s">
        <v>26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2"/>
      <c r="U75" s="21"/>
      <c r="V75" s="21"/>
    </row>
    <row r="76" spans="1:22" ht="12.2" customHeight="1" x14ac:dyDescent="0.2">
      <c r="A76" s="1" t="s">
        <v>120</v>
      </c>
      <c r="B76" s="2">
        <v>60</v>
      </c>
      <c r="C76" s="16">
        <v>0.7</v>
      </c>
      <c r="D76" s="16">
        <v>3.4</v>
      </c>
      <c r="E76" s="16">
        <v>1.8</v>
      </c>
      <c r="F76" s="16">
        <v>40.700000000000003</v>
      </c>
      <c r="G76" s="16">
        <v>0.02</v>
      </c>
      <c r="H76" s="16">
        <v>5.23</v>
      </c>
      <c r="I76" s="16">
        <v>0</v>
      </c>
      <c r="J76" s="16">
        <v>1.49</v>
      </c>
      <c r="K76" s="16">
        <v>0</v>
      </c>
      <c r="L76" s="16">
        <v>0.02</v>
      </c>
      <c r="M76" s="16">
        <v>9.1999999999999993</v>
      </c>
      <c r="N76" s="16">
        <v>10.85</v>
      </c>
      <c r="O76" s="16">
        <v>17.170000000000002</v>
      </c>
      <c r="P76" s="16">
        <v>0.56999999999999995</v>
      </c>
      <c r="Q76" s="16">
        <v>156.66</v>
      </c>
      <c r="R76" s="16">
        <v>0.25</v>
      </c>
      <c r="S76" s="16">
        <v>0</v>
      </c>
      <c r="T76" s="16">
        <v>0</v>
      </c>
      <c r="U76" s="4" t="s">
        <v>57</v>
      </c>
      <c r="V76" s="4">
        <v>2017</v>
      </c>
    </row>
    <row r="77" spans="1:22" ht="12.2" customHeight="1" x14ac:dyDescent="0.2">
      <c r="A77" s="1" t="s">
        <v>121</v>
      </c>
      <c r="B77" s="2">
        <v>150</v>
      </c>
      <c r="C77" s="16">
        <v>3.1</v>
      </c>
      <c r="D77" s="16">
        <v>3.9</v>
      </c>
      <c r="E77" s="16">
        <v>23.6</v>
      </c>
      <c r="F77" s="16">
        <v>142.5</v>
      </c>
      <c r="G77" s="16">
        <v>0.13</v>
      </c>
      <c r="H77" s="16">
        <v>12</v>
      </c>
      <c r="I77" s="16">
        <v>0.31</v>
      </c>
      <c r="J77" s="16">
        <v>1.73</v>
      </c>
      <c r="K77" s="16">
        <v>0</v>
      </c>
      <c r="L77" s="16">
        <v>0.09</v>
      </c>
      <c r="M77" s="16">
        <v>31.06</v>
      </c>
      <c r="N77" s="16">
        <v>36.520000000000003</v>
      </c>
      <c r="O77" s="16">
        <v>89.15</v>
      </c>
      <c r="P77" s="16">
        <v>1.59</v>
      </c>
      <c r="Q77" s="16">
        <v>822.68</v>
      </c>
      <c r="R77" s="16">
        <v>8.1199999999999992</v>
      </c>
      <c r="S77" s="16">
        <v>0.05</v>
      </c>
      <c r="T77" s="16">
        <v>0</v>
      </c>
      <c r="U77" s="4" t="s">
        <v>122</v>
      </c>
      <c r="V77" s="4" t="s">
        <v>32</v>
      </c>
    </row>
    <row r="78" spans="1:22" s="5" customFormat="1" ht="12.2" customHeight="1" x14ac:dyDescent="0.15">
      <c r="A78" s="1" t="s">
        <v>186</v>
      </c>
      <c r="B78" s="2">
        <v>90</v>
      </c>
      <c r="C78" s="16">
        <f>4.55*90/55</f>
        <v>7.4454545454545453</v>
      </c>
      <c r="D78" s="16">
        <f>6.7*90/55</f>
        <v>10.963636363636363</v>
      </c>
      <c r="E78" s="16">
        <f>9.73*90/55</f>
        <v>15.921818181818182</v>
      </c>
      <c r="F78" s="16">
        <f>124*90/55</f>
        <v>202.90909090909091</v>
      </c>
      <c r="G78" s="16">
        <v>0.09</v>
      </c>
      <c r="H78" s="16">
        <v>0.49</v>
      </c>
      <c r="I78" s="16">
        <v>0.05</v>
      </c>
      <c r="J78" s="16">
        <v>2.97</v>
      </c>
      <c r="K78" s="16">
        <v>0</v>
      </c>
      <c r="L78" s="16">
        <v>0.11</v>
      </c>
      <c r="M78" s="16">
        <v>24.76</v>
      </c>
      <c r="N78" s="16">
        <v>29.11</v>
      </c>
      <c r="O78" s="16">
        <v>158.86000000000001</v>
      </c>
      <c r="P78" s="16">
        <v>2.31</v>
      </c>
      <c r="Q78" s="16">
        <v>198.96</v>
      </c>
      <c r="R78" s="16">
        <v>4.08</v>
      </c>
      <c r="S78" s="16">
        <v>0.08</v>
      </c>
      <c r="T78" s="16">
        <v>0.01</v>
      </c>
      <c r="U78" s="4">
        <v>294</v>
      </c>
      <c r="V78" s="4" t="s">
        <v>29</v>
      </c>
    </row>
    <row r="79" spans="1:22" s="5" customFormat="1" ht="12.2" customHeight="1" x14ac:dyDescent="0.15">
      <c r="A79" s="1" t="s">
        <v>187</v>
      </c>
      <c r="B79" s="2">
        <v>180</v>
      </c>
      <c r="C79" s="16">
        <v>4.68</v>
      </c>
      <c r="D79" s="16">
        <v>4.05</v>
      </c>
      <c r="E79" s="16">
        <v>6.48</v>
      </c>
      <c r="F79" s="16">
        <v>85.86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4" t="s">
        <v>167</v>
      </c>
      <c r="V79" s="4" t="s">
        <v>29</v>
      </c>
    </row>
    <row r="80" spans="1:22" s="5" customFormat="1" ht="12.2" customHeight="1" x14ac:dyDescent="0.15">
      <c r="A80" s="1" t="s">
        <v>49</v>
      </c>
      <c r="B80" s="2">
        <v>20</v>
      </c>
      <c r="C80" s="16">
        <v>1.53</v>
      </c>
      <c r="D80" s="16">
        <v>0.12</v>
      </c>
      <c r="E80" s="16">
        <v>10.039999999999999</v>
      </c>
      <c r="F80" s="16">
        <v>47.36</v>
      </c>
      <c r="G80" s="16">
        <v>0.03</v>
      </c>
      <c r="H80" s="16">
        <v>0</v>
      </c>
      <c r="I80" s="16">
        <v>0</v>
      </c>
      <c r="J80" s="16">
        <v>0.39</v>
      </c>
      <c r="K80" s="16">
        <v>0</v>
      </c>
      <c r="L80" s="16">
        <v>0.01</v>
      </c>
      <c r="M80" s="16">
        <v>4.5999999999999996</v>
      </c>
      <c r="N80" s="16">
        <v>6.6</v>
      </c>
      <c r="O80" s="16">
        <v>16.8</v>
      </c>
      <c r="P80" s="16">
        <v>0.4</v>
      </c>
      <c r="Q80" s="16">
        <v>25.8</v>
      </c>
      <c r="R80" s="16">
        <v>0</v>
      </c>
      <c r="S80" s="16">
        <v>0</v>
      </c>
      <c r="T80" s="16">
        <v>0</v>
      </c>
      <c r="U80" s="4" t="s">
        <v>167</v>
      </c>
      <c r="V80" s="4" t="s">
        <v>39</v>
      </c>
    </row>
    <row r="81" spans="1:22" s="5" customFormat="1" ht="12.2" customHeight="1" x14ac:dyDescent="0.15">
      <c r="A81" s="1" t="s">
        <v>38</v>
      </c>
      <c r="B81" s="2">
        <v>20</v>
      </c>
      <c r="C81" s="16">
        <v>1.1200000000000001</v>
      </c>
      <c r="D81" s="16">
        <v>0.22</v>
      </c>
      <c r="E81" s="16">
        <v>9.8800000000000008</v>
      </c>
      <c r="F81" s="16">
        <v>45.98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4" t="s">
        <v>167</v>
      </c>
      <c r="V81" s="4" t="s">
        <v>39</v>
      </c>
    </row>
    <row r="82" spans="1:22" ht="21.6" customHeight="1" x14ac:dyDescent="0.2">
      <c r="A82" s="29" t="s">
        <v>40</v>
      </c>
      <c r="B82" s="30">
        <f>SUM(B76:B81)</f>
        <v>520</v>
      </c>
      <c r="C82" s="82">
        <f t="shared" ref="C82:T82" si="6">SUM(C76:C81)</f>
        <v>18.575454545454548</v>
      </c>
      <c r="D82" s="82">
        <f t="shared" si="6"/>
        <v>22.653636363636362</v>
      </c>
      <c r="E82" s="82">
        <f t="shared" si="6"/>
        <v>67.721818181818193</v>
      </c>
      <c r="F82" s="82">
        <f t="shared" si="6"/>
        <v>565.30909090909097</v>
      </c>
      <c r="G82" s="82">
        <f t="shared" si="6"/>
        <v>0.27</v>
      </c>
      <c r="H82" s="82">
        <f t="shared" si="6"/>
        <v>17.72</v>
      </c>
      <c r="I82" s="82">
        <f t="shared" si="6"/>
        <v>0.36</v>
      </c>
      <c r="J82" s="82">
        <f t="shared" si="6"/>
        <v>6.5799999999999992</v>
      </c>
      <c r="K82" s="82">
        <f t="shared" si="6"/>
        <v>0</v>
      </c>
      <c r="L82" s="82">
        <f t="shared" si="6"/>
        <v>0.23</v>
      </c>
      <c r="M82" s="82">
        <f t="shared" si="6"/>
        <v>69.61999999999999</v>
      </c>
      <c r="N82" s="82">
        <f t="shared" si="6"/>
        <v>83.08</v>
      </c>
      <c r="O82" s="82">
        <f t="shared" si="6"/>
        <v>281.98</v>
      </c>
      <c r="P82" s="82">
        <f t="shared" si="6"/>
        <v>4.870000000000001</v>
      </c>
      <c r="Q82" s="82">
        <f t="shared" si="6"/>
        <v>1204.0999999999999</v>
      </c>
      <c r="R82" s="82">
        <f t="shared" si="6"/>
        <v>12.45</v>
      </c>
      <c r="S82" s="82">
        <f t="shared" si="6"/>
        <v>0.13</v>
      </c>
      <c r="T82" s="82">
        <f t="shared" si="6"/>
        <v>0.01</v>
      </c>
      <c r="U82" s="83"/>
      <c r="V82" s="83"/>
    </row>
    <row r="83" spans="1:22" ht="14.1" customHeight="1" x14ac:dyDescent="0.2">
      <c r="A83" s="32"/>
      <c r="B83" s="32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32"/>
      <c r="V83" s="32"/>
    </row>
    <row r="84" spans="1:22" s="5" customFormat="1" ht="28.35" customHeight="1" x14ac:dyDescent="0.15">
      <c r="A84" s="166" t="s">
        <v>216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</row>
    <row r="85" spans="1:22" s="72" customFormat="1" ht="13.35" customHeight="1" x14ac:dyDescent="0.2">
      <c r="A85" s="158" t="s">
        <v>1</v>
      </c>
      <c r="B85" s="158" t="s">
        <v>2</v>
      </c>
      <c r="C85" s="155" t="s">
        <v>3</v>
      </c>
      <c r="D85" s="156"/>
      <c r="E85" s="157"/>
      <c r="F85" s="160" t="s">
        <v>4</v>
      </c>
      <c r="G85" s="155" t="s">
        <v>5</v>
      </c>
      <c r="H85" s="156"/>
      <c r="I85" s="156"/>
      <c r="J85" s="156"/>
      <c r="K85" s="156"/>
      <c r="L85" s="157"/>
      <c r="M85" s="155" t="s">
        <v>6</v>
      </c>
      <c r="N85" s="156"/>
      <c r="O85" s="156"/>
      <c r="P85" s="156"/>
      <c r="Q85" s="156"/>
      <c r="R85" s="156"/>
      <c r="S85" s="156"/>
      <c r="T85" s="157"/>
      <c r="U85" s="81" t="s">
        <v>7</v>
      </c>
      <c r="V85" s="81" t="s">
        <v>8</v>
      </c>
    </row>
    <row r="86" spans="1:22" ht="26.65" customHeight="1" x14ac:dyDescent="0.2">
      <c r="A86" s="159"/>
      <c r="B86" s="159"/>
      <c r="C86" s="82" t="s">
        <v>9</v>
      </c>
      <c r="D86" s="82" t="s">
        <v>10</v>
      </c>
      <c r="E86" s="82" t="s">
        <v>11</v>
      </c>
      <c r="F86" s="161"/>
      <c r="G86" s="82" t="s">
        <v>12</v>
      </c>
      <c r="H86" s="82" t="s">
        <v>13</v>
      </c>
      <c r="I86" s="82" t="s">
        <v>14</v>
      </c>
      <c r="J86" s="82" t="s">
        <v>15</v>
      </c>
      <c r="K86" s="82" t="s">
        <v>16</v>
      </c>
      <c r="L86" s="82" t="s">
        <v>17</v>
      </c>
      <c r="M86" s="82" t="s">
        <v>18</v>
      </c>
      <c r="N86" s="82" t="s">
        <v>19</v>
      </c>
      <c r="O86" s="82" t="s">
        <v>20</v>
      </c>
      <c r="P86" s="82" t="s">
        <v>21</v>
      </c>
      <c r="Q86" s="82" t="s">
        <v>22</v>
      </c>
      <c r="R86" s="82" t="s">
        <v>23</v>
      </c>
      <c r="S86" s="82" t="s">
        <v>24</v>
      </c>
      <c r="T86" s="82" t="s">
        <v>25</v>
      </c>
      <c r="U86" s="81"/>
      <c r="V86" s="81"/>
    </row>
    <row r="87" spans="1:22" ht="14.65" customHeight="1" x14ac:dyDescent="0.2">
      <c r="A87" s="150" t="s">
        <v>26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2"/>
      <c r="U87" s="21"/>
      <c r="V87" s="21"/>
    </row>
    <row r="88" spans="1:22" ht="12.2" customHeight="1" x14ac:dyDescent="0.2">
      <c r="A88" s="1" t="s">
        <v>75</v>
      </c>
      <c r="B88" s="2">
        <v>100</v>
      </c>
      <c r="C88" s="16">
        <v>1.6</v>
      </c>
      <c r="D88" s="16">
        <v>5.0999999999999996</v>
      </c>
      <c r="E88" s="16">
        <v>8.1999999999999993</v>
      </c>
      <c r="F88" s="16">
        <v>87.6</v>
      </c>
      <c r="G88" s="16">
        <v>0.02</v>
      </c>
      <c r="H88" s="16">
        <v>25.3</v>
      </c>
      <c r="I88" s="16">
        <v>0</v>
      </c>
      <c r="J88" s="16">
        <v>2.12</v>
      </c>
      <c r="K88" s="16">
        <v>0</v>
      </c>
      <c r="L88" s="16">
        <v>0.02</v>
      </c>
      <c r="M88" s="16">
        <v>42.08</v>
      </c>
      <c r="N88" s="16">
        <v>14.36</v>
      </c>
      <c r="O88" s="16">
        <v>31.01</v>
      </c>
      <c r="P88" s="16">
        <v>0.59</v>
      </c>
      <c r="Q88" s="16">
        <v>260.64999999999998</v>
      </c>
      <c r="R88" s="16">
        <v>2.73</v>
      </c>
      <c r="S88" s="16">
        <v>0.01</v>
      </c>
      <c r="T88" s="16">
        <v>0</v>
      </c>
      <c r="U88" s="4" t="s">
        <v>76</v>
      </c>
      <c r="V88" s="4">
        <v>2017</v>
      </c>
    </row>
    <row r="89" spans="1:22" ht="12.2" customHeight="1" x14ac:dyDescent="0.2">
      <c r="A89" s="1" t="s">
        <v>132</v>
      </c>
      <c r="B89" s="2">
        <v>150</v>
      </c>
      <c r="C89" s="16">
        <v>6.1</v>
      </c>
      <c r="D89" s="16">
        <v>7.5</v>
      </c>
      <c r="E89" s="16">
        <v>22.4</v>
      </c>
      <c r="F89" s="16">
        <v>195</v>
      </c>
      <c r="G89" s="16">
        <v>7.0000000000000007E-2</v>
      </c>
      <c r="H89" s="16">
        <v>0</v>
      </c>
      <c r="I89" s="16">
        <v>0.04</v>
      </c>
      <c r="J89" s="16">
        <v>2.1800000000000002</v>
      </c>
      <c r="K89" s="16">
        <v>0.21</v>
      </c>
      <c r="L89" s="16">
        <v>0.05</v>
      </c>
      <c r="M89" s="16">
        <v>18.350000000000001</v>
      </c>
      <c r="N89" s="16">
        <v>11.69</v>
      </c>
      <c r="O89" s="16">
        <v>58.3</v>
      </c>
      <c r="P89" s="16">
        <v>1.22</v>
      </c>
      <c r="Q89" s="16">
        <v>77.94</v>
      </c>
      <c r="R89" s="16">
        <v>1.85</v>
      </c>
      <c r="S89" s="16">
        <v>0.01</v>
      </c>
      <c r="T89" s="16">
        <v>0.01</v>
      </c>
      <c r="U89" s="4" t="s">
        <v>133</v>
      </c>
      <c r="V89" s="4" t="s">
        <v>29</v>
      </c>
    </row>
    <row r="90" spans="1:22" ht="12.2" customHeight="1" x14ac:dyDescent="0.2">
      <c r="A90" s="1" t="s">
        <v>108</v>
      </c>
      <c r="B90" s="2">
        <v>40</v>
      </c>
      <c r="C90" s="16">
        <v>5</v>
      </c>
      <c r="D90" s="16">
        <v>4.5</v>
      </c>
      <c r="E90" s="16">
        <v>0.3</v>
      </c>
      <c r="F90" s="16">
        <v>61.3</v>
      </c>
      <c r="G90" s="16">
        <v>0.02</v>
      </c>
      <c r="H90" s="16">
        <v>0</v>
      </c>
      <c r="I90" s="16">
        <v>0.1</v>
      </c>
      <c r="J90" s="16">
        <v>0.81</v>
      </c>
      <c r="K90" s="16">
        <v>0.89</v>
      </c>
      <c r="L90" s="16">
        <v>0.15</v>
      </c>
      <c r="M90" s="16">
        <v>19.920000000000002</v>
      </c>
      <c r="N90" s="16">
        <v>4.3499999999999996</v>
      </c>
      <c r="O90" s="16">
        <v>69.55</v>
      </c>
      <c r="P90" s="16">
        <v>0.91</v>
      </c>
      <c r="Q90" s="16">
        <v>56.35</v>
      </c>
      <c r="R90" s="16">
        <v>8.0500000000000007</v>
      </c>
      <c r="S90" s="16">
        <v>0.02</v>
      </c>
      <c r="T90" s="16">
        <v>0.01</v>
      </c>
      <c r="U90" s="4" t="s">
        <v>109</v>
      </c>
      <c r="V90" s="4" t="s">
        <v>29</v>
      </c>
    </row>
    <row r="91" spans="1:22" s="5" customFormat="1" ht="12.2" customHeight="1" x14ac:dyDescent="0.15">
      <c r="A91" s="1" t="s">
        <v>182</v>
      </c>
      <c r="B91" s="2">
        <v>180</v>
      </c>
      <c r="C91" s="16">
        <v>4.68</v>
      </c>
      <c r="D91" s="16">
        <v>4.05</v>
      </c>
      <c r="E91" s="16">
        <v>6.48</v>
      </c>
      <c r="F91" s="16">
        <v>85.86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4" t="s">
        <v>167</v>
      </c>
      <c r="V91" s="4" t="s">
        <v>29</v>
      </c>
    </row>
    <row r="92" spans="1:22" s="5" customFormat="1" ht="12.2" customHeight="1" x14ac:dyDescent="0.15">
      <c r="A92" s="1" t="s">
        <v>49</v>
      </c>
      <c r="B92" s="2">
        <v>30</v>
      </c>
      <c r="C92" s="16">
        <v>2.2999999999999998</v>
      </c>
      <c r="D92" s="16">
        <v>0.19</v>
      </c>
      <c r="E92" s="16">
        <v>15.05</v>
      </c>
      <c r="F92" s="16">
        <v>71.05</v>
      </c>
      <c r="G92" s="16">
        <v>0.05</v>
      </c>
      <c r="H92" s="16">
        <v>0</v>
      </c>
      <c r="I92" s="16">
        <v>0</v>
      </c>
      <c r="J92" s="16">
        <v>0.59</v>
      </c>
      <c r="K92" s="16">
        <v>0</v>
      </c>
      <c r="L92" s="16">
        <v>0.02</v>
      </c>
      <c r="M92" s="16">
        <v>6.9</v>
      </c>
      <c r="N92" s="16">
        <v>9.9</v>
      </c>
      <c r="O92" s="16">
        <v>25.2</v>
      </c>
      <c r="P92" s="16">
        <v>0.6</v>
      </c>
      <c r="Q92" s="16">
        <v>38.700000000000003</v>
      </c>
      <c r="R92" s="16">
        <v>0</v>
      </c>
      <c r="S92" s="16">
        <v>0</v>
      </c>
      <c r="T92" s="16">
        <v>0</v>
      </c>
      <c r="U92" s="4" t="s">
        <v>167</v>
      </c>
      <c r="V92" s="4">
        <v>2020</v>
      </c>
    </row>
    <row r="93" spans="1:22" s="5" customFormat="1" ht="12.2" customHeight="1" x14ac:dyDescent="0.15">
      <c r="A93" s="1" t="s">
        <v>38</v>
      </c>
      <c r="B93" s="2">
        <v>20</v>
      </c>
      <c r="C93" s="16">
        <v>1.1200000000000001</v>
      </c>
      <c r="D93" s="16">
        <v>0.22</v>
      </c>
      <c r="E93" s="16">
        <v>9.8800000000000008</v>
      </c>
      <c r="F93" s="16">
        <v>45.98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4" t="s">
        <v>167</v>
      </c>
      <c r="V93" s="4" t="s">
        <v>39</v>
      </c>
    </row>
    <row r="94" spans="1:22" ht="12.2" customHeight="1" x14ac:dyDescent="0.2">
      <c r="A94" s="29" t="s">
        <v>40</v>
      </c>
      <c r="B94" s="30">
        <f>SUM(B88:B93)</f>
        <v>520</v>
      </c>
      <c r="C94" s="82">
        <f t="shared" ref="C94:T94" si="7">SUM(C88:C93)</f>
        <v>20.8</v>
      </c>
      <c r="D94" s="82">
        <f t="shared" si="7"/>
        <v>21.560000000000002</v>
      </c>
      <c r="E94" s="82">
        <f t="shared" si="7"/>
        <v>62.309999999999995</v>
      </c>
      <c r="F94" s="82">
        <f t="shared" si="7"/>
        <v>546.79000000000008</v>
      </c>
      <c r="G94" s="82">
        <f t="shared" si="7"/>
        <v>0.16000000000000003</v>
      </c>
      <c r="H94" s="82">
        <f t="shared" si="7"/>
        <v>25.3</v>
      </c>
      <c r="I94" s="82">
        <f t="shared" si="7"/>
        <v>0.14000000000000001</v>
      </c>
      <c r="J94" s="82">
        <f t="shared" si="7"/>
        <v>5.7000000000000011</v>
      </c>
      <c r="K94" s="82">
        <f t="shared" si="7"/>
        <v>1.1000000000000001</v>
      </c>
      <c r="L94" s="82">
        <f t="shared" si="7"/>
        <v>0.24</v>
      </c>
      <c r="M94" s="82">
        <f t="shared" si="7"/>
        <v>87.25</v>
      </c>
      <c r="N94" s="82">
        <f t="shared" si="7"/>
        <v>40.299999999999997</v>
      </c>
      <c r="O94" s="82">
        <f t="shared" si="7"/>
        <v>184.06</v>
      </c>
      <c r="P94" s="82">
        <f t="shared" si="7"/>
        <v>3.3200000000000003</v>
      </c>
      <c r="Q94" s="82">
        <f t="shared" si="7"/>
        <v>433.64</v>
      </c>
      <c r="R94" s="82">
        <f t="shared" si="7"/>
        <v>12.63</v>
      </c>
      <c r="S94" s="82">
        <f t="shared" si="7"/>
        <v>0.04</v>
      </c>
      <c r="T94" s="82">
        <f t="shared" si="7"/>
        <v>0.02</v>
      </c>
      <c r="U94" s="83"/>
      <c r="V94" s="83"/>
    </row>
    <row r="95" spans="1:22" ht="14.1" customHeight="1" x14ac:dyDescent="0.2">
      <c r="A95" s="32"/>
      <c r="B95" s="32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32"/>
      <c r="V95" s="32"/>
    </row>
    <row r="96" spans="1:22" s="5" customFormat="1" ht="28.35" customHeight="1" x14ac:dyDescent="0.15">
      <c r="A96" s="166" t="s">
        <v>217</v>
      </c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</row>
    <row r="97" spans="1:22" s="17" customFormat="1" ht="14.65" customHeight="1" x14ac:dyDescent="0.2">
      <c r="A97" s="170" t="s">
        <v>218</v>
      </c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</row>
    <row r="98" spans="1:22" s="72" customFormat="1" ht="13.35" customHeight="1" x14ac:dyDescent="0.2">
      <c r="A98" s="158" t="s">
        <v>1</v>
      </c>
      <c r="B98" s="158" t="s">
        <v>2</v>
      </c>
      <c r="C98" s="155" t="s">
        <v>3</v>
      </c>
      <c r="D98" s="156"/>
      <c r="E98" s="157"/>
      <c r="F98" s="160" t="s">
        <v>4</v>
      </c>
      <c r="G98" s="155" t="s">
        <v>5</v>
      </c>
      <c r="H98" s="156"/>
      <c r="I98" s="156"/>
      <c r="J98" s="156"/>
      <c r="K98" s="156"/>
      <c r="L98" s="157"/>
      <c r="M98" s="155" t="s">
        <v>6</v>
      </c>
      <c r="N98" s="156"/>
      <c r="O98" s="156"/>
      <c r="P98" s="156"/>
      <c r="Q98" s="156"/>
      <c r="R98" s="156"/>
      <c r="S98" s="156"/>
      <c r="T98" s="157"/>
      <c r="U98" s="81" t="s">
        <v>7</v>
      </c>
      <c r="V98" s="81" t="s">
        <v>8</v>
      </c>
    </row>
    <row r="99" spans="1:22" ht="26.65" customHeight="1" x14ac:dyDescent="0.2">
      <c r="A99" s="159"/>
      <c r="B99" s="159"/>
      <c r="C99" s="82" t="s">
        <v>9</v>
      </c>
      <c r="D99" s="82" t="s">
        <v>10</v>
      </c>
      <c r="E99" s="82" t="s">
        <v>11</v>
      </c>
      <c r="F99" s="161"/>
      <c r="G99" s="82" t="s">
        <v>12</v>
      </c>
      <c r="H99" s="82" t="s">
        <v>13</v>
      </c>
      <c r="I99" s="82" t="s">
        <v>14</v>
      </c>
      <c r="J99" s="82" t="s">
        <v>15</v>
      </c>
      <c r="K99" s="82" t="s">
        <v>16</v>
      </c>
      <c r="L99" s="82" t="s">
        <v>17</v>
      </c>
      <c r="M99" s="82" t="s">
        <v>18</v>
      </c>
      <c r="N99" s="82" t="s">
        <v>19</v>
      </c>
      <c r="O99" s="82" t="s">
        <v>20</v>
      </c>
      <c r="P99" s="82" t="s">
        <v>21</v>
      </c>
      <c r="Q99" s="82" t="s">
        <v>22</v>
      </c>
      <c r="R99" s="82" t="s">
        <v>23</v>
      </c>
      <c r="S99" s="82" t="s">
        <v>24</v>
      </c>
      <c r="T99" s="82" t="s">
        <v>25</v>
      </c>
      <c r="U99" s="81"/>
      <c r="V99" s="81"/>
    </row>
    <row r="100" spans="1:22" ht="14.65" customHeight="1" x14ac:dyDescent="0.2">
      <c r="A100" s="150" t="s">
        <v>26</v>
      </c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2"/>
      <c r="U100" s="21"/>
      <c r="V100" s="21"/>
    </row>
    <row r="101" spans="1:22" s="5" customFormat="1" ht="12.2" customHeight="1" x14ac:dyDescent="0.15">
      <c r="A101" s="1" t="s">
        <v>145</v>
      </c>
      <c r="B101" s="2">
        <v>110</v>
      </c>
      <c r="C101" s="16">
        <v>0.5</v>
      </c>
      <c r="D101" s="16">
        <v>0.4</v>
      </c>
      <c r="E101" s="16">
        <v>26.7</v>
      </c>
      <c r="F101" s="16">
        <v>114.5</v>
      </c>
      <c r="G101" s="16">
        <v>0.03</v>
      </c>
      <c r="H101" s="16">
        <v>3.52</v>
      </c>
      <c r="I101" s="16">
        <v>0</v>
      </c>
      <c r="J101" s="16">
        <v>0.55000000000000004</v>
      </c>
      <c r="K101" s="16">
        <v>0</v>
      </c>
      <c r="L101" s="16">
        <v>0.02</v>
      </c>
      <c r="M101" s="16">
        <v>17.170000000000002</v>
      </c>
      <c r="N101" s="16">
        <v>8.6</v>
      </c>
      <c r="O101" s="16">
        <v>15.68</v>
      </c>
      <c r="P101" s="16">
        <v>1.9</v>
      </c>
      <c r="Q101" s="16">
        <v>294.74</v>
      </c>
      <c r="R101" s="16">
        <v>1.76</v>
      </c>
      <c r="S101" s="16">
        <v>0.01</v>
      </c>
      <c r="T101" s="16">
        <v>0</v>
      </c>
      <c r="U101" s="4" t="s">
        <v>190</v>
      </c>
      <c r="V101" s="4" t="s">
        <v>52</v>
      </c>
    </row>
    <row r="102" spans="1:22" s="5" customFormat="1" ht="12.2" customHeight="1" x14ac:dyDescent="0.15">
      <c r="A102" s="1" t="s">
        <v>236</v>
      </c>
      <c r="B102" s="2">
        <v>150</v>
      </c>
      <c r="C102" s="16">
        <f>14.2*150/175</f>
        <v>12.171428571428571</v>
      </c>
      <c r="D102" s="16">
        <f>16.9*150/175</f>
        <v>14.485714285714286</v>
      </c>
      <c r="E102" s="16">
        <f>16.58*150/175</f>
        <v>14.211428571428568</v>
      </c>
      <c r="F102" s="16">
        <f>295*150/175</f>
        <v>252.85714285714286</v>
      </c>
      <c r="G102" s="16">
        <v>0.31</v>
      </c>
      <c r="H102" s="16">
        <v>7.73</v>
      </c>
      <c r="I102" s="16">
        <v>0.01</v>
      </c>
      <c r="J102" s="16">
        <v>2.2400000000000002</v>
      </c>
      <c r="K102" s="16">
        <v>0</v>
      </c>
      <c r="L102" s="16">
        <v>0.12</v>
      </c>
      <c r="M102" s="16">
        <v>23.67</v>
      </c>
      <c r="N102" s="16">
        <v>34.450000000000003</v>
      </c>
      <c r="O102" s="16">
        <v>143.11000000000001</v>
      </c>
      <c r="P102" s="16">
        <v>1.93</v>
      </c>
      <c r="Q102" s="16">
        <v>729.18</v>
      </c>
      <c r="R102" s="16">
        <v>9.01</v>
      </c>
      <c r="S102" s="16">
        <v>7.0000000000000007E-2</v>
      </c>
      <c r="T102" s="16">
        <v>0</v>
      </c>
      <c r="U102" s="4" t="s">
        <v>94</v>
      </c>
      <c r="V102" s="4">
        <v>2017</v>
      </c>
    </row>
    <row r="103" spans="1:22" s="5" customFormat="1" ht="12.2" customHeight="1" x14ac:dyDescent="0.15">
      <c r="A103" s="1" t="s">
        <v>146</v>
      </c>
      <c r="B103" s="2">
        <v>200</v>
      </c>
      <c r="C103" s="16">
        <v>2.94</v>
      </c>
      <c r="D103" s="16">
        <f>17.72*0.2</f>
        <v>3.544</v>
      </c>
      <c r="E103" s="16">
        <f>87.89*0.2</f>
        <v>17.577999999999999</v>
      </c>
      <c r="F103" s="16">
        <f>593*0.2</f>
        <v>118.60000000000001</v>
      </c>
      <c r="G103" s="16">
        <v>0.03</v>
      </c>
      <c r="H103" s="16">
        <v>0.47</v>
      </c>
      <c r="I103" s="16">
        <v>0.01</v>
      </c>
      <c r="J103" s="16">
        <v>0</v>
      </c>
      <c r="K103" s="16">
        <v>0</v>
      </c>
      <c r="L103" s="16">
        <v>0.1</v>
      </c>
      <c r="M103" s="16">
        <v>100.28</v>
      </c>
      <c r="N103" s="16">
        <v>24.74</v>
      </c>
      <c r="O103" s="16">
        <v>86.02</v>
      </c>
      <c r="P103" s="16">
        <v>0.78</v>
      </c>
      <c r="Q103" s="16">
        <v>186.56</v>
      </c>
      <c r="R103" s="16">
        <v>8.1</v>
      </c>
      <c r="S103" s="16">
        <v>0</v>
      </c>
      <c r="T103" s="16">
        <v>0</v>
      </c>
      <c r="U103" s="4" t="s">
        <v>95</v>
      </c>
      <c r="V103" s="4" t="s">
        <v>29</v>
      </c>
    </row>
    <row r="104" spans="1:22" s="5" customFormat="1" ht="12.2" customHeight="1" x14ac:dyDescent="0.15">
      <c r="A104" s="1" t="s">
        <v>49</v>
      </c>
      <c r="B104" s="2">
        <v>40</v>
      </c>
      <c r="C104" s="16">
        <v>3.05</v>
      </c>
      <c r="D104" s="16">
        <v>0.25</v>
      </c>
      <c r="E104" s="16">
        <v>20.07</v>
      </c>
      <c r="F104" s="16">
        <v>94.73</v>
      </c>
      <c r="G104" s="16">
        <v>0.06</v>
      </c>
      <c r="H104" s="16">
        <v>0</v>
      </c>
      <c r="I104" s="16">
        <v>0</v>
      </c>
      <c r="J104" s="16">
        <v>0.78</v>
      </c>
      <c r="K104" s="16">
        <v>0</v>
      </c>
      <c r="L104" s="16">
        <v>0.02</v>
      </c>
      <c r="M104" s="16">
        <v>9.1999999999999993</v>
      </c>
      <c r="N104" s="16">
        <v>13.2</v>
      </c>
      <c r="O104" s="16">
        <v>33.6</v>
      </c>
      <c r="P104" s="16">
        <v>0.8</v>
      </c>
      <c r="Q104" s="16">
        <v>51.6</v>
      </c>
      <c r="R104" s="16">
        <v>0</v>
      </c>
      <c r="S104" s="16">
        <v>0.01</v>
      </c>
      <c r="T104" s="16">
        <v>0</v>
      </c>
      <c r="U104" s="4" t="s">
        <v>167</v>
      </c>
      <c r="V104" s="4" t="s">
        <v>39</v>
      </c>
    </row>
    <row r="105" spans="1:22" ht="21.6" customHeight="1" x14ac:dyDescent="0.2">
      <c r="A105" s="29" t="s">
        <v>40</v>
      </c>
      <c r="B105" s="30">
        <f>SUM(B101:B104)</f>
        <v>500</v>
      </c>
      <c r="C105" s="82">
        <f t="shared" ref="C105:T105" si="8">SUM(C101:C104)</f>
        <v>18.661428571428569</v>
      </c>
      <c r="D105" s="82">
        <f t="shared" si="8"/>
        <v>18.679714285714287</v>
      </c>
      <c r="E105" s="82">
        <f t="shared" si="8"/>
        <v>78.559428571428555</v>
      </c>
      <c r="F105" s="82">
        <f t="shared" si="8"/>
        <v>580.68714285714293</v>
      </c>
      <c r="G105" s="82">
        <f t="shared" si="8"/>
        <v>0.43</v>
      </c>
      <c r="H105" s="82">
        <f t="shared" si="8"/>
        <v>11.72</v>
      </c>
      <c r="I105" s="82">
        <f t="shared" si="8"/>
        <v>0.02</v>
      </c>
      <c r="J105" s="82">
        <f t="shared" si="8"/>
        <v>3.5700000000000003</v>
      </c>
      <c r="K105" s="82">
        <f t="shared" si="8"/>
        <v>0</v>
      </c>
      <c r="L105" s="82">
        <f t="shared" si="8"/>
        <v>0.26</v>
      </c>
      <c r="M105" s="82">
        <f t="shared" si="8"/>
        <v>150.32</v>
      </c>
      <c r="N105" s="82">
        <f t="shared" si="8"/>
        <v>80.990000000000009</v>
      </c>
      <c r="O105" s="82">
        <f t="shared" si="8"/>
        <v>278.41000000000003</v>
      </c>
      <c r="P105" s="82">
        <f t="shared" si="8"/>
        <v>5.41</v>
      </c>
      <c r="Q105" s="82">
        <f t="shared" si="8"/>
        <v>1262.08</v>
      </c>
      <c r="R105" s="82">
        <f t="shared" si="8"/>
        <v>18.869999999999997</v>
      </c>
      <c r="S105" s="82">
        <f t="shared" si="8"/>
        <v>0.09</v>
      </c>
      <c r="T105" s="82">
        <f t="shared" si="8"/>
        <v>0</v>
      </c>
      <c r="U105" s="83"/>
      <c r="V105" s="83"/>
    </row>
    <row r="106" spans="1:22" ht="14.1" customHeight="1" x14ac:dyDescent="0.2">
      <c r="A106" s="32"/>
      <c r="B106" s="32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32"/>
      <c r="V106" s="32"/>
    </row>
    <row r="107" spans="1:22" s="5" customFormat="1" ht="28.35" customHeight="1" x14ac:dyDescent="0.15">
      <c r="A107" s="166" t="s">
        <v>219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</row>
    <row r="108" spans="1:22" s="72" customFormat="1" ht="13.35" customHeight="1" x14ac:dyDescent="0.2">
      <c r="A108" s="158" t="s">
        <v>1</v>
      </c>
      <c r="B108" s="158" t="s">
        <v>2</v>
      </c>
      <c r="C108" s="155" t="s">
        <v>3</v>
      </c>
      <c r="D108" s="156"/>
      <c r="E108" s="157"/>
      <c r="F108" s="160" t="s">
        <v>4</v>
      </c>
      <c r="G108" s="155" t="s">
        <v>5</v>
      </c>
      <c r="H108" s="156"/>
      <c r="I108" s="156"/>
      <c r="J108" s="156"/>
      <c r="K108" s="156"/>
      <c r="L108" s="157"/>
      <c r="M108" s="155" t="s">
        <v>6</v>
      </c>
      <c r="N108" s="156"/>
      <c r="O108" s="156"/>
      <c r="P108" s="156"/>
      <c r="Q108" s="156"/>
      <c r="R108" s="156"/>
      <c r="S108" s="156"/>
      <c r="T108" s="157"/>
      <c r="U108" s="81" t="s">
        <v>7</v>
      </c>
      <c r="V108" s="81" t="s">
        <v>8</v>
      </c>
    </row>
    <row r="109" spans="1:22" ht="26.65" customHeight="1" x14ac:dyDescent="0.2">
      <c r="A109" s="159"/>
      <c r="B109" s="159"/>
      <c r="C109" s="82" t="s">
        <v>9</v>
      </c>
      <c r="D109" s="82" t="s">
        <v>10</v>
      </c>
      <c r="E109" s="82" t="s">
        <v>11</v>
      </c>
      <c r="F109" s="161"/>
      <c r="G109" s="82" t="s">
        <v>12</v>
      </c>
      <c r="H109" s="82" t="s">
        <v>13</v>
      </c>
      <c r="I109" s="82" t="s">
        <v>14</v>
      </c>
      <c r="J109" s="82" t="s">
        <v>15</v>
      </c>
      <c r="K109" s="82" t="s">
        <v>16</v>
      </c>
      <c r="L109" s="82" t="s">
        <v>17</v>
      </c>
      <c r="M109" s="82" t="s">
        <v>18</v>
      </c>
      <c r="N109" s="82" t="s">
        <v>19</v>
      </c>
      <c r="O109" s="82" t="s">
        <v>20</v>
      </c>
      <c r="P109" s="82" t="s">
        <v>21</v>
      </c>
      <c r="Q109" s="82" t="s">
        <v>22</v>
      </c>
      <c r="R109" s="82" t="s">
        <v>23</v>
      </c>
      <c r="S109" s="82" t="s">
        <v>24</v>
      </c>
      <c r="T109" s="82" t="s">
        <v>25</v>
      </c>
      <c r="U109" s="81"/>
      <c r="V109" s="81"/>
    </row>
    <row r="110" spans="1:22" ht="14.65" customHeight="1" x14ac:dyDescent="0.2">
      <c r="A110" s="150" t="s">
        <v>26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2"/>
      <c r="U110" s="21"/>
      <c r="V110" s="21"/>
    </row>
    <row r="111" spans="1:22" ht="12.2" customHeight="1" x14ac:dyDescent="0.2">
      <c r="A111" s="1" t="s">
        <v>155</v>
      </c>
      <c r="B111" s="2">
        <v>60</v>
      </c>
      <c r="C111" s="16">
        <v>1.1000000000000001</v>
      </c>
      <c r="D111" s="16">
        <v>3.1</v>
      </c>
      <c r="E111" s="16">
        <v>3.7</v>
      </c>
      <c r="F111" s="16">
        <v>47.3</v>
      </c>
      <c r="G111" s="16">
        <v>0.03</v>
      </c>
      <c r="H111" s="16">
        <v>1.54</v>
      </c>
      <c r="I111" s="16">
        <v>0.74</v>
      </c>
      <c r="J111" s="16">
        <v>1.73</v>
      </c>
      <c r="K111" s="16">
        <v>0</v>
      </c>
      <c r="L111" s="16">
        <v>0.03</v>
      </c>
      <c r="M111" s="16">
        <v>20.58</v>
      </c>
      <c r="N111" s="16">
        <v>16.43</v>
      </c>
      <c r="O111" s="16">
        <v>29.54</v>
      </c>
      <c r="P111" s="16">
        <v>0.46</v>
      </c>
      <c r="Q111" s="16">
        <v>93.8</v>
      </c>
      <c r="R111" s="16">
        <v>1.85</v>
      </c>
      <c r="S111" s="16">
        <v>0.02</v>
      </c>
      <c r="T111" s="16">
        <v>0</v>
      </c>
      <c r="U111" s="4" t="s">
        <v>134</v>
      </c>
      <c r="V111" s="4" t="s">
        <v>143</v>
      </c>
    </row>
    <row r="112" spans="1:22" ht="12.2" customHeight="1" x14ac:dyDescent="0.2">
      <c r="A112" s="1" t="s">
        <v>156</v>
      </c>
      <c r="B112" s="2">
        <v>150</v>
      </c>
      <c r="C112" s="16">
        <v>6.5</v>
      </c>
      <c r="D112" s="16">
        <v>4.9000000000000004</v>
      </c>
      <c r="E112" s="16">
        <v>28.6</v>
      </c>
      <c r="F112" s="16">
        <v>200.1</v>
      </c>
      <c r="G112" s="16">
        <v>0.21</v>
      </c>
      <c r="H112" s="16">
        <v>0</v>
      </c>
      <c r="I112" s="16">
        <v>0.03</v>
      </c>
      <c r="J112" s="16">
        <v>0.57999999999999996</v>
      </c>
      <c r="K112" s="16">
        <v>0</v>
      </c>
      <c r="L112" s="16">
        <v>0</v>
      </c>
      <c r="M112" s="16">
        <v>18.36</v>
      </c>
      <c r="N112" s="16">
        <v>135.4</v>
      </c>
      <c r="O112" s="16">
        <v>201.95</v>
      </c>
      <c r="P112" s="16">
        <v>4.59</v>
      </c>
      <c r="Q112" s="16">
        <v>0</v>
      </c>
      <c r="R112" s="16">
        <v>0</v>
      </c>
      <c r="S112" s="16">
        <v>0</v>
      </c>
      <c r="T112" s="16">
        <v>0</v>
      </c>
      <c r="U112" s="4" t="s">
        <v>157</v>
      </c>
      <c r="V112" s="4" t="s">
        <v>32</v>
      </c>
    </row>
    <row r="113" spans="1:22" s="5" customFormat="1" ht="12.2" customHeight="1" x14ac:dyDescent="0.15">
      <c r="A113" s="1" t="s">
        <v>197</v>
      </c>
      <c r="B113" s="2">
        <v>95</v>
      </c>
      <c r="C113" s="16">
        <v>11.7</v>
      </c>
      <c r="D113" s="16">
        <v>10.9</v>
      </c>
      <c r="E113" s="16">
        <v>15.8</v>
      </c>
      <c r="F113" s="16">
        <v>192</v>
      </c>
      <c r="G113" s="16">
        <v>0.08</v>
      </c>
      <c r="H113" s="16">
        <v>0.82</v>
      </c>
      <c r="I113" s="16">
        <v>0.41</v>
      </c>
      <c r="J113" s="16">
        <v>0.69</v>
      </c>
      <c r="K113" s="16">
        <v>0.25</v>
      </c>
      <c r="L113" s="16">
        <v>0.12</v>
      </c>
      <c r="M113" s="16">
        <v>47.84</v>
      </c>
      <c r="N113" s="16">
        <v>41.49</v>
      </c>
      <c r="O113" s="16">
        <v>173.06</v>
      </c>
      <c r="P113" s="16">
        <v>1.01</v>
      </c>
      <c r="Q113" s="16">
        <v>341.35</v>
      </c>
      <c r="R113" s="16">
        <v>95.55</v>
      </c>
      <c r="S113" s="16">
        <v>0.4</v>
      </c>
      <c r="T113" s="16">
        <v>0.01</v>
      </c>
      <c r="U113" s="4" t="s">
        <v>158</v>
      </c>
      <c r="V113" s="4" t="s">
        <v>32</v>
      </c>
    </row>
    <row r="114" spans="1:22" s="5" customFormat="1" ht="12.2" customHeight="1" x14ac:dyDescent="0.15">
      <c r="A114" s="1" t="s">
        <v>63</v>
      </c>
      <c r="B114" s="2">
        <v>200</v>
      </c>
      <c r="C114" s="16">
        <v>1</v>
      </c>
      <c r="D114" s="16">
        <v>0</v>
      </c>
      <c r="E114" s="16">
        <v>20.2</v>
      </c>
      <c r="F114" s="16">
        <v>84.8</v>
      </c>
      <c r="G114" s="16">
        <v>0.03</v>
      </c>
      <c r="H114" s="16">
        <v>1.6</v>
      </c>
      <c r="I114" s="16">
        <v>0</v>
      </c>
      <c r="J114" s="16">
        <v>0</v>
      </c>
      <c r="K114" s="16">
        <v>0</v>
      </c>
      <c r="L114" s="16">
        <v>0.02</v>
      </c>
      <c r="M114" s="16">
        <v>36</v>
      </c>
      <c r="N114" s="16">
        <v>16.2</v>
      </c>
      <c r="O114" s="16">
        <v>21.6</v>
      </c>
      <c r="P114" s="16">
        <v>0.72</v>
      </c>
      <c r="Q114" s="16">
        <v>300</v>
      </c>
      <c r="R114" s="16">
        <v>12</v>
      </c>
      <c r="S114" s="16">
        <v>0</v>
      </c>
      <c r="T114" s="16">
        <v>0</v>
      </c>
      <c r="U114" s="4" t="s">
        <v>64</v>
      </c>
      <c r="V114" s="4">
        <v>2017</v>
      </c>
    </row>
    <row r="115" spans="1:22" s="5" customFormat="1" ht="12.2" customHeight="1" x14ac:dyDescent="0.15">
      <c r="A115" s="1" t="s">
        <v>38</v>
      </c>
      <c r="B115" s="2">
        <v>20</v>
      </c>
      <c r="C115" s="16">
        <v>1.1200000000000001</v>
      </c>
      <c r="D115" s="16">
        <v>0.22</v>
      </c>
      <c r="E115" s="16">
        <v>9.8800000000000008</v>
      </c>
      <c r="F115" s="16">
        <v>45.98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4" t="s">
        <v>167</v>
      </c>
      <c r="V115" s="4" t="s">
        <v>39</v>
      </c>
    </row>
    <row r="116" spans="1:22" ht="12.2" customHeight="1" x14ac:dyDescent="0.2">
      <c r="A116" s="29" t="s">
        <v>40</v>
      </c>
      <c r="B116" s="30">
        <f>SUM(B111:B115)</f>
        <v>525</v>
      </c>
      <c r="C116" s="82">
        <f t="shared" ref="C116:T116" si="9">SUM(C111:C115)</f>
        <v>21.419999999999998</v>
      </c>
      <c r="D116" s="82">
        <f t="shared" si="9"/>
        <v>19.119999999999997</v>
      </c>
      <c r="E116" s="82">
        <f t="shared" si="9"/>
        <v>78.180000000000007</v>
      </c>
      <c r="F116" s="82">
        <f t="shared" si="9"/>
        <v>570.17999999999995</v>
      </c>
      <c r="G116" s="82">
        <f t="shared" si="9"/>
        <v>0.35</v>
      </c>
      <c r="H116" s="82">
        <f t="shared" si="9"/>
        <v>3.96</v>
      </c>
      <c r="I116" s="82">
        <f t="shared" si="9"/>
        <v>1.18</v>
      </c>
      <c r="J116" s="82">
        <f t="shared" si="9"/>
        <v>3</v>
      </c>
      <c r="K116" s="82">
        <f t="shared" si="9"/>
        <v>0.25</v>
      </c>
      <c r="L116" s="82">
        <f t="shared" si="9"/>
        <v>0.16999999999999998</v>
      </c>
      <c r="M116" s="82">
        <f t="shared" si="9"/>
        <v>122.78</v>
      </c>
      <c r="N116" s="82">
        <f t="shared" si="9"/>
        <v>209.52</v>
      </c>
      <c r="O116" s="82">
        <f t="shared" si="9"/>
        <v>426.15</v>
      </c>
      <c r="P116" s="82">
        <f t="shared" si="9"/>
        <v>6.7799999999999994</v>
      </c>
      <c r="Q116" s="82">
        <f t="shared" si="9"/>
        <v>735.15000000000009</v>
      </c>
      <c r="R116" s="82">
        <f t="shared" si="9"/>
        <v>109.39999999999999</v>
      </c>
      <c r="S116" s="82">
        <f t="shared" si="9"/>
        <v>0.42000000000000004</v>
      </c>
      <c r="T116" s="82">
        <f t="shared" si="9"/>
        <v>0.01</v>
      </c>
      <c r="U116" s="83"/>
      <c r="V116" s="83"/>
    </row>
    <row r="117" spans="1:22" s="5" customFormat="1" x14ac:dyDescent="0.15">
      <c r="A117" s="19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2" s="6" customFormat="1" ht="15" x14ac:dyDescent="0.25">
      <c r="A118" s="171" t="s">
        <v>221</v>
      </c>
      <c r="B118" s="171" t="s">
        <v>222</v>
      </c>
      <c r="C118" s="173" t="s">
        <v>3</v>
      </c>
      <c r="D118" s="173"/>
      <c r="E118" s="173"/>
      <c r="F118" s="173" t="s">
        <v>4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3"/>
      <c r="V118" s="13"/>
    </row>
    <row r="119" spans="1:22" s="6" customFormat="1" ht="28.5" x14ac:dyDescent="0.25">
      <c r="A119" s="172"/>
      <c r="B119" s="172"/>
      <c r="C119" s="74" t="s">
        <v>9</v>
      </c>
      <c r="D119" s="74" t="s">
        <v>10</v>
      </c>
      <c r="E119" s="74" t="s">
        <v>11</v>
      </c>
      <c r="F119" s="174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3"/>
      <c r="V119" s="13"/>
    </row>
    <row r="120" spans="1:22" s="10" customFormat="1" ht="15" x14ac:dyDescent="0.2">
      <c r="A120" s="8" t="s">
        <v>200</v>
      </c>
      <c r="B120" s="75">
        <f>B116+B105+B94+B82+B70+B59+B48+B37+B26+B14</f>
        <v>5170</v>
      </c>
      <c r="C120" s="75">
        <f>C116+C105+C94+C82+C70+C59+C48+C37+C26+C14</f>
        <v>190.6993831168831</v>
      </c>
      <c r="D120" s="75">
        <f>D116+D105+D94+D82+D70+D59+D48+D37+D26+D14</f>
        <v>189.94656493506494</v>
      </c>
      <c r="E120" s="75">
        <f>E116+E105+E94+E82+E70+E59+E48+E37+E26+E14</f>
        <v>720.01553246753247</v>
      </c>
      <c r="F120" s="75">
        <f>F116+F105+F94+F82+F70+F59+F48+F37+F26+F14</f>
        <v>5499.3605194805195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9"/>
      <c r="V120" s="9"/>
    </row>
    <row r="121" spans="1:22" s="10" customFormat="1" ht="15" x14ac:dyDescent="0.2">
      <c r="A121" s="8" t="s">
        <v>201</v>
      </c>
      <c r="B121" s="75">
        <f>B120/10</f>
        <v>517</v>
      </c>
      <c r="C121" s="76">
        <f t="shared" ref="C121:F121" si="10">C120/10</f>
        <v>19.069938311688311</v>
      </c>
      <c r="D121" s="76">
        <f t="shared" si="10"/>
        <v>18.994656493506493</v>
      </c>
      <c r="E121" s="76">
        <f t="shared" si="10"/>
        <v>72.001553246753247</v>
      </c>
      <c r="F121" s="76">
        <f t="shared" si="10"/>
        <v>549.93605194805195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9"/>
      <c r="V121" s="9"/>
    </row>
  </sheetData>
  <mergeCells count="89">
    <mergeCell ref="A118:A119"/>
    <mergeCell ref="B118:B119"/>
    <mergeCell ref="C118:E118"/>
    <mergeCell ref="F118:F119"/>
    <mergeCell ref="A96:V96"/>
    <mergeCell ref="A98:A99"/>
    <mergeCell ref="B98:B99"/>
    <mergeCell ref="C98:E98"/>
    <mergeCell ref="F98:F99"/>
    <mergeCell ref="G98:L98"/>
    <mergeCell ref="M98:T98"/>
    <mergeCell ref="A110:T110"/>
    <mergeCell ref="A64:T64"/>
    <mergeCell ref="A72:V72"/>
    <mergeCell ref="A73:A74"/>
    <mergeCell ref="B73:B74"/>
    <mergeCell ref="C73:E73"/>
    <mergeCell ref="F73:F74"/>
    <mergeCell ref="G73:L73"/>
    <mergeCell ref="M73:T73"/>
    <mergeCell ref="M29:T29"/>
    <mergeCell ref="A50:V50"/>
    <mergeCell ref="A51:A52"/>
    <mergeCell ref="B51:B52"/>
    <mergeCell ref="C51:E51"/>
    <mergeCell ref="F51:F52"/>
    <mergeCell ref="G51:L51"/>
    <mergeCell ref="M51:T51"/>
    <mergeCell ref="A29:A30"/>
    <mergeCell ref="B29:B30"/>
    <mergeCell ref="C29:E29"/>
    <mergeCell ref="F29:F30"/>
    <mergeCell ref="G29:L29"/>
    <mergeCell ref="A31:T31"/>
    <mergeCell ref="A39:V39"/>
    <mergeCell ref="A40:A41"/>
    <mergeCell ref="A28:V28"/>
    <mergeCell ref="A19:T19"/>
    <mergeCell ref="A17:A18"/>
    <mergeCell ref="B17:B18"/>
    <mergeCell ref="C17:E17"/>
    <mergeCell ref="F17:F18"/>
    <mergeCell ref="G17:L17"/>
    <mergeCell ref="M17:T17"/>
    <mergeCell ref="B40:B41"/>
    <mergeCell ref="C40:E40"/>
    <mergeCell ref="F40:F41"/>
    <mergeCell ref="G40:L40"/>
    <mergeCell ref="M40:T40"/>
    <mergeCell ref="A42:T42"/>
    <mergeCell ref="A53:T53"/>
    <mergeCell ref="A61:V61"/>
    <mergeCell ref="A62:A63"/>
    <mergeCell ref="B62:B63"/>
    <mergeCell ref="C62:E62"/>
    <mergeCell ref="F62:F63"/>
    <mergeCell ref="G62:L62"/>
    <mergeCell ref="M62:T62"/>
    <mergeCell ref="A75:T75"/>
    <mergeCell ref="A84:V84"/>
    <mergeCell ref="A85:A86"/>
    <mergeCell ref="B85:B86"/>
    <mergeCell ref="C85:E85"/>
    <mergeCell ref="F85:F86"/>
    <mergeCell ref="G85:L85"/>
    <mergeCell ref="M85:T85"/>
    <mergeCell ref="A87:T87"/>
    <mergeCell ref="A100:T100"/>
    <mergeCell ref="A107:V107"/>
    <mergeCell ref="A108:A109"/>
    <mergeCell ref="B108:B109"/>
    <mergeCell ref="C108:E108"/>
    <mergeCell ref="F108:F109"/>
    <mergeCell ref="G108:L108"/>
    <mergeCell ref="M108:T108"/>
    <mergeCell ref="A97:V97"/>
    <mergeCell ref="A1:C1"/>
    <mergeCell ref="K1:V2"/>
    <mergeCell ref="A3:V3"/>
    <mergeCell ref="A16:V16"/>
    <mergeCell ref="A4:V4"/>
    <mergeCell ref="A8:T8"/>
    <mergeCell ref="A5:V5"/>
    <mergeCell ref="A6:A7"/>
    <mergeCell ref="B6:B7"/>
    <mergeCell ref="C6:E6"/>
    <mergeCell ref="F6:F7"/>
    <mergeCell ref="G6:L6"/>
    <mergeCell ref="M6:T6"/>
  </mergeCells>
  <pageMargins left="0.25" right="0.25" top="0.75" bottom="0.75" header="0.3" footer="0.3"/>
  <pageSetup paperSize="9" scale="55" orientation="landscape" horizontalDpi="0" verticalDpi="0" r:id="rId1"/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view="pageBreakPreview" zoomScale="60" zoomScaleNormal="100" workbookViewId="0">
      <selection sqref="A1:C1"/>
    </sheetView>
  </sheetViews>
  <sheetFormatPr defaultColWidth="9.1640625" defaultRowHeight="12.75" x14ac:dyDescent="0.2"/>
  <cols>
    <col min="1" max="1" width="72.83203125" style="72" customWidth="1"/>
    <col min="2" max="2" width="13.5" style="5" customWidth="1"/>
    <col min="3" max="3" width="8.6640625" style="18" customWidth="1"/>
    <col min="4" max="4" width="11.83203125" style="18" customWidth="1"/>
    <col min="5" max="5" width="11.33203125" style="18" customWidth="1"/>
    <col min="6" max="6" width="11.5" style="18" customWidth="1"/>
    <col min="7" max="20" width="8.6640625" style="18" customWidth="1"/>
    <col min="21" max="21" width="9.5" style="67" customWidth="1"/>
    <col min="22" max="22" width="11" style="67" customWidth="1"/>
    <col min="23" max="16384" width="9.1640625" style="67"/>
  </cols>
  <sheetData>
    <row r="1" spans="1:22" s="13" customFormat="1" ht="82.5" customHeight="1" x14ac:dyDescent="0.25">
      <c r="A1" s="163" t="s">
        <v>243</v>
      </c>
      <c r="B1" s="163"/>
      <c r="C1" s="163"/>
      <c r="D1" s="84"/>
      <c r="E1" s="84"/>
      <c r="F1" s="84"/>
      <c r="G1" s="84"/>
      <c r="H1" s="84"/>
      <c r="I1" s="84"/>
      <c r="J1" s="84"/>
      <c r="K1" s="164" t="s">
        <v>208</v>
      </c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</row>
    <row r="2" spans="1:22" s="13" customFormat="1" ht="22.9" customHeight="1" x14ac:dyDescent="0.25">
      <c r="A2" s="71"/>
      <c r="C2" s="84"/>
      <c r="D2" s="84"/>
      <c r="E2" s="84"/>
      <c r="F2" s="84"/>
      <c r="G2" s="84"/>
      <c r="H2" s="84"/>
      <c r="I2" s="84"/>
      <c r="J2" s="84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1:22" s="15" customFormat="1" ht="13.5" customHeight="1" x14ac:dyDescent="0.15">
      <c r="A3" s="149" t="s">
        <v>232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22" s="22" customFormat="1" ht="13.5" customHeight="1" x14ac:dyDescent="0.15">
      <c r="A4" s="168" t="s">
        <v>223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5" spans="1:22" s="15" customFormat="1" ht="28.35" customHeight="1" x14ac:dyDescent="0.15">
      <c r="A5" s="153" t="s">
        <v>209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</row>
    <row r="6" spans="1:22" s="72" customFormat="1" ht="13.35" customHeight="1" x14ac:dyDescent="0.2">
      <c r="A6" s="158" t="s">
        <v>1</v>
      </c>
      <c r="B6" s="158" t="s">
        <v>2</v>
      </c>
      <c r="C6" s="155" t="s">
        <v>3</v>
      </c>
      <c r="D6" s="156"/>
      <c r="E6" s="157"/>
      <c r="F6" s="160" t="s">
        <v>4</v>
      </c>
      <c r="G6" s="155" t="s">
        <v>5</v>
      </c>
      <c r="H6" s="156"/>
      <c r="I6" s="156"/>
      <c r="J6" s="156"/>
      <c r="K6" s="156"/>
      <c r="L6" s="157"/>
      <c r="M6" s="155" t="s">
        <v>6</v>
      </c>
      <c r="N6" s="156"/>
      <c r="O6" s="156"/>
      <c r="P6" s="156"/>
      <c r="Q6" s="156"/>
      <c r="R6" s="156"/>
      <c r="S6" s="156"/>
      <c r="T6" s="157"/>
      <c r="U6" s="81" t="s">
        <v>7</v>
      </c>
      <c r="V6" s="81" t="s">
        <v>8</v>
      </c>
    </row>
    <row r="7" spans="1:22" ht="26.65" customHeight="1" x14ac:dyDescent="0.2">
      <c r="A7" s="159"/>
      <c r="B7" s="159"/>
      <c r="C7" s="82" t="s">
        <v>9</v>
      </c>
      <c r="D7" s="82" t="s">
        <v>10</v>
      </c>
      <c r="E7" s="82" t="s">
        <v>11</v>
      </c>
      <c r="F7" s="161"/>
      <c r="G7" s="82" t="s">
        <v>12</v>
      </c>
      <c r="H7" s="82" t="s">
        <v>13</v>
      </c>
      <c r="I7" s="82" t="s">
        <v>14</v>
      </c>
      <c r="J7" s="82" t="s">
        <v>15</v>
      </c>
      <c r="K7" s="82" t="s">
        <v>16</v>
      </c>
      <c r="L7" s="82" t="s">
        <v>17</v>
      </c>
      <c r="M7" s="82" t="s">
        <v>18</v>
      </c>
      <c r="N7" s="82" t="s">
        <v>19</v>
      </c>
      <c r="O7" s="82" t="s">
        <v>20</v>
      </c>
      <c r="P7" s="82" t="s">
        <v>21</v>
      </c>
      <c r="Q7" s="82" t="s">
        <v>22</v>
      </c>
      <c r="R7" s="82" t="s">
        <v>23</v>
      </c>
      <c r="S7" s="82" t="s">
        <v>24</v>
      </c>
      <c r="T7" s="82" t="s">
        <v>25</v>
      </c>
      <c r="U7" s="81"/>
      <c r="V7" s="81"/>
    </row>
    <row r="8" spans="1:22" ht="14.65" customHeight="1" x14ac:dyDescent="0.2">
      <c r="A8" s="150" t="s">
        <v>41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2"/>
      <c r="U8" s="21"/>
      <c r="V8" s="21"/>
    </row>
    <row r="9" spans="1:22" s="5" customFormat="1" ht="12.2" customHeight="1" x14ac:dyDescent="0.15">
      <c r="A9" s="1" t="s">
        <v>42</v>
      </c>
      <c r="B9" s="2">
        <v>60</v>
      </c>
      <c r="C9" s="16">
        <v>1.5</v>
      </c>
      <c r="D9" s="16">
        <v>7.3</v>
      </c>
      <c r="E9" s="16">
        <v>4.5999999999999996</v>
      </c>
      <c r="F9" s="16">
        <v>71.400000000000006</v>
      </c>
      <c r="G9" s="16">
        <v>0.01</v>
      </c>
      <c r="H9" s="16">
        <v>4.2</v>
      </c>
      <c r="I9" s="16">
        <v>0.11</v>
      </c>
      <c r="J9" s="16">
        <v>0</v>
      </c>
      <c r="K9" s="16">
        <v>0</v>
      </c>
      <c r="L9" s="16">
        <v>0.03</v>
      </c>
      <c r="M9" s="16">
        <v>24.6</v>
      </c>
      <c r="N9" s="16">
        <v>9</v>
      </c>
      <c r="O9" s="16">
        <v>22.2</v>
      </c>
      <c r="P9" s="16">
        <v>0.42</v>
      </c>
      <c r="Q9" s="16">
        <v>189</v>
      </c>
      <c r="R9" s="16">
        <v>0</v>
      </c>
      <c r="S9" s="16">
        <v>0</v>
      </c>
      <c r="T9" s="16">
        <v>0</v>
      </c>
      <c r="U9" s="4" t="s">
        <v>167</v>
      </c>
      <c r="V9" s="4" t="s">
        <v>43</v>
      </c>
    </row>
    <row r="10" spans="1:22" s="5" customFormat="1" ht="12.2" customHeight="1" x14ac:dyDescent="0.15">
      <c r="A10" s="1" t="s">
        <v>239</v>
      </c>
      <c r="B10" s="2">
        <v>200</v>
      </c>
      <c r="C10" s="16">
        <f>10.75*0.2</f>
        <v>2.15</v>
      </c>
      <c r="D10" s="16">
        <f>11.35*0.2</f>
        <v>2.27</v>
      </c>
      <c r="E10" s="16">
        <f>69.82*0.2</f>
        <v>13.963999999999999</v>
      </c>
      <c r="F10" s="16">
        <f>473*0.2</f>
        <v>94.600000000000009</v>
      </c>
      <c r="G10" s="16">
        <f>0.45*0.2</f>
        <v>9.0000000000000011E-2</v>
      </c>
      <c r="H10" s="16">
        <v>6.17</v>
      </c>
      <c r="I10" s="16">
        <v>0.17</v>
      </c>
      <c r="J10" s="16">
        <v>0.99</v>
      </c>
      <c r="K10" s="16">
        <v>0</v>
      </c>
      <c r="L10" s="16">
        <f>0.25*0.2</f>
        <v>0.05</v>
      </c>
      <c r="M10" s="16">
        <f>116.8*0.2</f>
        <v>23.36</v>
      </c>
      <c r="N10" s="16">
        <f>185*0.15</f>
        <v>27.75</v>
      </c>
      <c r="O10" s="16">
        <f>270.3*0.2</f>
        <v>54.06</v>
      </c>
      <c r="P10" s="16">
        <f>4.5*0.2</f>
        <v>0.9</v>
      </c>
      <c r="Q10" s="16">
        <f>1925.7*0.2</f>
        <v>385.14000000000004</v>
      </c>
      <c r="R10" s="16">
        <v>3.96</v>
      </c>
      <c r="S10" s="16">
        <v>0.03</v>
      </c>
      <c r="T10" s="16">
        <v>0</v>
      </c>
      <c r="U10" s="4" t="s">
        <v>44</v>
      </c>
      <c r="V10" s="4" t="s">
        <v>29</v>
      </c>
    </row>
    <row r="11" spans="1:22" ht="12.2" customHeight="1" x14ac:dyDescent="0.2">
      <c r="A11" s="1" t="s">
        <v>45</v>
      </c>
      <c r="B11" s="2">
        <v>200</v>
      </c>
      <c r="C11" s="16">
        <v>10.8</v>
      </c>
      <c r="D11" s="16">
        <v>10.7</v>
      </c>
      <c r="E11" s="16">
        <v>19.399999999999999</v>
      </c>
      <c r="F11" s="16">
        <v>221.7</v>
      </c>
      <c r="G11" s="16">
        <v>0.15</v>
      </c>
      <c r="H11" s="16">
        <v>6.78</v>
      </c>
      <c r="I11" s="16">
        <v>7.0000000000000007E-2</v>
      </c>
      <c r="J11" s="16">
        <v>0.49</v>
      </c>
      <c r="K11" s="16">
        <v>0.16</v>
      </c>
      <c r="L11" s="16">
        <v>0.17</v>
      </c>
      <c r="M11" s="16">
        <v>85.82</v>
      </c>
      <c r="N11" s="16">
        <v>54.45</v>
      </c>
      <c r="O11" s="16">
        <v>222.04</v>
      </c>
      <c r="P11" s="16">
        <v>1.42</v>
      </c>
      <c r="Q11" s="16">
        <v>765.8</v>
      </c>
      <c r="R11" s="16">
        <v>101.24</v>
      </c>
      <c r="S11" s="16">
        <v>0.42</v>
      </c>
      <c r="T11" s="16">
        <v>0.01</v>
      </c>
      <c r="U11" s="4" t="s">
        <v>46</v>
      </c>
      <c r="V11" s="4" t="s">
        <v>32</v>
      </c>
    </row>
    <row r="12" spans="1:22" s="5" customFormat="1" ht="12.2" customHeight="1" x14ac:dyDescent="0.15">
      <c r="A12" s="1" t="s">
        <v>47</v>
      </c>
      <c r="B12" s="2">
        <v>200</v>
      </c>
      <c r="C12" s="16">
        <f>1.16*0.2</f>
        <v>0.23199999999999998</v>
      </c>
      <c r="D12" s="16">
        <f>0.06*0.2</f>
        <v>1.2E-2</v>
      </c>
      <c r="E12" s="16">
        <f>164.1*0.2</f>
        <v>32.82</v>
      </c>
      <c r="F12" s="16">
        <f>756*0.2</f>
        <v>151.20000000000002</v>
      </c>
      <c r="G12" s="16">
        <v>0</v>
      </c>
      <c r="H12" s="16">
        <v>0.1</v>
      </c>
      <c r="I12" s="16">
        <v>0</v>
      </c>
      <c r="J12" s="16">
        <v>0</v>
      </c>
      <c r="K12" s="16">
        <v>0</v>
      </c>
      <c r="L12" s="16">
        <v>0</v>
      </c>
      <c r="M12" s="16">
        <v>24.05</v>
      </c>
      <c r="N12" s="16">
        <v>5.26</v>
      </c>
      <c r="O12" s="16">
        <v>13.86</v>
      </c>
      <c r="P12" s="16">
        <v>0.65</v>
      </c>
      <c r="Q12" s="16">
        <v>72.17</v>
      </c>
      <c r="R12" s="16">
        <v>0</v>
      </c>
      <c r="S12" s="16">
        <v>0</v>
      </c>
      <c r="T12" s="16">
        <v>0</v>
      </c>
      <c r="U12" s="4" t="s">
        <v>48</v>
      </c>
      <c r="V12" s="4" t="s">
        <v>29</v>
      </c>
    </row>
    <row r="13" spans="1:22" s="5" customFormat="1" ht="12.2" customHeight="1" x14ac:dyDescent="0.15">
      <c r="A13" s="1" t="s">
        <v>238</v>
      </c>
      <c r="B13" s="2">
        <v>200</v>
      </c>
      <c r="C13" s="16">
        <v>5.8</v>
      </c>
      <c r="D13" s="16">
        <v>5</v>
      </c>
      <c r="E13" s="16">
        <v>9.6</v>
      </c>
      <c r="F13" s="16">
        <v>107</v>
      </c>
      <c r="G13" s="16">
        <v>0.08</v>
      </c>
      <c r="H13" s="16">
        <v>2.6</v>
      </c>
      <c r="I13" s="16">
        <v>40</v>
      </c>
      <c r="J13" s="16">
        <v>0</v>
      </c>
      <c r="K13" s="16">
        <v>0</v>
      </c>
      <c r="L13" s="16">
        <v>0.03</v>
      </c>
      <c r="M13" s="16">
        <v>240</v>
      </c>
      <c r="N13" s="16">
        <v>28</v>
      </c>
      <c r="O13" s="16">
        <v>180</v>
      </c>
      <c r="P13" s="16">
        <v>0.2</v>
      </c>
      <c r="Q13" s="16">
        <v>292</v>
      </c>
      <c r="R13" s="16">
        <v>0</v>
      </c>
      <c r="S13" s="16">
        <v>0</v>
      </c>
      <c r="T13" s="16">
        <v>0</v>
      </c>
      <c r="U13" s="4" t="s">
        <v>167</v>
      </c>
      <c r="V13" s="4"/>
    </row>
    <row r="14" spans="1:22" s="5" customFormat="1" ht="12.2" customHeight="1" x14ac:dyDescent="0.15">
      <c r="A14" s="1" t="s">
        <v>49</v>
      </c>
      <c r="B14" s="2">
        <v>40</v>
      </c>
      <c r="C14" s="16">
        <v>3.05</v>
      </c>
      <c r="D14" s="16">
        <v>0.25</v>
      </c>
      <c r="E14" s="16">
        <v>20.07</v>
      </c>
      <c r="F14" s="16">
        <v>94.73</v>
      </c>
      <c r="G14" s="16">
        <v>0.06</v>
      </c>
      <c r="H14" s="16">
        <v>0</v>
      </c>
      <c r="I14" s="16">
        <v>0</v>
      </c>
      <c r="J14" s="16">
        <v>0.78</v>
      </c>
      <c r="K14" s="16">
        <v>0</v>
      </c>
      <c r="L14" s="16">
        <v>0.02</v>
      </c>
      <c r="M14" s="16">
        <v>9.1999999999999993</v>
      </c>
      <c r="N14" s="16">
        <v>13.2</v>
      </c>
      <c r="O14" s="16">
        <v>33.6</v>
      </c>
      <c r="P14" s="16">
        <v>0.8</v>
      </c>
      <c r="Q14" s="16">
        <v>51.6</v>
      </c>
      <c r="R14" s="16">
        <v>0</v>
      </c>
      <c r="S14" s="16">
        <v>0.01</v>
      </c>
      <c r="T14" s="16">
        <v>0</v>
      </c>
      <c r="U14" s="4" t="s">
        <v>167</v>
      </c>
      <c r="V14" s="4" t="s">
        <v>39</v>
      </c>
    </row>
    <row r="15" spans="1:22" s="5" customFormat="1" ht="12.2" customHeight="1" x14ac:dyDescent="0.15">
      <c r="A15" s="1" t="s">
        <v>38</v>
      </c>
      <c r="B15" s="2">
        <v>40</v>
      </c>
      <c r="C15" s="16">
        <v>2.65</v>
      </c>
      <c r="D15" s="16">
        <v>0.35</v>
      </c>
      <c r="E15" s="16">
        <v>16.96</v>
      </c>
      <c r="F15" s="16">
        <v>81.58</v>
      </c>
      <c r="G15" s="16">
        <v>7.0000000000000007E-2</v>
      </c>
      <c r="H15" s="16">
        <v>0</v>
      </c>
      <c r="I15" s="16">
        <v>0</v>
      </c>
      <c r="J15" s="16">
        <v>0.88</v>
      </c>
      <c r="K15" s="16">
        <v>0</v>
      </c>
      <c r="L15" s="16">
        <v>0.03</v>
      </c>
      <c r="M15" s="16">
        <v>7.2</v>
      </c>
      <c r="N15" s="16">
        <v>7.6</v>
      </c>
      <c r="O15" s="16">
        <v>34.799999999999997</v>
      </c>
      <c r="P15" s="16">
        <v>1.6</v>
      </c>
      <c r="Q15" s="16">
        <v>54.4</v>
      </c>
      <c r="R15" s="16">
        <v>2.2400000000000002</v>
      </c>
      <c r="S15" s="16">
        <v>0</v>
      </c>
      <c r="T15" s="16">
        <v>0</v>
      </c>
      <c r="U15" s="4" t="s">
        <v>167</v>
      </c>
      <c r="V15" s="4" t="s">
        <v>39</v>
      </c>
    </row>
    <row r="16" spans="1:22" ht="21.6" customHeight="1" x14ac:dyDescent="0.2">
      <c r="A16" s="29" t="s">
        <v>40</v>
      </c>
      <c r="B16" s="81">
        <f>SUM(B9:B15)</f>
        <v>940</v>
      </c>
      <c r="C16" s="82">
        <f t="shared" ref="C16:T16" si="0">SUM(C9:C15)</f>
        <v>26.181999999999999</v>
      </c>
      <c r="D16" s="82">
        <f t="shared" si="0"/>
        <v>25.882000000000001</v>
      </c>
      <c r="E16" s="82">
        <f t="shared" si="0"/>
        <v>117.41399999999999</v>
      </c>
      <c r="F16" s="82">
        <f t="shared" si="0"/>
        <v>822.21</v>
      </c>
      <c r="G16" s="82">
        <f t="shared" si="0"/>
        <v>0.46</v>
      </c>
      <c r="H16" s="82">
        <f t="shared" si="0"/>
        <v>19.850000000000005</v>
      </c>
      <c r="I16" s="82">
        <f t="shared" si="0"/>
        <v>40.35</v>
      </c>
      <c r="J16" s="82">
        <f t="shared" si="0"/>
        <v>3.1399999999999997</v>
      </c>
      <c r="K16" s="82">
        <f t="shared" si="0"/>
        <v>0.16</v>
      </c>
      <c r="L16" s="82">
        <f t="shared" si="0"/>
        <v>0.33000000000000007</v>
      </c>
      <c r="M16" s="82">
        <f t="shared" si="0"/>
        <v>414.23</v>
      </c>
      <c r="N16" s="82">
        <f t="shared" si="0"/>
        <v>145.26</v>
      </c>
      <c r="O16" s="82">
        <f t="shared" si="0"/>
        <v>560.55999999999995</v>
      </c>
      <c r="P16" s="82">
        <f t="shared" si="0"/>
        <v>5.99</v>
      </c>
      <c r="Q16" s="82">
        <f t="shared" si="0"/>
        <v>1810.1100000000001</v>
      </c>
      <c r="R16" s="82">
        <f t="shared" si="0"/>
        <v>107.43999999999998</v>
      </c>
      <c r="S16" s="82">
        <f t="shared" si="0"/>
        <v>0.45999999999999996</v>
      </c>
      <c r="T16" s="82">
        <f t="shared" si="0"/>
        <v>0.01</v>
      </c>
      <c r="U16" s="83"/>
      <c r="V16" s="83"/>
    </row>
    <row r="17" spans="1:22" ht="14.1" customHeight="1" x14ac:dyDescent="0.2">
      <c r="A17" s="32"/>
      <c r="B17" s="3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32"/>
      <c r="V17" s="32"/>
    </row>
    <row r="18" spans="1:22" s="5" customFormat="1" ht="28.35" customHeight="1" x14ac:dyDescent="0.15">
      <c r="A18" s="166" t="s">
        <v>210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</row>
    <row r="19" spans="1:22" s="72" customFormat="1" ht="13.35" customHeight="1" x14ac:dyDescent="0.2">
      <c r="A19" s="158" t="s">
        <v>1</v>
      </c>
      <c r="B19" s="158" t="s">
        <v>2</v>
      </c>
      <c r="C19" s="155" t="s">
        <v>3</v>
      </c>
      <c r="D19" s="156"/>
      <c r="E19" s="157"/>
      <c r="F19" s="160" t="s">
        <v>4</v>
      </c>
      <c r="G19" s="155" t="s">
        <v>5</v>
      </c>
      <c r="H19" s="156"/>
      <c r="I19" s="156"/>
      <c r="J19" s="156"/>
      <c r="K19" s="156"/>
      <c r="L19" s="157"/>
      <c r="M19" s="155" t="s">
        <v>6</v>
      </c>
      <c r="N19" s="156"/>
      <c r="O19" s="156"/>
      <c r="P19" s="156"/>
      <c r="Q19" s="156"/>
      <c r="R19" s="156"/>
      <c r="S19" s="156"/>
      <c r="T19" s="157"/>
      <c r="U19" s="81" t="s">
        <v>7</v>
      </c>
      <c r="V19" s="81" t="s">
        <v>8</v>
      </c>
    </row>
    <row r="20" spans="1:22" ht="26.65" customHeight="1" x14ac:dyDescent="0.2">
      <c r="A20" s="159"/>
      <c r="B20" s="159"/>
      <c r="C20" s="82" t="s">
        <v>9</v>
      </c>
      <c r="D20" s="82" t="s">
        <v>10</v>
      </c>
      <c r="E20" s="82" t="s">
        <v>11</v>
      </c>
      <c r="F20" s="161"/>
      <c r="G20" s="82" t="s">
        <v>12</v>
      </c>
      <c r="H20" s="82" t="s">
        <v>13</v>
      </c>
      <c r="I20" s="82" t="s">
        <v>14</v>
      </c>
      <c r="J20" s="82" t="s">
        <v>15</v>
      </c>
      <c r="K20" s="82" t="s">
        <v>16</v>
      </c>
      <c r="L20" s="82" t="s">
        <v>17</v>
      </c>
      <c r="M20" s="82" t="s">
        <v>18</v>
      </c>
      <c r="N20" s="82" t="s">
        <v>19</v>
      </c>
      <c r="O20" s="82" t="s">
        <v>20</v>
      </c>
      <c r="P20" s="82" t="s">
        <v>21</v>
      </c>
      <c r="Q20" s="82" t="s">
        <v>22</v>
      </c>
      <c r="R20" s="82" t="s">
        <v>23</v>
      </c>
      <c r="S20" s="82" t="s">
        <v>24</v>
      </c>
      <c r="T20" s="82" t="s">
        <v>25</v>
      </c>
      <c r="U20" s="81"/>
      <c r="V20" s="81"/>
    </row>
    <row r="21" spans="1:22" ht="14.65" customHeight="1" x14ac:dyDescent="0.2">
      <c r="A21" s="150" t="s">
        <v>41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2"/>
      <c r="U21" s="21"/>
      <c r="V21" s="21"/>
    </row>
    <row r="22" spans="1:22" s="99" customFormat="1" ht="12.2" customHeight="1" x14ac:dyDescent="0.2">
      <c r="A22" s="90" t="s">
        <v>65</v>
      </c>
      <c r="B22" s="91">
        <v>60</v>
      </c>
      <c r="C22" s="92">
        <v>0.9</v>
      </c>
      <c r="D22" s="92">
        <v>3.7</v>
      </c>
      <c r="E22" s="92">
        <v>5.0999999999999996</v>
      </c>
      <c r="F22" s="92">
        <v>56.7</v>
      </c>
      <c r="G22" s="92">
        <v>0.01</v>
      </c>
      <c r="H22" s="92">
        <v>2.35</v>
      </c>
      <c r="I22" s="92">
        <v>0</v>
      </c>
      <c r="J22" s="92">
        <v>1.59</v>
      </c>
      <c r="K22" s="92">
        <v>0</v>
      </c>
      <c r="L22" s="92">
        <v>0.02</v>
      </c>
      <c r="M22" s="92">
        <v>20.079999999999998</v>
      </c>
      <c r="N22" s="92">
        <v>11.64</v>
      </c>
      <c r="O22" s="92">
        <v>22.98</v>
      </c>
      <c r="P22" s="92">
        <v>0.74</v>
      </c>
      <c r="Q22" s="92">
        <v>168.73</v>
      </c>
      <c r="R22" s="92">
        <v>4.07</v>
      </c>
      <c r="S22" s="92">
        <v>0.01</v>
      </c>
      <c r="T22" s="92">
        <v>0</v>
      </c>
      <c r="U22" s="93" t="s">
        <v>66</v>
      </c>
      <c r="V22" s="93">
        <v>2017</v>
      </c>
    </row>
    <row r="23" spans="1:22" s="99" customFormat="1" ht="12.2" customHeight="1" x14ac:dyDescent="0.2">
      <c r="A23" s="90" t="s">
        <v>233</v>
      </c>
      <c r="B23" s="91">
        <v>205</v>
      </c>
      <c r="C23" s="92">
        <v>1.5</v>
      </c>
      <c r="D23" s="92">
        <v>6.2</v>
      </c>
      <c r="E23" s="92">
        <v>19.899999999999999</v>
      </c>
      <c r="F23" s="92">
        <v>117.6</v>
      </c>
      <c r="G23" s="92">
        <v>0.09</v>
      </c>
      <c r="H23" s="92">
        <v>7.15</v>
      </c>
      <c r="I23" s="92">
        <v>0.28000000000000003</v>
      </c>
      <c r="J23" s="92">
        <v>0.45</v>
      </c>
      <c r="K23" s="92">
        <v>0.26</v>
      </c>
      <c r="L23" s="92">
        <v>0.09</v>
      </c>
      <c r="M23" s="92">
        <v>30.19</v>
      </c>
      <c r="N23" s="92">
        <v>25.28</v>
      </c>
      <c r="O23" s="92">
        <v>70.33</v>
      </c>
      <c r="P23" s="92">
        <v>1.1499999999999999</v>
      </c>
      <c r="Q23" s="92">
        <v>515.55999999999995</v>
      </c>
      <c r="R23" s="92">
        <v>6.78</v>
      </c>
      <c r="S23" s="92">
        <v>0.04</v>
      </c>
      <c r="T23" s="92">
        <v>0</v>
      </c>
      <c r="U23" s="93" t="s">
        <v>67</v>
      </c>
      <c r="V23" s="93" t="s">
        <v>52</v>
      </c>
    </row>
    <row r="24" spans="1:22" s="94" customFormat="1" ht="12.2" customHeight="1" x14ac:dyDescent="0.15">
      <c r="A24" s="90" t="s">
        <v>169</v>
      </c>
      <c r="B24" s="91">
        <v>150</v>
      </c>
      <c r="C24" s="92">
        <v>13.91</v>
      </c>
      <c r="D24" s="92">
        <v>8.0500000000000007</v>
      </c>
      <c r="E24" s="92">
        <v>27.34</v>
      </c>
      <c r="F24" s="92">
        <v>237</v>
      </c>
      <c r="G24" s="92">
        <v>0.11</v>
      </c>
      <c r="H24" s="92">
        <v>1.79</v>
      </c>
      <c r="I24" s="92">
        <v>0.21</v>
      </c>
      <c r="J24" s="92">
        <v>3.34</v>
      </c>
      <c r="K24" s="92">
        <v>0</v>
      </c>
      <c r="L24" s="92">
        <v>0.11</v>
      </c>
      <c r="M24" s="92">
        <v>27.07</v>
      </c>
      <c r="N24" s="92">
        <v>45</v>
      </c>
      <c r="O24" s="92">
        <v>142</v>
      </c>
      <c r="P24" s="92">
        <v>1.4</v>
      </c>
      <c r="Q24" s="92">
        <v>230.3</v>
      </c>
      <c r="R24" s="92">
        <v>5.43</v>
      </c>
      <c r="S24" s="92">
        <v>0.1</v>
      </c>
      <c r="T24" s="92">
        <v>0.02</v>
      </c>
      <c r="U24" s="93" t="s">
        <v>68</v>
      </c>
      <c r="V24" s="93" t="s">
        <v>29</v>
      </c>
    </row>
    <row r="25" spans="1:22" s="94" customFormat="1" ht="12.2" customHeight="1" x14ac:dyDescent="0.15">
      <c r="A25" s="90" t="s">
        <v>69</v>
      </c>
      <c r="B25" s="91">
        <v>180</v>
      </c>
      <c r="C25" s="92">
        <v>5.22</v>
      </c>
      <c r="D25" s="92">
        <v>4.5</v>
      </c>
      <c r="E25" s="92">
        <v>7.2</v>
      </c>
      <c r="F25" s="92">
        <v>95.4</v>
      </c>
      <c r="G25" s="92">
        <v>7.0000000000000007E-2</v>
      </c>
      <c r="H25" s="92">
        <v>1.26</v>
      </c>
      <c r="I25" s="92">
        <v>0.05</v>
      </c>
      <c r="J25" s="92">
        <v>0.13</v>
      </c>
      <c r="K25" s="92">
        <v>0</v>
      </c>
      <c r="L25" s="92">
        <v>0.31</v>
      </c>
      <c r="M25" s="92">
        <v>216</v>
      </c>
      <c r="N25" s="92">
        <v>25.2</v>
      </c>
      <c r="O25" s="92">
        <v>171</v>
      </c>
      <c r="P25" s="92">
        <v>0.18</v>
      </c>
      <c r="Q25" s="92">
        <v>262.8</v>
      </c>
      <c r="R25" s="92">
        <v>16.2</v>
      </c>
      <c r="S25" s="92">
        <v>0.04</v>
      </c>
      <c r="T25" s="92">
        <v>0</v>
      </c>
      <c r="U25" s="93" t="s">
        <v>167</v>
      </c>
      <c r="V25" s="93">
        <v>2017</v>
      </c>
    </row>
    <row r="26" spans="1:22" s="94" customFormat="1" ht="12.2" customHeight="1" x14ac:dyDescent="0.15">
      <c r="A26" s="90" t="s">
        <v>49</v>
      </c>
      <c r="B26" s="91">
        <v>40</v>
      </c>
      <c r="C26" s="92">
        <v>3.05</v>
      </c>
      <c r="D26" s="92">
        <v>0.25</v>
      </c>
      <c r="E26" s="92">
        <v>20.07</v>
      </c>
      <c r="F26" s="92">
        <v>94.73</v>
      </c>
      <c r="G26" s="92">
        <v>0.06</v>
      </c>
      <c r="H26" s="92">
        <v>0</v>
      </c>
      <c r="I26" s="92">
        <v>0</v>
      </c>
      <c r="J26" s="92">
        <v>0.78</v>
      </c>
      <c r="K26" s="92">
        <v>0</v>
      </c>
      <c r="L26" s="92">
        <v>0.02</v>
      </c>
      <c r="M26" s="92">
        <v>9.1999999999999993</v>
      </c>
      <c r="N26" s="92">
        <v>13.2</v>
      </c>
      <c r="O26" s="92">
        <v>33.6</v>
      </c>
      <c r="P26" s="92">
        <v>0.8</v>
      </c>
      <c r="Q26" s="92">
        <v>51.6</v>
      </c>
      <c r="R26" s="92">
        <v>0</v>
      </c>
      <c r="S26" s="92">
        <v>0.01</v>
      </c>
      <c r="T26" s="92">
        <v>0</v>
      </c>
      <c r="U26" s="93" t="s">
        <v>167</v>
      </c>
      <c r="V26" s="93" t="s">
        <v>39</v>
      </c>
    </row>
    <row r="27" spans="1:22" s="94" customFormat="1" ht="12.2" customHeight="1" x14ac:dyDescent="0.15">
      <c r="A27" s="90" t="s">
        <v>38</v>
      </c>
      <c r="B27" s="91">
        <v>30</v>
      </c>
      <c r="C27" s="92">
        <v>1.99</v>
      </c>
      <c r="D27" s="92">
        <v>0.26</v>
      </c>
      <c r="E27" s="92">
        <v>12.72</v>
      </c>
      <c r="F27" s="92">
        <v>61.19</v>
      </c>
      <c r="G27" s="92">
        <v>0.05</v>
      </c>
      <c r="H27" s="92">
        <v>0</v>
      </c>
      <c r="I27" s="92">
        <v>0</v>
      </c>
      <c r="J27" s="92">
        <v>0.66</v>
      </c>
      <c r="K27" s="92">
        <v>0</v>
      </c>
      <c r="L27" s="92">
        <v>0.02</v>
      </c>
      <c r="M27" s="92">
        <v>5.4</v>
      </c>
      <c r="N27" s="92">
        <v>5.7</v>
      </c>
      <c r="O27" s="92">
        <v>26.1</v>
      </c>
      <c r="P27" s="92">
        <v>1.2</v>
      </c>
      <c r="Q27" s="92">
        <v>40.799999999999997</v>
      </c>
      <c r="R27" s="92">
        <v>1.68</v>
      </c>
      <c r="S27" s="92">
        <v>0</v>
      </c>
      <c r="T27" s="92">
        <v>0</v>
      </c>
      <c r="U27" s="93" t="s">
        <v>167</v>
      </c>
      <c r="V27" s="93" t="s">
        <v>39</v>
      </c>
    </row>
    <row r="28" spans="1:22" s="94" customFormat="1" ht="24" customHeight="1" x14ac:dyDescent="0.15">
      <c r="A28" s="90" t="s">
        <v>240</v>
      </c>
      <c r="B28" s="91">
        <v>100</v>
      </c>
      <c r="C28" s="92">
        <v>1.32</v>
      </c>
      <c r="D28" s="92">
        <v>1</v>
      </c>
      <c r="E28" s="92">
        <v>8.82</v>
      </c>
      <c r="F28" s="92">
        <v>44.15</v>
      </c>
      <c r="G28" s="92">
        <v>0.06</v>
      </c>
      <c r="H28" s="92">
        <f>90*100/150</f>
        <v>60</v>
      </c>
      <c r="I28" s="92">
        <v>0.02</v>
      </c>
      <c r="J28" s="92">
        <v>0.33</v>
      </c>
      <c r="K28" s="92">
        <v>0</v>
      </c>
      <c r="L28" s="92">
        <v>0.05</v>
      </c>
      <c r="M28" s="92">
        <v>51</v>
      </c>
      <c r="N28" s="92">
        <v>19.5</v>
      </c>
      <c r="O28" s="92">
        <v>34.5</v>
      </c>
      <c r="P28" s="92">
        <v>0.45</v>
      </c>
      <c r="Q28" s="92">
        <v>295.5</v>
      </c>
      <c r="R28" s="92">
        <v>3</v>
      </c>
      <c r="S28" s="92">
        <v>0.03</v>
      </c>
      <c r="T28" s="92">
        <v>0</v>
      </c>
      <c r="U28" s="93" t="s">
        <v>170</v>
      </c>
      <c r="V28" s="93" t="s">
        <v>29</v>
      </c>
    </row>
    <row r="29" spans="1:22" ht="21.6" customHeight="1" x14ac:dyDescent="0.2">
      <c r="A29" s="29" t="s">
        <v>40</v>
      </c>
      <c r="B29" s="30">
        <f>SUM(B22:B28)</f>
        <v>765</v>
      </c>
      <c r="C29" s="82">
        <f t="shared" ref="C29:T29" si="1">SUM(C22:C28)</f>
        <v>27.889999999999997</v>
      </c>
      <c r="D29" s="82">
        <f t="shared" si="1"/>
        <v>23.960000000000004</v>
      </c>
      <c r="E29" s="82">
        <f t="shared" si="1"/>
        <v>101.15</v>
      </c>
      <c r="F29" s="82">
        <f t="shared" si="1"/>
        <v>706.7700000000001</v>
      </c>
      <c r="G29" s="82">
        <f t="shared" si="1"/>
        <v>0.45</v>
      </c>
      <c r="H29" s="82">
        <f t="shared" si="1"/>
        <v>72.55</v>
      </c>
      <c r="I29" s="82">
        <f t="shared" si="1"/>
        <v>0.56000000000000005</v>
      </c>
      <c r="J29" s="82">
        <f t="shared" si="1"/>
        <v>7.28</v>
      </c>
      <c r="K29" s="82">
        <f t="shared" si="1"/>
        <v>0.26</v>
      </c>
      <c r="L29" s="82">
        <f t="shared" si="1"/>
        <v>0.62000000000000011</v>
      </c>
      <c r="M29" s="82">
        <f t="shared" si="1"/>
        <v>358.94</v>
      </c>
      <c r="N29" s="82">
        <f t="shared" si="1"/>
        <v>145.52000000000001</v>
      </c>
      <c r="O29" s="82">
        <f t="shared" si="1"/>
        <v>500.51000000000005</v>
      </c>
      <c r="P29" s="82">
        <f t="shared" si="1"/>
        <v>5.9200000000000008</v>
      </c>
      <c r="Q29" s="82">
        <f t="shared" si="1"/>
        <v>1565.2899999999997</v>
      </c>
      <c r="R29" s="82">
        <f t="shared" si="1"/>
        <v>37.160000000000004</v>
      </c>
      <c r="S29" s="82">
        <f t="shared" si="1"/>
        <v>0.23000000000000004</v>
      </c>
      <c r="T29" s="82">
        <f t="shared" si="1"/>
        <v>0.02</v>
      </c>
      <c r="U29" s="83"/>
      <c r="V29" s="83"/>
    </row>
    <row r="30" spans="1:22" ht="14.1" customHeight="1" x14ac:dyDescent="0.2">
      <c r="A30" s="32"/>
      <c r="B30" s="3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32"/>
      <c r="V30" s="32"/>
    </row>
    <row r="31" spans="1:22" s="5" customFormat="1" ht="28.35" customHeight="1" x14ac:dyDescent="0.15">
      <c r="A31" s="166" t="s">
        <v>211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</row>
    <row r="32" spans="1:22" s="72" customFormat="1" ht="13.35" customHeight="1" x14ac:dyDescent="0.2">
      <c r="A32" s="158" t="s">
        <v>1</v>
      </c>
      <c r="B32" s="158" t="s">
        <v>2</v>
      </c>
      <c r="C32" s="155" t="s">
        <v>3</v>
      </c>
      <c r="D32" s="156"/>
      <c r="E32" s="157"/>
      <c r="F32" s="160" t="s">
        <v>4</v>
      </c>
      <c r="G32" s="155" t="s">
        <v>5</v>
      </c>
      <c r="H32" s="156"/>
      <c r="I32" s="156"/>
      <c r="J32" s="156"/>
      <c r="K32" s="156"/>
      <c r="L32" s="157"/>
      <c r="M32" s="155" t="s">
        <v>6</v>
      </c>
      <c r="N32" s="156"/>
      <c r="O32" s="156"/>
      <c r="P32" s="156"/>
      <c r="Q32" s="156"/>
      <c r="R32" s="156"/>
      <c r="S32" s="156"/>
      <c r="T32" s="157"/>
      <c r="U32" s="81" t="s">
        <v>7</v>
      </c>
      <c r="V32" s="81" t="s">
        <v>8</v>
      </c>
    </row>
    <row r="33" spans="1:22" ht="26.65" customHeight="1" x14ac:dyDescent="0.2">
      <c r="A33" s="159"/>
      <c r="B33" s="159"/>
      <c r="C33" s="82" t="s">
        <v>9</v>
      </c>
      <c r="D33" s="82" t="s">
        <v>10</v>
      </c>
      <c r="E33" s="82" t="s">
        <v>11</v>
      </c>
      <c r="F33" s="161"/>
      <c r="G33" s="82" t="s">
        <v>12</v>
      </c>
      <c r="H33" s="82" t="s">
        <v>13</v>
      </c>
      <c r="I33" s="82" t="s">
        <v>14</v>
      </c>
      <c r="J33" s="82" t="s">
        <v>15</v>
      </c>
      <c r="K33" s="82" t="s">
        <v>16</v>
      </c>
      <c r="L33" s="82" t="s">
        <v>17</v>
      </c>
      <c r="M33" s="82" t="s">
        <v>18</v>
      </c>
      <c r="N33" s="82" t="s">
        <v>19</v>
      </c>
      <c r="O33" s="82" t="s">
        <v>20</v>
      </c>
      <c r="P33" s="82" t="s">
        <v>21</v>
      </c>
      <c r="Q33" s="82" t="s">
        <v>22</v>
      </c>
      <c r="R33" s="82" t="s">
        <v>23</v>
      </c>
      <c r="S33" s="82" t="s">
        <v>24</v>
      </c>
      <c r="T33" s="82" t="s">
        <v>25</v>
      </c>
      <c r="U33" s="81"/>
      <c r="V33" s="81"/>
    </row>
    <row r="34" spans="1:22" ht="14.65" customHeight="1" x14ac:dyDescent="0.2">
      <c r="A34" s="150" t="s">
        <v>41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2"/>
      <c r="U34" s="21"/>
      <c r="V34" s="21"/>
    </row>
    <row r="35" spans="1:22" s="99" customFormat="1" ht="12.2" customHeight="1" x14ac:dyDescent="0.2">
      <c r="A35" s="90" t="s">
        <v>80</v>
      </c>
      <c r="B35" s="91">
        <v>60</v>
      </c>
      <c r="C35" s="92">
        <v>0.7</v>
      </c>
      <c r="D35" s="92">
        <v>0</v>
      </c>
      <c r="E35" s="92">
        <v>1.4</v>
      </c>
      <c r="F35" s="92">
        <v>8.4</v>
      </c>
      <c r="G35" s="92">
        <v>0.02</v>
      </c>
      <c r="H35" s="92">
        <v>6</v>
      </c>
      <c r="I35" s="92">
        <v>0</v>
      </c>
      <c r="J35" s="92">
        <v>0</v>
      </c>
      <c r="K35" s="92">
        <v>0</v>
      </c>
      <c r="L35" s="92">
        <v>0.02</v>
      </c>
      <c r="M35" s="92">
        <v>8.4</v>
      </c>
      <c r="N35" s="92">
        <v>12</v>
      </c>
      <c r="O35" s="92">
        <v>15.6</v>
      </c>
      <c r="P35" s="92">
        <v>0.6</v>
      </c>
      <c r="Q35" s="92">
        <v>174</v>
      </c>
      <c r="R35" s="92">
        <v>0</v>
      </c>
      <c r="S35" s="92">
        <v>0</v>
      </c>
      <c r="T35" s="92">
        <v>0</v>
      </c>
      <c r="U35" s="93" t="s">
        <v>57</v>
      </c>
      <c r="V35" s="93" t="s">
        <v>29</v>
      </c>
    </row>
    <row r="36" spans="1:22" s="94" customFormat="1" ht="12.2" customHeight="1" x14ac:dyDescent="0.15">
      <c r="A36" s="90" t="s">
        <v>81</v>
      </c>
      <c r="B36" s="91">
        <v>200</v>
      </c>
      <c r="C36" s="92">
        <f>5.93*0.2</f>
        <v>1.1859999999999999</v>
      </c>
      <c r="D36" s="92">
        <f>19.67*0.2</f>
        <v>3.9340000000000006</v>
      </c>
      <c r="E36" s="92">
        <f>44.36*0.2</f>
        <v>8.8719999999999999</v>
      </c>
      <c r="F36" s="92">
        <f>305*0.2</f>
        <v>61</v>
      </c>
      <c r="G36" s="92">
        <v>0.04</v>
      </c>
      <c r="H36" s="92">
        <v>6.27</v>
      </c>
      <c r="I36" s="92">
        <v>0.16</v>
      </c>
      <c r="J36" s="92">
        <v>1.74</v>
      </c>
      <c r="K36" s="92">
        <v>0</v>
      </c>
      <c r="L36" s="92">
        <v>0.03</v>
      </c>
      <c r="M36" s="92">
        <v>34.979999999999997</v>
      </c>
      <c r="N36" s="92">
        <v>14.83</v>
      </c>
      <c r="O36" s="92">
        <v>39.78</v>
      </c>
      <c r="P36" s="92">
        <v>0.65</v>
      </c>
      <c r="Q36" s="92">
        <v>196.91</v>
      </c>
      <c r="R36" s="92">
        <v>2.66</v>
      </c>
      <c r="S36" s="92">
        <v>0.02</v>
      </c>
      <c r="T36" s="92">
        <v>0</v>
      </c>
      <c r="U36" s="93" t="s">
        <v>82</v>
      </c>
      <c r="V36" s="93">
        <v>2017</v>
      </c>
    </row>
    <row r="37" spans="1:22" s="94" customFormat="1" ht="12.2" customHeight="1" x14ac:dyDescent="0.15">
      <c r="A37" s="90" t="s">
        <v>83</v>
      </c>
      <c r="B37" s="91">
        <v>150</v>
      </c>
      <c r="C37" s="92">
        <f>2.77*150/105</f>
        <v>3.9571428571428573</v>
      </c>
      <c r="D37" s="92">
        <f>6.99*150/105</f>
        <v>9.9857142857142858</v>
      </c>
      <c r="E37" s="92">
        <f>11.6*150/105</f>
        <v>16.571428571428573</v>
      </c>
      <c r="F37" s="92">
        <f>142*150/105</f>
        <v>202.85714285714286</v>
      </c>
      <c r="G37" s="92">
        <f>0.06*150/105</f>
        <v>8.5714285714285715E-2</v>
      </c>
      <c r="H37" s="92">
        <f>12.51*150/105</f>
        <v>17.87142857142857</v>
      </c>
      <c r="I37" s="92">
        <f>46*150/105</f>
        <v>65.714285714285708</v>
      </c>
      <c r="J37" s="92">
        <v>2.74</v>
      </c>
      <c r="K37" s="92">
        <v>0</v>
      </c>
      <c r="L37" s="92">
        <f>0.06*150/105</f>
        <v>8.5714285714285715E-2</v>
      </c>
      <c r="M37" s="92">
        <f>37.16*150/105</f>
        <v>53.085714285714275</v>
      </c>
      <c r="N37" s="92">
        <f>16.26*150/105</f>
        <v>23.228571428571431</v>
      </c>
      <c r="O37" s="92">
        <f>45*150/105</f>
        <v>64.285714285714292</v>
      </c>
      <c r="P37" s="92">
        <f>0.6*150/105</f>
        <v>0.8571428571428571</v>
      </c>
      <c r="Q37" s="92">
        <f>264.66*150/105</f>
        <v>378.08571428571435</v>
      </c>
      <c r="R37" s="92">
        <v>5.42</v>
      </c>
      <c r="S37" s="92">
        <v>0.03</v>
      </c>
      <c r="T37" s="92">
        <v>0</v>
      </c>
      <c r="U37" s="93" t="s">
        <v>84</v>
      </c>
      <c r="V37" s="93" t="s">
        <v>29</v>
      </c>
    </row>
    <row r="38" spans="1:22" s="94" customFormat="1" ht="12.2" customHeight="1" x14ac:dyDescent="0.15">
      <c r="A38" s="90" t="s">
        <v>234</v>
      </c>
      <c r="B38" s="91">
        <v>95</v>
      </c>
      <c r="C38" s="92">
        <f>6.94*90/55</f>
        <v>11.356363636363637</v>
      </c>
      <c r="D38" s="92">
        <f>7.51*90/55</f>
        <v>12.289090909090909</v>
      </c>
      <c r="E38" s="92">
        <f>7.41*90/55</f>
        <v>12.125454545454545</v>
      </c>
      <c r="F38" s="92">
        <f>122*90/55</f>
        <v>199.63636363636363</v>
      </c>
      <c r="G38" s="92">
        <v>0.06</v>
      </c>
      <c r="H38" s="92">
        <v>0.61</v>
      </c>
      <c r="I38" s="92">
        <v>22.2</v>
      </c>
      <c r="J38" s="92">
        <v>2.2999999999999998</v>
      </c>
      <c r="K38" s="92">
        <v>0.08</v>
      </c>
      <c r="L38" s="92">
        <f>0.08*120/80</f>
        <v>0.12</v>
      </c>
      <c r="M38" s="92">
        <f>44.13*120/80</f>
        <v>66.195000000000007</v>
      </c>
      <c r="N38" s="92">
        <f>22.33*120/80</f>
        <v>33.494999999999997</v>
      </c>
      <c r="O38" s="92">
        <f>99.55*120/80</f>
        <v>149.32499999999999</v>
      </c>
      <c r="P38" s="92">
        <f>0.79*120/80</f>
        <v>1.1850000000000001</v>
      </c>
      <c r="Q38" s="92">
        <v>387.71</v>
      </c>
      <c r="R38" s="92">
        <v>97.58</v>
      </c>
      <c r="S38" s="92">
        <v>0.4</v>
      </c>
      <c r="T38" s="92">
        <v>0.01</v>
      </c>
      <c r="U38" s="93" t="s">
        <v>85</v>
      </c>
      <c r="V38" s="93" t="s">
        <v>29</v>
      </c>
    </row>
    <row r="39" spans="1:22" s="94" customFormat="1" ht="12.2" customHeight="1" x14ac:dyDescent="0.15">
      <c r="A39" s="90" t="s">
        <v>174</v>
      </c>
      <c r="B39" s="91">
        <v>200</v>
      </c>
      <c r="C39" s="92">
        <v>0.6</v>
      </c>
      <c r="D39" s="92">
        <v>0.4</v>
      </c>
      <c r="E39" s="92">
        <v>32.6</v>
      </c>
      <c r="F39" s="92">
        <f>682*0.2</f>
        <v>136.4</v>
      </c>
      <c r="G39" s="92">
        <f>0.11*0.18</f>
        <v>1.9799999999999998E-2</v>
      </c>
      <c r="H39" s="92">
        <f>20*0.2</f>
        <v>4</v>
      </c>
      <c r="I39" s="92">
        <v>0</v>
      </c>
      <c r="J39" s="92">
        <v>0</v>
      </c>
      <c r="K39" s="92">
        <v>0</v>
      </c>
      <c r="L39" s="92">
        <v>0.02</v>
      </c>
      <c r="M39" s="92">
        <f>70*0.18</f>
        <v>12.6</v>
      </c>
      <c r="N39" s="92">
        <f>40*0.18</f>
        <v>7.1999999999999993</v>
      </c>
      <c r="O39" s="92">
        <f>70*0.18</f>
        <v>12.6</v>
      </c>
      <c r="P39" s="92">
        <f>14*0.18</f>
        <v>2.52</v>
      </c>
      <c r="Q39" s="92">
        <f>1200*0.18</f>
        <v>216</v>
      </c>
      <c r="R39" s="92">
        <v>1.8</v>
      </c>
      <c r="S39" s="92">
        <v>0</v>
      </c>
      <c r="T39" s="92">
        <v>0</v>
      </c>
      <c r="U39" s="93" t="s">
        <v>64</v>
      </c>
      <c r="V39" s="93">
        <v>2017</v>
      </c>
    </row>
    <row r="40" spans="1:22" s="94" customFormat="1" ht="12.2" customHeight="1" x14ac:dyDescent="0.15">
      <c r="A40" s="90" t="s">
        <v>36</v>
      </c>
      <c r="B40" s="91">
        <v>100</v>
      </c>
      <c r="C40" s="92">
        <v>0.4</v>
      </c>
      <c r="D40" s="92">
        <v>0.4</v>
      </c>
      <c r="E40" s="92">
        <v>9.8000000000000007</v>
      </c>
      <c r="F40" s="92">
        <v>47</v>
      </c>
      <c r="G40" s="92">
        <v>0.03</v>
      </c>
      <c r="H40" s="92">
        <v>10</v>
      </c>
      <c r="I40" s="92">
        <v>0.01</v>
      </c>
      <c r="J40" s="92">
        <v>0.63</v>
      </c>
      <c r="K40" s="92">
        <v>0</v>
      </c>
      <c r="L40" s="92">
        <v>0.02</v>
      </c>
      <c r="M40" s="92">
        <v>16</v>
      </c>
      <c r="N40" s="92">
        <v>8</v>
      </c>
      <c r="O40" s="92">
        <v>11</v>
      </c>
      <c r="P40" s="92">
        <v>2.2000000000000002</v>
      </c>
      <c r="Q40" s="92">
        <v>278</v>
      </c>
      <c r="R40" s="92">
        <v>2</v>
      </c>
      <c r="S40" s="92">
        <v>0.01</v>
      </c>
      <c r="T40" s="92">
        <v>0</v>
      </c>
      <c r="U40" s="93" t="s">
        <v>37</v>
      </c>
      <c r="V40" s="93" t="s">
        <v>29</v>
      </c>
    </row>
    <row r="41" spans="1:22" s="94" customFormat="1" ht="12.2" customHeight="1" x14ac:dyDescent="0.15">
      <c r="A41" s="90" t="s">
        <v>49</v>
      </c>
      <c r="B41" s="91">
        <v>40</v>
      </c>
      <c r="C41" s="92">
        <v>3.05</v>
      </c>
      <c r="D41" s="92">
        <v>0.25</v>
      </c>
      <c r="E41" s="92">
        <v>20.07</v>
      </c>
      <c r="F41" s="92">
        <v>94.73</v>
      </c>
      <c r="G41" s="92">
        <v>0.06</v>
      </c>
      <c r="H41" s="92">
        <v>0</v>
      </c>
      <c r="I41" s="92">
        <v>0</v>
      </c>
      <c r="J41" s="92">
        <v>0.78</v>
      </c>
      <c r="K41" s="92">
        <v>0</v>
      </c>
      <c r="L41" s="92">
        <v>0.02</v>
      </c>
      <c r="M41" s="92">
        <v>9.1999999999999993</v>
      </c>
      <c r="N41" s="92">
        <v>13.2</v>
      </c>
      <c r="O41" s="92">
        <v>33.6</v>
      </c>
      <c r="P41" s="92">
        <v>0.8</v>
      </c>
      <c r="Q41" s="92">
        <v>51.6</v>
      </c>
      <c r="R41" s="92">
        <v>0</v>
      </c>
      <c r="S41" s="92">
        <v>0.01</v>
      </c>
      <c r="T41" s="92">
        <v>0</v>
      </c>
      <c r="U41" s="93" t="s">
        <v>167</v>
      </c>
      <c r="V41" s="93" t="s">
        <v>39</v>
      </c>
    </row>
    <row r="42" spans="1:22" ht="21.6" customHeight="1" x14ac:dyDescent="0.2">
      <c r="A42" s="29" t="s">
        <v>40</v>
      </c>
      <c r="B42" s="30">
        <f>SUM(B35:B41)</f>
        <v>845</v>
      </c>
      <c r="C42" s="82">
        <f t="shared" ref="C42:T42" si="2">SUM(C35:C41)</f>
        <v>21.249506493506495</v>
      </c>
      <c r="D42" s="82">
        <f t="shared" si="2"/>
        <v>27.258805194805191</v>
      </c>
      <c r="E42" s="82">
        <f t="shared" si="2"/>
        <v>101.43888311688312</v>
      </c>
      <c r="F42" s="82">
        <f t="shared" si="2"/>
        <v>750.02350649350649</v>
      </c>
      <c r="G42" s="82">
        <f t="shared" si="2"/>
        <v>0.31551428571428569</v>
      </c>
      <c r="H42" s="82">
        <f t="shared" si="2"/>
        <v>44.751428571428569</v>
      </c>
      <c r="I42" s="82">
        <f t="shared" si="2"/>
        <v>88.084285714285713</v>
      </c>
      <c r="J42" s="82">
        <f t="shared" si="2"/>
        <v>8.19</v>
      </c>
      <c r="K42" s="82">
        <f t="shared" si="2"/>
        <v>0.08</v>
      </c>
      <c r="L42" s="82">
        <f t="shared" si="2"/>
        <v>0.31571428571428578</v>
      </c>
      <c r="M42" s="82">
        <f t="shared" si="2"/>
        <v>200.46071428571426</v>
      </c>
      <c r="N42" s="82">
        <f t="shared" si="2"/>
        <v>111.95357142857142</v>
      </c>
      <c r="O42" s="82">
        <f t="shared" si="2"/>
        <v>326.19071428571431</v>
      </c>
      <c r="P42" s="82">
        <f t="shared" si="2"/>
        <v>8.8121428571428595</v>
      </c>
      <c r="Q42" s="82">
        <f t="shared" si="2"/>
        <v>1682.3057142857142</v>
      </c>
      <c r="R42" s="82">
        <f t="shared" si="2"/>
        <v>109.46</v>
      </c>
      <c r="S42" s="82">
        <f t="shared" si="2"/>
        <v>0.47000000000000003</v>
      </c>
      <c r="T42" s="82">
        <f t="shared" si="2"/>
        <v>0.01</v>
      </c>
      <c r="U42" s="83"/>
      <c r="V42" s="83"/>
    </row>
    <row r="43" spans="1:22" ht="14.1" customHeight="1" x14ac:dyDescent="0.2">
      <c r="A43" s="32"/>
      <c r="B43" s="3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32"/>
      <c r="V43" s="32"/>
    </row>
    <row r="44" spans="1:22" s="5" customFormat="1" ht="28.35" customHeight="1" x14ac:dyDescent="0.15">
      <c r="A44" s="166" t="s">
        <v>212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</row>
    <row r="45" spans="1:22" s="72" customFormat="1" ht="13.35" customHeight="1" x14ac:dyDescent="0.2">
      <c r="A45" s="158" t="s">
        <v>1</v>
      </c>
      <c r="B45" s="158" t="s">
        <v>2</v>
      </c>
      <c r="C45" s="155" t="s">
        <v>3</v>
      </c>
      <c r="D45" s="156"/>
      <c r="E45" s="157"/>
      <c r="F45" s="160" t="s">
        <v>4</v>
      </c>
      <c r="G45" s="155" t="s">
        <v>5</v>
      </c>
      <c r="H45" s="156"/>
      <c r="I45" s="156"/>
      <c r="J45" s="156"/>
      <c r="K45" s="156"/>
      <c r="L45" s="157"/>
      <c r="M45" s="155" t="s">
        <v>6</v>
      </c>
      <c r="N45" s="156"/>
      <c r="O45" s="156"/>
      <c r="P45" s="156"/>
      <c r="Q45" s="156"/>
      <c r="R45" s="156"/>
      <c r="S45" s="156"/>
      <c r="T45" s="157"/>
      <c r="U45" s="81" t="s">
        <v>7</v>
      </c>
      <c r="V45" s="81" t="s">
        <v>8</v>
      </c>
    </row>
    <row r="46" spans="1:22" ht="26.65" customHeight="1" x14ac:dyDescent="0.2">
      <c r="A46" s="159"/>
      <c r="B46" s="159"/>
      <c r="C46" s="82" t="s">
        <v>9</v>
      </c>
      <c r="D46" s="82" t="s">
        <v>10</v>
      </c>
      <c r="E46" s="82" t="s">
        <v>11</v>
      </c>
      <c r="F46" s="161"/>
      <c r="G46" s="82" t="s">
        <v>12</v>
      </c>
      <c r="H46" s="82" t="s">
        <v>13</v>
      </c>
      <c r="I46" s="82" t="s">
        <v>14</v>
      </c>
      <c r="J46" s="82" t="s">
        <v>15</v>
      </c>
      <c r="K46" s="82" t="s">
        <v>16</v>
      </c>
      <c r="L46" s="82" t="s">
        <v>17</v>
      </c>
      <c r="M46" s="82" t="s">
        <v>18</v>
      </c>
      <c r="N46" s="82" t="s">
        <v>19</v>
      </c>
      <c r="O46" s="82" t="s">
        <v>20</v>
      </c>
      <c r="P46" s="82" t="s">
        <v>21</v>
      </c>
      <c r="Q46" s="82" t="s">
        <v>22</v>
      </c>
      <c r="R46" s="82" t="s">
        <v>23</v>
      </c>
      <c r="S46" s="82" t="s">
        <v>24</v>
      </c>
      <c r="T46" s="82" t="s">
        <v>25</v>
      </c>
      <c r="U46" s="81"/>
      <c r="V46" s="81"/>
    </row>
    <row r="47" spans="1:22" ht="14.65" customHeight="1" x14ac:dyDescent="0.2">
      <c r="A47" s="150" t="s">
        <v>41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2"/>
      <c r="U47" s="21"/>
      <c r="V47" s="21"/>
    </row>
    <row r="48" spans="1:22" s="99" customFormat="1" ht="12.2" customHeight="1" x14ac:dyDescent="0.2">
      <c r="A48" s="90" t="s">
        <v>90</v>
      </c>
      <c r="B48" s="91">
        <v>60</v>
      </c>
      <c r="C48" s="92">
        <v>0.8</v>
      </c>
      <c r="D48" s="92">
        <v>1.3</v>
      </c>
      <c r="E48" s="92">
        <v>4.2</v>
      </c>
      <c r="F48" s="92">
        <v>27.5</v>
      </c>
      <c r="G48" s="92">
        <v>0.03</v>
      </c>
      <c r="H48" s="92">
        <v>1.82</v>
      </c>
      <c r="I48" s="92">
        <v>1.1100000000000001</v>
      </c>
      <c r="J48" s="92">
        <v>1.63</v>
      </c>
      <c r="K48" s="92">
        <v>0</v>
      </c>
      <c r="L48" s="92">
        <v>0.03</v>
      </c>
      <c r="M48" s="92">
        <v>30.1</v>
      </c>
      <c r="N48" s="92">
        <v>20.059999999999999</v>
      </c>
      <c r="O48" s="92">
        <v>29.57</v>
      </c>
      <c r="P48" s="92">
        <v>0.54</v>
      </c>
      <c r="Q48" s="92">
        <v>122.7</v>
      </c>
      <c r="R48" s="92">
        <v>2.75</v>
      </c>
      <c r="S48" s="92">
        <v>0.03</v>
      </c>
      <c r="T48" s="92">
        <v>0</v>
      </c>
      <c r="U48" s="93" t="s">
        <v>237</v>
      </c>
      <c r="V48" s="93" t="s">
        <v>52</v>
      </c>
    </row>
    <row r="49" spans="1:22" s="94" customFormat="1" ht="12.2" customHeight="1" x14ac:dyDescent="0.15">
      <c r="A49" s="90" t="s">
        <v>91</v>
      </c>
      <c r="B49" s="91">
        <v>200</v>
      </c>
      <c r="C49" s="92">
        <v>3</v>
      </c>
      <c r="D49" s="92">
        <v>4.7</v>
      </c>
      <c r="E49" s="92">
        <v>12.9</v>
      </c>
      <c r="F49" s="92">
        <v>107.3</v>
      </c>
      <c r="G49" s="92">
        <v>0.06</v>
      </c>
      <c r="H49" s="92">
        <v>5.52</v>
      </c>
      <c r="I49" s="92">
        <v>0.19</v>
      </c>
      <c r="J49" s="92">
        <v>1.84</v>
      </c>
      <c r="K49" s="92">
        <v>0</v>
      </c>
      <c r="L49" s="92">
        <v>0.04</v>
      </c>
      <c r="M49" s="92">
        <v>49.24</v>
      </c>
      <c r="N49" s="92">
        <v>26.69</v>
      </c>
      <c r="O49" s="92">
        <v>72.25</v>
      </c>
      <c r="P49" s="92">
        <v>1.3</v>
      </c>
      <c r="Q49" s="92">
        <v>364.3</v>
      </c>
      <c r="R49" s="92">
        <v>3.94</v>
      </c>
      <c r="S49" s="92">
        <v>0.02</v>
      </c>
      <c r="T49" s="92">
        <v>0</v>
      </c>
      <c r="U49" s="93" t="s">
        <v>92</v>
      </c>
      <c r="V49" s="93" t="s">
        <v>29</v>
      </c>
    </row>
    <row r="50" spans="1:22" s="94" customFormat="1" ht="12.2" customHeight="1" x14ac:dyDescent="0.15">
      <c r="A50" s="90" t="s">
        <v>93</v>
      </c>
      <c r="B50" s="91">
        <v>170</v>
      </c>
      <c r="C50" s="92">
        <f>12.3*170/175</f>
        <v>11.948571428571428</v>
      </c>
      <c r="D50" s="92">
        <v>21.8</v>
      </c>
      <c r="E50" s="92">
        <f>16.58*170/175</f>
        <v>16.106285714285715</v>
      </c>
      <c r="F50" s="92">
        <f>323*170/175</f>
        <v>313.77142857142854</v>
      </c>
      <c r="G50" s="92">
        <v>0.36</v>
      </c>
      <c r="H50" s="92">
        <v>7.2</v>
      </c>
      <c r="I50" s="92">
        <v>0.03</v>
      </c>
      <c r="J50" s="92">
        <v>1.42</v>
      </c>
      <c r="K50" s="92">
        <v>0.05</v>
      </c>
      <c r="L50" s="92">
        <v>0.13</v>
      </c>
      <c r="M50" s="92">
        <v>25.93</v>
      </c>
      <c r="N50" s="92">
        <v>36.19</v>
      </c>
      <c r="O50" s="92">
        <v>160.52000000000001</v>
      </c>
      <c r="P50" s="92">
        <v>2.1</v>
      </c>
      <c r="Q50" s="92">
        <v>733.2</v>
      </c>
      <c r="R50" s="92">
        <v>9.64</v>
      </c>
      <c r="S50" s="92">
        <v>7.0000000000000007E-2</v>
      </c>
      <c r="T50" s="92">
        <v>0</v>
      </c>
      <c r="U50" s="93" t="s">
        <v>94</v>
      </c>
      <c r="V50" s="93">
        <v>2017</v>
      </c>
    </row>
    <row r="51" spans="1:22" s="94" customFormat="1" ht="12.2" customHeight="1" x14ac:dyDescent="0.15">
      <c r="A51" s="90" t="s">
        <v>118</v>
      </c>
      <c r="B51" s="91">
        <v>180</v>
      </c>
      <c r="C51" s="92">
        <v>2.65</v>
      </c>
      <c r="D51" s="92">
        <v>3.19</v>
      </c>
      <c r="E51" s="92">
        <v>15.82</v>
      </c>
      <c r="F51" s="92">
        <v>106.74</v>
      </c>
      <c r="G51" s="92">
        <v>0.03</v>
      </c>
      <c r="H51" s="92">
        <v>0.47</v>
      </c>
      <c r="I51" s="92">
        <v>0.01</v>
      </c>
      <c r="J51" s="92">
        <v>0</v>
      </c>
      <c r="K51" s="92">
        <v>0</v>
      </c>
      <c r="L51" s="92">
        <v>0.1</v>
      </c>
      <c r="M51" s="92">
        <v>100.28</v>
      </c>
      <c r="N51" s="92">
        <v>24.74</v>
      </c>
      <c r="O51" s="92">
        <v>86.02</v>
      </c>
      <c r="P51" s="92">
        <v>0.78</v>
      </c>
      <c r="Q51" s="92">
        <v>186.56</v>
      </c>
      <c r="R51" s="92">
        <v>8.1</v>
      </c>
      <c r="S51" s="92">
        <v>0</v>
      </c>
      <c r="T51" s="92">
        <v>0</v>
      </c>
      <c r="U51" s="93" t="s">
        <v>95</v>
      </c>
      <c r="V51" s="93" t="s">
        <v>29</v>
      </c>
    </row>
    <row r="52" spans="1:22" s="94" customFormat="1" ht="12.2" customHeight="1" x14ac:dyDescent="0.15">
      <c r="A52" s="90" t="s">
        <v>96</v>
      </c>
      <c r="B52" s="91">
        <v>30</v>
      </c>
      <c r="C52" s="92">
        <v>2.2999999999999998</v>
      </c>
      <c r="D52" s="92">
        <v>2.9</v>
      </c>
      <c r="E52" s="92">
        <v>22</v>
      </c>
      <c r="F52" s="92">
        <v>125.1</v>
      </c>
      <c r="G52" s="92">
        <v>0.02</v>
      </c>
      <c r="H52" s="92">
        <v>0</v>
      </c>
      <c r="I52" s="92">
        <v>0</v>
      </c>
      <c r="J52" s="92">
        <v>0</v>
      </c>
      <c r="K52" s="92">
        <v>0</v>
      </c>
      <c r="L52" s="92">
        <v>0.02</v>
      </c>
      <c r="M52" s="92">
        <v>8.6999999999999993</v>
      </c>
      <c r="N52" s="92">
        <v>6</v>
      </c>
      <c r="O52" s="92">
        <v>27</v>
      </c>
      <c r="P52" s="92">
        <v>0.63</v>
      </c>
      <c r="Q52" s="92">
        <v>33</v>
      </c>
      <c r="R52" s="92">
        <v>0</v>
      </c>
      <c r="S52" s="92">
        <v>0</v>
      </c>
      <c r="T52" s="92">
        <v>0</v>
      </c>
      <c r="U52" s="93" t="s">
        <v>167</v>
      </c>
      <c r="V52" s="93">
        <v>2017</v>
      </c>
    </row>
    <row r="53" spans="1:22" s="94" customFormat="1" ht="12.2" customHeight="1" x14ac:dyDescent="0.15">
      <c r="A53" s="90" t="s">
        <v>49</v>
      </c>
      <c r="B53" s="91">
        <v>40</v>
      </c>
      <c r="C53" s="92">
        <v>3.05</v>
      </c>
      <c r="D53" s="92">
        <v>0.25</v>
      </c>
      <c r="E53" s="92">
        <v>20.07</v>
      </c>
      <c r="F53" s="92">
        <v>94.73</v>
      </c>
      <c r="G53" s="92">
        <v>0.06</v>
      </c>
      <c r="H53" s="92">
        <v>0</v>
      </c>
      <c r="I53" s="92">
        <v>0</v>
      </c>
      <c r="J53" s="92">
        <v>0.78</v>
      </c>
      <c r="K53" s="92">
        <v>0</v>
      </c>
      <c r="L53" s="92">
        <v>0.02</v>
      </c>
      <c r="M53" s="92">
        <v>9.1999999999999993</v>
      </c>
      <c r="N53" s="92">
        <v>13.2</v>
      </c>
      <c r="O53" s="92">
        <v>33.6</v>
      </c>
      <c r="P53" s="92">
        <v>0.8</v>
      </c>
      <c r="Q53" s="92">
        <v>51.6</v>
      </c>
      <c r="R53" s="92">
        <v>0</v>
      </c>
      <c r="S53" s="92">
        <v>0.01</v>
      </c>
      <c r="T53" s="92">
        <v>0</v>
      </c>
      <c r="U53" s="93" t="s">
        <v>167</v>
      </c>
      <c r="V53" s="93" t="s">
        <v>39</v>
      </c>
    </row>
    <row r="54" spans="1:22" s="94" customFormat="1" ht="12.2" customHeight="1" x14ac:dyDescent="0.15">
      <c r="A54" s="90" t="s">
        <v>38</v>
      </c>
      <c r="B54" s="91">
        <v>20</v>
      </c>
      <c r="C54" s="92">
        <v>1.1200000000000001</v>
      </c>
      <c r="D54" s="92">
        <v>0.22</v>
      </c>
      <c r="E54" s="92">
        <v>9.8800000000000008</v>
      </c>
      <c r="F54" s="92">
        <v>45.98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3" t="s">
        <v>167</v>
      </c>
      <c r="V54" s="93" t="s">
        <v>39</v>
      </c>
    </row>
    <row r="55" spans="1:22" ht="21.6" customHeight="1" x14ac:dyDescent="0.2">
      <c r="A55" s="29" t="s">
        <v>40</v>
      </c>
      <c r="B55" s="30">
        <f>SUM(B48:B54)</f>
        <v>700</v>
      </c>
      <c r="C55" s="82">
        <f t="shared" ref="C55:T55" si="3">SUM(C48:C54)</f>
        <v>24.868571428571428</v>
      </c>
      <c r="D55" s="82">
        <f t="shared" si="3"/>
        <v>34.36</v>
      </c>
      <c r="E55" s="82">
        <f t="shared" si="3"/>
        <v>100.97628571428569</v>
      </c>
      <c r="F55" s="82">
        <f t="shared" si="3"/>
        <v>821.12142857142862</v>
      </c>
      <c r="G55" s="82">
        <f t="shared" si="3"/>
        <v>0.56000000000000005</v>
      </c>
      <c r="H55" s="82">
        <f t="shared" si="3"/>
        <v>15.01</v>
      </c>
      <c r="I55" s="82">
        <f t="shared" si="3"/>
        <v>1.34</v>
      </c>
      <c r="J55" s="82">
        <f t="shared" si="3"/>
        <v>5.67</v>
      </c>
      <c r="K55" s="82">
        <f t="shared" si="3"/>
        <v>0.05</v>
      </c>
      <c r="L55" s="82">
        <f t="shared" si="3"/>
        <v>0.34000000000000008</v>
      </c>
      <c r="M55" s="82">
        <f t="shared" si="3"/>
        <v>223.45</v>
      </c>
      <c r="N55" s="82">
        <f t="shared" si="3"/>
        <v>126.88</v>
      </c>
      <c r="O55" s="82">
        <f t="shared" si="3"/>
        <v>408.96000000000004</v>
      </c>
      <c r="P55" s="82">
        <f t="shared" si="3"/>
        <v>6.15</v>
      </c>
      <c r="Q55" s="82">
        <f t="shared" si="3"/>
        <v>1491.36</v>
      </c>
      <c r="R55" s="82">
        <f t="shared" si="3"/>
        <v>24.43</v>
      </c>
      <c r="S55" s="82">
        <f t="shared" si="3"/>
        <v>0.13</v>
      </c>
      <c r="T55" s="82">
        <f t="shared" si="3"/>
        <v>0</v>
      </c>
      <c r="U55" s="83"/>
      <c r="V55" s="83"/>
    </row>
    <row r="56" spans="1:22" ht="14.1" customHeight="1" x14ac:dyDescent="0.2">
      <c r="A56" s="32"/>
      <c r="B56" s="32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32"/>
      <c r="V56" s="32"/>
    </row>
    <row r="57" spans="1:22" s="5" customFormat="1" ht="28.35" customHeight="1" x14ac:dyDescent="0.15">
      <c r="A57" s="166" t="s">
        <v>213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</row>
    <row r="58" spans="1:22" s="72" customFormat="1" ht="13.35" customHeight="1" x14ac:dyDescent="0.2">
      <c r="A58" s="158" t="s">
        <v>1</v>
      </c>
      <c r="B58" s="158" t="s">
        <v>2</v>
      </c>
      <c r="C58" s="155" t="s">
        <v>3</v>
      </c>
      <c r="D58" s="156"/>
      <c r="E58" s="157"/>
      <c r="F58" s="160" t="s">
        <v>4</v>
      </c>
      <c r="G58" s="155" t="s">
        <v>5</v>
      </c>
      <c r="H58" s="156"/>
      <c r="I58" s="156"/>
      <c r="J58" s="156"/>
      <c r="K58" s="156"/>
      <c r="L58" s="157"/>
      <c r="M58" s="155" t="s">
        <v>6</v>
      </c>
      <c r="N58" s="156"/>
      <c r="O58" s="156"/>
      <c r="P58" s="156"/>
      <c r="Q58" s="156"/>
      <c r="R58" s="156"/>
      <c r="S58" s="156"/>
      <c r="T58" s="157"/>
      <c r="U58" s="81" t="s">
        <v>7</v>
      </c>
      <c r="V58" s="81" t="s">
        <v>8</v>
      </c>
    </row>
    <row r="59" spans="1:22" ht="26.65" customHeight="1" x14ac:dyDescent="0.2">
      <c r="A59" s="159"/>
      <c r="B59" s="159"/>
      <c r="C59" s="82" t="s">
        <v>9</v>
      </c>
      <c r="D59" s="82" t="s">
        <v>10</v>
      </c>
      <c r="E59" s="82" t="s">
        <v>11</v>
      </c>
      <c r="F59" s="161"/>
      <c r="G59" s="82" t="s">
        <v>12</v>
      </c>
      <c r="H59" s="82" t="s">
        <v>13</v>
      </c>
      <c r="I59" s="82" t="s">
        <v>14</v>
      </c>
      <c r="J59" s="82" t="s">
        <v>15</v>
      </c>
      <c r="K59" s="82" t="s">
        <v>16</v>
      </c>
      <c r="L59" s="82" t="s">
        <v>17</v>
      </c>
      <c r="M59" s="82" t="s">
        <v>18</v>
      </c>
      <c r="N59" s="82" t="s">
        <v>19</v>
      </c>
      <c r="O59" s="82" t="s">
        <v>20</v>
      </c>
      <c r="P59" s="82" t="s">
        <v>21</v>
      </c>
      <c r="Q59" s="82" t="s">
        <v>22</v>
      </c>
      <c r="R59" s="82" t="s">
        <v>23</v>
      </c>
      <c r="S59" s="82" t="s">
        <v>24</v>
      </c>
      <c r="T59" s="82" t="s">
        <v>25</v>
      </c>
      <c r="U59" s="81"/>
      <c r="V59" s="81"/>
    </row>
    <row r="60" spans="1:22" ht="14.65" customHeight="1" x14ac:dyDescent="0.2">
      <c r="A60" s="150" t="s">
        <v>41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2"/>
      <c r="U60" s="21"/>
      <c r="V60" s="21"/>
    </row>
    <row r="61" spans="1:22" s="94" customFormat="1" ht="12.2" customHeight="1" x14ac:dyDescent="0.15">
      <c r="A61" s="90" t="s">
        <v>100</v>
      </c>
      <c r="B61" s="91">
        <v>60</v>
      </c>
      <c r="C61" s="92">
        <v>0.7</v>
      </c>
      <c r="D61" s="92">
        <v>3.1</v>
      </c>
      <c r="E61" s="92">
        <v>5.7</v>
      </c>
      <c r="F61" s="92">
        <v>44</v>
      </c>
      <c r="G61" s="92">
        <v>0.02</v>
      </c>
      <c r="H61" s="92">
        <v>15.61</v>
      </c>
      <c r="I61" s="92">
        <v>0.19</v>
      </c>
      <c r="J61" s="92">
        <v>1.44</v>
      </c>
      <c r="K61" s="92">
        <v>0</v>
      </c>
      <c r="L61" s="92">
        <v>0</v>
      </c>
      <c r="M61" s="92">
        <v>21.61</v>
      </c>
      <c r="N61" s="92">
        <v>10.210000000000001</v>
      </c>
      <c r="O61" s="92">
        <v>16.21</v>
      </c>
      <c r="P61" s="92">
        <v>0.66</v>
      </c>
      <c r="Q61" s="92">
        <v>0</v>
      </c>
      <c r="R61" s="92">
        <v>0</v>
      </c>
      <c r="S61" s="92">
        <v>0</v>
      </c>
      <c r="T61" s="92">
        <v>0</v>
      </c>
      <c r="U61" s="93" t="s">
        <v>181</v>
      </c>
      <c r="V61" s="93" t="s">
        <v>43</v>
      </c>
    </row>
    <row r="62" spans="1:22" s="94" customFormat="1" ht="12.2" customHeight="1" x14ac:dyDescent="0.15">
      <c r="A62" s="90" t="s">
        <v>101</v>
      </c>
      <c r="B62" s="91">
        <v>200</v>
      </c>
      <c r="C62" s="92">
        <v>7.7</v>
      </c>
      <c r="D62" s="92">
        <v>12.7</v>
      </c>
      <c r="E62" s="92">
        <v>6.1</v>
      </c>
      <c r="F62" s="92">
        <v>232.9</v>
      </c>
      <c r="G62" s="92">
        <v>0.26</v>
      </c>
      <c r="H62" s="92">
        <v>6.24</v>
      </c>
      <c r="I62" s="92">
        <v>0.15</v>
      </c>
      <c r="J62" s="92">
        <v>1.53</v>
      </c>
      <c r="K62" s="92">
        <v>0.09</v>
      </c>
      <c r="L62" s="92">
        <v>0.11</v>
      </c>
      <c r="M62" s="92">
        <v>36.21</v>
      </c>
      <c r="N62" s="92">
        <v>27.13</v>
      </c>
      <c r="O62" s="92">
        <v>123.38</v>
      </c>
      <c r="P62" s="92">
        <v>1.58</v>
      </c>
      <c r="Q62" s="92">
        <v>405.59</v>
      </c>
      <c r="R62" s="92">
        <v>7.31</v>
      </c>
      <c r="S62" s="92">
        <v>0.06</v>
      </c>
      <c r="T62" s="92">
        <v>0</v>
      </c>
      <c r="U62" s="93" t="s">
        <v>180</v>
      </c>
      <c r="V62" s="93" t="s">
        <v>29</v>
      </c>
    </row>
    <row r="63" spans="1:22" s="94" customFormat="1" ht="12.2" customHeight="1" x14ac:dyDescent="0.15">
      <c r="A63" s="90" t="s">
        <v>102</v>
      </c>
      <c r="B63" s="91">
        <v>150</v>
      </c>
      <c r="C63" s="92">
        <v>6.8</v>
      </c>
      <c r="D63" s="92">
        <v>6.8</v>
      </c>
      <c r="E63" s="92">
        <v>33.200000000000003</v>
      </c>
      <c r="F63" s="92">
        <v>216.9</v>
      </c>
      <c r="G63" s="92">
        <v>0.08</v>
      </c>
      <c r="H63" s="92">
        <v>0.17</v>
      </c>
      <c r="I63" s="92">
        <v>0.14000000000000001</v>
      </c>
      <c r="J63" s="92">
        <v>3.01</v>
      </c>
      <c r="K63" s="92">
        <v>0.92</v>
      </c>
      <c r="L63" s="92">
        <v>0.22</v>
      </c>
      <c r="M63" s="92">
        <v>127.6</v>
      </c>
      <c r="N63" s="92">
        <v>16.29</v>
      </c>
      <c r="O63" s="92">
        <v>155.37</v>
      </c>
      <c r="P63" s="92">
        <v>1.69</v>
      </c>
      <c r="Q63" s="92">
        <v>150.41</v>
      </c>
      <c r="R63" s="92">
        <v>11.03</v>
      </c>
      <c r="S63" s="92">
        <v>0.03</v>
      </c>
      <c r="T63" s="92">
        <v>0.02</v>
      </c>
      <c r="U63" s="93" t="s">
        <v>177</v>
      </c>
      <c r="V63" s="93">
        <v>2017</v>
      </c>
    </row>
    <row r="64" spans="1:22" s="94" customFormat="1" ht="12.2" customHeight="1" x14ac:dyDescent="0.15">
      <c r="A64" s="90" t="s">
        <v>103</v>
      </c>
      <c r="B64" s="91">
        <v>200</v>
      </c>
      <c r="C64" s="92">
        <v>1.4</v>
      </c>
      <c r="D64" s="92">
        <v>0.4</v>
      </c>
      <c r="E64" s="92">
        <v>22.8</v>
      </c>
      <c r="F64" s="92">
        <v>100.4</v>
      </c>
      <c r="G64" s="92">
        <f>0.11*0.18</f>
        <v>1.9799999999999998E-2</v>
      </c>
      <c r="H64" s="92">
        <f>74*0.18</f>
        <v>13.32</v>
      </c>
      <c r="I64" s="92">
        <f>0</f>
        <v>0</v>
      </c>
      <c r="J64" s="92">
        <v>0</v>
      </c>
      <c r="K64" s="92">
        <v>0</v>
      </c>
      <c r="L64" s="92">
        <f>0.22*0.18</f>
        <v>3.9599999999999996E-2</v>
      </c>
      <c r="M64" s="92">
        <f>170*0.18</f>
        <v>30.599999999999998</v>
      </c>
      <c r="N64" s="92">
        <f>60*0.18</f>
        <v>10.799999999999999</v>
      </c>
      <c r="O64" s="92">
        <f>180*0.18</f>
        <v>32.4</v>
      </c>
      <c r="P64" s="92">
        <f>3*0.18</f>
        <v>0.54</v>
      </c>
      <c r="Q64" s="92">
        <f>2500*0.18</f>
        <v>450</v>
      </c>
      <c r="R64" s="92">
        <v>0</v>
      </c>
      <c r="S64" s="92">
        <v>0</v>
      </c>
      <c r="T64" s="92">
        <v>0</v>
      </c>
      <c r="U64" s="93" t="s">
        <v>64</v>
      </c>
      <c r="V64" s="93" t="s">
        <v>29</v>
      </c>
    </row>
    <row r="65" spans="1:22" s="94" customFormat="1" ht="12.2" customHeight="1" x14ac:dyDescent="0.15">
      <c r="A65" s="90" t="s">
        <v>49</v>
      </c>
      <c r="B65" s="91">
        <v>30</v>
      </c>
      <c r="C65" s="92">
        <v>2.2999999999999998</v>
      </c>
      <c r="D65" s="92">
        <v>0.19</v>
      </c>
      <c r="E65" s="92">
        <v>15.05</v>
      </c>
      <c r="F65" s="92">
        <v>71.05</v>
      </c>
      <c r="G65" s="92">
        <v>0.05</v>
      </c>
      <c r="H65" s="92">
        <v>0</v>
      </c>
      <c r="I65" s="92">
        <v>0</v>
      </c>
      <c r="J65" s="92">
        <v>0.59</v>
      </c>
      <c r="K65" s="92">
        <v>0</v>
      </c>
      <c r="L65" s="92">
        <v>0.02</v>
      </c>
      <c r="M65" s="92">
        <v>6.9</v>
      </c>
      <c r="N65" s="92">
        <v>9.9</v>
      </c>
      <c r="O65" s="92">
        <v>25.2</v>
      </c>
      <c r="P65" s="92">
        <v>0.6</v>
      </c>
      <c r="Q65" s="92">
        <v>38.700000000000003</v>
      </c>
      <c r="R65" s="92">
        <v>0</v>
      </c>
      <c r="S65" s="92">
        <v>0</v>
      </c>
      <c r="T65" s="92">
        <v>0</v>
      </c>
      <c r="U65" s="93" t="s">
        <v>167</v>
      </c>
      <c r="V65" s="93" t="s">
        <v>39</v>
      </c>
    </row>
    <row r="66" spans="1:22" s="94" customFormat="1" ht="12.2" customHeight="1" x14ac:dyDescent="0.15">
      <c r="A66" s="90" t="s">
        <v>38</v>
      </c>
      <c r="B66" s="91">
        <v>20</v>
      </c>
      <c r="C66" s="92">
        <v>1.1200000000000001</v>
      </c>
      <c r="D66" s="92">
        <v>0.22</v>
      </c>
      <c r="E66" s="92">
        <v>9.8800000000000008</v>
      </c>
      <c r="F66" s="92">
        <v>45.98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3" t="s">
        <v>167</v>
      </c>
      <c r="V66" s="93" t="s">
        <v>39</v>
      </c>
    </row>
    <row r="67" spans="1:22" s="94" customFormat="1" ht="12.2" customHeight="1" x14ac:dyDescent="0.15">
      <c r="A67" s="90" t="s">
        <v>238</v>
      </c>
      <c r="B67" s="91">
        <v>200</v>
      </c>
      <c r="C67" s="92">
        <v>5.8</v>
      </c>
      <c r="D67" s="92">
        <v>5</v>
      </c>
      <c r="E67" s="92">
        <v>9.6</v>
      </c>
      <c r="F67" s="92">
        <v>107</v>
      </c>
      <c r="G67" s="92">
        <v>0.08</v>
      </c>
      <c r="H67" s="92">
        <v>2.6</v>
      </c>
      <c r="I67" s="92">
        <v>40</v>
      </c>
      <c r="J67" s="92">
        <v>0</v>
      </c>
      <c r="K67" s="92">
        <v>0</v>
      </c>
      <c r="L67" s="92">
        <v>0.03</v>
      </c>
      <c r="M67" s="92">
        <v>240</v>
      </c>
      <c r="N67" s="92">
        <v>28</v>
      </c>
      <c r="O67" s="92">
        <v>180</v>
      </c>
      <c r="P67" s="92">
        <v>0.2</v>
      </c>
      <c r="Q67" s="92">
        <v>292</v>
      </c>
      <c r="R67" s="92">
        <v>0</v>
      </c>
      <c r="S67" s="92">
        <v>0</v>
      </c>
      <c r="T67" s="92">
        <v>0</v>
      </c>
      <c r="U67" s="93" t="s">
        <v>167</v>
      </c>
      <c r="V67" s="93"/>
    </row>
    <row r="68" spans="1:22" s="99" customFormat="1" ht="21.6" customHeight="1" x14ac:dyDescent="0.2">
      <c r="A68" s="95" t="s">
        <v>40</v>
      </c>
      <c r="B68" s="101">
        <f>SUM(B61:B67)</f>
        <v>860</v>
      </c>
      <c r="C68" s="97">
        <f t="shared" ref="C68:T68" si="4">SUM(C61:C67)</f>
        <v>25.82</v>
      </c>
      <c r="D68" s="97">
        <f t="shared" si="4"/>
        <v>28.409999999999997</v>
      </c>
      <c r="E68" s="97">
        <f t="shared" si="4"/>
        <v>102.32999999999998</v>
      </c>
      <c r="F68" s="97">
        <f t="shared" si="4"/>
        <v>818.2299999999999</v>
      </c>
      <c r="G68" s="97">
        <f t="shared" si="4"/>
        <v>0.50980000000000003</v>
      </c>
      <c r="H68" s="97">
        <f t="shared" si="4"/>
        <v>37.940000000000005</v>
      </c>
      <c r="I68" s="97">
        <f t="shared" si="4"/>
        <v>40.479999999999997</v>
      </c>
      <c r="J68" s="97">
        <f t="shared" si="4"/>
        <v>6.5699999999999994</v>
      </c>
      <c r="K68" s="97">
        <f t="shared" si="4"/>
        <v>1.01</v>
      </c>
      <c r="L68" s="97">
        <f t="shared" si="4"/>
        <v>0.41960000000000008</v>
      </c>
      <c r="M68" s="97">
        <f t="shared" si="4"/>
        <v>462.91999999999996</v>
      </c>
      <c r="N68" s="97">
        <f t="shared" si="4"/>
        <v>102.33000000000001</v>
      </c>
      <c r="O68" s="97">
        <f t="shared" si="4"/>
        <v>532.55999999999995</v>
      </c>
      <c r="P68" s="97">
        <f t="shared" si="4"/>
        <v>5.2700000000000005</v>
      </c>
      <c r="Q68" s="97">
        <f t="shared" si="4"/>
        <v>1336.7</v>
      </c>
      <c r="R68" s="97">
        <f t="shared" si="4"/>
        <v>18.34</v>
      </c>
      <c r="S68" s="97">
        <f t="shared" si="4"/>
        <v>0.09</v>
      </c>
      <c r="T68" s="97">
        <f t="shared" si="4"/>
        <v>0.02</v>
      </c>
      <c r="U68" s="98"/>
      <c r="V68" s="98"/>
    </row>
    <row r="69" spans="1:22" ht="14.1" customHeight="1" x14ac:dyDescent="0.2">
      <c r="A69" s="32"/>
      <c r="B69" s="3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32"/>
      <c r="V69" s="32"/>
    </row>
    <row r="70" spans="1:22" s="5" customFormat="1" ht="28.35" customHeight="1" x14ac:dyDescent="0.15">
      <c r="A70" s="166" t="s">
        <v>214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</row>
    <row r="71" spans="1:22" s="72" customFormat="1" ht="13.35" customHeight="1" x14ac:dyDescent="0.2">
      <c r="A71" s="158" t="s">
        <v>1</v>
      </c>
      <c r="B71" s="158" t="s">
        <v>2</v>
      </c>
      <c r="C71" s="155" t="s">
        <v>3</v>
      </c>
      <c r="D71" s="156"/>
      <c r="E71" s="157"/>
      <c r="F71" s="160" t="s">
        <v>4</v>
      </c>
      <c r="G71" s="155" t="s">
        <v>5</v>
      </c>
      <c r="H71" s="156"/>
      <c r="I71" s="156"/>
      <c r="J71" s="156"/>
      <c r="K71" s="156"/>
      <c r="L71" s="157"/>
      <c r="M71" s="155" t="s">
        <v>6</v>
      </c>
      <c r="N71" s="156"/>
      <c r="O71" s="156"/>
      <c r="P71" s="156"/>
      <c r="Q71" s="156"/>
      <c r="R71" s="156"/>
      <c r="S71" s="156"/>
      <c r="T71" s="157"/>
      <c r="U71" s="81" t="s">
        <v>7</v>
      </c>
      <c r="V71" s="81" t="s">
        <v>8</v>
      </c>
    </row>
    <row r="72" spans="1:22" ht="26.65" customHeight="1" x14ac:dyDescent="0.2">
      <c r="A72" s="159"/>
      <c r="B72" s="159"/>
      <c r="C72" s="82" t="s">
        <v>9</v>
      </c>
      <c r="D72" s="82" t="s">
        <v>10</v>
      </c>
      <c r="E72" s="82" t="s">
        <v>11</v>
      </c>
      <c r="F72" s="161"/>
      <c r="G72" s="82" t="s">
        <v>12</v>
      </c>
      <c r="H72" s="82" t="s">
        <v>13</v>
      </c>
      <c r="I72" s="82" t="s">
        <v>14</v>
      </c>
      <c r="J72" s="82" t="s">
        <v>15</v>
      </c>
      <c r="K72" s="82" t="s">
        <v>16</v>
      </c>
      <c r="L72" s="82" t="s">
        <v>17</v>
      </c>
      <c r="M72" s="82" t="s">
        <v>18</v>
      </c>
      <c r="N72" s="82" t="s">
        <v>19</v>
      </c>
      <c r="O72" s="82" t="s">
        <v>20</v>
      </c>
      <c r="P72" s="82" t="s">
        <v>21</v>
      </c>
      <c r="Q72" s="82" t="s">
        <v>22</v>
      </c>
      <c r="R72" s="82" t="s">
        <v>23</v>
      </c>
      <c r="S72" s="82" t="s">
        <v>24</v>
      </c>
      <c r="T72" s="82" t="s">
        <v>25</v>
      </c>
      <c r="U72" s="81"/>
      <c r="V72" s="81"/>
    </row>
    <row r="73" spans="1:22" ht="14.65" customHeight="1" x14ac:dyDescent="0.2">
      <c r="A73" s="150" t="s">
        <v>41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2"/>
      <c r="U73" s="21"/>
      <c r="V73" s="21"/>
    </row>
    <row r="74" spans="1:22" s="94" customFormat="1" ht="12.2" customHeight="1" x14ac:dyDescent="0.15">
      <c r="A74" s="90" t="s">
        <v>42</v>
      </c>
      <c r="B74" s="91">
        <v>60</v>
      </c>
      <c r="C74" s="92">
        <v>1.5</v>
      </c>
      <c r="D74" s="92">
        <v>7.3</v>
      </c>
      <c r="E74" s="92">
        <v>4.5999999999999996</v>
      </c>
      <c r="F74" s="92">
        <v>71.400000000000006</v>
      </c>
      <c r="G74" s="92">
        <v>0.01</v>
      </c>
      <c r="H74" s="92">
        <v>4.2</v>
      </c>
      <c r="I74" s="92">
        <v>0.11</v>
      </c>
      <c r="J74" s="92">
        <v>0</v>
      </c>
      <c r="K74" s="92">
        <v>0</v>
      </c>
      <c r="L74" s="92">
        <v>0.03</v>
      </c>
      <c r="M74" s="92">
        <v>24.6</v>
      </c>
      <c r="N74" s="92">
        <v>9</v>
      </c>
      <c r="O74" s="92">
        <v>22.2</v>
      </c>
      <c r="P74" s="92">
        <v>0.42</v>
      </c>
      <c r="Q74" s="92">
        <v>189</v>
      </c>
      <c r="R74" s="92">
        <v>0</v>
      </c>
      <c r="S74" s="92">
        <v>0</v>
      </c>
      <c r="T74" s="92">
        <v>0</v>
      </c>
      <c r="U74" s="93" t="s">
        <v>167</v>
      </c>
      <c r="V74" s="93" t="s">
        <v>43</v>
      </c>
    </row>
    <row r="75" spans="1:22" s="94" customFormat="1" ht="12.2" customHeight="1" x14ac:dyDescent="0.15">
      <c r="A75" s="90" t="s">
        <v>112</v>
      </c>
      <c r="B75" s="91">
        <v>200</v>
      </c>
      <c r="C75" s="92">
        <f>19.96*0.2</f>
        <v>3.9920000000000004</v>
      </c>
      <c r="D75" s="92">
        <f>21.08*0.2</f>
        <v>4.2160000000000002</v>
      </c>
      <c r="E75" s="92">
        <f>66.14*0.2</f>
        <v>13.228000000000002</v>
      </c>
      <c r="F75" s="92">
        <f>593*0.2</f>
        <v>118.60000000000001</v>
      </c>
      <c r="G75" s="92">
        <f>0.91*0.2</f>
        <v>0.18200000000000002</v>
      </c>
      <c r="H75" s="92">
        <f>29.3*0.2</f>
        <v>5.86</v>
      </c>
      <c r="I75" s="92">
        <v>0</v>
      </c>
      <c r="J75" s="92">
        <v>3.25</v>
      </c>
      <c r="K75" s="92">
        <v>0</v>
      </c>
      <c r="L75" s="92">
        <f>0.29*0.2</f>
        <v>5.7999999999999996E-2</v>
      </c>
      <c r="M75" s="92">
        <f>170.7*0.2</f>
        <v>34.14</v>
      </c>
      <c r="N75" s="92">
        <f>142.3*0.2</f>
        <v>28.460000000000004</v>
      </c>
      <c r="O75" s="92">
        <f>352.4*0.2</f>
        <v>70.48</v>
      </c>
      <c r="P75" s="92">
        <f>8.2*0.2</f>
        <v>1.64</v>
      </c>
      <c r="Q75" s="92">
        <f>1891.3*0.2</f>
        <v>378.26</v>
      </c>
      <c r="R75" s="92">
        <v>3.33</v>
      </c>
      <c r="S75" s="92">
        <v>0.02</v>
      </c>
      <c r="T75" s="92">
        <v>0</v>
      </c>
      <c r="U75" s="93" t="s">
        <v>113</v>
      </c>
      <c r="V75" s="93" t="s">
        <v>29</v>
      </c>
    </row>
    <row r="76" spans="1:22" s="99" customFormat="1" ht="12.2" customHeight="1" x14ac:dyDescent="0.2">
      <c r="A76" s="90" t="s">
        <v>235</v>
      </c>
      <c r="B76" s="91">
        <v>150</v>
      </c>
      <c r="C76" s="92">
        <v>3.7</v>
      </c>
      <c r="D76" s="92">
        <v>4.3</v>
      </c>
      <c r="E76" s="92">
        <v>22.1</v>
      </c>
      <c r="F76" s="92">
        <v>148.4</v>
      </c>
      <c r="G76" s="92">
        <v>0.04</v>
      </c>
      <c r="H76" s="92">
        <v>21.45</v>
      </c>
      <c r="I76" s="92">
        <v>0.08</v>
      </c>
      <c r="J76" s="92">
        <v>0.3</v>
      </c>
      <c r="K76" s="92">
        <v>0.08</v>
      </c>
      <c r="L76" s="92">
        <v>0.06</v>
      </c>
      <c r="M76" s="92">
        <v>64.849999999999994</v>
      </c>
      <c r="N76" s="92">
        <v>29.78</v>
      </c>
      <c r="O76" s="92">
        <v>66.09</v>
      </c>
      <c r="P76" s="92">
        <v>1.42</v>
      </c>
      <c r="Q76" s="92">
        <v>284.07</v>
      </c>
      <c r="R76" s="92">
        <v>3.93</v>
      </c>
      <c r="S76" s="92">
        <v>0.02</v>
      </c>
      <c r="T76" s="92">
        <v>0</v>
      </c>
      <c r="U76" s="93" t="s">
        <v>59</v>
      </c>
      <c r="V76" s="93">
        <v>2017</v>
      </c>
    </row>
    <row r="77" spans="1:22" s="94" customFormat="1" ht="12.2" customHeight="1" x14ac:dyDescent="0.15">
      <c r="A77" s="90" t="s">
        <v>114</v>
      </c>
      <c r="B77" s="91">
        <v>130</v>
      </c>
      <c r="C77" s="92">
        <f>7.46*130/110</f>
        <v>8.8163636363636364</v>
      </c>
      <c r="D77" s="92">
        <f>6.29*130/110</f>
        <v>7.4336363636363645</v>
      </c>
      <c r="E77" s="92">
        <f>13.44*130/110</f>
        <v>15.883636363636365</v>
      </c>
      <c r="F77" s="92">
        <f>142*130/110</f>
        <v>167.81818181818181</v>
      </c>
      <c r="G77" s="92">
        <f>0.05*130/110</f>
        <v>5.909090909090909E-2</v>
      </c>
      <c r="H77" s="92">
        <f>0.41*130/110</f>
        <v>0.4845454545454545</v>
      </c>
      <c r="I77" s="92">
        <f>33*130/110</f>
        <v>39</v>
      </c>
      <c r="J77" s="92">
        <v>2.69</v>
      </c>
      <c r="K77" s="92">
        <v>0</v>
      </c>
      <c r="L77" s="92">
        <f>0.07*130/110</f>
        <v>8.2727272727272746E-2</v>
      </c>
      <c r="M77" s="92">
        <f>23.65*130/110</f>
        <v>27.95</v>
      </c>
      <c r="N77" s="92">
        <f>16.5*130/110</f>
        <v>19.5</v>
      </c>
      <c r="O77" s="92">
        <f>83.14*130/110</f>
        <v>98.256363636363645</v>
      </c>
      <c r="P77" s="92">
        <f>0.68*130/110</f>
        <v>0.8036363636363637</v>
      </c>
      <c r="Q77" s="92">
        <f>151.6*130/110</f>
        <v>179.16363636363636</v>
      </c>
      <c r="R77" s="92">
        <v>7.65</v>
      </c>
      <c r="S77" s="92">
        <v>7.0000000000000007E-2</v>
      </c>
      <c r="T77" s="92">
        <v>0</v>
      </c>
      <c r="U77" s="93" t="s">
        <v>115</v>
      </c>
      <c r="V77" s="93" t="s">
        <v>29</v>
      </c>
    </row>
    <row r="78" spans="1:22" s="94" customFormat="1" ht="12.2" customHeight="1" x14ac:dyDescent="0.15">
      <c r="A78" s="90" t="s">
        <v>89</v>
      </c>
      <c r="B78" s="91">
        <v>180</v>
      </c>
      <c r="C78" s="92">
        <v>5.2</v>
      </c>
      <c r="D78" s="92">
        <v>4.5</v>
      </c>
      <c r="E78" s="92">
        <v>7.2</v>
      </c>
      <c r="F78" s="92">
        <v>95.4</v>
      </c>
      <c r="G78" s="92">
        <v>7.0000000000000007E-2</v>
      </c>
      <c r="H78" s="92">
        <v>1.26</v>
      </c>
      <c r="I78" s="92">
        <v>0.05</v>
      </c>
      <c r="J78" s="92">
        <v>0.13</v>
      </c>
      <c r="K78" s="92">
        <v>0</v>
      </c>
      <c r="L78" s="92">
        <v>0.31</v>
      </c>
      <c r="M78" s="92">
        <v>216</v>
      </c>
      <c r="N78" s="92">
        <v>25.2</v>
      </c>
      <c r="O78" s="92">
        <v>171</v>
      </c>
      <c r="P78" s="92">
        <v>0.18</v>
      </c>
      <c r="Q78" s="92">
        <v>262.8</v>
      </c>
      <c r="R78" s="92">
        <v>16.2</v>
      </c>
      <c r="S78" s="92">
        <v>0.04</v>
      </c>
      <c r="T78" s="92">
        <v>0</v>
      </c>
      <c r="U78" s="93" t="s">
        <v>167</v>
      </c>
      <c r="V78" s="93" t="s">
        <v>29</v>
      </c>
    </row>
    <row r="79" spans="1:22" s="94" customFormat="1" ht="12.2" customHeight="1" x14ac:dyDescent="0.15">
      <c r="A79" s="90" t="s">
        <v>49</v>
      </c>
      <c r="B79" s="91">
        <v>30</v>
      </c>
      <c r="C79" s="92">
        <v>2.2999999999999998</v>
      </c>
      <c r="D79" s="92">
        <v>0.19</v>
      </c>
      <c r="E79" s="92">
        <v>15.05</v>
      </c>
      <c r="F79" s="92">
        <v>71.05</v>
      </c>
      <c r="G79" s="92">
        <v>0.05</v>
      </c>
      <c r="H79" s="92">
        <v>0</v>
      </c>
      <c r="I79" s="92">
        <v>0</v>
      </c>
      <c r="J79" s="92">
        <v>0.59</v>
      </c>
      <c r="K79" s="92">
        <v>0</v>
      </c>
      <c r="L79" s="92">
        <v>0.02</v>
      </c>
      <c r="M79" s="92">
        <v>6.9</v>
      </c>
      <c r="N79" s="92">
        <v>9.9</v>
      </c>
      <c r="O79" s="92">
        <v>25.2</v>
      </c>
      <c r="P79" s="92">
        <v>0.6</v>
      </c>
      <c r="Q79" s="92">
        <v>38.700000000000003</v>
      </c>
      <c r="R79" s="92">
        <v>0</v>
      </c>
      <c r="S79" s="92">
        <v>0</v>
      </c>
      <c r="T79" s="92">
        <v>0</v>
      </c>
      <c r="U79" s="93" t="s">
        <v>167</v>
      </c>
      <c r="V79" s="93" t="s">
        <v>39</v>
      </c>
    </row>
    <row r="80" spans="1:22" s="94" customFormat="1" ht="12.2" customHeight="1" x14ac:dyDescent="0.15">
      <c r="A80" s="90" t="s">
        <v>38</v>
      </c>
      <c r="B80" s="91">
        <v>30</v>
      </c>
      <c r="C80" s="92">
        <v>1.99</v>
      </c>
      <c r="D80" s="92">
        <v>0.26</v>
      </c>
      <c r="E80" s="92">
        <v>12.72</v>
      </c>
      <c r="F80" s="92">
        <v>61.19</v>
      </c>
      <c r="G80" s="92">
        <v>0.05</v>
      </c>
      <c r="H80" s="92">
        <v>0</v>
      </c>
      <c r="I80" s="92">
        <v>0</v>
      </c>
      <c r="J80" s="92">
        <v>0.66</v>
      </c>
      <c r="K80" s="92">
        <v>0</v>
      </c>
      <c r="L80" s="92">
        <v>0.02</v>
      </c>
      <c r="M80" s="92">
        <v>5.4</v>
      </c>
      <c r="N80" s="92">
        <v>5.7</v>
      </c>
      <c r="O80" s="92">
        <v>26.1</v>
      </c>
      <c r="P80" s="92">
        <v>1.2</v>
      </c>
      <c r="Q80" s="92">
        <v>40.799999999999997</v>
      </c>
      <c r="R80" s="92">
        <v>1.68</v>
      </c>
      <c r="S80" s="92">
        <v>0</v>
      </c>
      <c r="T80" s="92">
        <v>0</v>
      </c>
      <c r="U80" s="93" t="s">
        <v>167</v>
      </c>
      <c r="V80" s="93" t="s">
        <v>39</v>
      </c>
    </row>
    <row r="81" spans="1:22" s="94" customFormat="1" ht="12.2" customHeight="1" x14ac:dyDescent="0.15">
      <c r="A81" s="90" t="s">
        <v>36</v>
      </c>
      <c r="B81" s="91">
        <v>100</v>
      </c>
      <c r="C81" s="92">
        <v>0.4</v>
      </c>
      <c r="D81" s="92">
        <v>0.4</v>
      </c>
      <c r="E81" s="92">
        <v>9.8000000000000007</v>
      </c>
      <c r="F81" s="92">
        <v>47</v>
      </c>
      <c r="G81" s="92">
        <v>0.03</v>
      </c>
      <c r="H81" s="92">
        <v>10</v>
      </c>
      <c r="I81" s="92">
        <v>0.01</v>
      </c>
      <c r="J81" s="92">
        <v>0.63</v>
      </c>
      <c r="K81" s="92">
        <v>0</v>
      </c>
      <c r="L81" s="92">
        <v>0.02</v>
      </c>
      <c r="M81" s="92">
        <v>16</v>
      </c>
      <c r="N81" s="92">
        <v>8</v>
      </c>
      <c r="O81" s="92">
        <v>11</v>
      </c>
      <c r="P81" s="92">
        <v>2.2000000000000002</v>
      </c>
      <c r="Q81" s="92">
        <v>278</v>
      </c>
      <c r="R81" s="92">
        <v>2</v>
      </c>
      <c r="S81" s="92">
        <v>0.01</v>
      </c>
      <c r="T81" s="92">
        <v>0</v>
      </c>
      <c r="U81" s="93" t="s">
        <v>37</v>
      </c>
      <c r="V81" s="93" t="s">
        <v>29</v>
      </c>
    </row>
    <row r="82" spans="1:22" ht="21.6" customHeight="1" x14ac:dyDescent="0.2">
      <c r="A82" s="29" t="s">
        <v>40</v>
      </c>
      <c r="B82" s="30">
        <f>SUM(B74:B81)</f>
        <v>880</v>
      </c>
      <c r="C82" s="82">
        <f t="shared" ref="C82:T82" si="5">SUM(C74:C81)</f>
        <v>27.898363636363634</v>
      </c>
      <c r="D82" s="82">
        <f t="shared" si="5"/>
        <v>28.599636363636364</v>
      </c>
      <c r="E82" s="82">
        <f t="shared" si="5"/>
        <v>100.58163636363636</v>
      </c>
      <c r="F82" s="82">
        <f t="shared" si="5"/>
        <v>780.85818181818172</v>
      </c>
      <c r="G82" s="82">
        <f t="shared" si="5"/>
        <v>0.49109090909090913</v>
      </c>
      <c r="H82" s="82">
        <f t="shared" si="5"/>
        <v>43.25454545454545</v>
      </c>
      <c r="I82" s="82">
        <f t="shared" si="5"/>
        <v>39.249999999999993</v>
      </c>
      <c r="J82" s="82">
        <f t="shared" si="5"/>
        <v>8.25</v>
      </c>
      <c r="K82" s="82">
        <f t="shared" si="5"/>
        <v>0.08</v>
      </c>
      <c r="L82" s="82">
        <f t="shared" si="5"/>
        <v>0.60072727272727278</v>
      </c>
      <c r="M82" s="82">
        <f t="shared" si="5"/>
        <v>395.83999999999992</v>
      </c>
      <c r="N82" s="82">
        <f t="shared" si="5"/>
        <v>135.54000000000002</v>
      </c>
      <c r="O82" s="82">
        <f t="shared" si="5"/>
        <v>490.32636363636368</v>
      </c>
      <c r="P82" s="82">
        <f t="shared" si="5"/>
        <v>8.463636363636363</v>
      </c>
      <c r="Q82" s="82">
        <f t="shared" si="5"/>
        <v>1650.7936363636363</v>
      </c>
      <c r="R82" s="82">
        <f t="shared" si="5"/>
        <v>34.79</v>
      </c>
      <c r="S82" s="82">
        <f t="shared" si="5"/>
        <v>0.16000000000000003</v>
      </c>
      <c r="T82" s="82">
        <f t="shared" si="5"/>
        <v>0</v>
      </c>
      <c r="U82" s="83"/>
      <c r="V82" s="83"/>
    </row>
    <row r="83" spans="1:22" ht="14.1" customHeight="1" x14ac:dyDescent="0.2">
      <c r="A83" s="32"/>
      <c r="B83" s="32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32"/>
      <c r="V83" s="32"/>
    </row>
    <row r="84" spans="1:22" s="5" customFormat="1" ht="28.35" customHeight="1" x14ac:dyDescent="0.15">
      <c r="A84" s="166" t="s">
        <v>215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</row>
    <row r="85" spans="1:22" s="72" customFormat="1" ht="13.35" customHeight="1" x14ac:dyDescent="0.2">
      <c r="A85" s="158" t="s">
        <v>1</v>
      </c>
      <c r="B85" s="158" t="s">
        <v>2</v>
      </c>
      <c r="C85" s="155" t="s">
        <v>3</v>
      </c>
      <c r="D85" s="156"/>
      <c r="E85" s="157"/>
      <c r="F85" s="160" t="s">
        <v>4</v>
      </c>
      <c r="G85" s="155" t="s">
        <v>5</v>
      </c>
      <c r="H85" s="156"/>
      <c r="I85" s="156"/>
      <c r="J85" s="156"/>
      <c r="K85" s="156"/>
      <c r="L85" s="157"/>
      <c r="M85" s="155" t="s">
        <v>6</v>
      </c>
      <c r="N85" s="156"/>
      <c r="O85" s="156"/>
      <c r="P85" s="156"/>
      <c r="Q85" s="156"/>
      <c r="R85" s="156"/>
      <c r="S85" s="156"/>
      <c r="T85" s="157"/>
      <c r="U85" s="81" t="s">
        <v>7</v>
      </c>
      <c r="V85" s="81" t="s">
        <v>8</v>
      </c>
    </row>
    <row r="86" spans="1:22" ht="26.65" customHeight="1" x14ac:dyDescent="0.2">
      <c r="A86" s="159"/>
      <c r="B86" s="159"/>
      <c r="C86" s="82" t="s">
        <v>9</v>
      </c>
      <c r="D86" s="82" t="s">
        <v>10</v>
      </c>
      <c r="E86" s="82" t="s">
        <v>11</v>
      </c>
      <c r="F86" s="161"/>
      <c r="G86" s="82" t="s">
        <v>12</v>
      </c>
      <c r="H86" s="82" t="s">
        <v>13</v>
      </c>
      <c r="I86" s="82" t="s">
        <v>14</v>
      </c>
      <c r="J86" s="82" t="s">
        <v>15</v>
      </c>
      <c r="K86" s="82" t="s">
        <v>16</v>
      </c>
      <c r="L86" s="82" t="s">
        <v>17</v>
      </c>
      <c r="M86" s="82" t="s">
        <v>18</v>
      </c>
      <c r="N86" s="82" t="s">
        <v>19</v>
      </c>
      <c r="O86" s="82" t="s">
        <v>20</v>
      </c>
      <c r="P86" s="82" t="s">
        <v>21</v>
      </c>
      <c r="Q86" s="82" t="s">
        <v>22</v>
      </c>
      <c r="R86" s="82" t="s">
        <v>23</v>
      </c>
      <c r="S86" s="82" t="s">
        <v>24</v>
      </c>
      <c r="T86" s="82" t="s">
        <v>25</v>
      </c>
      <c r="U86" s="81"/>
      <c r="V86" s="81"/>
    </row>
    <row r="87" spans="1:22" ht="14.65" customHeight="1" x14ac:dyDescent="0.2">
      <c r="A87" s="150" t="s">
        <v>41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2"/>
      <c r="U87" s="21"/>
      <c r="V87" s="21"/>
    </row>
    <row r="88" spans="1:22" s="94" customFormat="1" ht="12.2" customHeight="1" x14ac:dyDescent="0.15">
      <c r="A88" s="90" t="s">
        <v>188</v>
      </c>
      <c r="B88" s="91">
        <v>60</v>
      </c>
      <c r="C88" s="92">
        <v>0.9</v>
      </c>
      <c r="D88" s="92">
        <v>3.06</v>
      </c>
      <c r="E88" s="92">
        <v>5.55</v>
      </c>
      <c r="F88" s="92">
        <v>53.88</v>
      </c>
      <c r="G88" s="92">
        <f>0.22*0.06</f>
        <v>1.32E-2</v>
      </c>
      <c r="H88" s="92">
        <f>198.1*0.06</f>
        <v>11.885999999999999</v>
      </c>
      <c r="I88" s="92">
        <v>0</v>
      </c>
      <c r="J88" s="92">
        <v>1.27</v>
      </c>
      <c r="K88" s="92">
        <v>0</v>
      </c>
      <c r="L88" s="92">
        <f>0.27*0.06</f>
        <v>1.6199999999999999E-2</v>
      </c>
      <c r="M88" s="92">
        <f>522.47*0.06</f>
        <v>31.348200000000002</v>
      </c>
      <c r="N88" s="92">
        <f>160.11*0.06</f>
        <v>9.6066000000000003</v>
      </c>
      <c r="O88" s="92">
        <f>339.52*0.06</f>
        <v>20.371199999999998</v>
      </c>
      <c r="P88" s="92">
        <f>6.67*0.06</f>
        <v>0.4002</v>
      </c>
      <c r="Q88" s="92">
        <f>2832*0.06</f>
        <v>169.92</v>
      </c>
      <c r="R88" s="92">
        <v>1.64</v>
      </c>
      <c r="S88" s="92">
        <v>0.01</v>
      </c>
      <c r="T88" s="92">
        <v>0</v>
      </c>
      <c r="U88" s="93" t="s">
        <v>76</v>
      </c>
      <c r="V88" s="93" t="s">
        <v>29</v>
      </c>
    </row>
    <row r="89" spans="1:22" s="94" customFormat="1" ht="12.2" customHeight="1" x14ac:dyDescent="0.15">
      <c r="A89" s="90" t="s">
        <v>123</v>
      </c>
      <c r="B89" s="91">
        <v>200</v>
      </c>
      <c r="C89" s="92">
        <f>8.07*0.2</f>
        <v>1.6140000000000001</v>
      </c>
      <c r="D89" s="92">
        <f>20.36*0.2</f>
        <v>4.0720000000000001</v>
      </c>
      <c r="E89" s="92">
        <f>47.32*0.2</f>
        <v>9.4640000000000004</v>
      </c>
      <c r="F89" s="92">
        <f>429*0.2</f>
        <v>85.800000000000011</v>
      </c>
      <c r="G89" s="92">
        <v>0.06</v>
      </c>
      <c r="H89" s="92">
        <v>4.62</v>
      </c>
      <c r="I89" s="92">
        <v>0.15</v>
      </c>
      <c r="J89" s="92">
        <v>1.93</v>
      </c>
      <c r="K89" s="92">
        <v>0</v>
      </c>
      <c r="L89" s="92">
        <v>0.04</v>
      </c>
      <c r="M89" s="92">
        <v>23.17</v>
      </c>
      <c r="N89" s="92">
        <v>17.84</v>
      </c>
      <c r="O89" s="92">
        <v>47.15</v>
      </c>
      <c r="P89" s="92">
        <v>0.72</v>
      </c>
      <c r="Q89" s="92">
        <v>335.2</v>
      </c>
      <c r="R89" s="92">
        <v>3.1</v>
      </c>
      <c r="S89" s="92">
        <v>0.02</v>
      </c>
      <c r="T89" s="92">
        <v>0</v>
      </c>
      <c r="U89" s="93" t="s">
        <v>124</v>
      </c>
      <c r="V89" s="93" t="s">
        <v>29</v>
      </c>
    </row>
    <row r="90" spans="1:22" s="94" customFormat="1" ht="12.2" customHeight="1" x14ac:dyDescent="0.15">
      <c r="A90" s="90" t="s">
        <v>125</v>
      </c>
      <c r="B90" s="91">
        <v>180</v>
      </c>
      <c r="C90" s="92">
        <f>6.03*180/70</f>
        <v>15.505714285714287</v>
      </c>
      <c r="D90" s="92">
        <f>5.74*180/70</f>
        <v>14.76</v>
      </c>
      <c r="E90" s="92">
        <f>13.6*180/70</f>
        <v>34.971428571428568</v>
      </c>
      <c r="F90" s="92">
        <f>129*180/70</f>
        <v>331.71428571428572</v>
      </c>
      <c r="G90" s="92">
        <v>0.08</v>
      </c>
      <c r="H90" s="92">
        <v>0.39</v>
      </c>
      <c r="I90" s="92">
        <v>0.12</v>
      </c>
      <c r="J90" s="92">
        <v>0.56000000000000005</v>
      </c>
      <c r="K90" s="92">
        <v>0.25</v>
      </c>
      <c r="L90" s="92">
        <v>0.39</v>
      </c>
      <c r="M90" s="92">
        <v>278.16000000000003</v>
      </c>
      <c r="N90" s="92">
        <v>42.33</v>
      </c>
      <c r="O90" s="92">
        <v>347.09</v>
      </c>
      <c r="P90" s="92">
        <v>1.23</v>
      </c>
      <c r="Q90" s="92">
        <v>292.38</v>
      </c>
      <c r="R90" s="92">
        <v>3.26</v>
      </c>
      <c r="S90" s="92">
        <v>0.05</v>
      </c>
      <c r="T90" s="92">
        <v>0.04</v>
      </c>
      <c r="U90" s="93" t="s">
        <v>126</v>
      </c>
      <c r="V90" s="93" t="s">
        <v>29</v>
      </c>
    </row>
    <row r="91" spans="1:22" s="94" customFormat="1" ht="12.2" customHeight="1" x14ac:dyDescent="0.15">
      <c r="A91" s="90" t="s">
        <v>33</v>
      </c>
      <c r="B91" s="91">
        <v>200</v>
      </c>
      <c r="C91" s="92">
        <f>1.37*200/180</f>
        <v>1.5222222222222221</v>
      </c>
      <c r="D91" s="92">
        <f>1.22*200/180</f>
        <v>1.3555555555555556</v>
      </c>
      <c r="E91" s="92">
        <f>14.31*200/180</f>
        <v>15.9</v>
      </c>
      <c r="F91" s="92">
        <f>72.9*200/180</f>
        <v>81.000000000000014</v>
      </c>
      <c r="G91" s="92">
        <f>0.04</f>
        <v>0.04</v>
      </c>
      <c r="H91" s="92">
        <v>1.33</v>
      </c>
      <c r="I91" s="92">
        <v>0.41</v>
      </c>
      <c r="J91" s="92">
        <v>0</v>
      </c>
      <c r="K91" s="92">
        <v>0</v>
      </c>
      <c r="L91" s="92">
        <v>0.16</v>
      </c>
      <c r="M91" s="92">
        <v>126.6</v>
      </c>
      <c r="N91" s="92">
        <v>15.4</v>
      </c>
      <c r="O91" s="92">
        <v>92.8</v>
      </c>
      <c r="P91" s="92">
        <v>0.41</v>
      </c>
      <c r="Q91" s="92">
        <v>154.6</v>
      </c>
      <c r="R91" s="92">
        <v>4.5</v>
      </c>
      <c r="S91" s="92">
        <v>0</v>
      </c>
      <c r="T91" s="92">
        <v>0</v>
      </c>
      <c r="U91" s="93" t="s">
        <v>34</v>
      </c>
      <c r="V91" s="93" t="s">
        <v>29</v>
      </c>
    </row>
    <row r="92" spans="1:22" s="94" customFormat="1" ht="12.2" customHeight="1" x14ac:dyDescent="0.15">
      <c r="A92" s="90" t="s">
        <v>49</v>
      </c>
      <c r="B92" s="91">
        <v>40</v>
      </c>
      <c r="C92" s="92">
        <v>3.05</v>
      </c>
      <c r="D92" s="92">
        <v>0.25</v>
      </c>
      <c r="E92" s="92">
        <v>20.07</v>
      </c>
      <c r="F92" s="92">
        <v>94.73</v>
      </c>
      <c r="G92" s="92">
        <v>0.06</v>
      </c>
      <c r="H92" s="92">
        <v>0</v>
      </c>
      <c r="I92" s="92">
        <v>0</v>
      </c>
      <c r="J92" s="92">
        <v>0.78</v>
      </c>
      <c r="K92" s="92">
        <v>0</v>
      </c>
      <c r="L92" s="92">
        <v>0.02</v>
      </c>
      <c r="M92" s="92">
        <v>9.1999999999999993</v>
      </c>
      <c r="N92" s="92">
        <v>13.2</v>
      </c>
      <c r="O92" s="92">
        <v>33.6</v>
      </c>
      <c r="P92" s="92">
        <v>0.8</v>
      </c>
      <c r="Q92" s="92">
        <v>51.6</v>
      </c>
      <c r="R92" s="92">
        <v>0</v>
      </c>
      <c r="S92" s="92">
        <v>0.01</v>
      </c>
      <c r="T92" s="92">
        <v>0</v>
      </c>
      <c r="U92" s="93" t="s">
        <v>167</v>
      </c>
      <c r="V92" s="93" t="s">
        <v>39</v>
      </c>
    </row>
    <row r="93" spans="1:22" s="94" customFormat="1" ht="12.2" customHeight="1" x14ac:dyDescent="0.15">
      <c r="A93" s="90" t="s">
        <v>38</v>
      </c>
      <c r="B93" s="91">
        <v>20</v>
      </c>
      <c r="C93" s="92">
        <v>1.1200000000000001</v>
      </c>
      <c r="D93" s="92">
        <v>0.22</v>
      </c>
      <c r="E93" s="92">
        <v>9.8800000000000008</v>
      </c>
      <c r="F93" s="92">
        <v>45.98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0</v>
      </c>
      <c r="O93" s="92">
        <v>0</v>
      </c>
      <c r="P93" s="92">
        <v>0</v>
      </c>
      <c r="Q93" s="92">
        <v>0</v>
      </c>
      <c r="R93" s="92">
        <v>0</v>
      </c>
      <c r="S93" s="92">
        <v>0</v>
      </c>
      <c r="T93" s="92">
        <v>0</v>
      </c>
      <c r="U93" s="93" t="s">
        <v>167</v>
      </c>
      <c r="V93" s="93" t="s">
        <v>39</v>
      </c>
    </row>
    <row r="94" spans="1:22" s="5" customFormat="1" ht="12.2" hidden="1" customHeight="1" x14ac:dyDescent="0.15">
      <c r="A94" s="1"/>
      <c r="B94" s="2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4"/>
      <c r="V94" s="4"/>
    </row>
    <row r="95" spans="1:22" ht="21.6" customHeight="1" x14ac:dyDescent="0.2">
      <c r="A95" s="29" t="s">
        <v>40</v>
      </c>
      <c r="B95" s="30">
        <f t="shared" ref="B95:T95" si="6">SUM(B88:B94)</f>
        <v>700</v>
      </c>
      <c r="C95" s="82">
        <f t="shared" si="6"/>
        <v>23.71193650793651</v>
      </c>
      <c r="D95" s="82">
        <f t="shared" si="6"/>
        <v>23.717555555555553</v>
      </c>
      <c r="E95" s="82">
        <f t="shared" si="6"/>
        <v>95.835428571428565</v>
      </c>
      <c r="F95" s="82">
        <f t="shared" si="6"/>
        <v>693.10428571428577</v>
      </c>
      <c r="G95" s="82">
        <f t="shared" si="6"/>
        <v>0.25319999999999998</v>
      </c>
      <c r="H95" s="82">
        <f t="shared" si="6"/>
        <v>18.225999999999999</v>
      </c>
      <c r="I95" s="82">
        <f t="shared" si="6"/>
        <v>0.67999999999999994</v>
      </c>
      <c r="J95" s="82">
        <f t="shared" si="6"/>
        <v>4.54</v>
      </c>
      <c r="K95" s="82">
        <f t="shared" si="6"/>
        <v>0.25</v>
      </c>
      <c r="L95" s="82">
        <f t="shared" si="6"/>
        <v>0.62620000000000009</v>
      </c>
      <c r="M95" s="82">
        <f t="shared" si="6"/>
        <v>468.47820000000007</v>
      </c>
      <c r="N95" s="82">
        <f t="shared" si="6"/>
        <v>98.37660000000001</v>
      </c>
      <c r="O95" s="82">
        <f t="shared" si="6"/>
        <v>541.01119999999992</v>
      </c>
      <c r="P95" s="82">
        <f t="shared" si="6"/>
        <v>3.5602</v>
      </c>
      <c r="Q95" s="82">
        <f t="shared" si="6"/>
        <v>1003.7</v>
      </c>
      <c r="R95" s="82">
        <f t="shared" si="6"/>
        <v>12.5</v>
      </c>
      <c r="S95" s="82">
        <f t="shared" si="6"/>
        <v>0.09</v>
      </c>
      <c r="T95" s="82">
        <f t="shared" si="6"/>
        <v>0.04</v>
      </c>
      <c r="U95" s="83"/>
      <c r="V95" s="83"/>
    </row>
    <row r="96" spans="1:22" ht="14.1" customHeight="1" x14ac:dyDescent="0.2">
      <c r="A96" s="32"/>
      <c r="B96" s="3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32"/>
      <c r="V96" s="32"/>
    </row>
    <row r="97" spans="1:22" s="5" customFormat="1" ht="28.35" customHeight="1" x14ac:dyDescent="0.15">
      <c r="A97" s="166" t="s">
        <v>216</v>
      </c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</row>
    <row r="98" spans="1:22" s="72" customFormat="1" ht="13.35" customHeight="1" x14ac:dyDescent="0.2">
      <c r="A98" s="158" t="s">
        <v>1</v>
      </c>
      <c r="B98" s="158" t="s">
        <v>2</v>
      </c>
      <c r="C98" s="155" t="s">
        <v>3</v>
      </c>
      <c r="D98" s="156"/>
      <c r="E98" s="157"/>
      <c r="F98" s="160" t="s">
        <v>4</v>
      </c>
      <c r="G98" s="155" t="s">
        <v>5</v>
      </c>
      <c r="H98" s="156"/>
      <c r="I98" s="156"/>
      <c r="J98" s="156"/>
      <c r="K98" s="156"/>
      <c r="L98" s="157"/>
      <c r="M98" s="155" t="s">
        <v>6</v>
      </c>
      <c r="N98" s="156"/>
      <c r="O98" s="156"/>
      <c r="P98" s="156"/>
      <c r="Q98" s="156"/>
      <c r="R98" s="156"/>
      <c r="S98" s="156"/>
      <c r="T98" s="157"/>
      <c r="U98" s="81" t="s">
        <v>7</v>
      </c>
      <c r="V98" s="81" t="s">
        <v>8</v>
      </c>
    </row>
    <row r="99" spans="1:22" ht="26.65" customHeight="1" x14ac:dyDescent="0.2">
      <c r="A99" s="159"/>
      <c r="B99" s="159"/>
      <c r="C99" s="82" t="s">
        <v>9</v>
      </c>
      <c r="D99" s="82" t="s">
        <v>10</v>
      </c>
      <c r="E99" s="82" t="s">
        <v>11</v>
      </c>
      <c r="F99" s="161"/>
      <c r="G99" s="82" t="s">
        <v>12</v>
      </c>
      <c r="H99" s="82" t="s">
        <v>13</v>
      </c>
      <c r="I99" s="82" t="s">
        <v>14</v>
      </c>
      <c r="J99" s="82" t="s">
        <v>15</v>
      </c>
      <c r="K99" s="82" t="s">
        <v>16</v>
      </c>
      <c r="L99" s="82" t="s">
        <v>17</v>
      </c>
      <c r="M99" s="82" t="s">
        <v>18</v>
      </c>
      <c r="N99" s="82" t="s">
        <v>19</v>
      </c>
      <c r="O99" s="82" t="s">
        <v>20</v>
      </c>
      <c r="P99" s="82" t="s">
        <v>21</v>
      </c>
      <c r="Q99" s="82" t="s">
        <v>22</v>
      </c>
      <c r="R99" s="82" t="s">
        <v>23</v>
      </c>
      <c r="S99" s="82" t="s">
        <v>24</v>
      </c>
      <c r="T99" s="82" t="s">
        <v>25</v>
      </c>
      <c r="U99" s="81"/>
      <c r="V99" s="81"/>
    </row>
    <row r="100" spans="1:22" ht="14.65" customHeight="1" x14ac:dyDescent="0.2">
      <c r="A100" s="150" t="s">
        <v>41</v>
      </c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2"/>
      <c r="U100" s="21"/>
      <c r="V100" s="21"/>
    </row>
    <row r="101" spans="1:22" s="99" customFormat="1" ht="12.2" customHeight="1" x14ac:dyDescent="0.2">
      <c r="A101" s="90" t="s">
        <v>135</v>
      </c>
      <c r="B101" s="91">
        <v>60</v>
      </c>
      <c r="C101" s="92">
        <v>1.5</v>
      </c>
      <c r="D101" s="92">
        <v>4.4000000000000004</v>
      </c>
      <c r="E101" s="92">
        <v>8</v>
      </c>
      <c r="F101" s="92">
        <v>78.599999999999994</v>
      </c>
      <c r="G101" s="92">
        <v>0.03</v>
      </c>
      <c r="H101" s="92">
        <v>4.84</v>
      </c>
      <c r="I101" s="92">
        <v>0.05</v>
      </c>
      <c r="J101" s="92">
        <v>2.12</v>
      </c>
      <c r="K101" s="92">
        <v>0</v>
      </c>
      <c r="L101" s="92">
        <v>0.04</v>
      </c>
      <c r="M101" s="92">
        <v>19.98</v>
      </c>
      <c r="N101" s="92">
        <v>16.600000000000001</v>
      </c>
      <c r="O101" s="92">
        <v>31.4</v>
      </c>
      <c r="P101" s="92">
        <v>0.95</v>
      </c>
      <c r="Q101" s="92">
        <v>273.64999999999998</v>
      </c>
      <c r="R101" s="92">
        <v>4.68</v>
      </c>
      <c r="S101" s="92">
        <v>0.01</v>
      </c>
      <c r="T101" s="92">
        <v>0</v>
      </c>
      <c r="U101" s="93" t="s">
        <v>136</v>
      </c>
      <c r="V101" s="93" t="s">
        <v>29</v>
      </c>
    </row>
    <row r="102" spans="1:22" s="94" customFormat="1" ht="12.2" customHeight="1" x14ac:dyDescent="0.15">
      <c r="A102" s="90" t="s">
        <v>137</v>
      </c>
      <c r="B102" s="91">
        <v>200</v>
      </c>
      <c r="C102" s="92">
        <f>10.26*0.2</f>
        <v>2.052</v>
      </c>
      <c r="D102" s="92">
        <f>22.17*0.2</f>
        <v>4.4340000000000002</v>
      </c>
      <c r="E102" s="92">
        <f>46.48*0.2</f>
        <v>9.2959999999999994</v>
      </c>
      <c r="F102" s="92">
        <f>463*0.2</f>
        <v>92.600000000000009</v>
      </c>
      <c r="G102" s="92">
        <v>0.02</v>
      </c>
      <c r="H102" s="92">
        <v>0.32</v>
      </c>
      <c r="I102" s="92">
        <v>0.01</v>
      </c>
      <c r="J102" s="92">
        <v>1.78</v>
      </c>
      <c r="K102" s="92">
        <v>0.09</v>
      </c>
      <c r="L102" s="92">
        <v>0.03</v>
      </c>
      <c r="M102" s="92">
        <v>21.08</v>
      </c>
      <c r="N102" s="92">
        <v>5.73</v>
      </c>
      <c r="O102" s="92">
        <v>24.12</v>
      </c>
      <c r="P102" s="92">
        <v>0.35</v>
      </c>
      <c r="Q102" s="92">
        <v>38.659999999999997</v>
      </c>
      <c r="R102" s="92">
        <v>1.27</v>
      </c>
      <c r="S102" s="92">
        <v>0</v>
      </c>
      <c r="T102" s="92">
        <v>0</v>
      </c>
      <c r="U102" s="93" t="s">
        <v>138</v>
      </c>
      <c r="V102" s="93" t="s">
        <v>29</v>
      </c>
    </row>
    <row r="103" spans="1:22" s="99" customFormat="1" ht="12.2" customHeight="1" x14ac:dyDescent="0.2">
      <c r="A103" s="90" t="s">
        <v>139</v>
      </c>
      <c r="B103" s="91">
        <v>150</v>
      </c>
      <c r="C103" s="92">
        <v>6.3</v>
      </c>
      <c r="D103" s="92">
        <v>6.3</v>
      </c>
      <c r="E103" s="92">
        <v>22.1</v>
      </c>
      <c r="F103" s="92">
        <v>137.69999999999999</v>
      </c>
      <c r="G103" s="92">
        <v>0.13</v>
      </c>
      <c r="H103" s="92">
        <v>0</v>
      </c>
      <c r="I103" s="92">
        <v>0.04</v>
      </c>
      <c r="J103" s="92">
        <v>0.18</v>
      </c>
      <c r="K103" s="92">
        <v>0.12</v>
      </c>
      <c r="L103" s="92">
        <v>0.05</v>
      </c>
      <c r="M103" s="92">
        <v>29.82</v>
      </c>
      <c r="N103" s="92">
        <v>31.59</v>
      </c>
      <c r="O103" s="92">
        <v>134.41</v>
      </c>
      <c r="P103" s="92">
        <v>2.2799999999999998</v>
      </c>
      <c r="Q103" s="92">
        <v>131.12</v>
      </c>
      <c r="R103" s="92">
        <v>0</v>
      </c>
      <c r="S103" s="92">
        <v>0</v>
      </c>
      <c r="T103" s="92">
        <v>0.04</v>
      </c>
      <c r="U103" s="93" t="s">
        <v>140</v>
      </c>
      <c r="V103" s="93">
        <v>2017</v>
      </c>
    </row>
    <row r="104" spans="1:22" s="94" customFormat="1" ht="12.2" customHeight="1" x14ac:dyDescent="0.15">
      <c r="A104" s="90" t="s">
        <v>141</v>
      </c>
      <c r="B104" s="91">
        <v>115</v>
      </c>
      <c r="C104" s="92">
        <f>6.59*115/80</f>
        <v>9.4731249999999996</v>
      </c>
      <c r="D104" s="92">
        <f>5.64*115/80</f>
        <v>8.1074999999999982</v>
      </c>
      <c r="E104" s="92">
        <f>9.38*115/80</f>
        <v>13.483750000000001</v>
      </c>
      <c r="F104" s="92">
        <f>115*115/80</f>
        <v>165.3125</v>
      </c>
      <c r="G104" s="92">
        <v>0.1</v>
      </c>
      <c r="H104" s="92">
        <v>0.21</v>
      </c>
      <c r="I104" s="92">
        <v>0.02</v>
      </c>
      <c r="J104" s="92">
        <v>4.29</v>
      </c>
      <c r="K104" s="92">
        <v>0.02</v>
      </c>
      <c r="L104" s="92">
        <v>0.09</v>
      </c>
      <c r="M104" s="92">
        <v>55.69</v>
      </c>
      <c r="N104" s="92">
        <v>47.02</v>
      </c>
      <c r="O104" s="92">
        <v>191.17</v>
      </c>
      <c r="P104" s="92">
        <v>1.5</v>
      </c>
      <c r="Q104" s="92">
        <v>339.53</v>
      </c>
      <c r="R104" s="92">
        <v>95.87</v>
      </c>
      <c r="S104" s="92">
        <v>0.4</v>
      </c>
      <c r="T104" s="92">
        <v>0.01</v>
      </c>
      <c r="U104" s="93" t="s">
        <v>85</v>
      </c>
      <c r="V104" s="93" t="s">
        <v>29</v>
      </c>
    </row>
    <row r="105" spans="1:22" s="94" customFormat="1" ht="12.2" customHeight="1" x14ac:dyDescent="0.15">
      <c r="A105" s="90" t="s">
        <v>127</v>
      </c>
      <c r="B105" s="91">
        <v>200</v>
      </c>
      <c r="C105" s="92">
        <f>3*0.2</f>
        <v>0.60000000000000009</v>
      </c>
      <c r="D105" s="92">
        <v>0.4</v>
      </c>
      <c r="E105" s="92">
        <f>163*0.2</f>
        <v>32.6</v>
      </c>
      <c r="F105" s="92">
        <f>682*0.2</f>
        <v>136.4</v>
      </c>
      <c r="G105" s="92">
        <v>0.03</v>
      </c>
      <c r="H105" s="92">
        <v>1.6</v>
      </c>
      <c r="I105" s="92">
        <v>0</v>
      </c>
      <c r="J105" s="92">
        <v>0</v>
      </c>
      <c r="K105" s="92">
        <v>0</v>
      </c>
      <c r="L105" s="92">
        <v>0.02</v>
      </c>
      <c r="M105" s="92">
        <v>36</v>
      </c>
      <c r="N105" s="92">
        <v>16.2</v>
      </c>
      <c r="O105" s="92">
        <v>21.6</v>
      </c>
      <c r="P105" s="92">
        <v>0.72</v>
      </c>
      <c r="Q105" s="92">
        <v>300</v>
      </c>
      <c r="R105" s="92">
        <v>12</v>
      </c>
      <c r="S105" s="92">
        <v>0</v>
      </c>
      <c r="T105" s="92">
        <v>0</v>
      </c>
      <c r="U105" s="93" t="s">
        <v>64</v>
      </c>
      <c r="V105" s="93" t="s">
        <v>29</v>
      </c>
    </row>
    <row r="106" spans="1:22" s="94" customFormat="1" ht="12.2" customHeight="1" x14ac:dyDescent="0.15">
      <c r="A106" s="90" t="s">
        <v>49</v>
      </c>
      <c r="B106" s="91">
        <v>40</v>
      </c>
      <c r="C106" s="92">
        <v>3.05</v>
      </c>
      <c r="D106" s="92">
        <v>0.25</v>
      </c>
      <c r="E106" s="92">
        <v>20.07</v>
      </c>
      <c r="F106" s="92">
        <v>94.73</v>
      </c>
      <c r="G106" s="92">
        <v>0.06</v>
      </c>
      <c r="H106" s="92">
        <v>0</v>
      </c>
      <c r="I106" s="92">
        <v>0</v>
      </c>
      <c r="J106" s="92">
        <v>0.78</v>
      </c>
      <c r="K106" s="92">
        <v>0</v>
      </c>
      <c r="L106" s="92">
        <v>0.02</v>
      </c>
      <c r="M106" s="92">
        <v>9.1999999999999993</v>
      </c>
      <c r="N106" s="92">
        <v>13.2</v>
      </c>
      <c r="O106" s="92">
        <v>33.6</v>
      </c>
      <c r="P106" s="92">
        <v>0.8</v>
      </c>
      <c r="Q106" s="92">
        <v>51.6</v>
      </c>
      <c r="R106" s="92">
        <v>0</v>
      </c>
      <c r="S106" s="92">
        <v>0.01</v>
      </c>
      <c r="T106" s="92">
        <v>0</v>
      </c>
      <c r="U106" s="93" t="s">
        <v>167</v>
      </c>
      <c r="V106" s="93" t="s">
        <v>39</v>
      </c>
    </row>
    <row r="107" spans="1:22" s="94" customFormat="1" ht="12.2" customHeight="1" x14ac:dyDescent="0.15">
      <c r="A107" s="90" t="s">
        <v>38</v>
      </c>
      <c r="B107" s="91">
        <v>30</v>
      </c>
      <c r="C107" s="92">
        <v>1.99</v>
      </c>
      <c r="D107" s="92">
        <v>0.26</v>
      </c>
      <c r="E107" s="92">
        <v>12.72</v>
      </c>
      <c r="F107" s="92">
        <v>61.19</v>
      </c>
      <c r="G107" s="92">
        <v>0.05</v>
      </c>
      <c r="H107" s="92">
        <v>0</v>
      </c>
      <c r="I107" s="92">
        <v>0</v>
      </c>
      <c r="J107" s="92">
        <v>0.66</v>
      </c>
      <c r="K107" s="92">
        <v>0</v>
      </c>
      <c r="L107" s="92">
        <v>0.02</v>
      </c>
      <c r="M107" s="92">
        <v>5.4</v>
      </c>
      <c r="N107" s="92">
        <v>5.7</v>
      </c>
      <c r="O107" s="92">
        <v>26.1</v>
      </c>
      <c r="P107" s="92">
        <v>1.2</v>
      </c>
      <c r="Q107" s="92">
        <v>40.799999999999997</v>
      </c>
      <c r="R107" s="92">
        <v>1.68</v>
      </c>
      <c r="S107" s="92">
        <v>0</v>
      </c>
      <c r="T107" s="92">
        <v>0</v>
      </c>
      <c r="U107" s="93" t="s">
        <v>167</v>
      </c>
      <c r="V107" s="93" t="s">
        <v>39</v>
      </c>
    </row>
    <row r="108" spans="1:22" s="94" customFormat="1" ht="15" customHeight="1" x14ac:dyDescent="0.15">
      <c r="A108" s="90" t="s">
        <v>240</v>
      </c>
      <c r="B108" s="91">
        <v>150</v>
      </c>
      <c r="C108" s="92">
        <f>1.3*150/100</f>
        <v>1.95</v>
      </c>
      <c r="D108" s="92">
        <f>1*150/100</f>
        <v>1.5</v>
      </c>
      <c r="E108" s="92">
        <f>8.8*150/100</f>
        <v>13.2</v>
      </c>
      <c r="F108" s="92">
        <f>44.2*150/100</f>
        <v>66.3</v>
      </c>
      <c r="G108" s="92">
        <v>0.06</v>
      </c>
      <c r="H108" s="92">
        <f>90*100/150</f>
        <v>60</v>
      </c>
      <c r="I108" s="92">
        <v>0.02</v>
      </c>
      <c r="J108" s="92">
        <v>0.33</v>
      </c>
      <c r="K108" s="92">
        <v>0</v>
      </c>
      <c r="L108" s="92">
        <v>0.05</v>
      </c>
      <c r="M108" s="92">
        <v>51</v>
      </c>
      <c r="N108" s="92">
        <v>19.5</v>
      </c>
      <c r="O108" s="92">
        <v>34.5</v>
      </c>
      <c r="P108" s="92">
        <v>0.45</v>
      </c>
      <c r="Q108" s="92">
        <v>295.5</v>
      </c>
      <c r="R108" s="92">
        <v>3</v>
      </c>
      <c r="S108" s="92">
        <v>0.03</v>
      </c>
      <c r="T108" s="92">
        <v>0</v>
      </c>
      <c r="U108" s="93" t="s">
        <v>170</v>
      </c>
      <c r="V108" s="93" t="s">
        <v>29</v>
      </c>
    </row>
    <row r="109" spans="1:22" ht="12.2" customHeight="1" x14ac:dyDescent="0.2">
      <c r="A109" s="29" t="s">
        <v>40</v>
      </c>
      <c r="B109" s="30">
        <f>SUM(B101:B108)</f>
        <v>945</v>
      </c>
      <c r="C109" s="82">
        <f t="shared" ref="C109:T109" si="7">SUM(C101:C108)</f>
        <v>26.915125</v>
      </c>
      <c r="D109" s="82">
        <f t="shared" si="7"/>
        <v>25.651499999999999</v>
      </c>
      <c r="E109" s="82">
        <f t="shared" si="7"/>
        <v>131.46974999999998</v>
      </c>
      <c r="F109" s="82">
        <f t="shared" si="7"/>
        <v>832.83249999999998</v>
      </c>
      <c r="G109" s="82">
        <f t="shared" si="7"/>
        <v>0.48000000000000004</v>
      </c>
      <c r="H109" s="82">
        <f t="shared" si="7"/>
        <v>66.97</v>
      </c>
      <c r="I109" s="82">
        <f t="shared" si="7"/>
        <v>0.14000000000000001</v>
      </c>
      <c r="J109" s="82">
        <f t="shared" si="7"/>
        <v>10.14</v>
      </c>
      <c r="K109" s="82">
        <f t="shared" si="7"/>
        <v>0.22999999999999998</v>
      </c>
      <c r="L109" s="82">
        <f t="shared" si="7"/>
        <v>0.32</v>
      </c>
      <c r="M109" s="82">
        <f t="shared" si="7"/>
        <v>228.17</v>
      </c>
      <c r="N109" s="82">
        <f t="shared" si="7"/>
        <v>155.54</v>
      </c>
      <c r="O109" s="82">
        <f t="shared" si="7"/>
        <v>496.90000000000009</v>
      </c>
      <c r="P109" s="82">
        <f t="shared" si="7"/>
        <v>8.25</v>
      </c>
      <c r="Q109" s="82">
        <f t="shared" si="7"/>
        <v>1470.86</v>
      </c>
      <c r="R109" s="82">
        <f t="shared" si="7"/>
        <v>118.50000000000001</v>
      </c>
      <c r="S109" s="82">
        <f t="shared" si="7"/>
        <v>0.45000000000000007</v>
      </c>
      <c r="T109" s="82">
        <f t="shared" si="7"/>
        <v>0.05</v>
      </c>
      <c r="U109" s="83"/>
      <c r="V109" s="83"/>
    </row>
    <row r="110" spans="1:22" ht="14.1" customHeight="1" x14ac:dyDescent="0.2">
      <c r="A110" s="32"/>
      <c r="B110" s="32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32"/>
      <c r="V110" s="32"/>
    </row>
    <row r="111" spans="1:22" s="5" customFormat="1" ht="28.35" customHeight="1" x14ac:dyDescent="0.15">
      <c r="A111" s="166" t="s">
        <v>217</v>
      </c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</row>
    <row r="112" spans="1:22" s="17" customFormat="1" ht="14.65" customHeight="1" x14ac:dyDescent="0.2">
      <c r="A112" s="170" t="s">
        <v>218</v>
      </c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</row>
    <row r="113" spans="1:22" s="72" customFormat="1" ht="13.35" customHeight="1" x14ac:dyDescent="0.2">
      <c r="A113" s="158" t="s">
        <v>1</v>
      </c>
      <c r="B113" s="158" t="s">
        <v>2</v>
      </c>
      <c r="C113" s="155" t="s">
        <v>3</v>
      </c>
      <c r="D113" s="156"/>
      <c r="E113" s="157"/>
      <c r="F113" s="160" t="s">
        <v>4</v>
      </c>
      <c r="G113" s="155" t="s">
        <v>5</v>
      </c>
      <c r="H113" s="156"/>
      <c r="I113" s="156"/>
      <c r="J113" s="156"/>
      <c r="K113" s="156"/>
      <c r="L113" s="157"/>
      <c r="M113" s="155" t="s">
        <v>6</v>
      </c>
      <c r="N113" s="156"/>
      <c r="O113" s="156"/>
      <c r="P113" s="156"/>
      <c r="Q113" s="156"/>
      <c r="R113" s="156"/>
      <c r="S113" s="156"/>
      <c r="T113" s="157"/>
      <c r="U113" s="81" t="s">
        <v>7</v>
      </c>
      <c r="V113" s="81" t="s">
        <v>8</v>
      </c>
    </row>
    <row r="114" spans="1:22" ht="26.65" customHeight="1" x14ac:dyDescent="0.2">
      <c r="A114" s="159"/>
      <c r="B114" s="159"/>
      <c r="C114" s="82" t="s">
        <v>9</v>
      </c>
      <c r="D114" s="82" t="s">
        <v>10</v>
      </c>
      <c r="E114" s="82" t="s">
        <v>11</v>
      </c>
      <c r="F114" s="161"/>
      <c r="G114" s="82" t="s">
        <v>12</v>
      </c>
      <c r="H114" s="82" t="s">
        <v>13</v>
      </c>
      <c r="I114" s="82" t="s">
        <v>14</v>
      </c>
      <c r="J114" s="82" t="s">
        <v>15</v>
      </c>
      <c r="K114" s="82" t="s">
        <v>16</v>
      </c>
      <c r="L114" s="82" t="s">
        <v>17</v>
      </c>
      <c r="M114" s="82" t="s">
        <v>18</v>
      </c>
      <c r="N114" s="82" t="s">
        <v>19</v>
      </c>
      <c r="O114" s="82" t="s">
        <v>20</v>
      </c>
      <c r="P114" s="82" t="s">
        <v>21</v>
      </c>
      <c r="Q114" s="82" t="s">
        <v>22</v>
      </c>
      <c r="R114" s="82" t="s">
        <v>23</v>
      </c>
      <c r="S114" s="82" t="s">
        <v>24</v>
      </c>
      <c r="T114" s="82" t="s">
        <v>25</v>
      </c>
      <c r="U114" s="81"/>
      <c r="V114" s="81"/>
    </row>
    <row r="115" spans="1:22" ht="14.65" customHeight="1" x14ac:dyDescent="0.2">
      <c r="A115" s="150" t="s">
        <v>41</v>
      </c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2"/>
      <c r="U115" s="21"/>
      <c r="V115" s="21"/>
    </row>
    <row r="116" spans="1:22" s="94" customFormat="1" ht="12.2" customHeight="1" x14ac:dyDescent="0.15">
      <c r="A116" s="90" t="s">
        <v>147</v>
      </c>
      <c r="B116" s="91">
        <v>60</v>
      </c>
      <c r="C116" s="92">
        <v>0.7</v>
      </c>
      <c r="D116" s="92">
        <v>2.5</v>
      </c>
      <c r="E116" s="92">
        <v>7.4</v>
      </c>
      <c r="F116" s="92">
        <v>51.9</v>
      </c>
      <c r="G116" s="92">
        <v>0.02</v>
      </c>
      <c r="H116" s="92">
        <v>6.31</v>
      </c>
      <c r="I116" s="92">
        <v>0.15</v>
      </c>
      <c r="J116" s="92">
        <v>1.5</v>
      </c>
      <c r="K116" s="92">
        <v>0</v>
      </c>
      <c r="L116" s="92">
        <v>0.02</v>
      </c>
      <c r="M116" s="92">
        <v>19.899999999999999</v>
      </c>
      <c r="N116" s="92">
        <v>8.67</v>
      </c>
      <c r="O116" s="92">
        <v>14.36</v>
      </c>
      <c r="P116" s="92">
        <v>0.87</v>
      </c>
      <c r="Q116" s="92">
        <v>144.75</v>
      </c>
      <c r="R116" s="92">
        <v>1.78</v>
      </c>
      <c r="S116" s="92">
        <v>0.01</v>
      </c>
      <c r="T116" s="92">
        <v>0</v>
      </c>
      <c r="U116" s="93" t="s">
        <v>191</v>
      </c>
      <c r="V116" s="93" t="s">
        <v>43</v>
      </c>
    </row>
    <row r="117" spans="1:22" s="94" customFormat="1" ht="12.2" customHeight="1" x14ac:dyDescent="0.15">
      <c r="A117" s="90" t="s">
        <v>148</v>
      </c>
      <c r="B117" s="91">
        <v>200</v>
      </c>
      <c r="C117" s="92">
        <v>2.2000000000000002</v>
      </c>
      <c r="D117" s="92">
        <v>4.0999999999999996</v>
      </c>
      <c r="E117" s="92">
        <v>12.9</v>
      </c>
      <c r="F117" s="92">
        <v>88.4</v>
      </c>
      <c r="G117" s="92">
        <v>0.05</v>
      </c>
      <c r="H117" s="92">
        <v>11.74</v>
      </c>
      <c r="I117" s="92">
        <v>0.21</v>
      </c>
      <c r="J117" s="92">
        <v>1.95</v>
      </c>
      <c r="K117" s="92">
        <v>0</v>
      </c>
      <c r="L117" s="92">
        <v>0.05</v>
      </c>
      <c r="M117" s="92">
        <v>53.27</v>
      </c>
      <c r="N117" s="92">
        <v>26.74</v>
      </c>
      <c r="O117" s="92">
        <v>50.95</v>
      </c>
      <c r="P117" s="92">
        <v>1.2</v>
      </c>
      <c r="Q117" s="92">
        <v>428.11</v>
      </c>
      <c r="R117" s="92">
        <v>5.28</v>
      </c>
      <c r="S117" s="92">
        <v>0.03</v>
      </c>
      <c r="T117" s="92">
        <v>0</v>
      </c>
      <c r="U117" s="93" t="s">
        <v>192</v>
      </c>
      <c r="V117" s="93" t="s">
        <v>52</v>
      </c>
    </row>
    <row r="118" spans="1:22" s="94" customFormat="1" ht="12.2" customHeight="1" x14ac:dyDescent="0.15">
      <c r="A118" s="90" t="s">
        <v>149</v>
      </c>
      <c r="B118" s="91">
        <v>150</v>
      </c>
      <c r="C118" s="92">
        <v>6</v>
      </c>
      <c r="D118" s="92">
        <v>9.4</v>
      </c>
      <c r="E118" s="92">
        <v>21.5</v>
      </c>
      <c r="F118" s="92">
        <v>197.2</v>
      </c>
      <c r="G118" s="92">
        <v>0.12</v>
      </c>
      <c r="H118" s="92">
        <v>10.130000000000001</v>
      </c>
      <c r="I118" s="92">
        <v>0.06</v>
      </c>
      <c r="J118" s="92">
        <v>2.81</v>
      </c>
      <c r="K118" s="92">
        <v>0.05</v>
      </c>
      <c r="L118" s="92">
        <v>0.11</v>
      </c>
      <c r="M118" s="92">
        <v>158.41999999999999</v>
      </c>
      <c r="N118" s="92">
        <v>32.520000000000003</v>
      </c>
      <c r="O118" s="92">
        <v>150.36000000000001</v>
      </c>
      <c r="P118" s="92">
        <v>1.45</v>
      </c>
      <c r="Q118" s="92">
        <v>706.27</v>
      </c>
      <c r="R118" s="92">
        <v>6.84</v>
      </c>
      <c r="S118" s="92">
        <v>0.04</v>
      </c>
      <c r="T118" s="92">
        <v>0</v>
      </c>
      <c r="U118" s="93" t="s">
        <v>193</v>
      </c>
      <c r="V118" s="93" t="s">
        <v>43</v>
      </c>
    </row>
    <row r="119" spans="1:22" s="94" customFormat="1" ht="12.2" customHeight="1" x14ac:dyDescent="0.15">
      <c r="A119" s="90" t="s">
        <v>150</v>
      </c>
      <c r="B119" s="91">
        <v>90</v>
      </c>
      <c r="C119" s="92">
        <v>9.5</v>
      </c>
      <c r="D119" s="92">
        <v>10.199999999999999</v>
      </c>
      <c r="E119" s="92">
        <v>12</v>
      </c>
      <c r="F119" s="92">
        <v>190.1</v>
      </c>
      <c r="G119" s="92">
        <v>7.0000000000000007E-2</v>
      </c>
      <c r="H119" s="92">
        <v>2.94</v>
      </c>
      <c r="I119" s="92">
        <v>0.08</v>
      </c>
      <c r="J119" s="92">
        <v>2.81</v>
      </c>
      <c r="K119" s="92">
        <v>0.33</v>
      </c>
      <c r="L119" s="92">
        <v>0.15</v>
      </c>
      <c r="M119" s="92">
        <v>36.229999999999997</v>
      </c>
      <c r="N119" s="92">
        <v>25.05</v>
      </c>
      <c r="O119" s="92">
        <v>151.03</v>
      </c>
      <c r="P119" s="92">
        <v>2.17</v>
      </c>
      <c r="Q119" s="92">
        <v>207.64</v>
      </c>
      <c r="R119" s="92">
        <v>6.8</v>
      </c>
      <c r="S119" s="92">
        <v>0.08</v>
      </c>
      <c r="T119" s="92">
        <v>0.02</v>
      </c>
      <c r="U119" s="93" t="s">
        <v>194</v>
      </c>
      <c r="V119" s="93" t="s">
        <v>52</v>
      </c>
    </row>
    <row r="120" spans="1:22" s="94" customFormat="1" ht="12.2" customHeight="1" x14ac:dyDescent="0.15">
      <c r="A120" s="90" t="s">
        <v>151</v>
      </c>
      <c r="B120" s="91">
        <v>180</v>
      </c>
      <c r="C120" s="92">
        <v>0.3</v>
      </c>
      <c r="D120" s="92">
        <v>0.1</v>
      </c>
      <c r="E120" s="92">
        <v>20.2</v>
      </c>
      <c r="F120" s="92">
        <v>89.5</v>
      </c>
      <c r="G120" s="92">
        <v>0.01</v>
      </c>
      <c r="H120" s="92">
        <v>44</v>
      </c>
      <c r="I120" s="92">
        <v>0.08</v>
      </c>
      <c r="J120" s="92">
        <v>0</v>
      </c>
      <c r="K120" s="92">
        <v>0</v>
      </c>
      <c r="L120" s="92">
        <v>0.03</v>
      </c>
      <c r="M120" s="92">
        <v>12.98</v>
      </c>
      <c r="N120" s="92">
        <v>3.15</v>
      </c>
      <c r="O120" s="92">
        <v>1.53</v>
      </c>
      <c r="P120" s="92">
        <v>0.27</v>
      </c>
      <c r="Q120" s="92">
        <v>6.02</v>
      </c>
      <c r="R120" s="92">
        <v>0</v>
      </c>
      <c r="S120" s="92">
        <v>0</v>
      </c>
      <c r="T120" s="92">
        <v>0</v>
      </c>
      <c r="U120" s="93" t="s">
        <v>195</v>
      </c>
      <c r="V120" s="93" t="s">
        <v>52</v>
      </c>
    </row>
    <row r="121" spans="1:22" s="94" customFormat="1" ht="12.2" customHeight="1" x14ac:dyDescent="0.15">
      <c r="A121" s="90" t="s">
        <v>49</v>
      </c>
      <c r="B121" s="91">
        <v>40</v>
      </c>
      <c r="C121" s="92">
        <v>3.05</v>
      </c>
      <c r="D121" s="92">
        <v>0.25</v>
      </c>
      <c r="E121" s="92">
        <v>20.07</v>
      </c>
      <c r="F121" s="92">
        <v>94.73</v>
      </c>
      <c r="G121" s="92">
        <v>0.05</v>
      </c>
      <c r="H121" s="92">
        <v>0</v>
      </c>
      <c r="I121" s="92">
        <v>0</v>
      </c>
      <c r="J121" s="92">
        <v>0.59</v>
      </c>
      <c r="K121" s="92">
        <v>0</v>
      </c>
      <c r="L121" s="92">
        <v>0.02</v>
      </c>
      <c r="M121" s="92">
        <v>6.9</v>
      </c>
      <c r="N121" s="92">
        <v>9.9</v>
      </c>
      <c r="O121" s="92">
        <v>25.2</v>
      </c>
      <c r="P121" s="92">
        <v>0.6</v>
      </c>
      <c r="Q121" s="92">
        <v>38.700000000000003</v>
      </c>
      <c r="R121" s="92">
        <v>0</v>
      </c>
      <c r="S121" s="92">
        <v>0</v>
      </c>
      <c r="T121" s="92">
        <v>0</v>
      </c>
      <c r="U121" s="93" t="s">
        <v>167</v>
      </c>
      <c r="V121" s="93" t="s">
        <v>39</v>
      </c>
    </row>
    <row r="122" spans="1:22" s="94" customFormat="1" ht="12.2" customHeight="1" x14ac:dyDescent="0.15">
      <c r="A122" s="90" t="s">
        <v>38</v>
      </c>
      <c r="B122" s="91">
        <v>40</v>
      </c>
      <c r="C122" s="92">
        <v>2.65</v>
      </c>
      <c r="D122" s="92">
        <v>0.35</v>
      </c>
      <c r="E122" s="92">
        <v>16.96</v>
      </c>
      <c r="F122" s="92">
        <v>81.58</v>
      </c>
      <c r="G122" s="92">
        <v>7.0000000000000007E-2</v>
      </c>
      <c r="H122" s="92">
        <v>0</v>
      </c>
      <c r="I122" s="92">
        <v>0</v>
      </c>
      <c r="J122" s="92">
        <v>0.88</v>
      </c>
      <c r="K122" s="92">
        <v>0</v>
      </c>
      <c r="L122" s="92">
        <v>0.03</v>
      </c>
      <c r="M122" s="92">
        <v>7.2</v>
      </c>
      <c r="N122" s="92">
        <v>7.6</v>
      </c>
      <c r="O122" s="92">
        <v>34.799999999999997</v>
      </c>
      <c r="P122" s="92">
        <v>1.6</v>
      </c>
      <c r="Q122" s="92">
        <v>54.4</v>
      </c>
      <c r="R122" s="92">
        <v>2.2400000000000002</v>
      </c>
      <c r="S122" s="92">
        <v>0</v>
      </c>
      <c r="T122" s="92">
        <v>0</v>
      </c>
      <c r="U122" s="93" t="s">
        <v>167</v>
      </c>
      <c r="V122" s="93" t="s">
        <v>39</v>
      </c>
    </row>
    <row r="123" spans="1:22" s="94" customFormat="1" ht="12.2" customHeight="1" x14ac:dyDescent="0.15">
      <c r="A123" s="90" t="s">
        <v>238</v>
      </c>
      <c r="B123" s="91">
        <v>200</v>
      </c>
      <c r="C123" s="92">
        <v>5.8</v>
      </c>
      <c r="D123" s="92">
        <v>5</v>
      </c>
      <c r="E123" s="92">
        <v>9.6</v>
      </c>
      <c r="F123" s="92">
        <v>107</v>
      </c>
      <c r="G123" s="92">
        <v>0.08</v>
      </c>
      <c r="H123" s="92">
        <v>2.6</v>
      </c>
      <c r="I123" s="92">
        <v>40</v>
      </c>
      <c r="J123" s="92">
        <v>0</v>
      </c>
      <c r="K123" s="92">
        <v>0</v>
      </c>
      <c r="L123" s="92">
        <v>0.03</v>
      </c>
      <c r="M123" s="92">
        <v>240</v>
      </c>
      <c r="N123" s="92">
        <v>28</v>
      </c>
      <c r="O123" s="92">
        <v>180</v>
      </c>
      <c r="P123" s="92">
        <v>0.2</v>
      </c>
      <c r="Q123" s="92">
        <v>292</v>
      </c>
      <c r="R123" s="92">
        <v>0</v>
      </c>
      <c r="S123" s="92">
        <v>0</v>
      </c>
      <c r="T123" s="92">
        <v>0</v>
      </c>
      <c r="U123" s="93" t="s">
        <v>167</v>
      </c>
      <c r="V123" s="93"/>
    </row>
    <row r="124" spans="1:22" ht="21.6" customHeight="1" x14ac:dyDescent="0.2">
      <c r="A124" s="29" t="s">
        <v>40</v>
      </c>
      <c r="B124" s="30">
        <f>SUM(B116:B123)</f>
        <v>960</v>
      </c>
      <c r="C124" s="82">
        <f t="shared" ref="C124:T124" si="8">SUM(C116:C123)</f>
        <v>30.2</v>
      </c>
      <c r="D124" s="82">
        <f t="shared" si="8"/>
        <v>31.900000000000002</v>
      </c>
      <c r="E124" s="82">
        <f t="shared" si="8"/>
        <v>120.63</v>
      </c>
      <c r="F124" s="82">
        <f t="shared" si="8"/>
        <v>900.41000000000008</v>
      </c>
      <c r="G124" s="82">
        <f t="shared" si="8"/>
        <v>0.47000000000000003</v>
      </c>
      <c r="H124" s="82">
        <f t="shared" si="8"/>
        <v>77.72</v>
      </c>
      <c r="I124" s="82">
        <f t="shared" si="8"/>
        <v>40.58</v>
      </c>
      <c r="J124" s="82">
        <f t="shared" si="8"/>
        <v>10.540000000000001</v>
      </c>
      <c r="K124" s="82">
        <f t="shared" si="8"/>
        <v>0.38</v>
      </c>
      <c r="L124" s="82">
        <f t="shared" si="8"/>
        <v>0.44000000000000006</v>
      </c>
      <c r="M124" s="82">
        <f t="shared" si="8"/>
        <v>534.9</v>
      </c>
      <c r="N124" s="82">
        <f t="shared" si="8"/>
        <v>141.63</v>
      </c>
      <c r="O124" s="82">
        <f t="shared" si="8"/>
        <v>608.23</v>
      </c>
      <c r="P124" s="82">
        <f t="shared" si="8"/>
        <v>8.3599999999999977</v>
      </c>
      <c r="Q124" s="82">
        <f t="shared" si="8"/>
        <v>1877.89</v>
      </c>
      <c r="R124" s="82">
        <f t="shared" si="8"/>
        <v>22.939999999999998</v>
      </c>
      <c r="S124" s="82">
        <f t="shared" si="8"/>
        <v>0.16</v>
      </c>
      <c r="T124" s="82">
        <f t="shared" si="8"/>
        <v>0.02</v>
      </c>
      <c r="U124" s="83"/>
      <c r="V124" s="83"/>
    </row>
    <row r="125" spans="1:22" ht="14.1" customHeight="1" x14ac:dyDescent="0.2">
      <c r="A125" s="32"/>
      <c r="B125" s="32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32"/>
      <c r="V125" s="32"/>
    </row>
    <row r="126" spans="1:22" s="5" customFormat="1" ht="28.35" customHeight="1" x14ac:dyDescent="0.15">
      <c r="A126" s="166" t="s">
        <v>219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</row>
    <row r="127" spans="1:22" s="72" customFormat="1" ht="13.35" customHeight="1" x14ac:dyDescent="0.2">
      <c r="A127" s="158" t="s">
        <v>1</v>
      </c>
      <c r="B127" s="158" t="s">
        <v>2</v>
      </c>
      <c r="C127" s="155" t="s">
        <v>3</v>
      </c>
      <c r="D127" s="156"/>
      <c r="E127" s="157"/>
      <c r="F127" s="160" t="s">
        <v>4</v>
      </c>
      <c r="G127" s="155" t="s">
        <v>5</v>
      </c>
      <c r="H127" s="156"/>
      <c r="I127" s="156"/>
      <c r="J127" s="156"/>
      <c r="K127" s="156"/>
      <c r="L127" s="157"/>
      <c r="M127" s="155" t="s">
        <v>6</v>
      </c>
      <c r="N127" s="156"/>
      <c r="O127" s="156"/>
      <c r="P127" s="156"/>
      <c r="Q127" s="156"/>
      <c r="R127" s="156"/>
      <c r="S127" s="156"/>
      <c r="T127" s="157"/>
      <c r="U127" s="81" t="s">
        <v>7</v>
      </c>
      <c r="V127" s="81" t="s">
        <v>8</v>
      </c>
    </row>
    <row r="128" spans="1:22" ht="26.65" customHeight="1" x14ac:dyDescent="0.2">
      <c r="A128" s="159"/>
      <c r="B128" s="159"/>
      <c r="C128" s="82" t="s">
        <v>9</v>
      </c>
      <c r="D128" s="82" t="s">
        <v>10</v>
      </c>
      <c r="E128" s="82" t="s">
        <v>11</v>
      </c>
      <c r="F128" s="161"/>
      <c r="G128" s="82" t="s">
        <v>12</v>
      </c>
      <c r="H128" s="82" t="s">
        <v>13</v>
      </c>
      <c r="I128" s="82" t="s">
        <v>14</v>
      </c>
      <c r="J128" s="82" t="s">
        <v>15</v>
      </c>
      <c r="K128" s="82" t="s">
        <v>16</v>
      </c>
      <c r="L128" s="82" t="s">
        <v>17</v>
      </c>
      <c r="M128" s="82" t="s">
        <v>18</v>
      </c>
      <c r="N128" s="82" t="s">
        <v>19</v>
      </c>
      <c r="O128" s="82" t="s">
        <v>20</v>
      </c>
      <c r="P128" s="82" t="s">
        <v>21</v>
      </c>
      <c r="Q128" s="82" t="s">
        <v>22</v>
      </c>
      <c r="R128" s="82" t="s">
        <v>23</v>
      </c>
      <c r="S128" s="82" t="s">
        <v>24</v>
      </c>
      <c r="T128" s="82" t="s">
        <v>25</v>
      </c>
      <c r="U128" s="81"/>
      <c r="V128" s="81"/>
    </row>
    <row r="129" spans="1:22" ht="14.65" customHeight="1" x14ac:dyDescent="0.2">
      <c r="A129" s="150" t="s">
        <v>41</v>
      </c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2"/>
      <c r="U129" s="21"/>
      <c r="V129" s="21"/>
    </row>
    <row r="130" spans="1:22" s="99" customFormat="1" ht="12.2" customHeight="1" x14ac:dyDescent="0.2">
      <c r="A130" s="90" t="s">
        <v>75</v>
      </c>
      <c r="B130" s="91">
        <v>60</v>
      </c>
      <c r="C130" s="92">
        <v>1</v>
      </c>
      <c r="D130" s="92">
        <v>3.1</v>
      </c>
      <c r="E130" s="92">
        <v>4.9000000000000004</v>
      </c>
      <c r="F130" s="92">
        <v>52.6</v>
      </c>
      <c r="G130" s="92">
        <v>0.01</v>
      </c>
      <c r="H130" s="92">
        <v>15.18</v>
      </c>
      <c r="I130" s="92">
        <v>0</v>
      </c>
      <c r="J130" s="92">
        <v>1.27</v>
      </c>
      <c r="K130" s="92">
        <v>0</v>
      </c>
      <c r="L130" s="92">
        <v>0.01</v>
      </c>
      <c r="M130" s="92">
        <v>25.25</v>
      </c>
      <c r="N130" s="92">
        <v>8.6199999999999992</v>
      </c>
      <c r="O130" s="92">
        <v>18.61</v>
      </c>
      <c r="P130" s="92">
        <v>0.35</v>
      </c>
      <c r="Q130" s="92">
        <v>156.38999999999999</v>
      </c>
      <c r="R130" s="92">
        <v>1.64</v>
      </c>
      <c r="S130" s="92">
        <v>0.01</v>
      </c>
      <c r="T130" s="92">
        <v>0</v>
      </c>
      <c r="U130" s="93" t="s">
        <v>76</v>
      </c>
      <c r="V130" s="93">
        <v>2017</v>
      </c>
    </row>
    <row r="131" spans="1:22" s="94" customFormat="1" ht="12.2" customHeight="1" x14ac:dyDescent="0.15">
      <c r="A131" s="90" t="s">
        <v>159</v>
      </c>
      <c r="B131" s="91">
        <v>200</v>
      </c>
      <c r="C131" s="92">
        <f>6.35*0.2</f>
        <v>1.27</v>
      </c>
      <c r="D131" s="92">
        <f>19.95*0.2</f>
        <v>3.99</v>
      </c>
      <c r="E131" s="92">
        <f>36.55*0.2</f>
        <v>7.31</v>
      </c>
      <c r="F131" s="92">
        <f>381*0.2</f>
        <v>76.2</v>
      </c>
      <c r="G131" s="92">
        <f>0.29*0.2</f>
        <v>5.7999999999999996E-2</v>
      </c>
      <c r="H131" s="92">
        <f>41.5*0.2</f>
        <v>8.3000000000000007</v>
      </c>
      <c r="I131" s="92">
        <v>0</v>
      </c>
      <c r="J131" s="92">
        <v>0.25</v>
      </c>
      <c r="K131" s="92">
        <v>0.06</v>
      </c>
      <c r="L131" s="92">
        <f>0.19*0.2</f>
        <v>3.8000000000000006E-2</v>
      </c>
      <c r="M131" s="92">
        <f>139.4*0.2</f>
        <v>27.880000000000003</v>
      </c>
      <c r="N131" s="92">
        <f>83*0.2</f>
        <v>16.600000000000001</v>
      </c>
      <c r="O131" s="92">
        <f>197.1*0.2</f>
        <v>39.42</v>
      </c>
      <c r="P131" s="92">
        <f>3.1*0.2</f>
        <v>0.62000000000000011</v>
      </c>
      <c r="Q131" s="92">
        <f>1536.4*0.2</f>
        <v>307.28000000000003</v>
      </c>
      <c r="R131" s="92">
        <v>5.51</v>
      </c>
      <c r="S131" s="92">
        <v>0.02</v>
      </c>
      <c r="T131" s="92">
        <v>0</v>
      </c>
      <c r="U131" s="93" t="s">
        <v>160</v>
      </c>
      <c r="V131" s="93">
        <v>2017</v>
      </c>
    </row>
    <row r="132" spans="1:22" s="94" customFormat="1" ht="12.2" customHeight="1" x14ac:dyDescent="0.15">
      <c r="A132" s="90" t="s">
        <v>161</v>
      </c>
      <c r="B132" s="91">
        <v>150</v>
      </c>
      <c r="C132" s="92">
        <f>6.4*150/90</f>
        <v>10.666666666666666</v>
      </c>
      <c r="D132" s="92">
        <f>9.5*150/90</f>
        <v>15.833333333333334</v>
      </c>
      <c r="E132" s="92">
        <v>41.18</v>
      </c>
      <c r="F132" s="92">
        <v>296.25</v>
      </c>
      <c r="G132" s="92">
        <v>0.14000000000000001</v>
      </c>
      <c r="H132" s="92">
        <v>7.41</v>
      </c>
      <c r="I132" s="92">
        <v>3.48</v>
      </c>
      <c r="J132" s="92">
        <v>2.98</v>
      </c>
      <c r="K132" s="92">
        <v>0.89</v>
      </c>
      <c r="L132" s="92">
        <v>0.97</v>
      </c>
      <c r="M132" s="92">
        <v>57</v>
      </c>
      <c r="N132" s="92">
        <v>19.78</v>
      </c>
      <c r="O132" s="92">
        <v>229.97</v>
      </c>
      <c r="P132" s="92">
        <v>4.0199999999999996</v>
      </c>
      <c r="Q132" s="92">
        <v>278.43</v>
      </c>
      <c r="R132" s="92">
        <v>14.44</v>
      </c>
      <c r="S132" s="92">
        <v>0.12</v>
      </c>
      <c r="T132" s="92">
        <v>0.03</v>
      </c>
      <c r="U132" s="93" t="s">
        <v>198</v>
      </c>
      <c r="V132" s="93" t="s">
        <v>52</v>
      </c>
    </row>
    <row r="133" spans="1:22" s="94" customFormat="1" ht="12.2" customHeight="1" x14ac:dyDescent="0.15">
      <c r="A133" s="90" t="s">
        <v>62</v>
      </c>
      <c r="B133" s="91">
        <v>25</v>
      </c>
      <c r="C133" s="92">
        <v>0.3</v>
      </c>
      <c r="D133" s="92">
        <v>2.7</v>
      </c>
      <c r="E133" s="92">
        <v>2.2999999999999998</v>
      </c>
      <c r="F133" s="92">
        <v>44</v>
      </c>
      <c r="G133" s="92">
        <v>0.01</v>
      </c>
      <c r="H133" s="92">
        <v>0.74</v>
      </c>
      <c r="I133" s="92">
        <v>0.09</v>
      </c>
      <c r="J133" s="92">
        <v>1.66</v>
      </c>
      <c r="K133" s="92">
        <v>0</v>
      </c>
      <c r="L133" s="92">
        <v>0.01</v>
      </c>
      <c r="M133" s="92">
        <v>7.04</v>
      </c>
      <c r="N133" s="92">
        <v>3.64</v>
      </c>
      <c r="O133" s="92">
        <v>7.35</v>
      </c>
      <c r="P133" s="92">
        <v>0.16</v>
      </c>
      <c r="Q133" s="92">
        <v>40.22</v>
      </c>
      <c r="R133" s="92">
        <v>0.6</v>
      </c>
      <c r="S133" s="92">
        <v>0</v>
      </c>
      <c r="T133" s="92">
        <v>0</v>
      </c>
      <c r="U133" s="93" t="s">
        <v>196</v>
      </c>
      <c r="V133" s="93" t="s">
        <v>52</v>
      </c>
    </row>
    <row r="134" spans="1:22" s="94" customFormat="1" ht="12.2" customHeight="1" x14ac:dyDescent="0.15">
      <c r="A134" s="90" t="s">
        <v>89</v>
      </c>
      <c r="B134" s="91">
        <v>180</v>
      </c>
      <c r="C134" s="92">
        <v>5.22</v>
      </c>
      <c r="D134" s="92">
        <v>4.5</v>
      </c>
      <c r="E134" s="92">
        <v>7.2</v>
      </c>
      <c r="F134" s="92">
        <v>95.4</v>
      </c>
      <c r="G134" s="92">
        <v>7.0000000000000007E-2</v>
      </c>
      <c r="H134" s="92">
        <v>1.26</v>
      </c>
      <c r="I134" s="92">
        <v>0.05</v>
      </c>
      <c r="J134" s="92">
        <v>0.13</v>
      </c>
      <c r="K134" s="92">
        <v>0</v>
      </c>
      <c r="L134" s="92">
        <v>0.31</v>
      </c>
      <c r="M134" s="92">
        <v>216</v>
      </c>
      <c r="N134" s="92">
        <v>25.2</v>
      </c>
      <c r="O134" s="92">
        <v>171</v>
      </c>
      <c r="P134" s="92">
        <v>0.18</v>
      </c>
      <c r="Q134" s="92">
        <v>262.8</v>
      </c>
      <c r="R134" s="92">
        <v>16.2</v>
      </c>
      <c r="S134" s="92">
        <v>0.04</v>
      </c>
      <c r="T134" s="92">
        <v>0</v>
      </c>
      <c r="U134" s="93" t="s">
        <v>167</v>
      </c>
      <c r="V134" s="93" t="s">
        <v>29</v>
      </c>
    </row>
    <row r="135" spans="1:22" s="94" customFormat="1" ht="12.2" customHeight="1" x14ac:dyDescent="0.15">
      <c r="A135" s="90" t="s">
        <v>49</v>
      </c>
      <c r="B135" s="91">
        <v>40</v>
      </c>
      <c r="C135" s="92">
        <v>3.05</v>
      </c>
      <c r="D135" s="92">
        <v>0.25</v>
      </c>
      <c r="E135" s="92">
        <v>20.07</v>
      </c>
      <c r="F135" s="92">
        <v>94.73</v>
      </c>
      <c r="G135" s="92">
        <v>0.05</v>
      </c>
      <c r="H135" s="92">
        <v>0</v>
      </c>
      <c r="I135" s="92">
        <v>0</v>
      </c>
      <c r="J135" s="92">
        <v>0.59</v>
      </c>
      <c r="K135" s="92">
        <v>0</v>
      </c>
      <c r="L135" s="92">
        <v>0.02</v>
      </c>
      <c r="M135" s="92">
        <v>6.9</v>
      </c>
      <c r="N135" s="92">
        <v>9.9</v>
      </c>
      <c r="O135" s="92">
        <v>25.2</v>
      </c>
      <c r="P135" s="92">
        <v>0.6</v>
      </c>
      <c r="Q135" s="92">
        <v>38.700000000000003</v>
      </c>
      <c r="R135" s="92">
        <v>0</v>
      </c>
      <c r="S135" s="92">
        <v>0</v>
      </c>
      <c r="T135" s="92">
        <v>0</v>
      </c>
      <c r="U135" s="93" t="s">
        <v>167</v>
      </c>
      <c r="V135" s="93" t="s">
        <v>39</v>
      </c>
    </row>
    <row r="136" spans="1:22" s="94" customFormat="1" ht="12.2" customHeight="1" x14ac:dyDescent="0.15">
      <c r="A136" s="90" t="s">
        <v>38</v>
      </c>
      <c r="B136" s="91">
        <v>20</v>
      </c>
      <c r="C136" s="92">
        <v>1.1200000000000001</v>
      </c>
      <c r="D136" s="92">
        <v>0.22</v>
      </c>
      <c r="E136" s="92">
        <v>9.8800000000000008</v>
      </c>
      <c r="F136" s="92">
        <v>45.98</v>
      </c>
      <c r="G136" s="92">
        <v>0</v>
      </c>
      <c r="H136" s="92">
        <v>0</v>
      </c>
      <c r="I136" s="92">
        <v>0</v>
      </c>
      <c r="J136" s="92">
        <v>0</v>
      </c>
      <c r="K136" s="92">
        <v>0</v>
      </c>
      <c r="L136" s="92">
        <v>0</v>
      </c>
      <c r="M136" s="92">
        <v>0</v>
      </c>
      <c r="N136" s="92">
        <v>0</v>
      </c>
      <c r="O136" s="92">
        <v>0</v>
      </c>
      <c r="P136" s="92">
        <v>0</v>
      </c>
      <c r="Q136" s="92">
        <v>0</v>
      </c>
      <c r="R136" s="92">
        <v>0</v>
      </c>
      <c r="S136" s="92">
        <v>0</v>
      </c>
      <c r="T136" s="92">
        <v>0</v>
      </c>
      <c r="U136" s="93" t="s">
        <v>167</v>
      </c>
      <c r="V136" s="93" t="s">
        <v>39</v>
      </c>
    </row>
    <row r="137" spans="1:22" s="94" customFormat="1" ht="12.2" customHeight="1" x14ac:dyDescent="0.15">
      <c r="A137" s="90" t="s">
        <v>36</v>
      </c>
      <c r="B137" s="91">
        <v>100</v>
      </c>
      <c r="C137" s="92">
        <v>0.4</v>
      </c>
      <c r="D137" s="92">
        <v>0.4</v>
      </c>
      <c r="E137" s="92">
        <v>9.8000000000000007</v>
      </c>
      <c r="F137" s="92">
        <v>47</v>
      </c>
      <c r="G137" s="92">
        <v>0.03</v>
      </c>
      <c r="H137" s="92">
        <v>10</v>
      </c>
      <c r="I137" s="92">
        <v>0.01</v>
      </c>
      <c r="J137" s="92">
        <v>0.63</v>
      </c>
      <c r="K137" s="92">
        <v>0</v>
      </c>
      <c r="L137" s="92">
        <v>0.02</v>
      </c>
      <c r="M137" s="92">
        <v>16</v>
      </c>
      <c r="N137" s="92">
        <v>8</v>
      </c>
      <c r="O137" s="92">
        <v>11</v>
      </c>
      <c r="P137" s="92">
        <v>2.2000000000000002</v>
      </c>
      <c r="Q137" s="92">
        <v>278</v>
      </c>
      <c r="R137" s="92">
        <v>2</v>
      </c>
      <c r="S137" s="92">
        <v>0.01</v>
      </c>
      <c r="T137" s="92">
        <v>0</v>
      </c>
      <c r="U137" s="93" t="s">
        <v>37</v>
      </c>
      <c r="V137" s="93" t="s">
        <v>29</v>
      </c>
    </row>
    <row r="138" spans="1:22" ht="21.6" customHeight="1" x14ac:dyDescent="0.2">
      <c r="A138" s="29" t="s">
        <v>40</v>
      </c>
      <c r="B138" s="30">
        <f>SUM(B130:B137)</f>
        <v>775</v>
      </c>
      <c r="C138" s="82">
        <f t="shared" ref="C138:T138" si="9">SUM(C130:C137)</f>
        <v>23.026666666666667</v>
      </c>
      <c r="D138" s="82">
        <f t="shared" si="9"/>
        <v>30.993333333333329</v>
      </c>
      <c r="E138" s="82">
        <f t="shared" si="9"/>
        <v>102.64</v>
      </c>
      <c r="F138" s="82">
        <f t="shared" si="9"/>
        <v>752.16000000000008</v>
      </c>
      <c r="G138" s="82">
        <f t="shared" si="9"/>
        <v>0.36799999999999999</v>
      </c>
      <c r="H138" s="82">
        <f t="shared" si="9"/>
        <v>42.89</v>
      </c>
      <c r="I138" s="82">
        <f t="shared" si="9"/>
        <v>3.6299999999999994</v>
      </c>
      <c r="J138" s="82">
        <f t="shared" si="9"/>
        <v>7.51</v>
      </c>
      <c r="K138" s="82">
        <f t="shared" si="9"/>
        <v>0.95</v>
      </c>
      <c r="L138" s="82">
        <f t="shared" si="9"/>
        <v>1.3780000000000001</v>
      </c>
      <c r="M138" s="82">
        <f t="shared" si="9"/>
        <v>356.07</v>
      </c>
      <c r="N138" s="82">
        <f t="shared" si="9"/>
        <v>91.740000000000009</v>
      </c>
      <c r="O138" s="82">
        <f t="shared" si="9"/>
        <v>502.55</v>
      </c>
      <c r="P138" s="82">
        <f t="shared" si="9"/>
        <v>8.129999999999999</v>
      </c>
      <c r="Q138" s="82">
        <f t="shared" si="9"/>
        <v>1361.8200000000002</v>
      </c>
      <c r="R138" s="82">
        <f t="shared" si="9"/>
        <v>40.39</v>
      </c>
      <c r="S138" s="82">
        <f t="shared" si="9"/>
        <v>0.2</v>
      </c>
      <c r="T138" s="82">
        <f t="shared" si="9"/>
        <v>0.03</v>
      </c>
      <c r="U138" s="83"/>
      <c r="V138" s="83"/>
    </row>
    <row r="140" spans="1:22" s="6" customFormat="1" ht="15" x14ac:dyDescent="0.25">
      <c r="A140" s="171" t="s">
        <v>224</v>
      </c>
      <c r="B140" s="171" t="s">
        <v>222</v>
      </c>
      <c r="C140" s="175" t="s">
        <v>3</v>
      </c>
      <c r="D140" s="175"/>
      <c r="E140" s="175"/>
      <c r="F140" s="175" t="s">
        <v>4</v>
      </c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13"/>
      <c r="V140" s="13"/>
    </row>
    <row r="141" spans="1:22" s="6" customFormat="1" ht="28.5" x14ac:dyDescent="0.25">
      <c r="A141" s="172"/>
      <c r="B141" s="172"/>
      <c r="C141" s="86" t="s">
        <v>9</v>
      </c>
      <c r="D141" s="86" t="s">
        <v>10</v>
      </c>
      <c r="E141" s="86" t="s">
        <v>11</v>
      </c>
      <c r="F141" s="176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13"/>
      <c r="V141" s="13"/>
    </row>
    <row r="142" spans="1:22" s="10" customFormat="1" ht="15" x14ac:dyDescent="0.2">
      <c r="A142" s="8" t="s">
        <v>200</v>
      </c>
      <c r="B142" s="75">
        <f>B138+B124+B109+B95+B82+B68+B55+B42+B29+B16</f>
        <v>8370</v>
      </c>
      <c r="C142" s="87">
        <f>C138+C124+C109+C95+C82+C68+C55+C42+C29+C16</f>
        <v>257.76216973304474</v>
      </c>
      <c r="D142" s="87">
        <f>D138+D124+D109+D95+D82+D68+D55+D42+D29+D16</f>
        <v>280.7328304473304</v>
      </c>
      <c r="E142" s="87">
        <f>E138+E124+E109+E95+E82+E68+E55+E42+E29+E16</f>
        <v>1074.4659837662334</v>
      </c>
      <c r="F142" s="87">
        <f>F138+F124+F109+F95+F82+F68+F55+F42+F29+F16</f>
        <v>7877.7199025974032</v>
      </c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9"/>
      <c r="V142" s="9"/>
    </row>
    <row r="143" spans="1:22" s="10" customFormat="1" ht="15" x14ac:dyDescent="0.2">
      <c r="A143" s="8" t="s">
        <v>201</v>
      </c>
      <c r="B143" s="75">
        <f>B142/10</f>
        <v>837</v>
      </c>
      <c r="C143" s="89">
        <f>C142/10</f>
        <v>25.776216973304475</v>
      </c>
      <c r="D143" s="89">
        <f t="shared" ref="D143:F143" si="10">D142/10</f>
        <v>28.073283044733039</v>
      </c>
      <c r="E143" s="89">
        <f t="shared" si="10"/>
        <v>107.44659837662334</v>
      </c>
      <c r="F143" s="89">
        <f t="shared" si="10"/>
        <v>787.77199025974028</v>
      </c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9"/>
      <c r="V143" s="9"/>
    </row>
    <row r="149" spans="2:2" x14ac:dyDescent="0.2">
      <c r="B149" s="5">
        <v>1</v>
      </c>
    </row>
  </sheetData>
  <mergeCells count="89">
    <mergeCell ref="A1:C1"/>
    <mergeCell ref="K1:V2"/>
    <mergeCell ref="A3:V3"/>
    <mergeCell ref="A5:V5"/>
    <mergeCell ref="A6:A7"/>
    <mergeCell ref="B6:B7"/>
    <mergeCell ref="C6:E6"/>
    <mergeCell ref="F6:F7"/>
    <mergeCell ref="G6:L6"/>
    <mergeCell ref="M6:T6"/>
    <mergeCell ref="A4:V4"/>
    <mergeCell ref="A8:T8"/>
    <mergeCell ref="A18:V18"/>
    <mergeCell ref="A19:A20"/>
    <mergeCell ref="B19:B20"/>
    <mergeCell ref="C19:E19"/>
    <mergeCell ref="F19:F20"/>
    <mergeCell ref="G19:L19"/>
    <mergeCell ref="M19:T19"/>
    <mergeCell ref="A21:T21"/>
    <mergeCell ref="A31:V31"/>
    <mergeCell ref="A32:A33"/>
    <mergeCell ref="B32:B33"/>
    <mergeCell ref="C32:E32"/>
    <mergeCell ref="F32:F33"/>
    <mergeCell ref="G32:L32"/>
    <mergeCell ref="M32:T32"/>
    <mergeCell ref="A34:T34"/>
    <mergeCell ref="A44:V44"/>
    <mergeCell ref="A45:A46"/>
    <mergeCell ref="B45:B46"/>
    <mergeCell ref="C45:E45"/>
    <mergeCell ref="F45:F46"/>
    <mergeCell ref="G45:L45"/>
    <mergeCell ref="M45:T45"/>
    <mergeCell ref="A47:T47"/>
    <mergeCell ref="A57:V57"/>
    <mergeCell ref="A58:A59"/>
    <mergeCell ref="B58:B59"/>
    <mergeCell ref="C58:E58"/>
    <mergeCell ref="F58:F59"/>
    <mergeCell ref="G58:L58"/>
    <mergeCell ref="M58:T58"/>
    <mergeCell ref="A60:T60"/>
    <mergeCell ref="A70:V70"/>
    <mergeCell ref="A71:A72"/>
    <mergeCell ref="B71:B72"/>
    <mergeCell ref="C71:E71"/>
    <mergeCell ref="F71:F72"/>
    <mergeCell ref="G71:L71"/>
    <mergeCell ref="M71:T71"/>
    <mergeCell ref="A73:T73"/>
    <mergeCell ref="A84:V84"/>
    <mergeCell ref="A85:A86"/>
    <mergeCell ref="B85:B86"/>
    <mergeCell ref="C85:E85"/>
    <mergeCell ref="F85:F86"/>
    <mergeCell ref="G85:L85"/>
    <mergeCell ref="M85:T85"/>
    <mergeCell ref="A87:T87"/>
    <mergeCell ref="A97:V97"/>
    <mergeCell ref="A98:A99"/>
    <mergeCell ref="B98:B99"/>
    <mergeCell ref="C98:E98"/>
    <mergeCell ref="F98:F99"/>
    <mergeCell ref="G98:L98"/>
    <mergeCell ref="M98:T98"/>
    <mergeCell ref="A140:A141"/>
    <mergeCell ref="B140:B141"/>
    <mergeCell ref="C140:E140"/>
    <mergeCell ref="F140:F141"/>
    <mergeCell ref="M127:T127"/>
    <mergeCell ref="A129:T129"/>
    <mergeCell ref="A100:T100"/>
    <mergeCell ref="A115:T115"/>
    <mergeCell ref="A126:V126"/>
    <mergeCell ref="A127:A128"/>
    <mergeCell ref="B127:B128"/>
    <mergeCell ref="C127:E127"/>
    <mergeCell ref="F127:F128"/>
    <mergeCell ref="G127:L127"/>
    <mergeCell ref="A111:V111"/>
    <mergeCell ref="A112:V112"/>
    <mergeCell ref="A113:A114"/>
    <mergeCell ref="B113:B114"/>
    <mergeCell ref="C113:E113"/>
    <mergeCell ref="F113:F114"/>
    <mergeCell ref="G113:L113"/>
    <mergeCell ref="M113:T11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  <rowBreaks count="1" manualBreakCount="1">
    <brk id="56" max="24" man="1"/>
  </rowBreaks>
  <colBreaks count="1" manualBreakCount="1">
    <brk id="23" max="1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"/>
  <sheetViews>
    <sheetView view="pageBreakPreview" topLeftCell="A60" zoomScale="60" zoomScaleNormal="100" workbookViewId="0">
      <selection activeCell="A81" sqref="A81:V81"/>
    </sheetView>
  </sheetViews>
  <sheetFormatPr defaultColWidth="9.1640625" defaultRowHeight="10.5" x14ac:dyDescent="0.15"/>
  <cols>
    <col min="1" max="1" width="55" style="78" customWidth="1"/>
    <col min="2" max="2" width="9.33203125" style="79" bestFit="1" customWidth="1"/>
    <col min="3" max="4" width="9.33203125" style="80" bestFit="1" customWidth="1"/>
    <col min="5" max="5" width="16.5" style="80" customWidth="1"/>
    <col min="6" max="6" width="18" style="80" customWidth="1"/>
    <col min="7" max="16" width="9.33203125" style="80" bestFit="1" customWidth="1"/>
    <col min="17" max="17" width="10.5" style="80" bestFit="1" customWidth="1"/>
    <col min="18" max="20" width="9.33203125" style="80" bestFit="1" customWidth="1"/>
    <col min="21" max="21" width="9.1640625" style="79"/>
    <col min="22" max="22" width="14.33203125" style="79" customWidth="1"/>
    <col min="23" max="16384" width="9.1640625" style="79"/>
  </cols>
  <sheetData>
    <row r="1" spans="1:22" s="13" customFormat="1" ht="82.5" customHeight="1" x14ac:dyDescent="0.25">
      <c r="A1" s="163" t="s">
        <v>243</v>
      </c>
      <c r="B1" s="163"/>
      <c r="C1" s="163"/>
      <c r="D1" s="70"/>
      <c r="E1" s="70"/>
      <c r="F1" s="70"/>
      <c r="G1" s="70"/>
      <c r="H1" s="70"/>
      <c r="I1" s="70"/>
      <c r="J1" s="70"/>
      <c r="K1" s="164" t="s">
        <v>208</v>
      </c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</row>
    <row r="2" spans="1:22" s="13" customFormat="1" ht="22.9" customHeight="1" x14ac:dyDescent="0.25">
      <c r="A2" s="71"/>
      <c r="C2" s="70"/>
      <c r="D2" s="70"/>
      <c r="E2" s="70"/>
      <c r="F2" s="70"/>
      <c r="G2" s="70"/>
      <c r="H2" s="70"/>
      <c r="I2" s="70"/>
      <c r="J2" s="70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1:22" s="15" customFormat="1" ht="13.5" customHeight="1" x14ac:dyDescent="0.15">
      <c r="A3" s="149" t="s">
        <v>232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22" s="22" customFormat="1" ht="13.5" customHeight="1" x14ac:dyDescent="0.15">
      <c r="A4" s="168" t="s">
        <v>225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5" spans="1:22" s="6" customFormat="1" ht="28.35" customHeight="1" x14ac:dyDescent="0.2">
      <c r="A5" s="184" t="s">
        <v>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</row>
    <row r="6" spans="1:22" s="5" customFormat="1" ht="13.35" customHeight="1" x14ac:dyDescent="0.15">
      <c r="A6" s="180" t="s">
        <v>1</v>
      </c>
      <c r="B6" s="158" t="s">
        <v>2</v>
      </c>
      <c r="C6" s="182" t="s">
        <v>3</v>
      </c>
      <c r="D6" s="178"/>
      <c r="E6" s="179"/>
      <c r="F6" s="183" t="s">
        <v>4</v>
      </c>
      <c r="G6" s="31" t="s">
        <v>5</v>
      </c>
      <c r="H6" s="182" t="s">
        <v>6</v>
      </c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9"/>
      <c r="U6" s="158" t="s">
        <v>7</v>
      </c>
      <c r="V6" s="158" t="s">
        <v>8</v>
      </c>
    </row>
    <row r="7" spans="1:22" s="5" customFormat="1" ht="26.65" customHeight="1" x14ac:dyDescent="0.15">
      <c r="A7" s="181"/>
      <c r="B7" s="159"/>
      <c r="C7" s="31" t="s">
        <v>9</v>
      </c>
      <c r="D7" s="31" t="s">
        <v>10</v>
      </c>
      <c r="E7" s="31" t="s">
        <v>11</v>
      </c>
      <c r="F7" s="159"/>
      <c r="G7" s="31" t="s">
        <v>12</v>
      </c>
      <c r="H7" s="31" t="s">
        <v>13</v>
      </c>
      <c r="I7" s="31" t="s">
        <v>14</v>
      </c>
      <c r="J7" s="31" t="s">
        <v>15</v>
      </c>
      <c r="K7" s="31" t="s">
        <v>16</v>
      </c>
      <c r="L7" s="31" t="s">
        <v>17</v>
      </c>
      <c r="M7" s="31" t="s">
        <v>18</v>
      </c>
      <c r="N7" s="31" t="s">
        <v>19</v>
      </c>
      <c r="O7" s="31" t="s">
        <v>20</v>
      </c>
      <c r="P7" s="31" t="s">
        <v>21</v>
      </c>
      <c r="Q7" s="31" t="s">
        <v>22</v>
      </c>
      <c r="R7" s="31" t="s">
        <v>23</v>
      </c>
      <c r="S7" s="31" t="s">
        <v>24</v>
      </c>
      <c r="T7" s="31" t="s">
        <v>25</v>
      </c>
      <c r="U7" s="159"/>
      <c r="V7" s="159"/>
    </row>
    <row r="8" spans="1:22" s="5" customFormat="1" ht="14.65" customHeight="1" x14ac:dyDescent="0.15">
      <c r="A8" s="177" t="s">
        <v>50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9"/>
    </row>
    <row r="9" spans="1:22" s="5" customFormat="1" ht="25.15" customHeight="1" x14ac:dyDescent="0.15">
      <c r="A9" s="1" t="s">
        <v>51</v>
      </c>
      <c r="B9" s="2">
        <v>170</v>
      </c>
      <c r="C9" s="3">
        <f>7.3*150/130</f>
        <v>8.4230769230769234</v>
      </c>
      <c r="D9" s="3">
        <f>6.9*150/130</f>
        <v>7.9615384615384617</v>
      </c>
      <c r="E9" s="3">
        <f>20.8*150/130</f>
        <v>24</v>
      </c>
      <c r="F9" s="3">
        <f>199.7*150/130</f>
        <v>230.42307692307693</v>
      </c>
      <c r="G9" s="3">
        <v>0.12</v>
      </c>
      <c r="H9" s="3">
        <v>7.7</v>
      </c>
      <c r="I9" s="3">
        <v>2.89</v>
      </c>
      <c r="J9" s="3">
        <v>2.36</v>
      </c>
      <c r="K9" s="3">
        <v>0.26</v>
      </c>
      <c r="L9" s="3">
        <v>0.73</v>
      </c>
      <c r="M9" s="3">
        <v>24.5</v>
      </c>
      <c r="N9" s="3">
        <v>25.84</v>
      </c>
      <c r="O9" s="3">
        <v>184.92</v>
      </c>
      <c r="P9" s="3">
        <v>3.36</v>
      </c>
      <c r="Q9" s="3">
        <v>249.5</v>
      </c>
      <c r="R9" s="3">
        <v>6.45</v>
      </c>
      <c r="S9" s="3">
        <v>0.11</v>
      </c>
      <c r="T9" s="3">
        <v>0.02</v>
      </c>
      <c r="U9" s="4" t="s">
        <v>168</v>
      </c>
      <c r="V9" s="4" t="s">
        <v>52</v>
      </c>
    </row>
    <row r="10" spans="1:22" s="5" customFormat="1" ht="12.2" customHeight="1" x14ac:dyDescent="0.15">
      <c r="A10" s="1" t="s">
        <v>53</v>
      </c>
      <c r="B10" s="2">
        <v>180</v>
      </c>
      <c r="C10" s="3">
        <v>0.16</v>
      </c>
      <c r="D10" s="3">
        <v>0.01</v>
      </c>
      <c r="E10" s="3">
        <v>7.35</v>
      </c>
      <c r="F10" s="3">
        <v>31.15</v>
      </c>
      <c r="G10" s="3">
        <v>0</v>
      </c>
      <c r="H10" s="3">
        <v>2.83</v>
      </c>
      <c r="I10" s="3">
        <v>0</v>
      </c>
      <c r="J10" s="3">
        <v>0</v>
      </c>
      <c r="K10" s="3">
        <v>0</v>
      </c>
      <c r="L10" s="3">
        <v>0</v>
      </c>
      <c r="M10" s="3">
        <v>14.2</v>
      </c>
      <c r="N10" s="3">
        <v>2.4</v>
      </c>
      <c r="O10" s="3">
        <v>4.4000000000000004</v>
      </c>
      <c r="P10" s="3">
        <v>0.36</v>
      </c>
      <c r="Q10" s="3">
        <v>21.3</v>
      </c>
      <c r="R10" s="3">
        <v>12</v>
      </c>
      <c r="S10" s="3">
        <v>0</v>
      </c>
      <c r="T10" s="3">
        <v>0</v>
      </c>
      <c r="U10" s="4" t="s">
        <v>64</v>
      </c>
      <c r="V10" s="4" t="s">
        <v>29</v>
      </c>
    </row>
    <row r="11" spans="1:22" s="5" customFormat="1" ht="12.2" customHeight="1" x14ac:dyDescent="0.15">
      <c r="A11" s="1" t="s">
        <v>38</v>
      </c>
      <c r="B11" s="2">
        <v>20</v>
      </c>
      <c r="C11" s="3">
        <v>1.1200000000000001</v>
      </c>
      <c r="D11" s="3">
        <v>0.22</v>
      </c>
      <c r="E11" s="3">
        <v>9.8800000000000008</v>
      </c>
      <c r="F11" s="3">
        <v>45.98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4" t="s">
        <v>167</v>
      </c>
      <c r="V11" s="4" t="s">
        <v>39</v>
      </c>
    </row>
    <row r="12" spans="1:22" s="5" customFormat="1" ht="12.2" customHeight="1" x14ac:dyDescent="0.15">
      <c r="A12" s="29" t="s">
        <v>40</v>
      </c>
      <c r="B12" s="30">
        <f t="shared" ref="B12:T12" si="0">SUM(B9:B11)</f>
        <v>370</v>
      </c>
      <c r="C12" s="31">
        <f t="shared" si="0"/>
        <v>9.7030769230769245</v>
      </c>
      <c r="D12" s="31">
        <f t="shared" si="0"/>
        <v>8.1915384615384621</v>
      </c>
      <c r="E12" s="31">
        <f t="shared" si="0"/>
        <v>41.230000000000004</v>
      </c>
      <c r="F12" s="31">
        <f t="shared" si="0"/>
        <v>307.55307692307696</v>
      </c>
      <c r="G12" s="31">
        <f t="shared" si="0"/>
        <v>0.12</v>
      </c>
      <c r="H12" s="31">
        <f t="shared" si="0"/>
        <v>10.530000000000001</v>
      </c>
      <c r="I12" s="31">
        <f t="shared" si="0"/>
        <v>2.89</v>
      </c>
      <c r="J12" s="31">
        <f t="shared" si="0"/>
        <v>2.36</v>
      </c>
      <c r="K12" s="31">
        <f t="shared" si="0"/>
        <v>0.26</v>
      </c>
      <c r="L12" s="31">
        <f t="shared" si="0"/>
        <v>0.73</v>
      </c>
      <c r="M12" s="31">
        <f t="shared" si="0"/>
        <v>38.700000000000003</v>
      </c>
      <c r="N12" s="31">
        <f t="shared" si="0"/>
        <v>28.24</v>
      </c>
      <c r="O12" s="31">
        <f t="shared" si="0"/>
        <v>189.32</v>
      </c>
      <c r="P12" s="31">
        <f t="shared" si="0"/>
        <v>3.7199999999999998</v>
      </c>
      <c r="Q12" s="31">
        <f t="shared" si="0"/>
        <v>270.8</v>
      </c>
      <c r="R12" s="31">
        <f t="shared" si="0"/>
        <v>18.45</v>
      </c>
      <c r="S12" s="31">
        <f t="shared" si="0"/>
        <v>0.11</v>
      </c>
      <c r="T12" s="31">
        <f t="shared" si="0"/>
        <v>0.02</v>
      </c>
      <c r="U12" s="32"/>
      <c r="V12" s="32"/>
    </row>
    <row r="13" spans="1:22" s="17" customFormat="1" ht="28.35" customHeight="1" x14ac:dyDescent="0.2">
      <c r="A13" s="166" t="s">
        <v>55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</row>
    <row r="14" spans="1:22" s="5" customFormat="1" ht="13.35" customHeight="1" x14ac:dyDescent="0.15">
      <c r="A14" s="180" t="s">
        <v>1</v>
      </c>
      <c r="B14" s="158" t="s">
        <v>2</v>
      </c>
      <c r="C14" s="182" t="s">
        <v>3</v>
      </c>
      <c r="D14" s="178"/>
      <c r="E14" s="179"/>
      <c r="F14" s="183" t="s">
        <v>4</v>
      </c>
      <c r="G14" s="31" t="s">
        <v>5</v>
      </c>
      <c r="H14" s="182" t="s">
        <v>6</v>
      </c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9"/>
      <c r="U14" s="158" t="s">
        <v>7</v>
      </c>
      <c r="V14" s="158" t="s">
        <v>8</v>
      </c>
    </row>
    <row r="15" spans="1:22" s="5" customFormat="1" ht="26.65" customHeight="1" x14ac:dyDescent="0.15">
      <c r="A15" s="181"/>
      <c r="B15" s="159"/>
      <c r="C15" s="31" t="s">
        <v>9</v>
      </c>
      <c r="D15" s="31" t="s">
        <v>10</v>
      </c>
      <c r="E15" s="31" t="s">
        <v>11</v>
      </c>
      <c r="F15" s="159"/>
      <c r="G15" s="31" t="s">
        <v>12</v>
      </c>
      <c r="H15" s="31" t="s">
        <v>13</v>
      </c>
      <c r="I15" s="31" t="s">
        <v>14</v>
      </c>
      <c r="J15" s="31" t="s">
        <v>15</v>
      </c>
      <c r="K15" s="31" t="s">
        <v>16</v>
      </c>
      <c r="L15" s="31" t="s">
        <v>17</v>
      </c>
      <c r="M15" s="31" t="s">
        <v>18</v>
      </c>
      <c r="N15" s="31" t="s">
        <v>19</v>
      </c>
      <c r="O15" s="31" t="s">
        <v>20</v>
      </c>
      <c r="P15" s="31" t="s">
        <v>21</v>
      </c>
      <c r="Q15" s="31" t="s">
        <v>22</v>
      </c>
      <c r="R15" s="31" t="s">
        <v>23</v>
      </c>
      <c r="S15" s="31" t="s">
        <v>24</v>
      </c>
      <c r="T15" s="31" t="s">
        <v>25</v>
      </c>
      <c r="U15" s="159"/>
      <c r="V15" s="159"/>
    </row>
    <row r="16" spans="1:22" s="5" customFormat="1" ht="14.65" customHeight="1" x14ac:dyDescent="0.15">
      <c r="A16" s="177" t="s">
        <v>50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9"/>
    </row>
    <row r="17" spans="1:22" s="5" customFormat="1" ht="21.6" customHeight="1" x14ac:dyDescent="0.15">
      <c r="A17" s="1" t="s">
        <v>171</v>
      </c>
      <c r="B17" s="2">
        <v>170</v>
      </c>
      <c r="C17" s="3">
        <v>3.2</v>
      </c>
      <c r="D17" s="3">
        <v>6.9</v>
      </c>
      <c r="E17" s="3">
        <v>19.3</v>
      </c>
      <c r="F17" s="3">
        <v>162</v>
      </c>
      <c r="G17" s="3">
        <v>0.08</v>
      </c>
      <c r="H17" s="3">
        <v>11.78</v>
      </c>
      <c r="I17" s="3">
        <v>0.38</v>
      </c>
      <c r="J17" s="3">
        <v>3.14</v>
      </c>
      <c r="K17" s="3">
        <v>0</v>
      </c>
      <c r="L17" s="3">
        <v>0</v>
      </c>
      <c r="M17" s="3">
        <v>52.35</v>
      </c>
      <c r="N17" s="3">
        <v>27.48</v>
      </c>
      <c r="O17" s="3">
        <v>57.58</v>
      </c>
      <c r="P17" s="3">
        <v>2.62</v>
      </c>
      <c r="Q17" s="3">
        <v>0</v>
      </c>
      <c r="R17" s="3">
        <v>0</v>
      </c>
      <c r="S17" s="3">
        <v>0</v>
      </c>
      <c r="T17" s="3">
        <v>0</v>
      </c>
      <c r="U17" s="4" t="s">
        <v>172</v>
      </c>
      <c r="V17" s="4">
        <v>2023</v>
      </c>
    </row>
    <row r="18" spans="1:22" s="5" customFormat="1" ht="12.2" customHeight="1" x14ac:dyDescent="0.15">
      <c r="A18" s="1" t="s">
        <v>78</v>
      </c>
      <c r="B18" s="2">
        <v>180</v>
      </c>
      <c r="C18" s="3">
        <v>0.59</v>
      </c>
      <c r="D18" s="3">
        <f>0.45*0.18</f>
        <v>8.1000000000000003E-2</v>
      </c>
      <c r="E18" s="3">
        <v>24.92</v>
      </c>
      <c r="F18" s="3">
        <v>119.52</v>
      </c>
      <c r="G18" s="3">
        <f>0.02*0.18</f>
        <v>3.5999999999999999E-3</v>
      </c>
      <c r="H18" s="3">
        <f>3.63*0.18</f>
        <v>0.65339999999999998</v>
      </c>
      <c r="I18" s="3">
        <v>0</v>
      </c>
      <c r="J18" s="3">
        <v>0</v>
      </c>
      <c r="K18" s="3">
        <v>0</v>
      </c>
      <c r="L18" s="3">
        <v>0</v>
      </c>
      <c r="M18" s="3">
        <f>162.4*0.18</f>
        <v>29.231999999999999</v>
      </c>
      <c r="N18" s="3">
        <f>87.3*0.18</f>
        <v>15.713999999999999</v>
      </c>
      <c r="O18" s="3">
        <f>117.2*0.18</f>
        <v>21.096</v>
      </c>
      <c r="P18" s="3">
        <f>3.49*0.18</f>
        <v>0.62819999999999998</v>
      </c>
      <c r="Q18" s="3">
        <f>1149*0.18</f>
        <v>206.82</v>
      </c>
      <c r="R18" s="3">
        <v>0</v>
      </c>
      <c r="S18" s="3">
        <v>0</v>
      </c>
      <c r="T18" s="3">
        <v>0</v>
      </c>
      <c r="U18" s="4" t="s">
        <v>79</v>
      </c>
      <c r="V18" s="4" t="s">
        <v>29</v>
      </c>
    </row>
    <row r="19" spans="1:22" s="5" customFormat="1" ht="12.2" customHeight="1" x14ac:dyDescent="0.15">
      <c r="A19" s="1" t="s">
        <v>49</v>
      </c>
      <c r="B19" s="2">
        <v>20</v>
      </c>
      <c r="C19" s="3">
        <v>1.53</v>
      </c>
      <c r="D19" s="3">
        <v>0.12</v>
      </c>
      <c r="E19" s="3">
        <v>10.039999999999999</v>
      </c>
      <c r="F19" s="3">
        <v>47.36</v>
      </c>
      <c r="G19" s="3">
        <v>0.03</v>
      </c>
      <c r="H19" s="3">
        <v>0</v>
      </c>
      <c r="I19" s="3">
        <v>0</v>
      </c>
      <c r="J19" s="3">
        <v>0.39</v>
      </c>
      <c r="K19" s="3">
        <v>0</v>
      </c>
      <c r="L19" s="3">
        <v>0.01</v>
      </c>
      <c r="M19" s="3">
        <v>4.5999999999999996</v>
      </c>
      <c r="N19" s="3">
        <v>6.6</v>
      </c>
      <c r="O19" s="3">
        <v>16.8</v>
      </c>
      <c r="P19" s="3">
        <v>0.4</v>
      </c>
      <c r="Q19" s="3">
        <v>25.8</v>
      </c>
      <c r="R19" s="3">
        <v>0</v>
      </c>
      <c r="S19" s="3">
        <v>0</v>
      </c>
      <c r="T19" s="3">
        <v>0</v>
      </c>
      <c r="U19" s="4" t="s">
        <v>167</v>
      </c>
      <c r="V19" s="4" t="s">
        <v>39</v>
      </c>
    </row>
    <row r="20" spans="1:22" s="5" customFormat="1" ht="12.2" customHeight="1" x14ac:dyDescent="0.15">
      <c r="A20" s="29" t="s">
        <v>40</v>
      </c>
      <c r="B20" s="30">
        <f>SUM(B17:B19)</f>
        <v>370</v>
      </c>
      <c r="C20" s="31">
        <f t="shared" ref="C20:T20" si="1">SUM(C17:C19)</f>
        <v>5.32</v>
      </c>
      <c r="D20" s="31">
        <f t="shared" si="1"/>
        <v>7.1010000000000009</v>
      </c>
      <c r="E20" s="31">
        <f t="shared" si="1"/>
        <v>54.26</v>
      </c>
      <c r="F20" s="31">
        <f t="shared" si="1"/>
        <v>328.88</v>
      </c>
      <c r="G20" s="31">
        <f t="shared" si="1"/>
        <v>0.11360000000000001</v>
      </c>
      <c r="H20" s="31">
        <f t="shared" si="1"/>
        <v>12.433399999999999</v>
      </c>
      <c r="I20" s="31">
        <f t="shared" si="1"/>
        <v>0.38</v>
      </c>
      <c r="J20" s="31">
        <f t="shared" si="1"/>
        <v>3.5300000000000002</v>
      </c>
      <c r="K20" s="31">
        <f t="shared" si="1"/>
        <v>0</v>
      </c>
      <c r="L20" s="31">
        <f t="shared" si="1"/>
        <v>0.01</v>
      </c>
      <c r="M20" s="31">
        <f t="shared" si="1"/>
        <v>86.181999999999988</v>
      </c>
      <c r="N20" s="31">
        <f t="shared" si="1"/>
        <v>49.794000000000004</v>
      </c>
      <c r="O20" s="31">
        <f t="shared" si="1"/>
        <v>95.475999999999999</v>
      </c>
      <c r="P20" s="31">
        <f t="shared" si="1"/>
        <v>3.6482000000000001</v>
      </c>
      <c r="Q20" s="31">
        <f t="shared" si="1"/>
        <v>232.62</v>
      </c>
      <c r="R20" s="31">
        <f t="shared" si="1"/>
        <v>0</v>
      </c>
      <c r="S20" s="31">
        <f t="shared" si="1"/>
        <v>0</v>
      </c>
      <c r="T20" s="31">
        <f t="shared" si="1"/>
        <v>0</v>
      </c>
      <c r="U20" s="32"/>
      <c r="V20" s="32"/>
    </row>
    <row r="21" spans="1:22" s="17" customFormat="1" ht="28.35" customHeight="1" x14ac:dyDescent="0.2">
      <c r="A21" s="166" t="s">
        <v>74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</row>
    <row r="22" spans="1:22" s="5" customFormat="1" ht="13.35" customHeight="1" x14ac:dyDescent="0.15">
      <c r="A22" s="180" t="s">
        <v>1</v>
      </c>
      <c r="B22" s="158" t="s">
        <v>2</v>
      </c>
      <c r="C22" s="182" t="s">
        <v>3</v>
      </c>
      <c r="D22" s="178"/>
      <c r="E22" s="179"/>
      <c r="F22" s="183" t="s">
        <v>4</v>
      </c>
      <c r="G22" s="31" t="s">
        <v>5</v>
      </c>
      <c r="H22" s="182" t="s">
        <v>6</v>
      </c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9"/>
      <c r="U22" s="158" t="s">
        <v>7</v>
      </c>
      <c r="V22" s="158" t="s">
        <v>8</v>
      </c>
    </row>
    <row r="23" spans="1:22" s="5" customFormat="1" ht="26.65" customHeight="1" x14ac:dyDescent="0.15">
      <c r="A23" s="181"/>
      <c r="B23" s="159"/>
      <c r="C23" s="31" t="s">
        <v>9</v>
      </c>
      <c r="D23" s="31" t="s">
        <v>10</v>
      </c>
      <c r="E23" s="31" t="s">
        <v>11</v>
      </c>
      <c r="F23" s="159"/>
      <c r="G23" s="31" t="s">
        <v>12</v>
      </c>
      <c r="H23" s="31" t="s">
        <v>13</v>
      </c>
      <c r="I23" s="31" t="s">
        <v>14</v>
      </c>
      <c r="J23" s="31" t="s">
        <v>15</v>
      </c>
      <c r="K23" s="31" t="s">
        <v>16</v>
      </c>
      <c r="L23" s="31" t="s">
        <v>17</v>
      </c>
      <c r="M23" s="31" t="s">
        <v>18</v>
      </c>
      <c r="N23" s="31" t="s">
        <v>19</v>
      </c>
      <c r="O23" s="31" t="s">
        <v>20</v>
      </c>
      <c r="P23" s="31" t="s">
        <v>21</v>
      </c>
      <c r="Q23" s="31" t="s">
        <v>22</v>
      </c>
      <c r="R23" s="31" t="s">
        <v>23</v>
      </c>
      <c r="S23" s="31" t="s">
        <v>24</v>
      </c>
      <c r="T23" s="31" t="s">
        <v>25</v>
      </c>
      <c r="U23" s="159"/>
      <c r="V23" s="159"/>
    </row>
    <row r="24" spans="1:22" s="5" customFormat="1" ht="14.65" customHeight="1" x14ac:dyDescent="0.15">
      <c r="A24" s="177" t="s">
        <v>50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9"/>
    </row>
    <row r="25" spans="1:22" s="5" customFormat="1" ht="12.2" customHeight="1" x14ac:dyDescent="0.15">
      <c r="A25" s="1" t="s">
        <v>175</v>
      </c>
      <c r="B25" s="2">
        <v>150</v>
      </c>
      <c r="C25" s="3">
        <v>8.33</v>
      </c>
      <c r="D25" s="3">
        <v>9.98</v>
      </c>
      <c r="E25" s="3">
        <v>18.600000000000001</v>
      </c>
      <c r="F25" s="3">
        <v>215.09</v>
      </c>
      <c r="G25" s="3">
        <v>0.12</v>
      </c>
      <c r="H25" s="3">
        <v>11.8</v>
      </c>
      <c r="I25" s="3">
        <v>0.5</v>
      </c>
      <c r="J25" s="3">
        <v>1.49</v>
      </c>
      <c r="K25" s="3">
        <v>0.08</v>
      </c>
      <c r="L25" s="3">
        <v>0.16</v>
      </c>
      <c r="M25" s="3">
        <v>42.07</v>
      </c>
      <c r="N25" s="3">
        <v>39.409999999999997</v>
      </c>
      <c r="O25" s="3">
        <v>150.08000000000001</v>
      </c>
      <c r="P25" s="3">
        <v>2.2200000000000002</v>
      </c>
      <c r="Q25" s="3">
        <v>627.5</v>
      </c>
      <c r="R25" s="3">
        <v>8.8800000000000008</v>
      </c>
      <c r="S25" s="3">
        <v>0.09</v>
      </c>
      <c r="T25" s="3">
        <v>0.01</v>
      </c>
      <c r="U25" s="4" t="s">
        <v>176</v>
      </c>
      <c r="V25" s="4">
        <v>2023</v>
      </c>
    </row>
    <row r="26" spans="1:22" s="5" customFormat="1" ht="12.2" customHeight="1" x14ac:dyDescent="0.15">
      <c r="A26" s="1" t="s">
        <v>33</v>
      </c>
      <c r="B26" s="2">
        <v>180</v>
      </c>
      <c r="C26" s="3">
        <f>1.52*180/200</f>
        <v>1.3680000000000001</v>
      </c>
      <c r="D26" s="3">
        <f>1.35*180/200</f>
        <v>1.2150000000000001</v>
      </c>
      <c r="E26" s="3">
        <f>15.9*180/200</f>
        <v>14.31</v>
      </c>
      <c r="F26" s="3">
        <f>81*180/200</f>
        <v>72.900000000000006</v>
      </c>
      <c r="G26" s="3">
        <f>0.04</f>
        <v>0.04</v>
      </c>
      <c r="H26" s="3">
        <v>1.33</v>
      </c>
      <c r="I26" s="3">
        <v>0.41</v>
      </c>
      <c r="J26" s="3">
        <v>0</v>
      </c>
      <c r="K26" s="3">
        <v>0</v>
      </c>
      <c r="L26" s="3">
        <v>0.16</v>
      </c>
      <c r="M26" s="3">
        <v>126.6</v>
      </c>
      <c r="N26" s="3">
        <v>15.4</v>
      </c>
      <c r="O26" s="3">
        <v>92.8</v>
      </c>
      <c r="P26" s="3">
        <v>0.41</v>
      </c>
      <c r="Q26" s="3">
        <v>154.6</v>
      </c>
      <c r="R26" s="3">
        <v>4.5</v>
      </c>
      <c r="S26" s="3">
        <v>0</v>
      </c>
      <c r="T26" s="3">
        <v>0</v>
      </c>
      <c r="U26" s="4" t="s">
        <v>34</v>
      </c>
      <c r="V26" s="4" t="s">
        <v>29</v>
      </c>
    </row>
    <row r="27" spans="1:22" s="5" customFormat="1" ht="12.2" customHeight="1" x14ac:dyDescent="0.15">
      <c r="A27" s="1" t="s">
        <v>49</v>
      </c>
      <c r="B27" s="2">
        <v>20</v>
      </c>
      <c r="C27" s="3">
        <v>1.53</v>
      </c>
      <c r="D27" s="3">
        <v>0.12</v>
      </c>
      <c r="E27" s="3">
        <v>10.039999999999999</v>
      </c>
      <c r="F27" s="3">
        <v>47.36</v>
      </c>
      <c r="G27" s="3">
        <v>0.03</v>
      </c>
      <c r="H27" s="3">
        <v>0</v>
      </c>
      <c r="I27" s="3">
        <v>0</v>
      </c>
      <c r="J27" s="3">
        <v>0.39</v>
      </c>
      <c r="K27" s="3">
        <v>0</v>
      </c>
      <c r="L27" s="3">
        <v>0.01</v>
      </c>
      <c r="M27" s="3">
        <v>4.5999999999999996</v>
      </c>
      <c r="N27" s="3">
        <v>6.6</v>
      </c>
      <c r="O27" s="3">
        <v>16.8</v>
      </c>
      <c r="P27" s="3">
        <v>0.4</v>
      </c>
      <c r="Q27" s="3">
        <v>25.8</v>
      </c>
      <c r="R27" s="3">
        <v>0</v>
      </c>
      <c r="S27" s="3">
        <v>0</v>
      </c>
      <c r="T27" s="3">
        <v>0</v>
      </c>
      <c r="U27" s="4" t="s">
        <v>167</v>
      </c>
      <c r="V27" s="4" t="s">
        <v>39</v>
      </c>
    </row>
    <row r="28" spans="1:22" s="5" customFormat="1" ht="12.2" customHeight="1" x14ac:dyDescent="0.15">
      <c r="A28" s="29" t="s">
        <v>40</v>
      </c>
      <c r="B28" s="30">
        <f>SUM(B25:B27)</f>
        <v>350</v>
      </c>
      <c r="C28" s="30">
        <f t="shared" ref="C28:T28" si="2">SUM(C25:C27)</f>
        <v>11.228</v>
      </c>
      <c r="D28" s="30">
        <f t="shared" si="2"/>
        <v>11.315</v>
      </c>
      <c r="E28" s="30">
        <f t="shared" si="2"/>
        <v>42.95</v>
      </c>
      <c r="F28" s="30">
        <f t="shared" si="2"/>
        <v>335.35</v>
      </c>
      <c r="G28" s="30">
        <f t="shared" si="2"/>
        <v>0.19</v>
      </c>
      <c r="H28" s="30">
        <f t="shared" si="2"/>
        <v>13.13</v>
      </c>
      <c r="I28" s="30">
        <f t="shared" si="2"/>
        <v>0.90999999999999992</v>
      </c>
      <c r="J28" s="30">
        <f t="shared" si="2"/>
        <v>1.88</v>
      </c>
      <c r="K28" s="30">
        <f t="shared" si="2"/>
        <v>0.08</v>
      </c>
      <c r="L28" s="30">
        <f t="shared" si="2"/>
        <v>0.33</v>
      </c>
      <c r="M28" s="30">
        <f t="shared" si="2"/>
        <v>173.26999999999998</v>
      </c>
      <c r="N28" s="30">
        <f t="shared" si="2"/>
        <v>61.41</v>
      </c>
      <c r="O28" s="30">
        <f t="shared" si="2"/>
        <v>259.68</v>
      </c>
      <c r="P28" s="30">
        <f t="shared" si="2"/>
        <v>3.0300000000000002</v>
      </c>
      <c r="Q28" s="30">
        <f t="shared" si="2"/>
        <v>807.9</v>
      </c>
      <c r="R28" s="30">
        <f t="shared" si="2"/>
        <v>13.38</v>
      </c>
      <c r="S28" s="30">
        <f t="shared" si="2"/>
        <v>0.09</v>
      </c>
      <c r="T28" s="30">
        <f t="shared" si="2"/>
        <v>0.01</v>
      </c>
      <c r="U28" s="32"/>
      <c r="V28" s="32"/>
    </row>
    <row r="29" spans="1:22" s="17" customFormat="1" ht="28.35" customHeight="1" x14ac:dyDescent="0.2">
      <c r="A29" s="166" t="s">
        <v>87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</row>
    <row r="30" spans="1:22" s="5" customFormat="1" ht="13.35" customHeight="1" x14ac:dyDescent="0.15">
      <c r="A30" s="180" t="s">
        <v>1</v>
      </c>
      <c r="B30" s="158" t="s">
        <v>2</v>
      </c>
      <c r="C30" s="182" t="s">
        <v>3</v>
      </c>
      <c r="D30" s="178"/>
      <c r="E30" s="179"/>
      <c r="F30" s="183" t="s">
        <v>4</v>
      </c>
      <c r="G30" s="31" t="s">
        <v>5</v>
      </c>
      <c r="H30" s="182" t="s">
        <v>6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9"/>
      <c r="U30" s="158" t="s">
        <v>7</v>
      </c>
      <c r="V30" s="158" t="s">
        <v>8</v>
      </c>
    </row>
    <row r="31" spans="1:22" s="5" customFormat="1" ht="26.65" customHeight="1" x14ac:dyDescent="0.15">
      <c r="A31" s="181"/>
      <c r="B31" s="159"/>
      <c r="C31" s="31" t="s">
        <v>9</v>
      </c>
      <c r="D31" s="31" t="s">
        <v>10</v>
      </c>
      <c r="E31" s="31" t="s">
        <v>11</v>
      </c>
      <c r="F31" s="159"/>
      <c r="G31" s="31" t="s">
        <v>12</v>
      </c>
      <c r="H31" s="31" t="s">
        <v>13</v>
      </c>
      <c r="I31" s="31" t="s">
        <v>14</v>
      </c>
      <c r="J31" s="31" t="s">
        <v>15</v>
      </c>
      <c r="K31" s="31" t="s">
        <v>16</v>
      </c>
      <c r="L31" s="31" t="s">
        <v>17</v>
      </c>
      <c r="M31" s="31" t="s">
        <v>18</v>
      </c>
      <c r="N31" s="31" t="s">
        <v>19</v>
      </c>
      <c r="O31" s="31" t="s">
        <v>20</v>
      </c>
      <c r="P31" s="31" t="s">
        <v>21</v>
      </c>
      <c r="Q31" s="31" t="s">
        <v>22</v>
      </c>
      <c r="R31" s="31" t="s">
        <v>23</v>
      </c>
      <c r="S31" s="31" t="s">
        <v>24</v>
      </c>
      <c r="T31" s="31" t="s">
        <v>25</v>
      </c>
      <c r="U31" s="159"/>
      <c r="V31" s="159"/>
    </row>
    <row r="32" spans="1:22" s="5" customFormat="1" ht="14.65" customHeight="1" x14ac:dyDescent="0.15">
      <c r="A32" s="177" t="s">
        <v>50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9"/>
    </row>
    <row r="33" spans="1:22" s="5" customFormat="1" ht="12.2" customHeight="1" x14ac:dyDescent="0.15">
      <c r="A33" s="1" t="s">
        <v>128</v>
      </c>
      <c r="B33" s="2">
        <v>150</v>
      </c>
      <c r="C33" s="16">
        <v>6.1</v>
      </c>
      <c r="D33" s="16">
        <v>8.1</v>
      </c>
      <c r="E33" s="16">
        <v>24.4</v>
      </c>
      <c r="F33" s="16">
        <v>198.2</v>
      </c>
      <c r="G33" s="16">
        <v>0.12</v>
      </c>
      <c r="H33" s="16">
        <v>1.4</v>
      </c>
      <c r="I33" s="16">
        <v>0.05</v>
      </c>
      <c r="J33" s="16">
        <v>1.05</v>
      </c>
      <c r="K33" s="16">
        <v>0.09</v>
      </c>
      <c r="L33" s="16">
        <v>0.12</v>
      </c>
      <c r="M33" s="16">
        <v>108.15</v>
      </c>
      <c r="N33" s="16">
        <v>34.479999999999997</v>
      </c>
      <c r="O33" s="16">
        <v>133.16999999999999</v>
      </c>
      <c r="P33" s="16">
        <v>1.35</v>
      </c>
      <c r="Q33" s="16">
        <v>266.17</v>
      </c>
      <c r="R33" s="16">
        <v>10.44</v>
      </c>
      <c r="S33" s="16">
        <v>0.01</v>
      </c>
      <c r="T33" s="16">
        <v>0</v>
      </c>
      <c r="U33" s="4" t="s">
        <v>129</v>
      </c>
      <c r="V33" s="4" t="s">
        <v>130</v>
      </c>
    </row>
    <row r="34" spans="1:22" s="5" customFormat="1" ht="12.2" customHeight="1" x14ac:dyDescent="0.15">
      <c r="A34" s="1" t="s">
        <v>38</v>
      </c>
      <c r="B34" s="2">
        <v>20</v>
      </c>
      <c r="C34" s="16">
        <v>1.1200000000000001</v>
      </c>
      <c r="D34" s="16">
        <v>0.22</v>
      </c>
      <c r="E34" s="16">
        <v>9.8800000000000008</v>
      </c>
      <c r="F34" s="16">
        <v>45.98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4" t="s">
        <v>167</v>
      </c>
      <c r="V34" s="4" t="s">
        <v>39</v>
      </c>
    </row>
    <row r="35" spans="1:22" s="5" customFormat="1" ht="12.2" customHeight="1" x14ac:dyDescent="0.15">
      <c r="A35" s="1" t="s">
        <v>71</v>
      </c>
      <c r="B35" s="2">
        <v>180</v>
      </c>
      <c r="C35" s="3">
        <v>0.14000000000000001</v>
      </c>
      <c r="D35" s="3">
        <v>0.14000000000000001</v>
      </c>
      <c r="E35" s="3">
        <v>25.09</v>
      </c>
      <c r="F35" s="3">
        <v>103.14</v>
      </c>
      <c r="G35" s="3">
        <v>0.01</v>
      </c>
      <c r="H35" s="3">
        <v>1.44</v>
      </c>
      <c r="I35" s="3">
        <v>0</v>
      </c>
      <c r="J35" s="3">
        <v>0.23</v>
      </c>
      <c r="K35" s="3">
        <v>0</v>
      </c>
      <c r="L35" s="3">
        <v>0.01</v>
      </c>
      <c r="M35" s="3">
        <v>11.84</v>
      </c>
      <c r="N35" s="3">
        <v>3.99</v>
      </c>
      <c r="O35" s="3">
        <v>3.56</v>
      </c>
      <c r="P35" s="3">
        <v>0.71</v>
      </c>
      <c r="Q35" s="3">
        <v>101.19</v>
      </c>
      <c r="R35" s="3">
        <v>0.72</v>
      </c>
      <c r="S35" s="3">
        <v>0</v>
      </c>
      <c r="T35" s="3">
        <v>0</v>
      </c>
      <c r="U35" s="4" t="s">
        <v>72</v>
      </c>
      <c r="V35" s="4">
        <v>2017</v>
      </c>
    </row>
    <row r="36" spans="1:22" s="5" customFormat="1" ht="21.6" customHeight="1" x14ac:dyDescent="0.15">
      <c r="A36" s="29" t="s">
        <v>40</v>
      </c>
      <c r="B36" s="30">
        <f t="shared" ref="B36:T36" si="3">SUM(B33:B35)</f>
        <v>350</v>
      </c>
      <c r="C36" s="31">
        <f t="shared" si="3"/>
        <v>7.3599999999999994</v>
      </c>
      <c r="D36" s="31">
        <f t="shared" si="3"/>
        <v>8.4600000000000009</v>
      </c>
      <c r="E36" s="31">
        <f t="shared" si="3"/>
        <v>59.370000000000005</v>
      </c>
      <c r="F36" s="31">
        <f t="shared" si="3"/>
        <v>347.32</v>
      </c>
      <c r="G36" s="31">
        <f t="shared" si="3"/>
        <v>0.13</v>
      </c>
      <c r="H36" s="31">
        <f t="shared" si="3"/>
        <v>2.84</v>
      </c>
      <c r="I36" s="31">
        <f t="shared" si="3"/>
        <v>0.05</v>
      </c>
      <c r="J36" s="31">
        <f t="shared" si="3"/>
        <v>1.28</v>
      </c>
      <c r="K36" s="31">
        <f t="shared" si="3"/>
        <v>0.09</v>
      </c>
      <c r="L36" s="31">
        <f t="shared" si="3"/>
        <v>0.13</v>
      </c>
      <c r="M36" s="31">
        <f t="shared" si="3"/>
        <v>119.99000000000001</v>
      </c>
      <c r="N36" s="31">
        <f t="shared" si="3"/>
        <v>38.47</v>
      </c>
      <c r="O36" s="31">
        <f t="shared" si="3"/>
        <v>136.72999999999999</v>
      </c>
      <c r="P36" s="31">
        <f t="shared" si="3"/>
        <v>2.06</v>
      </c>
      <c r="Q36" s="31">
        <f t="shared" si="3"/>
        <v>367.36</v>
      </c>
      <c r="R36" s="31">
        <f t="shared" si="3"/>
        <v>11.16</v>
      </c>
      <c r="S36" s="31">
        <f t="shared" si="3"/>
        <v>0.01</v>
      </c>
      <c r="T36" s="31">
        <f t="shared" si="3"/>
        <v>0</v>
      </c>
      <c r="U36" s="32"/>
      <c r="V36" s="32"/>
    </row>
    <row r="37" spans="1:22" s="17" customFormat="1" ht="28.35" customHeight="1" x14ac:dyDescent="0.2">
      <c r="A37" s="166" t="s">
        <v>97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</row>
    <row r="38" spans="1:22" s="5" customFormat="1" ht="13.35" customHeight="1" x14ac:dyDescent="0.15">
      <c r="A38" s="180" t="s">
        <v>1</v>
      </c>
      <c r="B38" s="158" t="s">
        <v>2</v>
      </c>
      <c r="C38" s="182" t="s">
        <v>3</v>
      </c>
      <c r="D38" s="178"/>
      <c r="E38" s="179"/>
      <c r="F38" s="183" t="s">
        <v>4</v>
      </c>
      <c r="G38" s="31" t="s">
        <v>5</v>
      </c>
      <c r="H38" s="182" t="s">
        <v>6</v>
      </c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9"/>
      <c r="U38" s="158" t="s">
        <v>7</v>
      </c>
      <c r="V38" s="158" t="s">
        <v>8</v>
      </c>
    </row>
    <row r="39" spans="1:22" s="5" customFormat="1" ht="26.65" customHeight="1" x14ac:dyDescent="0.15">
      <c r="A39" s="181"/>
      <c r="B39" s="159"/>
      <c r="C39" s="31" t="s">
        <v>9</v>
      </c>
      <c r="D39" s="31" t="s">
        <v>10</v>
      </c>
      <c r="E39" s="31" t="s">
        <v>11</v>
      </c>
      <c r="F39" s="159"/>
      <c r="G39" s="31" t="s">
        <v>12</v>
      </c>
      <c r="H39" s="31" t="s">
        <v>13</v>
      </c>
      <c r="I39" s="31" t="s">
        <v>14</v>
      </c>
      <c r="J39" s="31" t="s">
        <v>15</v>
      </c>
      <c r="K39" s="31" t="s">
        <v>16</v>
      </c>
      <c r="L39" s="31" t="s">
        <v>17</v>
      </c>
      <c r="M39" s="31" t="s">
        <v>18</v>
      </c>
      <c r="N39" s="31" t="s">
        <v>19</v>
      </c>
      <c r="O39" s="31" t="s">
        <v>20</v>
      </c>
      <c r="P39" s="31" t="s">
        <v>21</v>
      </c>
      <c r="Q39" s="31" t="s">
        <v>22</v>
      </c>
      <c r="R39" s="31" t="s">
        <v>23</v>
      </c>
      <c r="S39" s="31" t="s">
        <v>24</v>
      </c>
      <c r="T39" s="31" t="s">
        <v>25</v>
      </c>
      <c r="U39" s="159"/>
      <c r="V39" s="159"/>
    </row>
    <row r="40" spans="1:22" s="5" customFormat="1" ht="14.65" customHeight="1" x14ac:dyDescent="0.15">
      <c r="A40" s="177" t="s">
        <v>50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9"/>
    </row>
    <row r="41" spans="1:22" s="5" customFormat="1" ht="12.2" customHeight="1" x14ac:dyDescent="0.15">
      <c r="A41" s="1" t="s">
        <v>182</v>
      </c>
      <c r="B41" s="2">
        <v>180</v>
      </c>
      <c r="C41" s="3">
        <v>4.68</v>
      </c>
      <c r="D41" s="3">
        <v>4.05</v>
      </c>
      <c r="E41" s="3">
        <v>6.48</v>
      </c>
      <c r="F41" s="3">
        <v>85.86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4" t="s">
        <v>167</v>
      </c>
      <c r="V41" s="4" t="s">
        <v>29</v>
      </c>
    </row>
    <row r="42" spans="1:22" s="5" customFormat="1" ht="12.2" customHeight="1" x14ac:dyDescent="0.15">
      <c r="A42" s="1" t="s">
        <v>86</v>
      </c>
      <c r="B42" s="2">
        <v>100</v>
      </c>
      <c r="C42" s="3">
        <v>0.4</v>
      </c>
      <c r="D42" s="3">
        <v>0.4</v>
      </c>
      <c r="E42" s="3">
        <v>9.8000000000000007</v>
      </c>
      <c r="F42" s="3">
        <v>47</v>
      </c>
      <c r="G42" s="3">
        <v>0.03</v>
      </c>
      <c r="H42" s="3">
        <v>10</v>
      </c>
      <c r="I42" s="3">
        <v>0.01</v>
      </c>
      <c r="J42" s="3">
        <v>0.63</v>
      </c>
      <c r="K42" s="3">
        <v>0</v>
      </c>
      <c r="L42" s="3">
        <v>0.02</v>
      </c>
      <c r="M42" s="3">
        <v>16</v>
      </c>
      <c r="N42" s="3">
        <v>8</v>
      </c>
      <c r="O42" s="3">
        <v>11</v>
      </c>
      <c r="P42" s="3">
        <v>2.2000000000000002</v>
      </c>
      <c r="Q42" s="3">
        <v>278</v>
      </c>
      <c r="R42" s="3">
        <v>2</v>
      </c>
      <c r="S42" s="3">
        <v>0.01</v>
      </c>
      <c r="T42" s="3">
        <v>0</v>
      </c>
      <c r="U42" s="4" t="s">
        <v>37</v>
      </c>
      <c r="V42" s="4" t="s">
        <v>29</v>
      </c>
    </row>
    <row r="43" spans="1:22" s="5" customFormat="1" ht="12.2" customHeight="1" x14ac:dyDescent="0.15">
      <c r="A43" s="1" t="s">
        <v>183</v>
      </c>
      <c r="B43" s="4">
        <v>75</v>
      </c>
      <c r="C43" s="3">
        <v>6.71</v>
      </c>
      <c r="D43" s="3">
        <v>7.52</v>
      </c>
      <c r="E43" s="3">
        <v>14.67</v>
      </c>
      <c r="F43" s="3">
        <v>159.15</v>
      </c>
      <c r="G43" s="3">
        <v>0.05</v>
      </c>
      <c r="H43" s="3">
        <v>0</v>
      </c>
      <c r="I43" s="3">
        <v>0</v>
      </c>
      <c r="J43" s="3">
        <v>1.5</v>
      </c>
      <c r="K43" s="3">
        <v>0.02</v>
      </c>
      <c r="L43" s="3">
        <v>0.02</v>
      </c>
      <c r="M43" s="3">
        <v>8.82</v>
      </c>
      <c r="N43" s="3">
        <v>5.71</v>
      </c>
      <c r="O43" s="3">
        <v>31.93</v>
      </c>
      <c r="P43" s="3">
        <v>0.36</v>
      </c>
      <c r="Q43" s="3">
        <v>49.34</v>
      </c>
      <c r="R43" s="3">
        <v>0.74</v>
      </c>
      <c r="S43" s="3">
        <v>0.01</v>
      </c>
      <c r="T43" s="3">
        <v>0.01</v>
      </c>
      <c r="U43" s="4" t="s">
        <v>184</v>
      </c>
      <c r="V43" s="4">
        <v>2017</v>
      </c>
    </row>
    <row r="44" spans="1:22" s="5" customFormat="1" ht="12.2" customHeight="1" x14ac:dyDescent="0.15">
      <c r="A44" s="29" t="s">
        <v>40</v>
      </c>
      <c r="B44" s="30">
        <f t="shared" ref="B44:T44" si="4">SUM(B41:B43)</f>
        <v>355</v>
      </c>
      <c r="C44" s="31">
        <f t="shared" si="4"/>
        <v>11.79</v>
      </c>
      <c r="D44" s="31">
        <f t="shared" si="4"/>
        <v>11.969999999999999</v>
      </c>
      <c r="E44" s="31">
        <f t="shared" si="4"/>
        <v>30.950000000000003</v>
      </c>
      <c r="F44" s="31">
        <f t="shared" si="4"/>
        <v>292.01</v>
      </c>
      <c r="G44" s="31">
        <f t="shared" si="4"/>
        <v>0.08</v>
      </c>
      <c r="H44" s="31">
        <f t="shared" si="4"/>
        <v>10</v>
      </c>
      <c r="I44" s="31">
        <f t="shared" si="4"/>
        <v>0.01</v>
      </c>
      <c r="J44" s="31">
        <f t="shared" si="4"/>
        <v>2.13</v>
      </c>
      <c r="K44" s="31">
        <f t="shared" si="4"/>
        <v>0.02</v>
      </c>
      <c r="L44" s="31">
        <f t="shared" si="4"/>
        <v>0.04</v>
      </c>
      <c r="M44" s="31">
        <f t="shared" si="4"/>
        <v>24.82</v>
      </c>
      <c r="N44" s="31">
        <f t="shared" si="4"/>
        <v>13.71</v>
      </c>
      <c r="O44" s="31">
        <f t="shared" si="4"/>
        <v>42.93</v>
      </c>
      <c r="P44" s="31">
        <f t="shared" si="4"/>
        <v>2.56</v>
      </c>
      <c r="Q44" s="31">
        <f t="shared" si="4"/>
        <v>327.34000000000003</v>
      </c>
      <c r="R44" s="31">
        <f t="shared" si="4"/>
        <v>2.74</v>
      </c>
      <c r="S44" s="31">
        <f t="shared" si="4"/>
        <v>0.02</v>
      </c>
      <c r="T44" s="31">
        <f t="shared" si="4"/>
        <v>0.01</v>
      </c>
      <c r="U44" s="32"/>
      <c r="V44" s="32"/>
    </row>
    <row r="45" spans="1:22" s="17" customFormat="1" ht="28.35" customHeight="1" x14ac:dyDescent="0.2">
      <c r="A45" s="166" t="s">
        <v>104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</row>
    <row r="46" spans="1:22" s="5" customFormat="1" ht="13.35" customHeight="1" x14ac:dyDescent="0.15">
      <c r="A46" s="180" t="s">
        <v>1</v>
      </c>
      <c r="B46" s="158" t="s">
        <v>2</v>
      </c>
      <c r="C46" s="182" t="s">
        <v>3</v>
      </c>
      <c r="D46" s="178"/>
      <c r="E46" s="179"/>
      <c r="F46" s="183" t="s">
        <v>4</v>
      </c>
      <c r="G46" s="31" t="s">
        <v>5</v>
      </c>
      <c r="H46" s="182" t="s">
        <v>6</v>
      </c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9"/>
      <c r="U46" s="158" t="s">
        <v>7</v>
      </c>
      <c r="V46" s="158" t="s">
        <v>8</v>
      </c>
    </row>
    <row r="47" spans="1:22" s="5" customFormat="1" ht="26.65" customHeight="1" x14ac:dyDescent="0.15">
      <c r="A47" s="181"/>
      <c r="B47" s="159"/>
      <c r="C47" s="31" t="s">
        <v>9</v>
      </c>
      <c r="D47" s="31" t="s">
        <v>10</v>
      </c>
      <c r="E47" s="31" t="s">
        <v>11</v>
      </c>
      <c r="F47" s="159"/>
      <c r="G47" s="31" t="s">
        <v>12</v>
      </c>
      <c r="H47" s="31" t="s">
        <v>13</v>
      </c>
      <c r="I47" s="31" t="s">
        <v>14</v>
      </c>
      <c r="J47" s="31" t="s">
        <v>15</v>
      </c>
      <c r="K47" s="31" t="s">
        <v>16</v>
      </c>
      <c r="L47" s="31" t="s">
        <v>17</v>
      </c>
      <c r="M47" s="31" t="s">
        <v>18</v>
      </c>
      <c r="N47" s="31" t="s">
        <v>19</v>
      </c>
      <c r="O47" s="31" t="s">
        <v>20</v>
      </c>
      <c r="P47" s="31" t="s">
        <v>21</v>
      </c>
      <c r="Q47" s="31" t="s">
        <v>22</v>
      </c>
      <c r="R47" s="31" t="s">
        <v>23</v>
      </c>
      <c r="S47" s="31" t="s">
        <v>24</v>
      </c>
      <c r="T47" s="31" t="s">
        <v>25</v>
      </c>
      <c r="U47" s="159"/>
      <c r="V47" s="159"/>
    </row>
    <row r="48" spans="1:22" s="5" customFormat="1" ht="14.65" customHeight="1" x14ac:dyDescent="0.15">
      <c r="A48" s="177" t="s">
        <v>50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9"/>
    </row>
    <row r="49" spans="1:22" s="5" customFormat="1" ht="12.2" customHeight="1" x14ac:dyDescent="0.15">
      <c r="A49" s="1" t="s">
        <v>116</v>
      </c>
      <c r="B49" s="2">
        <v>150</v>
      </c>
      <c r="C49" s="3">
        <f>2.02*150/105</f>
        <v>2.8857142857142857</v>
      </c>
      <c r="D49" s="3">
        <f>3.96*150/105</f>
        <v>5.6571428571428575</v>
      </c>
      <c r="E49" s="3">
        <v>16.989999999999998</v>
      </c>
      <c r="F49" s="3">
        <v>105</v>
      </c>
      <c r="G49" s="3">
        <v>0.13</v>
      </c>
      <c r="H49" s="3">
        <v>11.77</v>
      </c>
      <c r="I49" s="3">
        <v>0.04</v>
      </c>
      <c r="J49" s="3">
        <v>0.3</v>
      </c>
      <c r="K49" s="3">
        <v>0.11</v>
      </c>
      <c r="L49" s="3">
        <v>0.09</v>
      </c>
      <c r="M49" s="3">
        <v>21.33</v>
      </c>
      <c r="N49" s="3">
        <v>31.55</v>
      </c>
      <c r="O49" s="3">
        <v>78.540000000000006</v>
      </c>
      <c r="P49" s="3">
        <v>1.36</v>
      </c>
      <c r="Q49" s="3">
        <v>836.98</v>
      </c>
      <c r="R49" s="3">
        <v>7.36</v>
      </c>
      <c r="S49" s="3">
        <v>0.04</v>
      </c>
      <c r="T49" s="3">
        <v>0</v>
      </c>
      <c r="U49" s="4" t="s">
        <v>117</v>
      </c>
      <c r="V49" s="4">
        <v>2017</v>
      </c>
    </row>
    <row r="50" spans="1:22" s="5" customFormat="1" ht="12.2" customHeight="1" x14ac:dyDescent="0.15">
      <c r="A50" s="1" t="s">
        <v>185</v>
      </c>
      <c r="B50" s="2">
        <v>95</v>
      </c>
      <c r="C50" s="3">
        <f>4.88*95/105</f>
        <v>4.4152380952380952</v>
      </c>
      <c r="D50" s="3">
        <f>5.6*95/105</f>
        <v>5.0666666666666664</v>
      </c>
      <c r="E50" s="3">
        <f>7.61*95/105</f>
        <v>6.8852380952380958</v>
      </c>
      <c r="F50" s="3">
        <f>116*95/105</f>
        <v>104.95238095238095</v>
      </c>
      <c r="G50" s="3">
        <v>0.09</v>
      </c>
      <c r="H50" s="3">
        <v>0.34</v>
      </c>
      <c r="I50" s="3">
        <v>0.02</v>
      </c>
      <c r="J50" s="3">
        <v>4.28</v>
      </c>
      <c r="K50" s="3">
        <v>0.01</v>
      </c>
      <c r="L50" s="3">
        <v>0.09</v>
      </c>
      <c r="M50" s="3">
        <v>45.82</v>
      </c>
      <c r="N50" s="3">
        <v>46.35</v>
      </c>
      <c r="O50" s="3">
        <v>185.71</v>
      </c>
      <c r="P50" s="3">
        <v>1.54</v>
      </c>
      <c r="Q50" s="3">
        <v>332.76</v>
      </c>
      <c r="R50" s="3">
        <v>95.2</v>
      </c>
      <c r="S50" s="3">
        <v>0.4</v>
      </c>
      <c r="T50" s="3">
        <v>0.01</v>
      </c>
      <c r="U50" s="4" t="s">
        <v>85</v>
      </c>
      <c r="V50" s="4" t="s">
        <v>29</v>
      </c>
    </row>
    <row r="51" spans="1:22" s="5" customFormat="1" ht="12.2" customHeight="1" x14ac:dyDescent="0.15">
      <c r="A51" s="1" t="s">
        <v>118</v>
      </c>
      <c r="B51" s="2">
        <v>180</v>
      </c>
      <c r="C51" s="3">
        <v>2.65</v>
      </c>
      <c r="D51" s="3">
        <f>17.72*0.18</f>
        <v>3.1895999999999995</v>
      </c>
      <c r="E51" s="3">
        <f>87.89*0.18</f>
        <v>15.8202</v>
      </c>
      <c r="F51" s="3">
        <f>593*0.18</f>
        <v>106.74</v>
      </c>
      <c r="G51" s="3">
        <v>0.03</v>
      </c>
      <c r="H51" s="3">
        <v>0.47</v>
      </c>
      <c r="I51" s="3">
        <v>0.01</v>
      </c>
      <c r="J51" s="3">
        <v>0</v>
      </c>
      <c r="K51" s="3">
        <v>0</v>
      </c>
      <c r="L51" s="3">
        <v>0.1</v>
      </c>
      <c r="M51" s="3">
        <v>100.28</v>
      </c>
      <c r="N51" s="3">
        <v>24.74</v>
      </c>
      <c r="O51" s="3">
        <v>86.02</v>
      </c>
      <c r="P51" s="3">
        <v>0.78</v>
      </c>
      <c r="Q51" s="3">
        <v>186.56</v>
      </c>
      <c r="R51" s="3">
        <v>8.1</v>
      </c>
      <c r="S51" s="3">
        <v>0</v>
      </c>
      <c r="T51" s="3">
        <v>0</v>
      </c>
      <c r="U51" s="4" t="s">
        <v>95</v>
      </c>
      <c r="V51" s="4" t="s">
        <v>29</v>
      </c>
    </row>
    <row r="52" spans="1:22" s="5" customFormat="1" ht="12.2" customHeight="1" x14ac:dyDescent="0.15">
      <c r="A52" s="1" t="s">
        <v>38</v>
      </c>
      <c r="B52" s="2">
        <v>20</v>
      </c>
      <c r="C52" s="3">
        <v>1.1200000000000001</v>
      </c>
      <c r="D52" s="3">
        <v>0.22</v>
      </c>
      <c r="E52" s="3">
        <v>9.8800000000000008</v>
      </c>
      <c r="F52" s="3">
        <v>45.98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4" t="s">
        <v>167</v>
      </c>
      <c r="V52" s="4" t="s">
        <v>39</v>
      </c>
    </row>
    <row r="53" spans="1:22" s="5" customFormat="1" ht="12.2" customHeight="1" x14ac:dyDescent="0.15">
      <c r="A53" s="29" t="s">
        <v>40</v>
      </c>
      <c r="B53" s="30">
        <f t="shared" ref="B53:T53" si="5">SUM(B49:B52)</f>
        <v>445</v>
      </c>
      <c r="C53" s="31">
        <f t="shared" si="5"/>
        <v>11.070952380952381</v>
      </c>
      <c r="D53" s="31">
        <f t="shared" si="5"/>
        <v>14.133409523809524</v>
      </c>
      <c r="E53" s="31">
        <f t="shared" si="5"/>
        <v>49.575438095238098</v>
      </c>
      <c r="F53" s="31">
        <f t="shared" si="5"/>
        <v>362.67238095238099</v>
      </c>
      <c r="G53" s="31">
        <f t="shared" si="5"/>
        <v>0.25</v>
      </c>
      <c r="H53" s="31">
        <f t="shared" si="5"/>
        <v>12.58</v>
      </c>
      <c r="I53" s="31">
        <f t="shared" si="5"/>
        <v>6.9999999999999993E-2</v>
      </c>
      <c r="J53" s="31">
        <f t="shared" si="5"/>
        <v>4.58</v>
      </c>
      <c r="K53" s="31">
        <f t="shared" si="5"/>
        <v>0.12</v>
      </c>
      <c r="L53" s="31">
        <f t="shared" si="5"/>
        <v>0.28000000000000003</v>
      </c>
      <c r="M53" s="31">
        <f t="shared" si="5"/>
        <v>167.43</v>
      </c>
      <c r="N53" s="31">
        <f t="shared" si="5"/>
        <v>102.64</v>
      </c>
      <c r="O53" s="31">
        <f t="shared" si="5"/>
        <v>350.27</v>
      </c>
      <c r="P53" s="31">
        <f t="shared" si="5"/>
        <v>3.6800000000000006</v>
      </c>
      <c r="Q53" s="31">
        <f t="shared" si="5"/>
        <v>1356.3</v>
      </c>
      <c r="R53" s="31">
        <f t="shared" si="5"/>
        <v>110.66</v>
      </c>
      <c r="S53" s="31">
        <f t="shared" si="5"/>
        <v>0.44</v>
      </c>
      <c r="T53" s="31">
        <f t="shared" si="5"/>
        <v>0.01</v>
      </c>
      <c r="U53" s="32"/>
      <c r="V53" s="32"/>
    </row>
    <row r="54" spans="1:22" s="17" customFormat="1" ht="28.35" customHeight="1" x14ac:dyDescent="0.2">
      <c r="A54" s="166" t="s">
        <v>119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</row>
    <row r="55" spans="1:22" s="5" customFormat="1" ht="13.35" customHeight="1" x14ac:dyDescent="0.15">
      <c r="A55" s="180" t="s">
        <v>1</v>
      </c>
      <c r="B55" s="158" t="s">
        <v>2</v>
      </c>
      <c r="C55" s="182" t="s">
        <v>3</v>
      </c>
      <c r="D55" s="178"/>
      <c r="E55" s="179"/>
      <c r="F55" s="183" t="s">
        <v>4</v>
      </c>
      <c r="G55" s="31" t="s">
        <v>5</v>
      </c>
      <c r="H55" s="182" t="s">
        <v>6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9"/>
      <c r="U55" s="158" t="s">
        <v>7</v>
      </c>
      <c r="V55" s="158" t="s">
        <v>8</v>
      </c>
    </row>
    <row r="56" spans="1:22" s="5" customFormat="1" ht="26.65" customHeight="1" x14ac:dyDescent="0.15">
      <c r="A56" s="181"/>
      <c r="B56" s="159"/>
      <c r="C56" s="31" t="s">
        <v>9</v>
      </c>
      <c r="D56" s="31" t="s">
        <v>10</v>
      </c>
      <c r="E56" s="31" t="s">
        <v>11</v>
      </c>
      <c r="F56" s="159"/>
      <c r="G56" s="31" t="s">
        <v>12</v>
      </c>
      <c r="H56" s="31" t="s">
        <v>13</v>
      </c>
      <c r="I56" s="31" t="s">
        <v>14</v>
      </c>
      <c r="J56" s="31" t="s">
        <v>15</v>
      </c>
      <c r="K56" s="31" t="s">
        <v>16</v>
      </c>
      <c r="L56" s="31" t="s">
        <v>17</v>
      </c>
      <c r="M56" s="31" t="s">
        <v>18</v>
      </c>
      <c r="N56" s="31" t="s">
        <v>19</v>
      </c>
      <c r="O56" s="31" t="s">
        <v>20</v>
      </c>
      <c r="P56" s="31" t="s">
        <v>21</v>
      </c>
      <c r="Q56" s="31" t="s">
        <v>22</v>
      </c>
      <c r="R56" s="31" t="s">
        <v>23</v>
      </c>
      <c r="S56" s="31" t="s">
        <v>24</v>
      </c>
      <c r="T56" s="31" t="s">
        <v>25</v>
      </c>
      <c r="U56" s="159"/>
      <c r="V56" s="159"/>
    </row>
    <row r="57" spans="1:22" s="5" customFormat="1" ht="14.65" customHeight="1" x14ac:dyDescent="0.15">
      <c r="A57" s="177" t="s">
        <v>50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9"/>
    </row>
    <row r="58" spans="1:22" s="5" customFormat="1" ht="12.2" customHeight="1" x14ac:dyDescent="0.15">
      <c r="A58" s="1" t="s">
        <v>142</v>
      </c>
      <c r="B58" s="2">
        <v>150</v>
      </c>
      <c r="C58" s="16">
        <v>7.1</v>
      </c>
      <c r="D58" s="16">
        <v>9.1999999999999993</v>
      </c>
      <c r="E58" s="16">
        <v>13.1</v>
      </c>
      <c r="F58" s="16">
        <v>209.5</v>
      </c>
      <c r="G58" s="16">
        <v>0.3</v>
      </c>
      <c r="H58" s="16">
        <v>5.7</v>
      </c>
      <c r="I58" s="16">
        <v>0.4</v>
      </c>
      <c r="J58" s="16">
        <v>0.34</v>
      </c>
      <c r="K58" s="16">
        <v>0.05</v>
      </c>
      <c r="L58" s="16">
        <v>0.12</v>
      </c>
      <c r="M58" s="16">
        <v>29.45</v>
      </c>
      <c r="N58" s="16">
        <v>34.94</v>
      </c>
      <c r="O58" s="16">
        <v>139.22</v>
      </c>
      <c r="P58" s="16">
        <v>1.82</v>
      </c>
      <c r="Q58" s="16">
        <v>591</v>
      </c>
      <c r="R58" s="16">
        <v>8.6999999999999993</v>
      </c>
      <c r="S58" s="16">
        <v>7.0000000000000007E-2</v>
      </c>
      <c r="T58" s="16">
        <v>0</v>
      </c>
      <c r="U58" s="4" t="s">
        <v>189</v>
      </c>
      <c r="V58" s="4" t="s">
        <v>143</v>
      </c>
    </row>
    <row r="59" spans="1:22" s="5" customFormat="1" ht="12.2" customHeight="1" x14ac:dyDescent="0.15">
      <c r="A59" s="1" t="s">
        <v>110</v>
      </c>
      <c r="B59" s="2">
        <v>180</v>
      </c>
      <c r="C59" s="3">
        <v>2.85</v>
      </c>
      <c r="D59" s="3">
        <v>2.4300000000000002</v>
      </c>
      <c r="E59" s="3">
        <v>14.35</v>
      </c>
      <c r="F59" s="3">
        <v>93.15</v>
      </c>
      <c r="G59" s="3">
        <v>0.03</v>
      </c>
      <c r="H59" s="3">
        <v>0.47</v>
      </c>
      <c r="I59" s="3">
        <v>0.01</v>
      </c>
      <c r="J59" s="3">
        <v>0</v>
      </c>
      <c r="K59" s="3">
        <v>0</v>
      </c>
      <c r="L59" s="3">
        <v>0.1</v>
      </c>
      <c r="M59" s="3">
        <v>100.26</v>
      </c>
      <c r="N59" s="3">
        <v>17.13</v>
      </c>
      <c r="O59" s="3">
        <v>79.099999999999994</v>
      </c>
      <c r="P59" s="3">
        <v>0.36</v>
      </c>
      <c r="Q59" s="3">
        <v>152.65</v>
      </c>
      <c r="R59" s="3">
        <v>8.1</v>
      </c>
      <c r="S59" s="3">
        <v>0</v>
      </c>
      <c r="T59" s="3">
        <v>0</v>
      </c>
      <c r="U59" s="4" t="s">
        <v>111</v>
      </c>
      <c r="V59" s="4" t="s">
        <v>29</v>
      </c>
    </row>
    <row r="60" spans="1:22" s="5" customFormat="1" ht="12.2" customHeight="1" x14ac:dyDescent="0.15">
      <c r="A60" s="1" t="s">
        <v>38</v>
      </c>
      <c r="B60" s="2">
        <v>20</v>
      </c>
      <c r="C60" s="3">
        <v>1.1200000000000001</v>
      </c>
      <c r="D60" s="3">
        <v>0.22</v>
      </c>
      <c r="E60" s="3">
        <v>9.8800000000000008</v>
      </c>
      <c r="F60" s="3">
        <v>45.98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4" t="s">
        <v>167</v>
      </c>
      <c r="V60" s="4" t="s">
        <v>39</v>
      </c>
    </row>
    <row r="61" spans="1:22" s="5" customFormat="1" ht="12.2" customHeight="1" x14ac:dyDescent="0.15">
      <c r="A61" s="29" t="s">
        <v>40</v>
      </c>
      <c r="B61" s="30">
        <f t="shared" ref="B61:T61" si="6">SUM(B58:B60)</f>
        <v>350</v>
      </c>
      <c r="C61" s="31">
        <f t="shared" si="6"/>
        <v>11.07</v>
      </c>
      <c r="D61" s="31">
        <f t="shared" si="6"/>
        <v>11.85</v>
      </c>
      <c r="E61" s="31">
        <f t="shared" si="6"/>
        <v>37.33</v>
      </c>
      <c r="F61" s="31">
        <f t="shared" si="6"/>
        <v>348.63</v>
      </c>
      <c r="G61" s="31">
        <f t="shared" si="6"/>
        <v>0.32999999999999996</v>
      </c>
      <c r="H61" s="31">
        <f t="shared" si="6"/>
        <v>6.17</v>
      </c>
      <c r="I61" s="31">
        <f t="shared" si="6"/>
        <v>0.41000000000000003</v>
      </c>
      <c r="J61" s="31">
        <f t="shared" si="6"/>
        <v>0.34</v>
      </c>
      <c r="K61" s="31">
        <f t="shared" si="6"/>
        <v>0.05</v>
      </c>
      <c r="L61" s="31">
        <f t="shared" si="6"/>
        <v>0.22</v>
      </c>
      <c r="M61" s="31">
        <f t="shared" si="6"/>
        <v>129.71</v>
      </c>
      <c r="N61" s="31">
        <f t="shared" si="6"/>
        <v>52.069999999999993</v>
      </c>
      <c r="O61" s="31">
        <f t="shared" si="6"/>
        <v>218.32</v>
      </c>
      <c r="P61" s="31">
        <f t="shared" si="6"/>
        <v>2.1800000000000002</v>
      </c>
      <c r="Q61" s="31">
        <f t="shared" si="6"/>
        <v>743.65</v>
      </c>
      <c r="R61" s="31">
        <f t="shared" si="6"/>
        <v>16.799999999999997</v>
      </c>
      <c r="S61" s="31">
        <f t="shared" si="6"/>
        <v>7.0000000000000007E-2</v>
      </c>
      <c r="T61" s="31">
        <f t="shared" si="6"/>
        <v>0</v>
      </c>
      <c r="U61" s="32"/>
      <c r="V61" s="32"/>
    </row>
    <row r="62" spans="1:22" s="17" customFormat="1" ht="28.35" customHeight="1" x14ac:dyDescent="0.2">
      <c r="A62" s="166" t="s">
        <v>131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</row>
    <row r="63" spans="1:22" s="5" customFormat="1" ht="13.35" customHeight="1" x14ac:dyDescent="0.15">
      <c r="A63" s="180" t="s">
        <v>1</v>
      </c>
      <c r="B63" s="158" t="s">
        <v>2</v>
      </c>
      <c r="C63" s="182" t="s">
        <v>3</v>
      </c>
      <c r="D63" s="178"/>
      <c r="E63" s="179"/>
      <c r="F63" s="183" t="s">
        <v>4</v>
      </c>
      <c r="G63" s="31" t="s">
        <v>5</v>
      </c>
      <c r="H63" s="182" t="s">
        <v>6</v>
      </c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9"/>
      <c r="U63" s="158" t="s">
        <v>7</v>
      </c>
      <c r="V63" s="158" t="s">
        <v>8</v>
      </c>
    </row>
    <row r="64" spans="1:22" s="5" customFormat="1" ht="26.65" customHeight="1" x14ac:dyDescent="0.15">
      <c r="A64" s="181"/>
      <c r="B64" s="159"/>
      <c r="C64" s="31" t="s">
        <v>9</v>
      </c>
      <c r="D64" s="31" t="s">
        <v>10</v>
      </c>
      <c r="E64" s="31" t="s">
        <v>11</v>
      </c>
      <c r="F64" s="159"/>
      <c r="G64" s="31" t="s">
        <v>12</v>
      </c>
      <c r="H64" s="31" t="s">
        <v>13</v>
      </c>
      <c r="I64" s="31" t="s">
        <v>14</v>
      </c>
      <c r="J64" s="31" t="s">
        <v>15</v>
      </c>
      <c r="K64" s="31" t="s">
        <v>16</v>
      </c>
      <c r="L64" s="31" t="s">
        <v>17</v>
      </c>
      <c r="M64" s="31" t="s">
        <v>18</v>
      </c>
      <c r="N64" s="31" t="s">
        <v>19</v>
      </c>
      <c r="O64" s="31" t="s">
        <v>20</v>
      </c>
      <c r="P64" s="31" t="s">
        <v>21</v>
      </c>
      <c r="Q64" s="31" t="s">
        <v>22</v>
      </c>
      <c r="R64" s="31" t="s">
        <v>23</v>
      </c>
      <c r="S64" s="31" t="s">
        <v>24</v>
      </c>
      <c r="T64" s="31" t="s">
        <v>25</v>
      </c>
      <c r="U64" s="159"/>
      <c r="V64" s="159"/>
    </row>
    <row r="65" spans="1:22" s="5" customFormat="1" ht="14.65" customHeight="1" x14ac:dyDescent="0.15">
      <c r="A65" s="177" t="s">
        <v>50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9"/>
    </row>
    <row r="66" spans="1:22" s="5" customFormat="1" ht="12.2" customHeight="1" x14ac:dyDescent="0.15">
      <c r="A66" s="1" t="s">
        <v>178</v>
      </c>
      <c r="B66" s="2">
        <v>160</v>
      </c>
      <c r="C66" s="16">
        <v>11.06</v>
      </c>
      <c r="D66" s="16">
        <f>5.24*150/80</f>
        <v>9.8249999999999993</v>
      </c>
      <c r="E66" s="16">
        <v>24.79</v>
      </c>
      <c r="F66" s="16">
        <v>249.1</v>
      </c>
      <c r="G66" s="16">
        <v>0.05</v>
      </c>
      <c r="H66" s="16">
        <v>0.63</v>
      </c>
      <c r="I66" s="16">
        <v>0.42</v>
      </c>
      <c r="J66" s="16">
        <v>2.12</v>
      </c>
      <c r="K66" s="16">
        <v>0.09</v>
      </c>
      <c r="L66" s="16">
        <v>0.17</v>
      </c>
      <c r="M66" s="16">
        <v>122.96</v>
      </c>
      <c r="N66" s="16">
        <v>26.24</v>
      </c>
      <c r="O66" s="16">
        <v>154.96</v>
      </c>
      <c r="P66" s="16">
        <v>1.04</v>
      </c>
      <c r="Q66" s="16">
        <v>188.59</v>
      </c>
      <c r="R66" s="16">
        <v>3.84</v>
      </c>
      <c r="S66" s="16">
        <v>0.03</v>
      </c>
      <c r="T66" s="16">
        <v>0.02</v>
      </c>
      <c r="U66" s="4" t="s">
        <v>179</v>
      </c>
      <c r="V66" s="4">
        <v>2023</v>
      </c>
    </row>
    <row r="67" spans="1:22" s="5" customFormat="1" ht="12.2" customHeight="1" x14ac:dyDescent="0.15">
      <c r="A67" s="1" t="s">
        <v>47</v>
      </c>
      <c r="B67" s="2">
        <v>180</v>
      </c>
      <c r="C67" s="16">
        <v>0.21</v>
      </c>
      <c r="D67" s="16">
        <v>0.01</v>
      </c>
      <c r="E67" s="16">
        <v>26.54</v>
      </c>
      <c r="F67" s="16">
        <v>136.08000000000001</v>
      </c>
      <c r="G67" s="16">
        <v>0</v>
      </c>
      <c r="H67" s="16">
        <v>0.1</v>
      </c>
      <c r="I67" s="16">
        <v>0</v>
      </c>
      <c r="J67" s="16">
        <v>0</v>
      </c>
      <c r="K67" s="16">
        <v>0</v>
      </c>
      <c r="L67" s="16">
        <v>0</v>
      </c>
      <c r="M67" s="16">
        <v>24.05</v>
      </c>
      <c r="N67" s="16">
        <v>5.26</v>
      </c>
      <c r="O67" s="16">
        <v>13.86</v>
      </c>
      <c r="P67" s="16">
        <v>0.65</v>
      </c>
      <c r="Q67" s="16">
        <v>72.17</v>
      </c>
      <c r="R67" s="16">
        <v>0</v>
      </c>
      <c r="S67" s="16">
        <v>0</v>
      </c>
      <c r="T67" s="16">
        <v>0</v>
      </c>
      <c r="U67" s="4" t="s">
        <v>48</v>
      </c>
      <c r="V67" s="4" t="s">
        <v>29</v>
      </c>
    </row>
    <row r="68" spans="1:22" s="5" customFormat="1" ht="12.2" customHeight="1" x14ac:dyDescent="0.15">
      <c r="A68" s="1" t="s">
        <v>38</v>
      </c>
      <c r="B68" s="2">
        <v>20</v>
      </c>
      <c r="C68" s="16">
        <v>1.1200000000000001</v>
      </c>
      <c r="D68" s="16">
        <v>0.22</v>
      </c>
      <c r="E68" s="16">
        <v>9.8800000000000008</v>
      </c>
      <c r="F68" s="16">
        <v>45.98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4" t="s">
        <v>167</v>
      </c>
      <c r="V68" s="4" t="s">
        <v>39</v>
      </c>
    </row>
    <row r="69" spans="1:22" s="5" customFormat="1" ht="12.2" customHeight="1" x14ac:dyDescent="0.15">
      <c r="A69" s="29" t="s">
        <v>40</v>
      </c>
      <c r="B69" s="30">
        <f t="shared" ref="B69:T69" si="7">SUM(B66:B68)</f>
        <v>360</v>
      </c>
      <c r="C69" s="31">
        <f t="shared" si="7"/>
        <v>12.39</v>
      </c>
      <c r="D69" s="31">
        <f t="shared" si="7"/>
        <v>10.055</v>
      </c>
      <c r="E69" s="31">
        <f t="shared" si="7"/>
        <v>61.21</v>
      </c>
      <c r="F69" s="31">
        <f t="shared" si="7"/>
        <v>431.16</v>
      </c>
      <c r="G69" s="31">
        <f t="shared" si="7"/>
        <v>0.05</v>
      </c>
      <c r="H69" s="31">
        <f t="shared" si="7"/>
        <v>0.73</v>
      </c>
      <c r="I69" s="31">
        <f t="shared" si="7"/>
        <v>0.42</v>
      </c>
      <c r="J69" s="31">
        <f t="shared" si="7"/>
        <v>2.12</v>
      </c>
      <c r="K69" s="31">
        <f t="shared" si="7"/>
        <v>0.09</v>
      </c>
      <c r="L69" s="31">
        <f t="shared" si="7"/>
        <v>0.17</v>
      </c>
      <c r="M69" s="31">
        <f t="shared" si="7"/>
        <v>147.01</v>
      </c>
      <c r="N69" s="31">
        <f t="shared" si="7"/>
        <v>31.5</v>
      </c>
      <c r="O69" s="31">
        <f t="shared" si="7"/>
        <v>168.82</v>
      </c>
      <c r="P69" s="31">
        <f t="shared" si="7"/>
        <v>1.69</v>
      </c>
      <c r="Q69" s="31">
        <f t="shared" si="7"/>
        <v>260.76</v>
      </c>
      <c r="R69" s="31">
        <f t="shared" si="7"/>
        <v>3.84</v>
      </c>
      <c r="S69" s="31">
        <f t="shared" si="7"/>
        <v>0.03</v>
      </c>
      <c r="T69" s="31">
        <f t="shared" si="7"/>
        <v>0.02</v>
      </c>
      <c r="U69" s="32"/>
      <c r="V69" s="32"/>
    </row>
    <row r="70" spans="1:22" s="17" customFormat="1" ht="28.35" customHeight="1" x14ac:dyDescent="0.2">
      <c r="A70" s="166" t="s">
        <v>144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</row>
    <row r="71" spans="1:22" s="5" customFormat="1" ht="13.35" customHeight="1" x14ac:dyDescent="0.15">
      <c r="A71" s="180" t="s">
        <v>1</v>
      </c>
      <c r="B71" s="158" t="s">
        <v>2</v>
      </c>
      <c r="C71" s="182" t="s">
        <v>3</v>
      </c>
      <c r="D71" s="178"/>
      <c r="E71" s="179"/>
      <c r="F71" s="183" t="s">
        <v>4</v>
      </c>
      <c r="G71" s="31" t="s">
        <v>5</v>
      </c>
      <c r="H71" s="182" t="s">
        <v>6</v>
      </c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9"/>
      <c r="U71" s="158" t="s">
        <v>7</v>
      </c>
      <c r="V71" s="158" t="s">
        <v>8</v>
      </c>
    </row>
    <row r="72" spans="1:22" s="5" customFormat="1" ht="26.65" customHeight="1" x14ac:dyDescent="0.15">
      <c r="A72" s="181"/>
      <c r="B72" s="159"/>
      <c r="C72" s="31" t="s">
        <v>9</v>
      </c>
      <c r="D72" s="31" t="s">
        <v>10</v>
      </c>
      <c r="E72" s="31" t="s">
        <v>11</v>
      </c>
      <c r="F72" s="159"/>
      <c r="G72" s="31" t="s">
        <v>12</v>
      </c>
      <c r="H72" s="31" t="s">
        <v>13</v>
      </c>
      <c r="I72" s="31" t="s">
        <v>14</v>
      </c>
      <c r="J72" s="31" t="s">
        <v>15</v>
      </c>
      <c r="K72" s="31" t="s">
        <v>16</v>
      </c>
      <c r="L72" s="31" t="s">
        <v>17</v>
      </c>
      <c r="M72" s="31" t="s">
        <v>18</v>
      </c>
      <c r="N72" s="31" t="s">
        <v>19</v>
      </c>
      <c r="O72" s="31" t="s">
        <v>20</v>
      </c>
      <c r="P72" s="31" t="s">
        <v>21</v>
      </c>
      <c r="Q72" s="31" t="s">
        <v>22</v>
      </c>
      <c r="R72" s="31" t="s">
        <v>23</v>
      </c>
      <c r="S72" s="31" t="s">
        <v>24</v>
      </c>
      <c r="T72" s="31" t="s">
        <v>25</v>
      </c>
      <c r="U72" s="159"/>
      <c r="V72" s="159"/>
    </row>
    <row r="73" spans="1:22" s="5" customFormat="1" ht="14.65" customHeight="1" x14ac:dyDescent="0.15">
      <c r="A73" s="177" t="s">
        <v>50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9"/>
    </row>
    <row r="74" spans="1:22" s="5" customFormat="1" ht="12.2" customHeight="1" x14ac:dyDescent="0.15">
      <c r="A74" s="1" t="s">
        <v>152</v>
      </c>
      <c r="B74" s="2">
        <v>100</v>
      </c>
      <c r="C74" s="3">
        <v>6.58</v>
      </c>
      <c r="D74" s="3">
        <v>6.91</v>
      </c>
      <c r="E74" s="3">
        <v>29.73</v>
      </c>
      <c r="F74" s="3">
        <v>205.18</v>
      </c>
      <c r="G74" s="3">
        <v>0.05</v>
      </c>
      <c r="H74" s="3">
        <v>0</v>
      </c>
      <c r="I74" s="3">
        <v>0</v>
      </c>
      <c r="J74" s="3">
        <v>1.5</v>
      </c>
      <c r="K74" s="3">
        <v>0.02</v>
      </c>
      <c r="L74" s="3">
        <v>0.02</v>
      </c>
      <c r="M74" s="3">
        <v>8.82</v>
      </c>
      <c r="N74" s="3">
        <v>5.71</v>
      </c>
      <c r="O74" s="3">
        <v>31.93</v>
      </c>
      <c r="P74" s="3">
        <v>0.36</v>
      </c>
      <c r="Q74" s="3">
        <v>49.34</v>
      </c>
      <c r="R74" s="3">
        <v>0.74</v>
      </c>
      <c r="S74" s="3">
        <v>0.01</v>
      </c>
      <c r="T74" s="3">
        <v>0.01</v>
      </c>
      <c r="U74" s="4" t="s">
        <v>167</v>
      </c>
      <c r="V74" s="4">
        <v>2017</v>
      </c>
    </row>
    <row r="75" spans="1:22" s="5" customFormat="1" ht="12.2" customHeight="1" x14ac:dyDescent="0.15">
      <c r="A75" s="1" t="s">
        <v>153</v>
      </c>
      <c r="B75" s="2">
        <v>15</v>
      </c>
      <c r="C75" s="3">
        <v>3.48</v>
      </c>
      <c r="D75" s="3">
        <v>4.42</v>
      </c>
      <c r="E75" s="3">
        <v>6.5000000000000002E-2</v>
      </c>
      <c r="F75" s="3">
        <v>54</v>
      </c>
      <c r="G75" s="3">
        <v>0</v>
      </c>
      <c r="H75" s="3">
        <v>0.08</v>
      </c>
      <c r="I75" s="3">
        <v>0.04</v>
      </c>
      <c r="J75" s="3">
        <v>0.03</v>
      </c>
      <c r="K75" s="3">
        <v>0</v>
      </c>
      <c r="L75" s="3">
        <v>0.03</v>
      </c>
      <c r="M75" s="3">
        <v>99.44</v>
      </c>
      <c r="N75" s="3">
        <v>3.96</v>
      </c>
      <c r="O75" s="3">
        <v>56.5</v>
      </c>
      <c r="P75" s="3">
        <v>0.11</v>
      </c>
      <c r="Q75" s="3">
        <v>9.94</v>
      </c>
      <c r="R75" s="3">
        <v>0</v>
      </c>
      <c r="S75" s="3">
        <v>0</v>
      </c>
      <c r="T75" s="3">
        <v>0</v>
      </c>
      <c r="U75" s="4" t="s">
        <v>154</v>
      </c>
      <c r="V75" s="4">
        <v>2017</v>
      </c>
    </row>
    <row r="76" spans="1:22" s="5" customFormat="1" ht="12.2" customHeight="1" x14ac:dyDescent="0.15">
      <c r="A76" s="1" t="s">
        <v>63</v>
      </c>
      <c r="B76" s="2">
        <v>200</v>
      </c>
      <c r="C76" s="3">
        <v>1</v>
      </c>
      <c r="D76" s="3">
        <v>0</v>
      </c>
      <c r="E76" s="3">
        <v>20.2</v>
      </c>
      <c r="F76" s="3">
        <v>84.8</v>
      </c>
      <c r="G76" s="3">
        <v>0.03</v>
      </c>
      <c r="H76" s="3">
        <v>1.6</v>
      </c>
      <c r="I76" s="3">
        <v>0</v>
      </c>
      <c r="J76" s="3">
        <v>0</v>
      </c>
      <c r="K76" s="3">
        <v>0</v>
      </c>
      <c r="L76" s="3">
        <v>0.02</v>
      </c>
      <c r="M76" s="3">
        <v>36</v>
      </c>
      <c r="N76" s="3">
        <v>16.2</v>
      </c>
      <c r="O76" s="3">
        <v>21.6</v>
      </c>
      <c r="P76" s="3">
        <v>0.72</v>
      </c>
      <c r="Q76" s="3">
        <v>300</v>
      </c>
      <c r="R76" s="3">
        <v>12</v>
      </c>
      <c r="S76" s="3">
        <v>0</v>
      </c>
      <c r="T76" s="3">
        <v>0</v>
      </c>
      <c r="U76" s="4" t="s">
        <v>64</v>
      </c>
      <c r="V76" s="4">
        <v>2017</v>
      </c>
    </row>
    <row r="77" spans="1:22" s="5" customFormat="1" ht="12.2" customHeight="1" x14ac:dyDescent="0.15">
      <c r="A77" s="29" t="s">
        <v>40</v>
      </c>
      <c r="B77" s="30">
        <f>SUM(B74:B76)</f>
        <v>315</v>
      </c>
      <c r="C77" s="31">
        <f t="shared" ref="C77:T77" si="8">SUM(C74:C76)</f>
        <v>11.06</v>
      </c>
      <c r="D77" s="31">
        <f t="shared" si="8"/>
        <v>11.33</v>
      </c>
      <c r="E77" s="31">
        <f t="shared" si="8"/>
        <v>49.995000000000005</v>
      </c>
      <c r="F77" s="31">
        <f t="shared" si="8"/>
        <v>343.98</v>
      </c>
      <c r="G77" s="31">
        <f t="shared" si="8"/>
        <v>0.08</v>
      </c>
      <c r="H77" s="31">
        <f t="shared" si="8"/>
        <v>1.6800000000000002</v>
      </c>
      <c r="I77" s="31">
        <f t="shared" si="8"/>
        <v>0.04</v>
      </c>
      <c r="J77" s="31">
        <f t="shared" si="8"/>
        <v>1.53</v>
      </c>
      <c r="K77" s="31">
        <f t="shared" si="8"/>
        <v>0.02</v>
      </c>
      <c r="L77" s="31">
        <f t="shared" si="8"/>
        <v>7.0000000000000007E-2</v>
      </c>
      <c r="M77" s="31">
        <f t="shared" si="8"/>
        <v>144.26</v>
      </c>
      <c r="N77" s="31">
        <f t="shared" si="8"/>
        <v>25.869999999999997</v>
      </c>
      <c r="O77" s="31">
        <f t="shared" si="8"/>
        <v>110.03</v>
      </c>
      <c r="P77" s="31">
        <f t="shared" si="8"/>
        <v>1.19</v>
      </c>
      <c r="Q77" s="31">
        <f t="shared" si="8"/>
        <v>359.28</v>
      </c>
      <c r="R77" s="31">
        <f t="shared" si="8"/>
        <v>12.74</v>
      </c>
      <c r="S77" s="31">
        <f t="shared" si="8"/>
        <v>0.01</v>
      </c>
      <c r="T77" s="31">
        <f t="shared" si="8"/>
        <v>0.01</v>
      </c>
      <c r="U77" s="32"/>
      <c r="V77" s="32"/>
    </row>
    <row r="78" spans="1:22" s="17" customFormat="1" ht="28.35" customHeight="1" x14ac:dyDescent="0.2">
      <c r="A78" s="166" t="s">
        <v>226</v>
      </c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</row>
    <row r="79" spans="1:22" s="5" customFormat="1" ht="13.35" customHeight="1" x14ac:dyDescent="0.15">
      <c r="A79" s="180" t="s">
        <v>1</v>
      </c>
      <c r="B79" s="158" t="s">
        <v>2</v>
      </c>
      <c r="C79" s="182" t="s">
        <v>3</v>
      </c>
      <c r="D79" s="178"/>
      <c r="E79" s="179"/>
      <c r="F79" s="183" t="s">
        <v>4</v>
      </c>
      <c r="G79" s="31" t="s">
        <v>5</v>
      </c>
      <c r="H79" s="182" t="s">
        <v>6</v>
      </c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9"/>
      <c r="U79" s="158" t="s">
        <v>7</v>
      </c>
      <c r="V79" s="158" t="s">
        <v>8</v>
      </c>
    </row>
    <row r="80" spans="1:22" s="5" customFormat="1" ht="26.65" customHeight="1" x14ac:dyDescent="0.15">
      <c r="A80" s="181"/>
      <c r="B80" s="159"/>
      <c r="C80" s="31" t="s">
        <v>9</v>
      </c>
      <c r="D80" s="31" t="s">
        <v>10</v>
      </c>
      <c r="E80" s="31" t="s">
        <v>11</v>
      </c>
      <c r="F80" s="159"/>
      <c r="G80" s="31" t="s">
        <v>12</v>
      </c>
      <c r="H80" s="31" t="s">
        <v>13</v>
      </c>
      <c r="I80" s="31" t="s">
        <v>14</v>
      </c>
      <c r="J80" s="31" t="s">
        <v>15</v>
      </c>
      <c r="K80" s="31" t="s">
        <v>16</v>
      </c>
      <c r="L80" s="31" t="s">
        <v>17</v>
      </c>
      <c r="M80" s="31" t="s">
        <v>18</v>
      </c>
      <c r="N80" s="31" t="s">
        <v>19</v>
      </c>
      <c r="O80" s="31" t="s">
        <v>20</v>
      </c>
      <c r="P80" s="31" t="s">
        <v>21</v>
      </c>
      <c r="Q80" s="31" t="s">
        <v>22</v>
      </c>
      <c r="R80" s="31" t="s">
        <v>23</v>
      </c>
      <c r="S80" s="31" t="s">
        <v>24</v>
      </c>
      <c r="T80" s="31" t="s">
        <v>25</v>
      </c>
      <c r="U80" s="159"/>
      <c r="V80" s="159"/>
    </row>
    <row r="81" spans="1:22" s="5" customFormat="1" ht="14.65" customHeight="1" x14ac:dyDescent="0.15">
      <c r="A81" s="177" t="s">
        <v>50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9"/>
    </row>
    <row r="82" spans="1:22" s="5" customFormat="1" ht="12.2" customHeight="1" x14ac:dyDescent="0.15">
      <c r="A82" s="1" t="s">
        <v>162</v>
      </c>
      <c r="B82" s="2">
        <v>150</v>
      </c>
      <c r="C82" s="3">
        <v>7.9</v>
      </c>
      <c r="D82" s="3">
        <v>12.3</v>
      </c>
      <c r="E82" s="3">
        <v>25.1</v>
      </c>
      <c r="F82" s="3">
        <v>257.60000000000002</v>
      </c>
      <c r="G82" s="3">
        <v>7.0000000000000007E-2</v>
      </c>
      <c r="H82" s="3">
        <v>0.14000000000000001</v>
      </c>
      <c r="I82" s="3">
        <v>0.1</v>
      </c>
      <c r="J82" s="3">
        <v>2.81</v>
      </c>
      <c r="K82" s="3">
        <v>0.67</v>
      </c>
      <c r="L82" s="3">
        <v>0.14000000000000001</v>
      </c>
      <c r="M82" s="3">
        <v>52.99</v>
      </c>
      <c r="N82" s="3">
        <v>12.12</v>
      </c>
      <c r="O82" s="3">
        <v>94.02</v>
      </c>
      <c r="P82" s="3">
        <v>1.3</v>
      </c>
      <c r="Q82" s="3">
        <v>122.1</v>
      </c>
      <c r="R82" s="3">
        <v>8.0399999999999991</v>
      </c>
      <c r="S82" s="3">
        <v>0.02</v>
      </c>
      <c r="T82" s="3">
        <v>0.02</v>
      </c>
      <c r="U82" s="4" t="s">
        <v>163</v>
      </c>
      <c r="V82" s="4" t="s">
        <v>29</v>
      </c>
    </row>
    <row r="83" spans="1:22" s="5" customFormat="1" ht="12.2" customHeight="1" x14ac:dyDescent="0.15">
      <c r="A83" s="1" t="s">
        <v>71</v>
      </c>
      <c r="B83" s="2">
        <v>180</v>
      </c>
      <c r="C83" s="3">
        <v>0.14000000000000001</v>
      </c>
      <c r="D83" s="3">
        <v>0.14000000000000001</v>
      </c>
      <c r="E83" s="3">
        <v>25.09</v>
      </c>
      <c r="F83" s="3">
        <v>103.14</v>
      </c>
      <c r="G83" s="3">
        <v>0.01</v>
      </c>
      <c r="H83" s="3">
        <v>1.44</v>
      </c>
      <c r="I83" s="3">
        <v>0</v>
      </c>
      <c r="J83" s="3">
        <v>0.23</v>
      </c>
      <c r="K83" s="3">
        <v>0</v>
      </c>
      <c r="L83" s="3">
        <v>0.01</v>
      </c>
      <c r="M83" s="3">
        <v>11.84</v>
      </c>
      <c r="N83" s="3">
        <v>3.99</v>
      </c>
      <c r="O83" s="3">
        <v>3.56</v>
      </c>
      <c r="P83" s="3">
        <v>0.71</v>
      </c>
      <c r="Q83" s="3">
        <v>101.19</v>
      </c>
      <c r="R83" s="3">
        <v>0.72</v>
      </c>
      <c r="S83" s="3">
        <v>0</v>
      </c>
      <c r="T83" s="3">
        <v>0</v>
      </c>
      <c r="U83" s="4" t="s">
        <v>72</v>
      </c>
      <c r="V83" s="4">
        <v>2017</v>
      </c>
    </row>
    <row r="84" spans="1:22" s="5" customFormat="1" ht="12.2" customHeight="1" x14ac:dyDescent="0.15">
      <c r="A84" s="29" t="s">
        <v>40</v>
      </c>
      <c r="B84" s="30">
        <f t="shared" ref="B84:T84" si="9">SUM(B82:B83)</f>
        <v>330</v>
      </c>
      <c r="C84" s="31">
        <f t="shared" si="9"/>
        <v>8.0400000000000009</v>
      </c>
      <c r="D84" s="31">
        <f t="shared" si="9"/>
        <v>12.440000000000001</v>
      </c>
      <c r="E84" s="31">
        <f t="shared" si="9"/>
        <v>50.19</v>
      </c>
      <c r="F84" s="31">
        <f t="shared" si="9"/>
        <v>360.74</v>
      </c>
      <c r="G84" s="31">
        <f t="shared" si="9"/>
        <v>0.08</v>
      </c>
      <c r="H84" s="31">
        <f t="shared" si="9"/>
        <v>1.58</v>
      </c>
      <c r="I84" s="31">
        <f t="shared" si="9"/>
        <v>0.1</v>
      </c>
      <c r="J84" s="31">
        <f t="shared" si="9"/>
        <v>3.04</v>
      </c>
      <c r="K84" s="31">
        <f t="shared" si="9"/>
        <v>0.67</v>
      </c>
      <c r="L84" s="31">
        <f t="shared" si="9"/>
        <v>0.15000000000000002</v>
      </c>
      <c r="M84" s="31">
        <f t="shared" si="9"/>
        <v>64.83</v>
      </c>
      <c r="N84" s="31">
        <f t="shared" si="9"/>
        <v>16.11</v>
      </c>
      <c r="O84" s="31">
        <f t="shared" si="9"/>
        <v>97.58</v>
      </c>
      <c r="P84" s="31">
        <f t="shared" si="9"/>
        <v>2.0099999999999998</v>
      </c>
      <c r="Q84" s="31">
        <f t="shared" si="9"/>
        <v>223.29</v>
      </c>
      <c r="R84" s="31">
        <f t="shared" si="9"/>
        <v>8.76</v>
      </c>
      <c r="S84" s="31">
        <f t="shared" si="9"/>
        <v>0.02</v>
      </c>
      <c r="T84" s="31">
        <f t="shared" si="9"/>
        <v>0.02</v>
      </c>
      <c r="U84" s="32"/>
      <c r="V84" s="32"/>
    </row>
    <row r="86" spans="1:22" s="6" customFormat="1" ht="57" x14ac:dyDescent="0.25">
      <c r="A86" s="68" t="s">
        <v>227</v>
      </c>
      <c r="B86" s="68" t="s">
        <v>222</v>
      </c>
      <c r="C86" s="185" t="s">
        <v>3</v>
      </c>
      <c r="D86" s="186"/>
      <c r="E86" s="187"/>
      <c r="F86" s="77" t="s">
        <v>4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3"/>
      <c r="V86" s="13"/>
    </row>
    <row r="87" spans="1:22" s="6" customFormat="1" ht="28.5" x14ac:dyDescent="0.25">
      <c r="A87" s="69"/>
      <c r="B87" s="69"/>
      <c r="C87" s="74" t="s">
        <v>9</v>
      </c>
      <c r="D87" s="74" t="s">
        <v>10</v>
      </c>
      <c r="E87" s="74" t="s">
        <v>11</v>
      </c>
      <c r="F87" s="74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3"/>
      <c r="V87" s="13"/>
    </row>
    <row r="88" spans="1:22" s="10" customFormat="1" ht="15" x14ac:dyDescent="0.2">
      <c r="A88" s="8" t="s">
        <v>200</v>
      </c>
      <c r="B88" s="75">
        <f>B84+B77+B69+B61+B53+B44+B36+B28+B20+B12</f>
        <v>3595</v>
      </c>
      <c r="C88" s="75">
        <f>C84+C77+C69+C61+C53+C44+C36+C28+C20+C12</f>
        <v>99.03202930402928</v>
      </c>
      <c r="D88" s="75">
        <f>D84+D77+D69+D61+D53+D44+D36+D28+D20+D12</f>
        <v>106.84594798534799</v>
      </c>
      <c r="E88" s="76">
        <f>E84+E77+E69+E61+E53+E44+E36+E28+E20+E12</f>
        <v>477.06043809523811</v>
      </c>
      <c r="F88" s="76">
        <f>F84+F77+F69+F61+F53+F44+F36+F28+F20+F12</f>
        <v>3458.2954578754584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9"/>
      <c r="V88" s="9"/>
    </row>
    <row r="89" spans="1:22" s="10" customFormat="1" ht="15" x14ac:dyDescent="0.2">
      <c r="A89" s="8" t="s">
        <v>201</v>
      </c>
      <c r="B89" s="75">
        <f>B88/10</f>
        <v>359.5</v>
      </c>
      <c r="C89" s="76">
        <f>C88/10</f>
        <v>9.9032029304029283</v>
      </c>
      <c r="D89" s="76">
        <f t="shared" ref="D89:F89" si="10">D88/10</f>
        <v>10.6845947985348</v>
      </c>
      <c r="E89" s="76">
        <f t="shared" si="10"/>
        <v>47.706043809523813</v>
      </c>
      <c r="F89" s="76">
        <f t="shared" si="10"/>
        <v>345.82954578754584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9"/>
      <c r="V89" s="9"/>
    </row>
  </sheetData>
  <mergeCells count="95">
    <mergeCell ref="C86:E86"/>
    <mergeCell ref="F79:F80"/>
    <mergeCell ref="H79:T79"/>
    <mergeCell ref="U79:U80"/>
    <mergeCell ref="V79:V80"/>
    <mergeCell ref="A81:V81"/>
    <mergeCell ref="A1:C1"/>
    <mergeCell ref="K1:V2"/>
    <mergeCell ref="A3:V3"/>
    <mergeCell ref="A4:V4"/>
    <mergeCell ref="A70:V70"/>
    <mergeCell ref="A5:V5"/>
    <mergeCell ref="A6:A7"/>
    <mergeCell ref="B6:B7"/>
    <mergeCell ref="C6:E6"/>
    <mergeCell ref="F6:F7"/>
    <mergeCell ref="H6:T6"/>
    <mergeCell ref="U6:U7"/>
    <mergeCell ref="V6:V7"/>
    <mergeCell ref="A8:V8"/>
    <mergeCell ref="A13:V13"/>
    <mergeCell ref="A14:A15"/>
    <mergeCell ref="B14:B15"/>
    <mergeCell ref="C14:E14"/>
    <mergeCell ref="F14:F15"/>
    <mergeCell ref="H14:T14"/>
    <mergeCell ref="U14:U15"/>
    <mergeCell ref="V14:V15"/>
    <mergeCell ref="A37:V37"/>
    <mergeCell ref="A16:V16"/>
    <mergeCell ref="A21:V21"/>
    <mergeCell ref="A22:A23"/>
    <mergeCell ref="B22:B23"/>
    <mergeCell ref="C22:E22"/>
    <mergeCell ref="F22:F23"/>
    <mergeCell ref="H22:T22"/>
    <mergeCell ref="U22:U23"/>
    <mergeCell ref="V22:V23"/>
    <mergeCell ref="A29:V29"/>
    <mergeCell ref="A30:A31"/>
    <mergeCell ref="B30:B31"/>
    <mergeCell ref="C30:E30"/>
    <mergeCell ref="F30:F31"/>
    <mergeCell ref="A24:V24"/>
    <mergeCell ref="H30:T30"/>
    <mergeCell ref="U30:U31"/>
    <mergeCell ref="V30:V31"/>
    <mergeCell ref="A32:V32"/>
    <mergeCell ref="V38:V39"/>
    <mergeCell ref="A40:V40"/>
    <mergeCell ref="A45:V45"/>
    <mergeCell ref="A46:A47"/>
    <mergeCell ref="B46:B47"/>
    <mergeCell ref="C46:E46"/>
    <mergeCell ref="F46:F47"/>
    <mergeCell ref="H46:T46"/>
    <mergeCell ref="U46:U47"/>
    <mergeCell ref="V46:V47"/>
    <mergeCell ref="A38:A39"/>
    <mergeCell ref="B38:B39"/>
    <mergeCell ref="C38:E38"/>
    <mergeCell ref="F38:F39"/>
    <mergeCell ref="H38:T38"/>
    <mergeCell ref="U38:U39"/>
    <mergeCell ref="A48:V48"/>
    <mergeCell ref="A54:V54"/>
    <mergeCell ref="A55:A56"/>
    <mergeCell ref="B55:B56"/>
    <mergeCell ref="C55:E55"/>
    <mergeCell ref="F55:F56"/>
    <mergeCell ref="H55:T55"/>
    <mergeCell ref="U55:U56"/>
    <mergeCell ref="V55:V56"/>
    <mergeCell ref="A57:V57"/>
    <mergeCell ref="A62:V62"/>
    <mergeCell ref="A63:A64"/>
    <mergeCell ref="B63:B64"/>
    <mergeCell ref="C63:E63"/>
    <mergeCell ref="F63:F64"/>
    <mergeCell ref="H63:T63"/>
    <mergeCell ref="U63:U64"/>
    <mergeCell ref="V63:V64"/>
    <mergeCell ref="A65:V65"/>
    <mergeCell ref="A71:A72"/>
    <mergeCell ref="B71:B72"/>
    <mergeCell ref="C71:E71"/>
    <mergeCell ref="F71:F72"/>
    <mergeCell ref="H71:T71"/>
    <mergeCell ref="U71:U72"/>
    <mergeCell ref="V71:V72"/>
    <mergeCell ref="A73:V73"/>
    <mergeCell ref="A78:V78"/>
    <mergeCell ref="A79:A80"/>
    <mergeCell ref="B79:B80"/>
    <mergeCell ref="C79:E7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  <rowBreaks count="1" manualBreakCount="1">
    <brk id="44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9"/>
  <sheetViews>
    <sheetView tabSelected="1" topLeftCell="A7" workbookViewId="0">
      <selection activeCell="I9" sqref="I9"/>
    </sheetView>
  </sheetViews>
  <sheetFormatPr defaultRowHeight="10.5" x14ac:dyDescent="0.15"/>
  <cols>
    <col min="1" max="1" width="43.83203125" customWidth="1"/>
    <col min="2" max="2" width="17.1640625" style="65" customWidth="1"/>
    <col min="3" max="3" width="15.33203125" style="65" customWidth="1"/>
    <col min="4" max="4" width="15.5" style="65" customWidth="1"/>
    <col min="5" max="5" width="15" style="65" customWidth="1"/>
    <col min="6" max="6" width="27" style="65" customWidth="1"/>
  </cols>
  <sheetData>
    <row r="1" spans="1:1023" s="39" customFormat="1" ht="18.75" x14ac:dyDescent="0.2">
      <c r="A1" s="37"/>
      <c r="B1" s="37"/>
      <c r="C1" s="195" t="s">
        <v>3</v>
      </c>
      <c r="D1" s="195"/>
      <c r="E1" s="195"/>
      <c r="F1" s="196" t="s">
        <v>4</v>
      </c>
      <c r="G1" s="38"/>
      <c r="AMI1" s="33"/>
    </row>
    <row r="2" spans="1:1023" s="39" customFormat="1" ht="28.5" x14ac:dyDescent="0.2">
      <c r="A2" s="40" t="s">
        <v>228</v>
      </c>
      <c r="B2" s="41"/>
      <c r="C2" s="42" t="s">
        <v>9</v>
      </c>
      <c r="D2" s="42" t="s">
        <v>10</v>
      </c>
      <c r="E2" s="42" t="s">
        <v>11</v>
      </c>
      <c r="F2" s="197"/>
      <c r="G2" s="38"/>
      <c r="AMI2" s="33"/>
    </row>
    <row r="3" spans="1:1023" s="39" customFormat="1" ht="14.25" x14ac:dyDescent="0.2">
      <c r="A3" s="40" t="s">
        <v>228</v>
      </c>
      <c r="B3" s="41"/>
      <c r="C3" s="42">
        <v>77</v>
      </c>
      <c r="D3" s="42">
        <v>79</v>
      </c>
      <c r="E3" s="42">
        <v>335</v>
      </c>
      <c r="F3" s="42">
        <v>2350</v>
      </c>
      <c r="G3" s="38"/>
      <c r="AMI3" s="33"/>
    </row>
    <row r="4" spans="1:1023" s="39" customFormat="1" ht="15" customHeight="1" x14ac:dyDescent="0.2">
      <c r="A4" s="43" t="s">
        <v>229</v>
      </c>
      <c r="B4" s="43"/>
      <c r="C4" s="44">
        <f>C12+C20+C27</f>
        <v>54.749358215395716</v>
      </c>
      <c r="D4" s="44">
        <f t="shared" ref="D4:F4" si="0">D12+D20+D27</f>
        <v>57.752534336774332</v>
      </c>
      <c r="E4" s="44">
        <f t="shared" si="0"/>
        <v>227.15419543290039</v>
      </c>
      <c r="F4" s="44">
        <f t="shared" si="0"/>
        <v>1691.2015360472863</v>
      </c>
      <c r="G4" s="38"/>
      <c r="AMI4" s="66"/>
    </row>
    <row r="5" spans="1:1023" s="50" customFormat="1" ht="15.75" x14ac:dyDescent="0.25">
      <c r="A5" s="45" t="s">
        <v>230</v>
      </c>
      <c r="B5" s="46"/>
      <c r="C5" s="46">
        <v>1</v>
      </c>
      <c r="D5" s="47">
        <v>1</v>
      </c>
      <c r="E5" s="47">
        <f>E4/D4</f>
        <v>3.9332333730722251</v>
      </c>
      <c r="F5" s="47"/>
      <c r="G5" s="48"/>
      <c r="H5" s="49"/>
      <c r="I5" s="49"/>
      <c r="AMI5" s="51"/>
    </row>
    <row r="6" spans="1:1023" s="39" customFormat="1" ht="31.5" x14ac:dyDescent="0.2">
      <c r="A6" s="52" t="s">
        <v>231</v>
      </c>
      <c r="B6" s="53"/>
      <c r="C6" s="54">
        <f>C4*100/C3</f>
        <v>71.103062617397029</v>
      </c>
      <c r="D6" s="54">
        <f t="shared" ref="D6:F6" si="1">D4*100/D3</f>
        <v>73.104473844018145</v>
      </c>
      <c r="E6" s="54">
        <f t="shared" si="1"/>
        <v>67.807222517283691</v>
      </c>
      <c r="F6" s="54">
        <f t="shared" si="1"/>
        <v>71.96602281052283</v>
      </c>
      <c r="G6" s="55"/>
      <c r="H6" s="56"/>
      <c r="I6" s="56"/>
      <c r="AMI6" s="33"/>
    </row>
    <row r="7" spans="1:1023" s="39" customFormat="1" ht="15.75" x14ac:dyDescent="0.2">
      <c r="A7" s="57"/>
      <c r="B7" s="58"/>
      <c r="C7" s="58"/>
      <c r="D7" s="59"/>
      <c r="E7" s="59"/>
      <c r="F7" s="59"/>
      <c r="G7" s="55"/>
      <c r="H7" s="56"/>
      <c r="I7" s="56"/>
      <c r="AMI7" s="33"/>
    </row>
    <row r="8" spans="1:1023" s="39" customFormat="1" ht="15.75" x14ac:dyDescent="0.2">
      <c r="A8" s="57"/>
      <c r="B8" s="58"/>
      <c r="C8" s="58"/>
      <c r="D8" s="59"/>
      <c r="E8" s="59"/>
      <c r="F8" s="59"/>
      <c r="G8" s="55"/>
      <c r="H8" s="56"/>
      <c r="I8" s="56"/>
      <c r="AMI8" s="33"/>
    </row>
    <row r="9" spans="1:1023" s="7" customFormat="1" ht="15" x14ac:dyDescent="0.25">
      <c r="A9" s="188" t="s">
        <v>221</v>
      </c>
      <c r="B9" s="188" t="s">
        <v>222</v>
      </c>
      <c r="C9" s="190" t="s">
        <v>3</v>
      </c>
      <c r="D9" s="190"/>
      <c r="E9" s="190"/>
      <c r="F9" s="190" t="s">
        <v>4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0"/>
      <c r="U9" s="20"/>
    </row>
    <row r="10" spans="1:1023" s="7" customFormat="1" ht="28.5" x14ac:dyDescent="0.25">
      <c r="A10" s="189"/>
      <c r="B10" s="189"/>
      <c r="C10" s="24" t="s">
        <v>9</v>
      </c>
      <c r="D10" s="24" t="s">
        <v>10</v>
      </c>
      <c r="E10" s="24" t="s">
        <v>11</v>
      </c>
      <c r="F10" s="19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0"/>
      <c r="U10" s="20"/>
    </row>
    <row r="11" spans="1:1023" s="11" customFormat="1" ht="15" x14ac:dyDescent="0.2">
      <c r="A11" s="25" t="s">
        <v>200</v>
      </c>
      <c r="B11" s="60">
        <v>5215</v>
      </c>
      <c r="C11" s="125">
        <f>завтраки!C120</f>
        <v>190.6993831168831</v>
      </c>
      <c r="D11" s="125">
        <f>завтраки!D120</f>
        <v>189.94656493506494</v>
      </c>
      <c r="E11" s="125">
        <f>завтраки!E120</f>
        <v>720.01553246753247</v>
      </c>
      <c r="F11" s="60">
        <v>5576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  <c r="U11" s="27"/>
    </row>
    <row r="12" spans="1:1023" s="11" customFormat="1" ht="30" x14ac:dyDescent="0.2">
      <c r="A12" s="25" t="s">
        <v>201</v>
      </c>
      <c r="B12" s="60">
        <f>B11/10</f>
        <v>521.5</v>
      </c>
      <c r="C12" s="28">
        <f t="shared" ref="C12:F12" si="2">C11/10</f>
        <v>19.069938311688311</v>
      </c>
      <c r="D12" s="28">
        <f t="shared" si="2"/>
        <v>18.994656493506493</v>
      </c>
      <c r="E12" s="28">
        <f t="shared" si="2"/>
        <v>72.001553246753247</v>
      </c>
      <c r="F12" s="28">
        <f t="shared" si="2"/>
        <v>557.6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7"/>
      <c r="U12" s="27"/>
    </row>
    <row r="13" spans="1:1023" s="62" customFormat="1" ht="15.75" x14ac:dyDescent="0.2">
      <c r="A13" s="45" t="s">
        <v>230</v>
      </c>
      <c r="B13" s="53"/>
      <c r="C13" s="53">
        <v>1</v>
      </c>
      <c r="D13" s="61">
        <v>1</v>
      </c>
      <c r="E13" s="61">
        <f>E11/D11</f>
        <v>3.7906214977547852</v>
      </c>
      <c r="F13" s="61"/>
      <c r="G13" s="55"/>
      <c r="H13" s="56"/>
      <c r="I13" s="56"/>
      <c r="AMI13"/>
    </row>
    <row r="14" spans="1:1023" s="62" customFormat="1" ht="31.5" x14ac:dyDescent="0.2">
      <c r="A14" s="52" t="s">
        <v>231</v>
      </c>
      <c r="B14" s="63"/>
      <c r="C14" s="64">
        <f>C12*100/C3</f>
        <v>24.766153651543259</v>
      </c>
      <c r="D14" s="64">
        <f t="shared" ref="D14:F14" si="3">D12*100/D3</f>
        <v>24.043868979122141</v>
      </c>
      <c r="E14" s="64">
        <f t="shared" si="3"/>
        <v>21.493000969180073</v>
      </c>
      <c r="F14" s="64">
        <f t="shared" si="3"/>
        <v>23.727659574468085</v>
      </c>
      <c r="G14" s="55"/>
      <c r="H14" s="56"/>
      <c r="I14" s="56"/>
      <c r="AMI14"/>
    </row>
    <row r="17" spans="1:1023" s="7" customFormat="1" ht="15" x14ac:dyDescent="0.25">
      <c r="A17" s="188" t="s">
        <v>224</v>
      </c>
      <c r="B17" s="188" t="s">
        <v>222</v>
      </c>
      <c r="C17" s="190" t="s">
        <v>3</v>
      </c>
      <c r="D17" s="190"/>
      <c r="E17" s="190"/>
      <c r="F17" s="190" t="s">
        <v>4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0"/>
      <c r="V17" s="20"/>
    </row>
    <row r="18" spans="1:1023" s="7" customFormat="1" ht="28.5" x14ac:dyDescent="0.25">
      <c r="A18" s="189"/>
      <c r="B18" s="189"/>
      <c r="C18" s="24" t="s">
        <v>9</v>
      </c>
      <c r="D18" s="24" t="s">
        <v>10</v>
      </c>
      <c r="E18" s="24" t="s">
        <v>11</v>
      </c>
      <c r="F18" s="191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0"/>
      <c r="V18" s="20"/>
    </row>
    <row r="19" spans="1:1023" s="11" customFormat="1" ht="15" x14ac:dyDescent="0.2">
      <c r="A19" s="25" t="s">
        <v>200</v>
      </c>
      <c r="B19" s="60">
        <v>8320</v>
      </c>
      <c r="C19" s="28">
        <f>обеды!C142</f>
        <v>257.76216973304474</v>
      </c>
      <c r="D19" s="28">
        <f>обеды!D142</f>
        <v>280.7328304473304</v>
      </c>
      <c r="E19" s="28">
        <f>обеды!E142</f>
        <v>1074.4659837662334</v>
      </c>
      <c r="F19" s="28">
        <f>обеды!F142</f>
        <v>7877.7199025974032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  <c r="V19" s="27"/>
    </row>
    <row r="20" spans="1:1023" s="11" customFormat="1" ht="30" x14ac:dyDescent="0.2">
      <c r="A20" s="25" t="s">
        <v>201</v>
      </c>
      <c r="B20" s="60">
        <f>B19/10</f>
        <v>832</v>
      </c>
      <c r="C20" s="28">
        <f>C19/10</f>
        <v>25.776216973304475</v>
      </c>
      <c r="D20" s="28">
        <f t="shared" ref="D20:F20" si="4">D19/10</f>
        <v>28.073283044733039</v>
      </c>
      <c r="E20" s="28">
        <f t="shared" si="4"/>
        <v>107.44659837662334</v>
      </c>
      <c r="F20" s="28">
        <f t="shared" si="4"/>
        <v>787.77199025974028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7"/>
      <c r="V20" s="27"/>
    </row>
    <row r="21" spans="1:1023" s="62" customFormat="1" ht="15.75" x14ac:dyDescent="0.2">
      <c r="A21" s="45" t="s">
        <v>230</v>
      </c>
      <c r="B21" s="53"/>
      <c r="C21" s="53">
        <v>1</v>
      </c>
      <c r="D21" s="61">
        <v>1</v>
      </c>
      <c r="E21" s="61">
        <f>E19/D19</f>
        <v>3.8273613458537725</v>
      </c>
      <c r="F21" s="61"/>
      <c r="G21" s="55"/>
      <c r="H21" s="56"/>
      <c r="I21" s="56"/>
      <c r="AMI21"/>
    </row>
    <row r="22" spans="1:1023" s="62" customFormat="1" ht="31.5" x14ac:dyDescent="0.2">
      <c r="A22" s="52" t="s">
        <v>231</v>
      </c>
      <c r="B22" s="63"/>
      <c r="C22" s="64">
        <f>C20*100/C3</f>
        <v>33.475606458836985</v>
      </c>
      <c r="D22" s="64">
        <f t="shared" ref="D22:F22" si="5">D20*100/D3</f>
        <v>35.535801322446886</v>
      </c>
      <c r="E22" s="64">
        <f t="shared" si="5"/>
        <v>32.073611455708459</v>
      </c>
      <c r="F22" s="64">
        <f t="shared" si="5"/>
        <v>33.522212351478309</v>
      </c>
      <c r="G22" s="55"/>
      <c r="H22" s="56"/>
      <c r="I22" s="56"/>
      <c r="AMI22"/>
    </row>
    <row r="24" spans="1:1023" s="7" customFormat="1" ht="28.5" x14ac:dyDescent="0.25">
      <c r="A24" s="34" t="s">
        <v>227</v>
      </c>
      <c r="B24" s="34" t="s">
        <v>222</v>
      </c>
      <c r="C24" s="192" t="s">
        <v>3</v>
      </c>
      <c r="D24" s="193"/>
      <c r="E24" s="194"/>
      <c r="F24" s="35" t="s">
        <v>4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0"/>
      <c r="V24" s="20"/>
    </row>
    <row r="25" spans="1:1023" s="7" customFormat="1" ht="28.5" x14ac:dyDescent="0.25">
      <c r="A25" s="36"/>
      <c r="B25" s="36"/>
      <c r="C25" s="24" t="s">
        <v>9</v>
      </c>
      <c r="D25" s="24" t="s">
        <v>10</v>
      </c>
      <c r="E25" s="24" t="s">
        <v>11</v>
      </c>
      <c r="F25" s="24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0"/>
      <c r="V25" s="20"/>
    </row>
    <row r="26" spans="1:1023" s="11" customFormat="1" ht="15" x14ac:dyDescent="0.2">
      <c r="A26" s="25" t="s">
        <v>200</v>
      </c>
      <c r="B26" s="60">
        <v>3575</v>
      </c>
      <c r="C26" s="28">
        <f>полдники!C88</f>
        <v>99.03202930402928</v>
      </c>
      <c r="D26" s="28">
        <f>полдники!D88</f>
        <v>106.84594798534799</v>
      </c>
      <c r="E26" s="28">
        <f>полдники!E88</f>
        <v>477.06043809523811</v>
      </c>
      <c r="F26" s="28">
        <f>полдники!F88</f>
        <v>3458.2954578754584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7"/>
      <c r="V26" s="27"/>
    </row>
    <row r="27" spans="1:1023" s="11" customFormat="1" ht="30" x14ac:dyDescent="0.2">
      <c r="A27" s="25" t="s">
        <v>201</v>
      </c>
      <c r="B27" s="60">
        <f>B26/10</f>
        <v>357.5</v>
      </c>
      <c r="C27" s="28">
        <f>C26/10</f>
        <v>9.9032029304029283</v>
      </c>
      <c r="D27" s="28">
        <f t="shared" ref="D27:F27" si="6">D26/10</f>
        <v>10.6845947985348</v>
      </c>
      <c r="E27" s="28">
        <f t="shared" si="6"/>
        <v>47.706043809523813</v>
      </c>
      <c r="F27" s="28">
        <f t="shared" si="6"/>
        <v>345.82954578754584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7"/>
      <c r="V27" s="27"/>
    </row>
    <row r="28" spans="1:1023" s="62" customFormat="1" ht="15.75" x14ac:dyDescent="0.2">
      <c r="A28" s="45" t="s">
        <v>230</v>
      </c>
      <c r="B28" s="53"/>
      <c r="C28" s="53">
        <v>1</v>
      </c>
      <c r="D28" s="61">
        <v>1</v>
      </c>
      <c r="E28" s="61">
        <f>E26/D26</f>
        <v>4.4649371088986776</v>
      </c>
      <c r="F28" s="61"/>
      <c r="G28" s="55"/>
      <c r="H28" s="56"/>
      <c r="I28" s="56"/>
      <c r="AMI28"/>
    </row>
    <row r="29" spans="1:1023" s="62" customFormat="1" ht="31.5" x14ac:dyDescent="0.2">
      <c r="A29" s="52" t="s">
        <v>231</v>
      </c>
      <c r="B29" s="63"/>
      <c r="C29" s="64">
        <f>C27*100/C3</f>
        <v>12.861302507016791</v>
      </c>
      <c r="D29" s="64">
        <f t="shared" ref="D29:F29" si="7">D27*100/D3</f>
        <v>13.524803542449114</v>
      </c>
      <c r="E29" s="64">
        <f t="shared" si="7"/>
        <v>14.240610092395169</v>
      </c>
      <c r="F29" s="64">
        <f t="shared" si="7"/>
        <v>14.71615088457642</v>
      </c>
      <c r="G29" s="55"/>
      <c r="H29" s="56"/>
      <c r="I29" s="56"/>
      <c r="AMI29"/>
    </row>
  </sheetData>
  <mergeCells count="11">
    <mergeCell ref="C1:E1"/>
    <mergeCell ref="F1:F2"/>
    <mergeCell ref="A9:A10"/>
    <mergeCell ref="B9:B10"/>
    <mergeCell ref="C9:E9"/>
    <mergeCell ref="F9:F10"/>
    <mergeCell ref="A17:A18"/>
    <mergeCell ref="B17:B18"/>
    <mergeCell ref="C17:E17"/>
    <mergeCell ref="F17:F18"/>
    <mergeCell ref="C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основное меню</vt:lpstr>
      <vt:lpstr>завтраки</vt:lpstr>
      <vt:lpstr>обеды</vt:lpstr>
      <vt:lpstr>полдники</vt:lpstr>
      <vt:lpstr>итого</vt:lpstr>
      <vt:lpstr>завтраки!Область_печати</vt:lpstr>
      <vt:lpstr>обеды!Область_печати</vt:lpstr>
      <vt:lpstr>полдники!Область_печати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СОШ 10</cp:lastModifiedBy>
  <cp:lastPrinted>2023-11-27T10:19:48Z</cp:lastPrinted>
  <dcterms:created xsi:type="dcterms:W3CDTF">2023-11-06T07:20:26Z</dcterms:created>
  <dcterms:modified xsi:type="dcterms:W3CDTF">2023-11-27T10:20:25Z</dcterms:modified>
</cp:coreProperties>
</file>