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4\Desktop\"/>
    </mc:Choice>
  </mc:AlternateContent>
  <bookViews>
    <workbookView xWindow="0" yWindow="0" windowWidth="22296" windowHeight="8184" activeTab="1"/>
  </bookViews>
  <sheets>
    <sheet name="ОВОЩИ И ФРУКТЫ" sheetId="12" r:id="rId1"/>
    <sheet name="НОВЫЕ КАРТЫ" sheetId="13" r:id="rId2"/>
    <sheet name="МОЛОЧ КАШИ И СУПЫ" sheetId="11" r:id="rId3"/>
    <sheet name="НАПИТКИ" sheetId="9" r:id="rId4"/>
    <sheet name="ГАРНИРЫ" sheetId="10" r:id="rId5"/>
    <sheet name="РЫБНЫЕ" sheetId="3" r:id="rId6"/>
    <sheet name="ВТОРЫЕ МЯСНЫЕ" sheetId="2" r:id="rId7"/>
    <sheet name="ПЕРВЫЕ БЛ" sheetId="4" r:id="rId8"/>
    <sheet name="ХЛЕБ БУТЕРБР ВЫПЕЧКА" sheetId="5" r:id="rId9"/>
    <sheet name="ИЗ ПЕЧЕНИ" sheetId="6" r:id="rId10"/>
    <sheet name="С ТВОРОГОМ" sheetId="7" r:id="rId11"/>
    <sheet name="САЛАТЫ" sheetId="8" r:id="rId12"/>
  </sheets>
  <calcPr calcId="162913"/>
</workbook>
</file>

<file path=xl/calcChain.xml><?xml version="1.0" encoding="utf-8"?>
<calcChain xmlns="http://schemas.openxmlformats.org/spreadsheetml/2006/main">
  <c r="W13" i="3" l="1"/>
  <c r="W99" i="3"/>
  <c r="E267" i="9" l="1"/>
  <c r="E266" i="9"/>
  <c r="E265" i="9"/>
  <c r="E264" i="9"/>
  <c r="O140" i="10"/>
  <c r="O335" i="10"/>
  <c r="O59" i="6" l="1"/>
  <c r="O375" i="10"/>
  <c r="O106" i="6"/>
  <c r="O105" i="6"/>
  <c r="E160" i="12" l="1"/>
  <c r="E159" i="12"/>
  <c r="E158" i="12"/>
  <c r="E157" i="12"/>
  <c r="M153" i="12"/>
  <c r="E125" i="12"/>
  <c r="E124" i="12"/>
  <c r="E123" i="12"/>
  <c r="E122" i="12"/>
  <c r="O118" i="12"/>
  <c r="M118" i="12"/>
  <c r="E93" i="12"/>
  <c r="E92" i="12"/>
  <c r="E91" i="12"/>
  <c r="E90" i="12"/>
  <c r="M86" i="12"/>
  <c r="E69" i="2" l="1"/>
  <c r="E68" i="2"/>
  <c r="M62" i="2"/>
  <c r="M60" i="2"/>
  <c r="O58" i="2"/>
  <c r="M58" i="2"/>
  <c r="O57" i="2"/>
  <c r="O56" i="2"/>
  <c r="O55" i="2"/>
  <c r="E248" i="3" l="1"/>
  <c r="E247" i="3"/>
  <c r="E246" i="3"/>
  <c r="E245" i="3"/>
  <c r="M238" i="3"/>
  <c r="O237" i="3"/>
  <c r="M237" i="3"/>
  <c r="M235" i="3"/>
  <c r="M234" i="3"/>
  <c r="E112" i="3"/>
  <c r="E111" i="3"/>
  <c r="E110" i="3"/>
  <c r="E109" i="3"/>
  <c r="M105" i="3"/>
  <c r="O103" i="3"/>
  <c r="M103" i="3"/>
  <c r="M102" i="3"/>
  <c r="O101" i="3"/>
  <c r="M101" i="3"/>
  <c r="O100" i="3"/>
  <c r="M100" i="3"/>
  <c r="M99" i="3"/>
  <c r="O99" i="3"/>
  <c r="M20" i="7" l="1"/>
  <c r="M19" i="7"/>
  <c r="M18" i="7"/>
  <c r="O17" i="7"/>
  <c r="M17" i="7"/>
  <c r="M16" i="7"/>
  <c r="M15" i="7"/>
  <c r="M13" i="7"/>
  <c r="O60" i="6"/>
  <c r="M142" i="3" l="1"/>
  <c r="M141" i="3"/>
  <c r="M140" i="3"/>
  <c r="M378" i="10" l="1"/>
  <c r="M374" i="10"/>
  <c r="M371" i="10"/>
  <c r="E382" i="10"/>
  <c r="M62" i="7"/>
  <c r="M59" i="7"/>
  <c r="O58" i="7"/>
  <c r="M55" i="7"/>
  <c r="E122" i="6" l="1"/>
  <c r="E121" i="6"/>
  <c r="E120" i="6"/>
  <c r="E119" i="6"/>
  <c r="M102" i="6"/>
  <c r="O101" i="6"/>
  <c r="M68" i="6"/>
  <c r="M66" i="6"/>
  <c r="M65" i="6"/>
  <c r="O63" i="6"/>
  <c r="O62" i="6"/>
  <c r="M62" i="6"/>
  <c r="M61" i="6"/>
  <c r="E75" i="6"/>
  <c r="E74" i="6"/>
  <c r="E73" i="6"/>
  <c r="E72" i="6"/>
  <c r="E216" i="4" l="1"/>
  <c r="E215" i="4"/>
  <c r="E214" i="4"/>
  <c r="E213" i="4"/>
  <c r="M209" i="4"/>
  <c r="M206" i="4"/>
  <c r="O205" i="4"/>
  <c r="M205" i="4"/>
  <c r="O204" i="4"/>
  <c r="M204" i="4"/>
  <c r="O203" i="4"/>
  <c r="M203" i="4"/>
  <c r="O202" i="4"/>
  <c r="M202" i="4"/>
  <c r="O201" i="4"/>
  <c r="M201" i="4"/>
  <c r="O147" i="2"/>
  <c r="M142" i="2"/>
  <c r="E154" i="2"/>
  <c r="E153" i="2"/>
  <c r="E152" i="2"/>
  <c r="E151" i="2"/>
  <c r="M104" i="10"/>
  <c r="M103" i="10"/>
  <c r="O102" i="10"/>
  <c r="M102" i="10"/>
  <c r="M101" i="10"/>
  <c r="O100" i="10"/>
  <c r="M100" i="10"/>
  <c r="O99" i="10"/>
  <c r="M98" i="10"/>
  <c r="M97" i="10"/>
  <c r="M99" i="10"/>
  <c r="M96" i="10"/>
  <c r="E111" i="10"/>
  <c r="E110" i="10"/>
  <c r="E109" i="10"/>
  <c r="E108" i="10"/>
  <c r="M29" i="4"/>
  <c r="M28" i="4"/>
  <c r="M27" i="4"/>
  <c r="M26" i="4"/>
  <c r="M23" i="4"/>
  <c r="O22" i="4"/>
  <c r="M22" i="4"/>
  <c r="O21" i="4"/>
  <c r="M21" i="4"/>
  <c r="O20" i="4"/>
  <c r="M20" i="4"/>
  <c r="O19" i="4"/>
  <c r="O18" i="4"/>
  <c r="M18" i="4"/>
  <c r="O17" i="4"/>
  <c r="M17" i="4"/>
  <c r="O16" i="4"/>
  <c r="M16" i="4"/>
  <c r="O15" i="4"/>
  <c r="M15" i="4"/>
  <c r="E36" i="4"/>
  <c r="E35" i="4"/>
  <c r="E34" i="4"/>
  <c r="E33" i="4"/>
  <c r="M131" i="8"/>
  <c r="M130" i="8"/>
  <c r="O128" i="8"/>
  <c r="M128" i="8"/>
  <c r="O127" i="8"/>
  <c r="M125" i="8"/>
  <c r="M124" i="8"/>
  <c r="E139" i="8"/>
  <c r="E138" i="8"/>
  <c r="E137" i="8"/>
  <c r="E136" i="8"/>
  <c r="M104" i="3"/>
  <c r="M23" i="10"/>
  <c r="M22" i="10"/>
  <c r="M21" i="10"/>
  <c r="M20" i="10"/>
  <c r="M19" i="10"/>
  <c r="M18" i="10"/>
  <c r="M17" i="10"/>
  <c r="O16" i="10"/>
  <c r="M16" i="10"/>
  <c r="O15" i="10"/>
  <c r="M15" i="10"/>
  <c r="M14" i="10"/>
  <c r="O13" i="10"/>
  <c r="M13" i="10"/>
  <c r="E30" i="10"/>
  <c r="E29" i="10"/>
  <c r="E28" i="10"/>
  <c r="E27" i="10"/>
  <c r="O18" i="2"/>
  <c r="M18" i="2"/>
  <c r="O15" i="2"/>
  <c r="M15" i="2"/>
  <c r="M14" i="2"/>
  <c r="E112" i="7"/>
  <c r="E111" i="7"/>
  <c r="E110" i="7"/>
  <c r="E109" i="7"/>
  <c r="M105" i="7"/>
  <c r="M104" i="7"/>
  <c r="M103" i="7"/>
  <c r="O102" i="7"/>
  <c r="M100" i="7"/>
  <c r="M98" i="7"/>
  <c r="M187" i="3" l="1"/>
  <c r="M186" i="3"/>
  <c r="M185" i="3"/>
  <c r="E261" i="10"/>
  <c r="E260" i="10"/>
  <c r="E259" i="10"/>
  <c r="E258" i="10"/>
  <c r="M254" i="10"/>
  <c r="M253" i="10"/>
  <c r="M252" i="10"/>
  <c r="M251" i="10"/>
  <c r="M372" i="4"/>
  <c r="O369" i="4"/>
  <c r="M369" i="4"/>
  <c r="M368" i="4"/>
  <c r="M367" i="4"/>
  <c r="O366" i="4"/>
  <c r="M366" i="4"/>
  <c r="M365" i="4"/>
  <c r="M364" i="4"/>
  <c r="O363" i="4"/>
  <c r="E379" i="4"/>
  <c r="E378" i="4"/>
  <c r="E377" i="4"/>
  <c r="E376" i="4"/>
  <c r="M47" i="8"/>
  <c r="M46" i="8"/>
  <c r="M45" i="8"/>
  <c r="O44" i="8"/>
  <c r="M44" i="8"/>
  <c r="O43" i="8"/>
  <c r="M43" i="8"/>
  <c r="E54" i="8"/>
  <c r="E53" i="8"/>
  <c r="E52" i="8"/>
  <c r="E51" i="8"/>
  <c r="M87" i="8"/>
  <c r="M86" i="8"/>
  <c r="M85" i="8"/>
  <c r="M84" i="8"/>
  <c r="O83" i="8"/>
  <c r="O82" i="8"/>
  <c r="M82" i="8"/>
  <c r="E95" i="8"/>
  <c r="E94" i="8"/>
  <c r="E93" i="8"/>
  <c r="E92" i="8"/>
  <c r="M268" i="2" l="1"/>
  <c r="M267" i="2"/>
  <c r="O265" i="2"/>
  <c r="E278" i="2"/>
  <c r="E277" i="2"/>
  <c r="E276" i="2"/>
  <c r="E27" i="7"/>
  <c r="E26" i="7"/>
  <c r="E25" i="7"/>
  <c r="E24" i="7"/>
  <c r="M119" i="4"/>
  <c r="M118" i="4"/>
  <c r="M117" i="4"/>
  <c r="O114" i="4"/>
  <c r="M114" i="4"/>
  <c r="O113" i="4"/>
  <c r="M113" i="4"/>
  <c r="O112" i="4"/>
  <c r="M112" i="4"/>
  <c r="M111" i="4"/>
  <c r="O110" i="4"/>
  <c r="M110" i="4"/>
  <c r="E126" i="4"/>
  <c r="E125" i="4"/>
  <c r="E124" i="4"/>
  <c r="E123" i="4"/>
  <c r="M173" i="8"/>
  <c r="M170" i="8"/>
  <c r="O169" i="8"/>
  <c r="M169" i="8"/>
  <c r="O168" i="8"/>
  <c r="M168" i="8"/>
  <c r="O167" i="8"/>
  <c r="M167" i="8"/>
  <c r="E180" i="8"/>
  <c r="E179" i="8"/>
  <c r="E178" i="8"/>
  <c r="E177" i="8"/>
  <c r="E153" i="10"/>
  <c r="E152" i="10"/>
  <c r="E151" i="10"/>
  <c r="E150" i="10"/>
  <c r="M227" i="2"/>
  <c r="M226" i="2"/>
  <c r="M225" i="2"/>
  <c r="M224" i="2"/>
  <c r="E235" i="2"/>
  <c r="E234" i="2"/>
  <c r="E233" i="2"/>
  <c r="E232" i="2"/>
  <c r="M146" i="10"/>
  <c r="M145" i="10"/>
  <c r="O144" i="10"/>
  <c r="M144" i="10"/>
  <c r="O143" i="10"/>
  <c r="M143" i="10"/>
  <c r="M142" i="10"/>
  <c r="M141" i="10"/>
  <c r="O139" i="10"/>
  <c r="M139" i="10"/>
  <c r="O138" i="10"/>
  <c r="M138" i="10"/>
  <c r="E28" i="11" l="1"/>
  <c r="E150" i="3"/>
  <c r="M180" i="10"/>
  <c r="O179" i="10"/>
  <c r="M179" i="10"/>
  <c r="O245" i="4"/>
  <c r="M245" i="4"/>
  <c r="O244" i="4"/>
  <c r="M244" i="4"/>
  <c r="O243" i="4"/>
  <c r="M243" i="4"/>
  <c r="O242" i="4"/>
  <c r="M242" i="4"/>
  <c r="O241" i="4"/>
  <c r="M241" i="4"/>
  <c r="E257" i="4"/>
  <c r="E256" i="4"/>
  <c r="E255" i="4"/>
  <c r="E254" i="4"/>
  <c r="M60" i="10"/>
  <c r="M59" i="10"/>
  <c r="M58" i="10"/>
  <c r="O57" i="10"/>
  <c r="M57" i="10"/>
  <c r="O56" i="10"/>
  <c r="M56" i="10"/>
  <c r="E68" i="10"/>
  <c r="E67" i="10"/>
  <c r="E66" i="10"/>
  <c r="E65" i="10"/>
  <c r="E87" i="5"/>
  <c r="E86" i="5"/>
  <c r="E85" i="5"/>
  <c r="E84" i="5"/>
  <c r="E102" i="11"/>
  <c r="E101" i="11"/>
  <c r="E100" i="11"/>
  <c r="E99" i="11"/>
  <c r="M337" i="10"/>
  <c r="M331" i="10"/>
  <c r="O330" i="10"/>
  <c r="E345" i="10"/>
  <c r="E344" i="10"/>
  <c r="E343" i="10"/>
  <c r="E342" i="10"/>
  <c r="E175" i="4"/>
  <c r="E174" i="4"/>
  <c r="E173" i="4"/>
  <c r="E172" i="4"/>
  <c r="M161" i="4"/>
  <c r="O160" i="4"/>
  <c r="M160" i="4"/>
  <c r="O159" i="4"/>
  <c r="M159" i="4"/>
  <c r="O158" i="4"/>
  <c r="M158" i="4"/>
  <c r="O157" i="4"/>
  <c r="M157" i="4"/>
  <c r="O156" i="4"/>
  <c r="M156" i="4"/>
  <c r="O155" i="4"/>
  <c r="M155" i="4"/>
  <c r="O166" i="4"/>
  <c r="O165" i="4"/>
  <c r="M165" i="4"/>
  <c r="O164" i="4"/>
  <c r="M164" i="4"/>
  <c r="E218" i="8"/>
  <c r="E217" i="8"/>
  <c r="E216" i="8"/>
  <c r="E215" i="8"/>
  <c r="M206" i="8"/>
  <c r="E542" i="10" l="1"/>
  <c r="E540" i="10"/>
  <c r="E108" i="2"/>
  <c r="E106" i="2"/>
  <c r="M98" i="2"/>
  <c r="M74" i="4"/>
  <c r="M73" i="4"/>
  <c r="M72" i="4"/>
  <c r="M71" i="4"/>
  <c r="O70" i="4"/>
  <c r="M70" i="4"/>
  <c r="M67" i="4"/>
  <c r="O66" i="4"/>
  <c r="M66" i="4"/>
  <c r="O65" i="4"/>
  <c r="M65" i="4"/>
  <c r="O64" i="4"/>
  <c r="M64" i="4"/>
  <c r="M63" i="4"/>
  <c r="O62" i="4"/>
  <c r="M62" i="4"/>
  <c r="O61" i="4"/>
  <c r="M61" i="4"/>
  <c r="E82" i="4"/>
  <c r="E81" i="4"/>
  <c r="E80" i="4"/>
  <c r="E79" i="4"/>
  <c r="E25" i="3" l="1"/>
  <c r="E24" i="3"/>
  <c r="E23" i="3"/>
  <c r="E22" i="3"/>
  <c r="M16" i="3" l="1"/>
  <c r="M15" i="3"/>
  <c r="M14" i="3"/>
  <c r="E463" i="10"/>
  <c r="E462" i="10"/>
  <c r="E461" i="10"/>
  <c r="E460" i="10"/>
  <c r="M452" i="10"/>
  <c r="M456" i="10"/>
  <c r="M455" i="10"/>
  <c r="M454" i="10"/>
  <c r="M451" i="10"/>
  <c r="O450" i="10"/>
  <c r="M450" i="10"/>
  <c r="O449" i="10"/>
  <c r="M449" i="10"/>
  <c r="O448" i="10"/>
  <c r="M448" i="10"/>
  <c r="O327" i="4"/>
  <c r="M327" i="4"/>
  <c r="O326" i="4"/>
  <c r="M326" i="4"/>
  <c r="M325" i="4"/>
  <c r="O324" i="4"/>
  <c r="M324" i="4"/>
  <c r="O323" i="4"/>
  <c r="M323" i="4"/>
  <c r="E338" i="4"/>
  <c r="E337" i="4"/>
  <c r="E336" i="4"/>
  <c r="E335" i="4"/>
  <c r="E257" i="8"/>
  <c r="E256" i="8"/>
  <c r="E255" i="8"/>
  <c r="E254" i="8"/>
  <c r="M249" i="8"/>
  <c r="M248" i="8"/>
  <c r="O247" i="8"/>
  <c r="M247" i="8"/>
  <c r="O246" i="8"/>
  <c r="M246" i="8"/>
  <c r="O245" i="8"/>
  <c r="M245" i="8"/>
  <c r="O244" i="8"/>
  <c r="M244" i="8"/>
  <c r="E362" i="2"/>
  <c r="E361" i="2"/>
  <c r="E360" i="2"/>
  <c r="E359" i="2"/>
  <c r="O355" i="2"/>
  <c r="M351" i="2"/>
  <c r="O349" i="2"/>
  <c r="M415" i="4"/>
  <c r="M411" i="4"/>
  <c r="O410" i="4"/>
  <c r="M410" i="4"/>
  <c r="O409" i="4"/>
  <c r="M409" i="4"/>
  <c r="O408" i="4"/>
  <c r="M408" i="4"/>
  <c r="O407" i="4"/>
  <c r="M407" i="4"/>
  <c r="O406" i="4"/>
  <c r="M406" i="4"/>
  <c r="E422" i="4"/>
  <c r="E421" i="4"/>
  <c r="E420" i="4"/>
  <c r="E419" i="4"/>
  <c r="E293" i="8"/>
  <c r="E292" i="8"/>
  <c r="E291" i="8"/>
  <c r="E290" i="8"/>
  <c r="M286" i="8"/>
  <c r="O185" i="2"/>
  <c r="E197" i="2"/>
  <c r="E196" i="2"/>
  <c r="E195" i="2"/>
  <c r="E194" i="2"/>
  <c r="E300" i="10"/>
  <c r="E299" i="10"/>
  <c r="E298" i="10"/>
  <c r="E297" i="10"/>
  <c r="M293" i="10"/>
  <c r="M290" i="10"/>
  <c r="M289" i="10"/>
  <c r="O288" i="10"/>
  <c r="M288" i="10"/>
  <c r="O287" i="10"/>
  <c r="M287" i="10"/>
  <c r="M56" i="3"/>
  <c r="M55" i="3"/>
  <c r="M54" i="3"/>
  <c r="E72" i="3"/>
  <c r="E71" i="3"/>
  <c r="E70" i="3"/>
  <c r="E69" i="3"/>
  <c r="O413" i="10"/>
  <c r="O412" i="10"/>
  <c r="M412" i="10"/>
  <c r="O411" i="10"/>
  <c r="M411" i="10"/>
  <c r="E421" i="10"/>
  <c r="E420" i="10"/>
  <c r="E419" i="10"/>
  <c r="E418" i="10"/>
  <c r="E297" i="4"/>
  <c r="E296" i="4"/>
  <c r="E295" i="4"/>
  <c r="E294" i="4"/>
  <c r="M290" i="4"/>
  <c r="M289" i="4"/>
  <c r="M287" i="4"/>
  <c r="O286" i="4"/>
  <c r="M286" i="4"/>
  <c r="O285" i="4"/>
  <c r="M285" i="4"/>
  <c r="O283" i="4"/>
  <c r="M283" i="4"/>
  <c r="E20" i="8"/>
  <c r="E19" i="8"/>
  <c r="E18" i="8"/>
  <c r="E17" i="8"/>
  <c r="E68" i="11"/>
  <c r="E67" i="11"/>
  <c r="E66" i="11"/>
  <c r="E65" i="11"/>
  <c r="O59" i="11"/>
  <c r="O58" i="11"/>
  <c r="O57" i="11"/>
  <c r="O56" i="11"/>
  <c r="M61" i="11"/>
  <c r="M60" i="11"/>
  <c r="M59" i="11"/>
  <c r="M58" i="11"/>
  <c r="M57" i="11"/>
  <c r="M56" i="11"/>
  <c r="E892" i="9" l="1"/>
  <c r="E891" i="9"/>
  <c r="E890" i="9"/>
  <c r="E889" i="9"/>
  <c r="E746" i="9"/>
  <c r="E745" i="9"/>
  <c r="E744" i="9"/>
  <c r="E743" i="9"/>
  <c r="M244" i="5"/>
  <c r="E602" i="9"/>
  <c r="E601" i="9"/>
  <c r="E600" i="9"/>
  <c r="E599" i="9"/>
  <c r="E544" i="9"/>
  <c r="E543" i="9"/>
  <c r="E542" i="9"/>
  <c r="E541" i="9"/>
  <c r="M398" i="9"/>
  <c r="M397" i="9"/>
  <c r="M396" i="9"/>
  <c r="M395" i="9"/>
  <c r="M361" i="9"/>
  <c r="O359" i="9"/>
  <c r="M359" i="9"/>
  <c r="E169" i="9"/>
  <c r="E168" i="9"/>
  <c r="E167" i="9"/>
  <c r="E166" i="9"/>
  <c r="E98" i="9"/>
  <c r="E97" i="9"/>
  <c r="E96" i="9"/>
  <c r="E95" i="9"/>
  <c r="O91" i="9"/>
  <c r="M91" i="9"/>
  <c r="O89" i="9"/>
  <c r="M89" i="9"/>
  <c r="O87" i="9"/>
  <c r="M87" i="9"/>
</calcChain>
</file>

<file path=xl/sharedStrings.xml><?xml version="1.0" encoding="utf-8"?>
<sst xmlns="http://schemas.openxmlformats.org/spreadsheetml/2006/main" count="7865" uniqueCount="1224">
  <si>
    <t>"УТВЕРЖДАЮ"
Директор
ООО "ВИТА-ЛАЙН"
_________Н.Н.Клоков.
01 августа 2023 г.</t>
  </si>
  <si>
    <t>ТЕХНОЛОГИЧЕСКАЯ КАРТА № 260</t>
  </si>
  <si>
    <t>Наименование изделия:</t>
  </si>
  <si>
    <t>АЗУ</t>
  </si>
  <si>
    <t>Номер рецептуры:</t>
  </si>
  <si>
    <t>260</t>
  </si>
  <si>
    <t>Наименование сборника рецептур:</t>
  </si>
  <si>
    <t>Сборник методических рекомендаций по организации питания детей и подростков в учреждениях образования Санкт-Петербурга. - СПб.: Речь, 2008. - 800 с.</t>
  </si>
  <si>
    <t>Наименование сырья</t>
  </si>
  <si>
    <t>Расход сырья и полуфабрикатов</t>
  </si>
  <si>
    <t>1 порц.</t>
  </si>
  <si>
    <t>100 порц.</t>
  </si>
  <si>
    <t>брутто, г</t>
  </si>
  <si>
    <t>нетто, г</t>
  </si>
  <si>
    <t>брутто, кг</t>
  </si>
  <si>
    <t>нетто, кг</t>
  </si>
  <si>
    <t>СВИНИНА МЯСНАЯ</t>
  </si>
  <si>
    <t>6,3</t>
  </si>
  <si>
    <t>МАСЛО ПОДСОЛНЕЧНОЕ РАФИНИРОВАНОЕ</t>
  </si>
  <si>
    <t>6</t>
  </si>
  <si>
    <t>0,6</t>
  </si>
  <si>
    <t>ЛУК РЕПЧАТЫЙ</t>
  </si>
  <si>
    <t>10,5</t>
  </si>
  <si>
    <t>9</t>
  </si>
  <si>
    <t>0,9</t>
  </si>
  <si>
    <t>ТОМАТНАЯ ПАСТА</t>
  </si>
  <si>
    <t>2,1</t>
  </si>
  <si>
    <t>0,21</t>
  </si>
  <si>
    <t>МУКА ПШЕНИЧНАЯ ВЫСШ.СОРТ</t>
  </si>
  <si>
    <t>ОГУРЦЫ СОЛЕНЫЕ</t>
  </si>
  <si>
    <t>9,9</t>
  </si>
  <si>
    <t>КАРТОФЕЛЬ</t>
  </si>
  <si>
    <t>Выход: 150</t>
  </si>
  <si>
    <t>Химический состав, витамины и микроэлементы на 1 порцию:</t>
  </si>
  <si>
    <t>Белки, г</t>
  </si>
  <si>
    <t>В1, мг</t>
  </si>
  <si>
    <t>Са, мг</t>
  </si>
  <si>
    <t>Жиры, г</t>
  </si>
  <si>
    <t>С, мг</t>
  </si>
  <si>
    <t>Mg, мг</t>
  </si>
  <si>
    <t>Углеводы, г</t>
  </si>
  <si>
    <t>А, мг</t>
  </si>
  <si>
    <t>Р, мг</t>
  </si>
  <si>
    <t>Энергетическая ценность, ккал</t>
  </si>
  <si>
    <t>E, мг</t>
  </si>
  <si>
    <t>Fе, мг</t>
  </si>
  <si>
    <t>Д, мкг</t>
  </si>
  <si>
    <t>К, мг</t>
  </si>
  <si>
    <t>В2, мг</t>
  </si>
  <si>
    <t>I, мкг</t>
  </si>
  <si>
    <t>F, мг</t>
  </si>
  <si>
    <t>Se, мг</t>
  </si>
  <si>
    <t>Технология приготовления:</t>
  </si>
  <si>
    <t>Мясо, нарезанное брусочками по 10-15 г, обжаривают, заливают горячим бульоном или водой, добавляют пассерованную томатную пасту и тушат в течение 40-50 мин в закрытой посуде при слабом кипении. На оставшемся бульоне приготавливают соус, в который кладут соленые огурцы, нарезанные соломкой, пассерованный лук, соль. Полученным соусом заливают мясо, добавляют жареный картофель и тушат еще 15-20 мин.
За 5-10 мин до готовности кладут лавровый лист. Для удобства порционирования картофель можно тушить отдельно.</t>
  </si>
  <si>
    <t>Правила оформления, подачи блюд:</t>
  </si>
  <si>
    <t>Отпускают азу вместе с соусом и гарниром.
Оптимальная температура подачи 65° С.</t>
  </si>
  <si>
    <t>Характеристика изделия по органолептическим показателям:</t>
  </si>
  <si>
    <t>• Внешний вид — на тарелке уложено тушеное мясо в соусе в виде брусочков с огурцами и жареным картофелем;
• цвет мяса — от светло-коричневого до коричневого, овощей — коричневый, соуса — красноватый;
• вкус, запах — характерный для тушеного мяса с ароматом лука, и специй, умеренно соленый, острый;
• консистенция мяса — сочная, мягкая; соуса — однородная.</t>
  </si>
  <si>
    <t>ТЕХНОЛОГИЧЕСКАЯ КАРТА № 234</t>
  </si>
  <si>
    <t>234</t>
  </si>
  <si>
    <t>Сборник рецептур на продукцию для обучающихся во всех образовательных учреждениях / под редакцией М.П. Могильного и В.А. Тутельяна.-М.: ДеЛи плюс, 2017.-544с.</t>
  </si>
  <si>
    <t>МАСЛО СЛАДКО-СЛИВОЧНОЕ НЕСОЛЕНОЕ</t>
  </si>
  <si>
    <t>5</t>
  </si>
  <si>
    <t>0,5</t>
  </si>
  <si>
    <t>РЫБА МИНТАЙ НЕРАЗДЕЛАННЫЙ</t>
  </si>
  <si>
    <t>ХЛЕБ ПШЕНИЧН.ФОРМОВОЙ МУКА ВЫСШ.СОРТ</t>
  </si>
  <si>
    <t>МОЛОКО ПАСТЕР. 2,5% ЖИРНОСТИ</t>
  </si>
  <si>
    <t>СУХАРИ ПАНИРОВОЧНЫЕ</t>
  </si>
  <si>
    <t>4</t>
  </si>
  <si>
    <t>0,4</t>
  </si>
  <si>
    <t>СОЛЬ ЙОДИРОВАННАЯ</t>
  </si>
  <si>
    <t>Филе рыбы без кожи и костей нарезают на куски, пропускают через мясорубку вместе с замоченным в воде или молоке черствым пшеничным хлебом, добавляют соль, тщательно перемешивают и выбивают. Из полученной рыбной котлетной массы формуют котлеты или биточки, панируют в сухарях, обжаривают с двух сторон на противне или сковороде в течение 8-10 мин, и доводят до готовности в жарочном шкафу 5 мин.
При отпуске котлеты или биточки массой 50 г гарнируют, подливают сбоку соус (30 г) или поливают сливочным маслом (5 г).
Гарниры - картофель отварной, пюре картофельное, овощи отварные с маслом, овощи, припущенные с маслом. 
Соусы - сметанный №330, сметанный с луком №332.
Норма на порцию: гарнира - 75-150 г, соли - 2 г, лаврового листа - 0,01 г.
При отпуске рыбные блюда посыпают измельченной зеленью петрушки, сельдерея или укропа (1-3 г нетто на порцию) или оформляют веточкой зелени.</t>
  </si>
  <si>
    <t>Температура подачи блюда +65С</t>
  </si>
  <si>
    <t>Внешний вид: котлеты овально-приплюснутой формы с заостренным концом, аккуратно уложены, сбоку - гарнир
Консистенция: сочная, однородная
Цвет: корочки - золотистый, на разрезе - светло-серый
Вкус: жареной рыбной котлетной массы, умеренно соленый
Запах: приятный, рыбы и соуса.</t>
  </si>
  <si>
    <t>БОРЩ ПО-КУБАНСКИ</t>
  </si>
  <si>
    <t>АКТ ПРОРАБОТКИ</t>
  </si>
  <si>
    <t>ЧЕСНОК</t>
  </si>
  <si>
    <t>2</t>
  </si>
  <si>
    <t>1,7</t>
  </si>
  <si>
    <t>0,2</t>
  </si>
  <si>
    <t>0,17</t>
  </si>
  <si>
    <t>ПЕТРУШКА (ЗЕЛЕНЬ)</t>
  </si>
  <si>
    <t>3,8</t>
  </si>
  <si>
    <t>0,38</t>
  </si>
  <si>
    <t>КАПУСТА БЕЛОКОЧАННАЯ</t>
  </si>
  <si>
    <t>20</t>
  </si>
  <si>
    <t>16</t>
  </si>
  <si>
    <t>1,6</t>
  </si>
  <si>
    <t>КАПУСТА КВАШЕНАЯ</t>
  </si>
  <si>
    <t>1,3</t>
  </si>
  <si>
    <t>СВЕКЛА</t>
  </si>
  <si>
    <t xml:space="preserve">    с 01.01 по 31.08</t>
  </si>
  <si>
    <t>25</t>
  </si>
  <si>
    <t>2,5</t>
  </si>
  <si>
    <t xml:space="preserve">    с 01.09 по 31.12</t>
  </si>
  <si>
    <t>30</t>
  </si>
  <si>
    <t>4,62</t>
  </si>
  <si>
    <t>3</t>
  </si>
  <si>
    <t>50</t>
  </si>
  <si>
    <t>40</t>
  </si>
  <si>
    <t>МОРКОВЬ</t>
  </si>
  <si>
    <t>10</t>
  </si>
  <si>
    <t>7,5</t>
  </si>
  <si>
    <t>1</t>
  </si>
  <si>
    <t>0,75</t>
  </si>
  <si>
    <t>9,38</t>
  </si>
  <si>
    <t>0,94</t>
  </si>
  <si>
    <t>9,6</t>
  </si>
  <si>
    <t>0,96</t>
  </si>
  <si>
    <t>САХАР ПЕСОК</t>
  </si>
  <si>
    <t>0,16</t>
  </si>
  <si>
    <t>ЛАВРОВЫЙ ЛИСТ</t>
  </si>
  <si>
    <t>0,01</t>
  </si>
  <si>
    <t>0,001</t>
  </si>
  <si>
    <t>ВОДА ПИТЬЕВАЯ</t>
  </si>
  <si>
    <t>160</t>
  </si>
  <si>
    <t>Выход: 200</t>
  </si>
  <si>
    <t>В кипящий бульон или воду закладывают нашинкованную соломкой свежую капуст и квашенную капусту у, доводят до кипения, затем добавляют картофель, нарезанный брусочками, варят 10-15 мин, кладут слегка пассерованные или припущенные овощи, тушеную или вареную свеклу и варят борщ до готовности. За 5-10 мин до окончания варки добавляют соль, сахар. При использовании квашеной капусты, ее в тушеном виде вводят в борщ вместе со свеклой. Борщ можно заправить подсушенной мукой, разведенной бульоном или водой (10 г муки на 1000 г борща).
Свеклу для борща подготавливают двумя способами. 
Первый способ: свеклу, нарезанную соломкой или ломтиками, тушат в толстостенной закрытой посуде с добавлением томатного пюре, масла и небольшого количества воды (15-20% к массе свеклы). Свекла при тушении быстрее доходит до готовности, если томатное пюре добавляют в нее за 10 мин до окончания тушения. 
Второй способ: неочищенную свеклу варят целиком, после варки ее очищают от кожицы. Отварную свеклу нарезают соломкой или ломтиками, кладут в борщ одновременно с пассерованными овощами и томатным пюре. Приготовление борща со свеклой, подготовленной по второму способу, проще; кроме того, окраска борща получается ярче и вкус нежнее. Этот способ рекомендуется для варки борща с картофелем.
Вместо свежей капусты можно использовать квашеную массой нетто на 25% меньше массы свежей капусты.
Примечание:
1. Норма закладки сметаны - 20 г на 1000 г супа. Сметану перед использованием кипятят.
2. При приготовлении супов на бульоне (количество бульона равно норме воды, указанной в рецептурах) норма вложения масла сливочного, указанная в рецептуре, не должна превышать 10 г на 1000 г супа. Масло сливочное используется для пассерования или припускания овощей.
3. Нормы закладки основных овощей (картофеля, капусты, свеклы и т.п.), указанные в рецептурах, могут быть изменены (увеличены или уменьшены), но не более чем на 10-15% при условии сохранения общей массы закладываемых овощей.
4. Норма для всех супов, кроме молочных, лаврового листа - 0,04 г, соли - 6-10 г на 1000 г супа. Лавровый лист и соль кладут в суп за 5-10 мин до окончания варки.
5. Зелень (петрушка, укроп, сельдерей) не указана в рецептуре, но ее следует добавлять в котел мелко нарезанной во все супы перед отправкой на раздачу для улучшения их вкуса в количестве 2-3 г нетто на порцию (кроме молочных).
6. Морковь, лук, томатное пюре перед закладкой в заправочные супы слегка пассеруют или припускают. Это улучшает вкусовые качества и внешний вид супа. Пассерование не должно быть продолжительным, перегрев жира не допускается. Корень петрушки следует класть в суп в сыром виде за 20-25 мин до окончания варки. Сладкий перец мелко шинкуют и закладывают в суп в слегка пассерованном или сыром виде.
9. Слабая пассеровка овощей производится с добавлением соли и сахара в количестве 2-3% к массе овощей. Время слабого пассерования овощей уменьшается в 2 раза.
10. При отпуске горячие супы должны иметь температуру 75-80 °С</t>
  </si>
  <si>
    <t>Внешний вид: в жидкой части борща распределены овощи, сохранившие форму нарезки (свекла, капуста, морковь, лук - соломкой, картофель - брусочками)
Консистенция: свекла и овощи - мягкие, капуста свежая - упругая; соблюдается соотношение жидкой и плотной части
Цвет: малиново-красный, жир на поверхности -оранжевый
Вкус: кисло-сладкий, умеренно соленый
Запах: продуктов входящих в блюдо</t>
  </si>
  <si>
    <t>ТЕХНОЛОГИЧЕСКАЯ КАРТА № 84</t>
  </si>
  <si>
    <t>БОРЩ С ФАСОЛЬЮ И КАРТОФЕЛЕМ</t>
  </si>
  <si>
    <t>84</t>
  </si>
  <si>
    <t>1,73</t>
  </si>
  <si>
    <t>ФАСОЛЬ</t>
  </si>
  <si>
    <t>8</t>
  </si>
  <si>
    <t>0,8</t>
  </si>
  <si>
    <t>ТОМАТНОЕ ПЮРЕ</t>
  </si>
  <si>
    <t>0,07</t>
  </si>
  <si>
    <t>1,2</t>
  </si>
  <si>
    <t>СМЕТАНА 15% ЖИРНОСТИ</t>
  </si>
  <si>
    <t>В кипящий бульон или воду кладут картофель, нарезанный кубиками, и варят 10-15 мин, затем добавляют тушеную свеклу, слегка пассерованные или припущенные овощи, за 5-10 мин до окончания варки кладут предварительно сваренную фасоль, добавляют сахар, растертый с солью чеснок и доводят до готовности.
Свеклу для борща подготавливают двумя способами. 
Первый способ: свеклу, нарезанную соломкой или ломтиками, тушат в толстостенной закрытой посуде с добавлением томатного пюре, масла и небольшого количества воды (15-20% к массе свеклы). Свекла при тушении быстрее доходит до готовности, если томатное пюре добавляют в нее за 10 мин до окончания тушения. 
Второй способ: неочищенную свеклу варят целиком, после варки ее очищают от кожицы. Отварную свеклу нарезают соломкой или ломтиками, кладут в борщ одновременно с пассерованными овощами и томатным пюре. Приготовление борща со свеклой, подготовленной по второму способу, проще; кроме того, окраска борща получается ярче и вкус нежнее. Этот способ рекомендуется для варки борща с картофелем.
Примечание:
1. Норма закладки сметаны - 20 г на 1000 г супа. Сметану перед использованием кипятят.
2. При приготовлении супов на бульоне (количество бульона равно норме воды, указанной в рецептурах) норма вложения масла сливочного, указанная в рецептуре, не должна превышать 10 г на 1000 г супа. Масло сливочное используется для пассерования или припускания овощей.
3. Нормы закладки основных овощей (картофеля, капусты, свеклы и т.п.), указанные в рецептурах, могут быть изменены (увеличены или уменьшены), но не более чем на 10-15% при условии сохранения общей массы закладываемых овощей.
4. Норма для всех супов, кроме молочных, лаврового листа - 0,04 г, соли - 6-10 г на 1000 г супа. Лавровый лист и соль кладут в суп за 5-10 мин до окончания варки.
5. Зелень (петрушка, укроп, сельдерей) не указана в рецептуре, но ее следует добавлять в котел мелко нарезанной во все супы перед отправкой на раздачу для улучшения их вкуса в количестве 2-3 г нетто на порцию (кроме молочных).
6. Морковь, лук, томатное пюре перед закладкой в заправочные супы слегка пассеруют или припускают. Это улучшает вкусовые качества и внешний вид супа. Пассерование не должно быть продолжительным, перегрев жира не допускается. Корень петрушки следует класть в суп в сыром виде за 20-25 мин до окончания варки. Сладкий перец мелко шинкуют и закладывают в суп в слегка пассерованном или сыром виде.
9. Слабая пассеровка овощей производится с добавлением соли и сахара в количестве 2-3% к массе овощей. Время слабого пассерования овощей уменьшается в 2 раза.
10. При отпуске горячие супы должны иметь температуру 75-80 °С</t>
  </si>
  <si>
    <t>Температура подачи не ниже +75 С.</t>
  </si>
  <si>
    <t>Внешний вид: в жидкой части борща - овощи, сохранившие форму нарезки (свекла, морковь, лук — соломкой, картофель - кубиками)
Консистенция: свекла, овощи и фасоль - мягкие, соблюдается соотношение жидкой и плотной части
Цвет: малиново-красный, жир на поверхности
Вкус: кисло-сладкий, умеренно соленый
Запах: продуктов входящих в борщ</t>
  </si>
  <si>
    <t>0,1</t>
  </si>
  <si>
    <t>Выход: 100</t>
  </si>
  <si>
    <t>Из дрожжевого теста (рец. №405) формуют шарики, кладут их швом вниз на смазанные жиром листы и ставят в теплое место для расстойки на 30 40 мин. Поверхность шариков смазывают яйцом или меланжем и выпекают 12-15 мин при температуре 230-240 °С.
Влажность - не более 36,0% 
Кислотность - не более 2,5 °Н 
Булочку ванильную можно выпекать массой 50 г.
Норма расхода жира для смазки листов составляет 25 г на 10 кг готовой продукции. 
Кислотность изделий из дрожжевого теста - не более 4,0°.</t>
  </si>
  <si>
    <t>Внешний вид: форма - круглая, поверхность гладкая, блестящая
Консистенция: мякиш хорошо пропечен, пористый
Цвет: от золотистого до светло-коричневого
Вкус: свойственный свежевыпеченному изделию из дрожжевого теста.
Запах: приятный, свойственный свежевыпеченному изделию из дрожжевого теста.</t>
  </si>
  <si>
    <t>Выход: 50</t>
  </si>
  <si>
    <t>ТЕХНОЛОГИЧЕСКАЯ КАРТА № 3</t>
  </si>
  <si>
    <t>БУТЕРБРОД С СЫРОМ И МАСЛОМ</t>
  </si>
  <si>
    <t>СЫР РОССИЙСКИЙ</t>
  </si>
  <si>
    <t>11</t>
  </si>
  <si>
    <t>На хлеб кладут ломтик сыра толщиной 3-4 мм.</t>
  </si>
  <si>
    <t>Подают на пирожковой тарелке. Оптимальная температура подачи 14° С.</t>
  </si>
  <si>
    <t xml:space="preserve">•  Внешний вид — ломтик пшеничного хлеба толщиной 1-1,5 см, почти полностью покрыт сыром;
•  цвет, консистенция хлеба, масла, сыра — в соответствии с требованиями технических документов на данный вид продукции;
•  вкус, запах — характерный для использования наименования сыра с ароматом и привкусом хлеба, масла.
</t>
  </si>
  <si>
    <t>3,3</t>
  </si>
  <si>
    <t>ТЕХНОЛОГИЧЕСКАЯ КАРТА № 2</t>
  </si>
  <si>
    <t>БУТЕРБРОДЫ С ПОВИДЛОМ И МАСЛОМ</t>
  </si>
  <si>
    <t>Выход: 75</t>
  </si>
  <si>
    <t>Хлеб намазывают маслом, а затем повидлом или джемом.</t>
  </si>
  <si>
    <t>Внешний вид: ровные ломтики хлеба, намазанные маслом и повидлом или джемом
Консистенция: хлеба мягкая, повидла или джема - нерастекающаяся
Цвет: повидла или джема
Вкус: повидла или джема с хлебом
Запах: повидла или джема в сочетании со свежим хлебом</t>
  </si>
  <si>
    <t>ГРАТЕН ИЗ ПЕЧЕНИ С КАРТОФЕЛЕМ</t>
  </si>
  <si>
    <t>4,5</t>
  </si>
  <si>
    <t>0,45</t>
  </si>
  <si>
    <t>СЫР ГОЛЛАНДСКИЙ (КРУГЛЫЙ)</t>
  </si>
  <si>
    <t>ГОВЯЖЬЯ ПЕЧЕНЬ</t>
  </si>
  <si>
    <t>26,4</t>
  </si>
  <si>
    <t>2,64</t>
  </si>
  <si>
    <t>33</t>
  </si>
  <si>
    <t>КРУПА МАННАЯ</t>
  </si>
  <si>
    <t>6,4</t>
  </si>
  <si>
    <t>0,64</t>
  </si>
  <si>
    <t>12</t>
  </si>
  <si>
    <t>88</t>
  </si>
  <si>
    <t>8,8</t>
  </si>
  <si>
    <t>110</t>
  </si>
  <si>
    <t>117,33</t>
  </si>
  <si>
    <t>11,73</t>
  </si>
  <si>
    <t>38,5</t>
  </si>
  <si>
    <t>32,4</t>
  </si>
  <si>
    <t>3,85</t>
  </si>
  <si>
    <t>3,24</t>
  </si>
  <si>
    <t>Внешний вид: запеканка нарезана ровными кусками, рулет - в виде поперечного ломтика батона, поверхность изделий - не растрескавшаяся, изделие полито маслом или соусом.
Консистенция: мягкая, нежная. 
Цвет: корочки - свойственный запеченному картофелю, румяный, оранжево-коричневый. 
Вкус: свойственный запеченному картофелю, фарша - мясу или субпродуктам, умеренно соленый. 
Запах: запеченного картофеля, мяса или субпродуктов.</t>
  </si>
  <si>
    <t>ТЕХНОЛОГИЧЕСКАЯ КАРТА № 259</t>
  </si>
  <si>
    <t>ЖАРКОЕ ПО-ДОМАШНЕМУ</t>
  </si>
  <si>
    <t>259</t>
  </si>
  <si>
    <t>0,3</t>
  </si>
  <si>
    <t>1,17</t>
  </si>
  <si>
    <t>5,8</t>
  </si>
  <si>
    <t>0,58</t>
  </si>
  <si>
    <t>Мясо нарезают по два куска на порцию, картофель и лук - дольками. Мясо и овощи обжаривают по отдельности. Обжаренное мясо и овощи кладут в посуду слоями, чтобы снизу и сверху мяса были овощи, добавляют томатное пюре, соль и бульон (продукты должны быть только покрыты жидкостью) закрывают крышкой и тушат до готовности. За 5-10 мин до окончания тушения кладут лавровый лист. Отпускают жаркое вместе с бульоном и гарниром. Блюдо можно готовить без томатного пюре.
Обжаренное мясо и овощи заливают водой так, чтобы порционные и мелкие куски были покрыты полностью, а крупные - наполовину (60-150 г жидкости на порцию).
Норма на блюдо: соли 3 г, зелени (лук, петрушка, укроп) - 4 г нетто, а кроме того, по мере надобности - лаврового листа 0,02 г.
Норма гарнира - от 50 до 150 г. Кроме того, сверх установленной нормы основного гарнира можно дополнительно подавать свежие или соленые огурцы и помидоры, квашеную капусту, а также салат из свежей или квашеной капусты в количестве от 30 до 100 г (нетто) на порцию; при этом выход блюда соответственно увеличивают.</t>
  </si>
  <si>
    <t>Внешний вид: мясо нарезано поперек волокон, уложено на тарелку вместе с овощами. Овощи сохранили форму нарезки. 
Консистенция: мяса и овощей - нежная, мягкая, сочная. 
Цвет: мяса - коричневый, овощей - темно-красный. 
Вкус: без постороннего привкуса, умеренно соленый. 
Запах: мяса в сочетании с ароматом овощей.</t>
  </si>
  <si>
    <t>ЗАПЕКАНКА ИЗ ПЕЧЕНИ  ПО-ЦАРСКИ</t>
  </si>
  <si>
    <t>ЯЙЦА КУРИНЫЕ (ШТ.)</t>
  </si>
  <si>
    <t>10,08</t>
  </si>
  <si>
    <t>1,01</t>
  </si>
  <si>
    <t>11,25</t>
  </si>
  <si>
    <t>7,2</t>
  </si>
  <si>
    <t>0,72</t>
  </si>
  <si>
    <t>18</t>
  </si>
  <si>
    <t>1,8</t>
  </si>
  <si>
    <t>СМЕТАНА 20% ЖИРНОСТИ</t>
  </si>
  <si>
    <t xml:space="preserve">Печень промывают в холодной воде, снимают пленку, вырезают внутренние кровеносные сосуды. Подготовленную печень нарезают, пропускают через мясорубку ИЛИ  мелко нарезают. . Очищенный и промытый репчатый лук мелко нарезают, очищенную и промытую морковь натирают на терке , все овощи  припускают на растительном масле.
В глубокую емкость влейте молоко любой жирности, туда же всыпьте манную крупу и все хорошенько перемешайте. Оставьте на 40 минут, время от времени перемешивая.
Спустя указанное время влейте печеночную массу,добавьте яйцо, всыпьте соль и перемешайте.
Смажьте формы растительным маслом. Выложите часть овощной зажарки на дно емкостей. Можно сначала влить и печеночную массу, но она может подгореть, поэтому я рекомендую первыми выкладывать овощи.
Влейте часть печеночной массы и по ней распределите половину сметаны.
Снова выложите зажарку.
Залейте оставшейся печеночной массой, украсьте сметаной и поместите в разогретую до 200 градусов духовку на 35-40 минут, в зависимости от величины формы. Более крупные формы запекайте не менее 50-60 минут.
Следите за поверхностью блюда, его готовность определяется сухой деревянной шпажкой - нужно проткнуть ею середину блюда. На шпажке не должны оставаться следы крови - это значит, что печеночная масса пропеклась. Извлеките формы из духовки и остудите.
 Подайте печень по-царски к столу, украсив свежей зеленью.
</t>
  </si>
  <si>
    <t>Внешний вид: запеканка нарезана ровными кусками, поверхность изделий не растрескавшаяся,
изделие полито соусом
Консистенция: мягкая, нежная
Цвет: корочки - свойственный запеченному продукту
Вкус: свойственный продуктам, входящим в блюдо
Запах: запеченной печени и продуктов, входящих в блюдо</t>
  </si>
  <si>
    <t xml:space="preserve">АКТ ПРОРАБОТКИ </t>
  </si>
  <si>
    <t>КРУПА РИСОВАЯ</t>
  </si>
  <si>
    <t>3,6</t>
  </si>
  <si>
    <t>0,36</t>
  </si>
  <si>
    <t>2,2</t>
  </si>
  <si>
    <t xml:space="preserve">СОУС ТОМАТНЫЙ С ОВОЩАМИ </t>
  </si>
  <si>
    <t>3,1</t>
  </si>
  <si>
    <t>0,31</t>
  </si>
  <si>
    <t>15,5</t>
  </si>
  <si>
    <t>1,55</t>
  </si>
  <si>
    <t>4,67</t>
  </si>
  <si>
    <t>3,5</t>
  </si>
  <si>
    <t>0,467</t>
  </si>
  <si>
    <t>0,35</t>
  </si>
  <si>
    <t>5,1</t>
  </si>
  <si>
    <t>0,51</t>
  </si>
  <si>
    <t>0,05</t>
  </si>
  <si>
    <t xml:space="preserve">Печень промывают в холодной воде, снимают пленку, вырезают внутренние кровеносные сосуды. Подготовленную печень нарезают, пропускают через мясорубку. Из рисовой крупы варят рассыпчатую кашу на воде и охлаждают до 60-70 °С. Очищенный и промытый репчатый лук мелко нарезают и припускают с маслом сливочным. Измельченную печень соединяют с рассыпчатой  кашей, добавляют припущенный лук, яйца, соль и перемешивают. На смазанный жиром противень кладут приготовленную массу, поверхность смазывают яйцам и запекают. 
При отпуске запеканку нарезают по 1 куску на порцию. 
Отпускают 180 г запеканки с прокипяченным сливочным маслом (5 г) или соусом сметанным №330 (30 г).
В случае отсутствия необходимого соуса в текущем справочнике 2012 года, используйте "Сборник рецептур на продукцию для обучающихся во всех образовательных учреждениях / под редакцией М.П. Могильного и В.А. Тутельяна.-М.: ДеЛи принт, 2011." - рецептура обоих справочников одинакова.
Соус томатный с овощами 
Лук репчатый режут соломкой, морковь шинкуют тонкой соломкой или натирают на крупной терке. Выкладывают в сотейник, пассеруют в масле при умеренном нагреве, периодически помешивая. Затем добавляют томатную пасту, муку, продолжают пассеровать.Доливают воду, доводят до кипения. Заправляют солью, сахаром, черным молотым перцем. Варят на медленном огне в течение 10-15 минут.
</t>
  </si>
  <si>
    <t>ТЕХНОЛОГИЧЕСКАЯ КАРТА № 223</t>
  </si>
  <si>
    <t>223</t>
  </si>
  <si>
    <t>Сборник рецептур на продукцию для обучающихся во всех образовательных учреждениях / под редакцией М.П. Могильного и В.А. Тутельяна.-М.: ДеЛи прилюс, 2017.-544с.</t>
  </si>
  <si>
    <t>ТВОРОГ 9,0% ЖИРНОСТИ</t>
  </si>
  <si>
    <t>МОЛОКО СГУЩЕННОЕ С САХАРОМ 8,5% ЖИРНОСТИ</t>
  </si>
  <si>
    <t>Выход: 180</t>
  </si>
  <si>
    <t>Протертый творог смешивают с мукой или предварительно заваренной в воде (10 мл на порцию) и охлажденной манной крупой, яйцами, сахаром и солью. Подготовленную массу выкладывают слоем 3-4 мм на смазанный маслом и посыпанный сухарями противень или в форму.
Поверхность массы разравнивают, смазывают сметаной, запекают в жарочном шкафу 20-30 мин до образования на поверхности румяной корочки. 
Отпускают 50 г запеканки с молочным №326 или сладким соусом №334-337 (30 г), с молоком сгущенным (20 г) или йогуртом (30 г).
Норма ванилина - 0,1 г на 1 кг творога. При приготовлении сырников и запеканок на 1 кг творога кладут 10 г соли.</t>
  </si>
  <si>
    <t>Внешний вид: порционные кусочки без трещин и подгорелых мест.
Консистенция: однородная, нежная, мягкая. 
Цвет: корочки - золотисто-желтый, на разрезе - белый, соуса - светло-коричневый.
Вкус: свойственный продуктам, входящим в данное блюдо. 
Запах: слабовыраженный - творога.</t>
  </si>
  <si>
    <t>224</t>
  </si>
  <si>
    <t>ПОВИДЛО</t>
  </si>
  <si>
    <t>ТЫКВА СВЕЖАЯ</t>
  </si>
  <si>
    <t>Морковь шинкуют и тушат с молоком до готовности. Протертый творог смешивают с предварительно заваренной в воде (10 мл на порцию) и охлажденной манной крупой, яйцами, сахаром, солью и морковью. Подготовленную массу выкладывают слоем 3-4 мм на смазанный маслом и посыпанный сухарями противень. Поверхность массы разравнивают, смазывают сметаной, запекают в жарочном шкафу 20-30 мин до образования на поверхности румяной корочки. 
Отпускают 50 г запеканки с молочным №326 или сладким соусом №334-337 (30 г), или молоком сгущенным (20 г), или йогуртом (30 г).
Норма ванилина - 0,1 г на 1 кг творога. При приготовлении сырников и запеканок на 1 кг творога кладут 10 г соли.</t>
  </si>
  <si>
    <t>Оптимальная температура подачи 65 С</t>
  </si>
  <si>
    <t>Внешний вид: порционные кусочки без трещин и подгорелых мест. 
Консистенция: однородная, нежная, мягкая. 
Цвет: корочки - золотисто-желтый, на разрезе - желтый. 
Вкус: свойственный продуктам, входящим в данное блюдо. 
Запах: слабовыраженный - творога, моркови</t>
  </si>
  <si>
    <t>0,7</t>
  </si>
  <si>
    <t>Температура подачи не ниже +65 С</t>
  </si>
  <si>
    <t>ТЕХНОЛОГИЧЕСКАЯ КАРТА № ттк</t>
  </si>
  <si>
    <t>ИКРА КАБАЧКОВАЯ КОНСЕРВИРОВАННАЯ</t>
  </si>
  <si>
    <t>ттк</t>
  </si>
  <si>
    <t>ИКРА ИЗ КАБАЧКОВ</t>
  </si>
  <si>
    <t>63,2</t>
  </si>
  <si>
    <t>6,32</t>
  </si>
  <si>
    <t>Икру промышленного производства отпускают по 100 г на порцию, уложив в салатник.
Температура оптимальная не выше +14 С.</t>
  </si>
  <si>
    <t>ОПТИМАЛЬНАЯ ТЕМПЕРАТУРА ПОДАЧИ НЕ ВЫШЕ +14с</t>
  </si>
  <si>
    <t>ТЕХНОЛОГИЧЕСКАЯ КАРТА № 75</t>
  </si>
  <si>
    <t xml:space="preserve">ИКРА СВЕКОЛЬНАЯ </t>
  </si>
  <si>
    <t>75</t>
  </si>
  <si>
    <t>1,25</t>
  </si>
  <si>
    <t>15</t>
  </si>
  <si>
    <t>1,5</t>
  </si>
  <si>
    <t>Свеклу отваривают, очищают от кожицы и измельчают. Лук репчатый шинкуют и пассеруют, в конце пассерования добавляют томатную пасту. Измельченные овощи соединяют с пассерованным луком, добавляют сахар, прогревают и охлаждают. Отпускают по 90  г на порцию, уложив на тарелку горкой.</t>
  </si>
  <si>
    <t>Оптимальная температура подачи блюда 14 С</t>
  </si>
  <si>
    <t>Внешний вид: икра уложена горкой,
Консистенция: сочная, однородная. 
Цвет: малиново-красный - свекольной. 
Вкус: свеклы, пассерованного репчатого лука и томата. 
Запах: свеклы с привкусом пассерованного лука и томата.</t>
  </si>
  <si>
    <t>ТЕХНОЛОГИЧЕСКАЯ КАРТА № 382</t>
  </si>
  <si>
    <t>КАКАО С МОЛОКОМ</t>
  </si>
  <si>
    <t>382</t>
  </si>
  <si>
    <t>Сборник рецептур на продукцию для обучающихся во всех образовательных учреждениях / под редакцией М.П. Могильного и В.А. Тутельяна.-М.: ДеЛи принт, 2017.-544с.</t>
  </si>
  <si>
    <t>КАКАО-ПОРОШОК</t>
  </si>
  <si>
    <t>90</t>
  </si>
  <si>
    <t>99</t>
  </si>
  <si>
    <t>Какао кладут в посуду, смешивают с сахаром, добавляют небольшое количество кипятка (100 мл) и растирают до однородной массы, затем вливают при постоянном помешивании кипяченое горячее молоко, остальной кипяток и доводят до кипения.</t>
  </si>
  <si>
    <t>Внешний вид: жидкость светло-шоколадного цвета, налита в стакан
Консистенция: жидкая
Цвет: светло-шоколадный
Вкус: сладкий, с привкусом какао и молока
Запах: свойственный какао</t>
  </si>
  <si>
    <t xml:space="preserve">КАКАО С МОЛОКОМ </t>
  </si>
  <si>
    <t>100</t>
  </si>
  <si>
    <t>Температура подачи +75</t>
  </si>
  <si>
    <t>ТЕХНОЛОГИЧЕСКАЯ КАРТА № 321</t>
  </si>
  <si>
    <t>КАПУСТА ТУШЕНАЯ</t>
  </si>
  <si>
    <t>321</t>
  </si>
  <si>
    <t>ЛИМОННАЯ КИСЛОТА</t>
  </si>
  <si>
    <t>0,18</t>
  </si>
  <si>
    <t>0,02</t>
  </si>
  <si>
    <t>0,15</t>
  </si>
  <si>
    <t>Технология приготовления Нарезанную соломкой капусту кладут в котел слоем до 30 см, добавляют воду, лимонную кислоту, масло сливочное, пассерованное томатное пюре и тушат до полуготовности при периодическом помешивании. Затем добавляют пассерованные нарезанные соломкой морковь, лук репчатый и тушат до готовности. За 5 мин до конца тушения капусту заправляют мучной пассеровкой, добавляют сахар, перец, лавровый лист и доводят до кипения.
При приготовлении используется 3-ех процентный раствор лимонной кислоты массой 30 г на 1000 г выхода гарнира. 
При использовании капусты квашеной лимонная кислота из рецептуры исключается и увеличивается закладка сахара на 20 г .</t>
  </si>
  <si>
    <t>Внешний вид: смесь тушеной капусты с овощами. Капуста, лук и морковь в виде соломки. 
Консистенция: сочная, слабо хрустящая. 
Цвет: светло-коричневый. 
Вкус: свойственный капусте и продуктам, входящим в состав блюда, умеренно соленый, кисло-сладкий. 
Запах: тушеной капусты с ароматом томата, овощей.</t>
  </si>
  <si>
    <t>ТЕХНОЛОГИЧЕСКАЯ КАРТА № 322</t>
  </si>
  <si>
    <t>КАПУСТА, ТУШЕННАЯ С ЯБЛОКАМИ</t>
  </si>
  <si>
    <t>322</t>
  </si>
  <si>
    <t>ЯБЛОКИ</t>
  </si>
  <si>
    <t>2,25</t>
  </si>
  <si>
    <t>0,23</t>
  </si>
  <si>
    <t>Нарезанную соломкой капусту кладут в котел слоем до 30 см, добавляют воду (5-10% к массе сырой капусты), часть сливочного масла (80 г на 1000 г выхода) и тушат капусту до полуготовности при периодическом помешивании. Затем добавляют нарезанные очищенные яблоки с удаленным семенным гнездом (отходы 30%)  и тушат до готовности 20-25 мин. За 5 мин до окончания тушения капусту заправляют мучной пассеровкой на масле, сахаром, солью.</t>
  </si>
  <si>
    <t>Внешний вид: смесь тушеной капусты с овощами. Капуста, яблоки нарезаны в виде
соломки.
Консистенция: сочная, слабо хрустящая. 
Цвет: светло-коричневый. 
Вкус: свойственный капусте и яблокам, умеренно соленый, кисло-сладкий. 
Запах: тушеной капусты с ароматом яблок.</t>
  </si>
  <si>
    <t>КАРТОФЕЛЬ  ПО-ХУТОРСКИ</t>
  </si>
  <si>
    <t>СОУС СМЕТАННЫЙ</t>
  </si>
  <si>
    <t>Картофель и овощи слегка обжаривают, лук слегка пассеруют или припускают, соединяют, добавляют соус сметанный, соль, лавровый лист и тушат до готовности, за 5 мин до окончания готовности посыпают тертым сыром.
.
Соус сметанный
Для белого соуса пассеруют муку при непрерывном помешивании до образования светло-кремового цвета, не допуская пригорания. В пассерованную муку , охлажденную до 60-70 С, выливают 1/4 часть горячей воды и вымешивают.
Для приготовления соуса сметанного в горячий белый соус кладут прокипяченную сметану,соль и кипятят 3-5 минут..процеживают и доводят до кипения.</t>
  </si>
  <si>
    <t>Внешний вид: овощи сохранили первоначальную форму нарезки, набор компонентов и их соотношение соблюдено.
Консистенция: мягкая, в меру плотная. 
Цвет: светло-коричневый. 
Вкус: умеренно соленый, свойственный используемым компонентам и соусу. 
Запах: аромат овощей, специй, соуса, не допускается запах подгорелых овощей.</t>
  </si>
  <si>
    <t>КАРТОФЕЛЬ ЗАПЕЧЕННЫЙ С ОВОЩАМИ И ЯЙЦОМ</t>
  </si>
  <si>
    <t>3,04</t>
  </si>
  <si>
    <t>Очищенный картофель промывают в проточной питьевой воде в течение 5 минут. 
Подготовленный картофель варят в воде подсоленной до готовности, воду сливают, картофель обсушивают и нарезают ломтиками или кубиками. Лук репчатый очищенный нарезают полукольцами и припускают в небольшом количестве воды с маслом сливочным Морковь нарезают мелким кубиком и слегка пассеруют в масле. Картофель смешивают с луком, морковью  раскладывают слоем толщиной 4-6 см на противень, смазанный маслом сливочным.
заливают продуктом яичным и запекают в жарочном шкафу в течение 25-30 мин при температуре 250-280 °С до температуры внутри изделия не ниже 80 °С и образования румяной корочки на его поверхности.
При отпуске блюдо поливают прокипяченным маслом сливочным и посыпают рубленой зеленью петрушки</t>
  </si>
  <si>
    <t>Оптимальная температура подачи блюда 65 С</t>
  </si>
  <si>
    <t>Внешний вид: картофель, нарезанный ломтиками, сохранившими форму, равномерно пропечен
Консистенция: мягкая, сочная. 
Цвет: корочки - от светло-золотистого до золотистого. 
Вкус: умеренно соленый, свойственный запеченому картофелю с маслом. 
Запах: запеченого картофеля без постороннего запаха.</t>
  </si>
  <si>
    <t>ТЕХНОЛОГИЧЕСКАЯ КАРТА № 125</t>
  </si>
  <si>
    <t>КАРТОФЕЛЬ ОТВАРНОЙ</t>
  </si>
  <si>
    <t>125</t>
  </si>
  <si>
    <t>Очищенный картофель варят в кипящей подсоленной воде (0,6-0,7 л воды на 1 кг картофеля, уровень воды должен быть на 1-1,5 см выше уровня овощей, соль используют из расчета 10 г на 1 л воды), сливают воду, а картофель подсушивают, для чего посуду с ним оставляют на 5-7 мин на менее горячем участке плиты. При варке рассыпчатого картофеля воду следует сливать примерно через 15 мин после момента закипания, затем картофель доводят до готовности паром, образующимся в котле.
Отпускают 100 г картофеля с прокипяченным сливочным маслом (5 г) или соусом сметанным №330 (30 г).
Примечание:
1. Картофель варят очищенными, Картофель лучше варить на пару, при этом пищевая ценность и вкусовые качества продукта сохраняются лучше. Особое значение приобретает варка на пару для сильно разваривающегося рассыпчатого картофеля, так как при варке в воде он становится водянистым и менее вкусным.
2. Отвар из картофеля можно не использовать.
3. Готовое овощное блюдо рекомендуется посыпать мелко нарезанной зеленью петрушки, укропа (2-3 г нетто на порцию) или зеленым луком (0-10 г нетто на порцию).
4. Ко всем блюдам из картофеля рекомендуется отпускать свежие и соленые огурцы, помидоры, квашеную капусту в количестве 30-50 г (нетто) на порцию, при этом выход блюда соответственно увеличивается.</t>
  </si>
  <si>
    <t>Внешний вид: клубни картофеля одного размера, хорошо проварены, политы маслом или соусом сметанным
Консистенция: рыхлая или умеренно плотная
Цвет: от белого до светло-кремового
Вкус: картофеля, масла сливочного или соуса сметанного, умеренно соленый
Запах: картофеля, масла сливочного или соуса сметанного</t>
  </si>
  <si>
    <t>ТЕХНОЛОГИЧЕСКАЯ КАРТА № 305</t>
  </si>
  <si>
    <t>КАША  "ЯНТАРНАЯ "ИЗ ПШЕННОЙ КРУПЫ С ЯБЛОКАМИ</t>
  </si>
  <si>
    <t>305</t>
  </si>
  <si>
    <t>Сборник рецептур блюд и кулинарных изделий для  предприятий общественного питания при общеобразовательных школах / под редакцией В.Т.Лапшиной.-"Хлебпродинформ", Москва, 2004 г</t>
  </si>
  <si>
    <t>МАССА ПОЛУФАБРИКАТА</t>
  </si>
  <si>
    <t>ПШЕНО</t>
  </si>
  <si>
    <t xml:space="preserve">МАССА КАШИ </t>
  </si>
  <si>
    <t>СИРОП</t>
  </si>
  <si>
    <t>МАССА СИРОПА</t>
  </si>
  <si>
    <t>МАССА ПРИПУЩЕННЫХ ЯБЛОК С СИРОПОМ</t>
  </si>
  <si>
    <t>Яблоки очищают от кожуры, удаляют семенное гнездо (отходы 30%), нарезают мелкими кубиками. Из сахара и воды готовят сироп, в котором припускают подготовленные яблоки. На смеси молока и воды варят вязкую кашу. Введение крупы зависит от времени ее варки. В готовую вязкую кашу добавляют подготовленные яблоки с сиропом, масло сливочное и сметану, перемешивают и доводят до готовности.</t>
  </si>
  <si>
    <t>Внешний вид: зерна крупы разварены, не разделяются, каша выложена горкой, сохраняющей форму
Консистенция: вязкая, без комочков
Цвет: соответствует каше, яблоки желтоватые
Вкус: характерный для крупы и входящих в блюдо продуктов
Запах: характерный для крупы и входящих в блюдо продуктов</t>
  </si>
  <si>
    <t>ТЕХНОЛОГИЧЕСКАЯ КАРТА № 175</t>
  </si>
  <si>
    <t>КАША ВЯЗКАЯ МОЛОЧНАЯ ИЗ РИСА И ПШЕНА</t>
  </si>
  <si>
    <t>175</t>
  </si>
  <si>
    <t>0,43</t>
  </si>
  <si>
    <t>В кипящую воду всыпают подготовленную рисовую крупу и варят, периодически помешивая, затем добавляют пшено, продолжают варку до полуготовности, после этого добавляют горячее молоко, соль, сахар и продолжают варку до готовности. 
Горячую кашу отпускают с сахаром и маслом, или с маслом, или с сахаром (всё массой по 10 г).</t>
  </si>
  <si>
    <t>Внешний вид: зерна крупы набухшие, полностью разваренные, каша заправлена сливочным маслом и сахаром, или маслом, или сахаром. 
Консистенция: однородная, вязкая, зерна - мягкие.
Цвет: свойственный соответствующему виду крупы.
Вкус: умеренно сладкий и соленый с выраженным вкусом молока и привкусом сливочного масла.
Запах: соответствующий виду каши в сочетании с молоком и маслом.</t>
  </si>
  <si>
    <t>ТЕХНОЛОГИЧЕСКАЯ КАРТА № 181</t>
  </si>
  <si>
    <t>КАША ПШЕНИЧНАЯ РАССЫПЧАТАЯ</t>
  </si>
  <si>
    <t>181</t>
  </si>
  <si>
    <t>КРУПА ПШЕНИЧНАЯ ПОЛТАВСКАЯ</t>
  </si>
  <si>
    <t>57,7</t>
  </si>
  <si>
    <t>5,77</t>
  </si>
  <si>
    <t>103,8</t>
  </si>
  <si>
    <t>10,38</t>
  </si>
  <si>
    <t>Подготовленную для варки крупу всыпают в подсоленную кипящую жидкость. При этом всплывшие пустотелые зерна удаляют. Кашу варят до загустения, помешивая.
Масло сливочное можно добавлять во время варки или использовать его, предварительно прокипятив, поливая кашу при отпуске. Когда каша сделается густой, перемешивание прекращают, закрывают котел крышкой и дают каше упреть.</t>
  </si>
  <si>
    <t>При отпуске горячую рассыпчатую кашу кладут на тарелку и поливают растопленным и прокипяченным маслом сливочным.
Оптимальная температура блюда 65° С.</t>
  </si>
  <si>
    <t>Внешний вид — зерна крупы полностью набухшие, мягкие, сохраняют форму и упругость, легко отделяющиеся друг от друга, каша полита маслом, или посыпана сахаром
• цвет — свойственный данному виду крупы;
• вкус — свойственный данному виду крупы, без привкуса прогорклости и затхлости;
• запах — свойственный данному виду крупы;
• консистенция — однородная, рассыпчатая, крупинки плотные.</t>
  </si>
  <si>
    <t>ТЕХНОЛОГИЧЕСКАЯ КАРТА № 171.3</t>
  </si>
  <si>
    <t>КАША РАССЫПЧАТАЯ ПЕРЛОВАЯ</t>
  </si>
  <si>
    <t>171.3</t>
  </si>
  <si>
    <t>Сборник рецептур на продукцию для обучающихся во всех образовательных учреждениях / под редакцией М.П. Могильного и В.А. Тутельяна.-М.: ДеЛи принт, 2011.-544с.</t>
  </si>
  <si>
    <t>КРУПА ПЕРЛОВАЯ</t>
  </si>
  <si>
    <t>112,5</t>
  </si>
  <si>
    <t>Подготовленную крупу ячневую или перловую  всыпают в подсоленную кипящую жидкость. Всплывшие пустотелые зерна удаляют. Кашу варят до загустения, помешивая. Когда каша сделается густой, перемешивание прекращают, закрывают котел крышкой и дают каше упреть около 2,5 ч. За это время она приобретает своеобразный приятный запах и цвет. При отпуске горячую рассыпчатую кашу кладут на тарелку и поливают растопленным маслом (10 г) или посыпают сахаром (10 г). Молоко к каше отпускают в глубокой тарелке вместе с кашей или подают отдельно в стакане.</t>
  </si>
  <si>
    <t>Внешний вид: зерна крупы полностью набухшие, мягкие, сохраняют форму и упругость, разделяются между собой. Каша полита маслом, или посыпана сахаром, или отпущена с молоком
Консистенция: однородная, крупинки плотные, рассыпчатая, мягкая
Цвет: свойственный данному виду крупы
Вкус: свойственный данному виду крупы (без привкусов прогорклости и затхлости) и др. компонентов в соответствии с рецептурой
Запах: свойственный данному виду крупы</t>
  </si>
  <si>
    <t>КАША ЯЧНЕВАЯ РАССЫПЧАТАЯ ПО-КУПЕЧЕСКИ</t>
  </si>
  <si>
    <t>ТТК</t>
  </si>
  <si>
    <t>0,13</t>
  </si>
  <si>
    <t>КРУПА ЯЧНЕВАЯ</t>
  </si>
  <si>
    <t xml:space="preserve">Подготовленную для варки крупу всыпают в подсоленную кипящую жидкость. При этом всплывшие пустотелые зерна удаляют. Кашу варят до полуготовности, затем закладывают обжаренный лук , перемешивают и доводят до готовности., 
Репчатый лук и чеснок очищают и промывают. В посуде с толстым дном или электросковороде разогреть масло растительное, добавить нарезанный кубиками репчатый лук, и обжарить до золотистого цвета.
 В конце приготовления добавить измельченный чеснок, все перемешать до равномерного распределения компонентов.  Заправить прокипяченным маслом сливочным. </t>
  </si>
  <si>
    <t>Внешний вид — зерна крупы полностью набухшие, мягкие, сохраняют форму и упругость, легко отделяющиеся друг от друга, каша полита маслом, или посыпана сахаром, или отпущена с молоком;
• цвет — свойственный данному виду крупы;
• вкус — свойственный данному виду крупы, без привкуса прогорклости и затхлости;
• запах — свойственный данному виду крупы;
• консистенция — однородная, рассыпчатая, крупинки плотные.</t>
  </si>
  <si>
    <t>ТЕХНОЛОГИЧЕСКАЯ КАРТА № 354</t>
  </si>
  <si>
    <t>КИСЕЛЬ ИЗ ЯБЛОК СУШЕНЫХ</t>
  </si>
  <si>
    <t>354</t>
  </si>
  <si>
    <t>ЯБЛОКИ СУШЕНЫЕ</t>
  </si>
  <si>
    <t>2,4</t>
  </si>
  <si>
    <t>КРАХМАЛ КАРТОФЕЛЬНЫЙ</t>
  </si>
  <si>
    <t>Промытые сушеные яблоки заливают горячей водой и оставляют в закрытой посуде на 2 часа, для набухания. Варят их в той же воде 20-30 мин, при слабом кипении и протирают. В остальном готовят так же, как описано в рец. №352
Кисель средней густоты охлаждают, при отпуске разливают по 150-200 г в стаканы, можно посыпать сахаром в количестве 5-8% от нормы, предусмотренной рецептурой. Кисели подают охлажденными до температуры 12-14 °С.</t>
  </si>
  <si>
    <t>Оптимальная температура подачи не выше +14</t>
  </si>
  <si>
    <t>Внешний вид: однородная полупрозрачная масса, без пленки на поверхности и частиц непротертых яблок.
Консистенция: однородная, средней густоты, слегка желеобразная. 
Цвет: свойственный для сушеных яблок. 
Вкус: сладкий с кисловатым привкусом. 
Запах: свойственный сушеным яблокам.</t>
  </si>
  <si>
    <t>ТЕХНОЛОГИЧЕСКАЯ КАРТА № 386</t>
  </si>
  <si>
    <t>КИСЛОМОЛОЧНЫЙ НАПИТОК*****  СНЕЖОК</t>
  </si>
  <si>
    <t>СНЕЖОК</t>
  </si>
  <si>
    <t>180</t>
  </si>
  <si>
    <t>Кисломолочные продукты наливают непосредственно в стакан.</t>
  </si>
  <si>
    <t>Внешний вид: стакан с густой жидкостью, белого или светло-кремового цвета.
Консистенция: жидкая, сметанообразная.
Цвет: от белого до светло-кремового.
Вкус: молочно-кислый.
Запах: кисломолочных продуктов.</t>
  </si>
  <si>
    <t>КИСЛОМОЛОЧНЫЙ НАПИТОК***** /КЕФИР/</t>
  </si>
  <si>
    <t>КЕФИР 2,5 % ЖИРНОСТИ</t>
  </si>
  <si>
    <t>Кисломолочные продукты наливают непосредственно ПЕРЕД ОТПУСКОМ в стакан.
Температура подачи не выше +14 С</t>
  </si>
  <si>
    <t>Температура подачи не выше +14 градусов,</t>
  </si>
  <si>
    <t>200</t>
  </si>
  <si>
    <t>КИСЛОМОЛОЧНЫЙ НАПИТОК*****/ КЕФИР/</t>
  </si>
  <si>
    <t>КИСЛОМОЛОЧНЫЙ НАПИТОК*****/СНЕЖОК/</t>
  </si>
  <si>
    <t>Температура подачи +14 С</t>
  </si>
  <si>
    <t>ТЕХНОЛОГИЧЕСКАЯ КАРТА № 342.1</t>
  </si>
  <si>
    <t>КОМПОТ ИЗ СВЕЖИХ ПЛОДОВ (1-ЫЙ ВАРИАНТ) ЯБЛОЧНЫЙ</t>
  </si>
  <si>
    <t>342.1</t>
  </si>
  <si>
    <t>4,09</t>
  </si>
  <si>
    <t>154,8</t>
  </si>
  <si>
    <t>15,48</t>
  </si>
  <si>
    <t>Яблоки, груши или айву моют, удаляют семенные гнезда, нарезают дольками. Чтобы плоды не темнели, их погружают до варки в холодную воду, слегка подкисленную лимонной кислотой.
Сироп приготавливают следующим образом: в горячей воде растворяют сахар, добавляют кислоту лимонную, доводят до кипения, проваривают 10-12 мин и процеживают. В подготовленный горячий сироп погружают плоды. Яблоки и груши варят на слабом огне не более 6-8 мин. Быстро разваривающиеся сорта яблок (антоновские и др.) и очень спелые груши не варят, а кладут в кипящий сироп, прекращают нагрев и оставляют в сиропе до охлаждения.
Компот отпускают охлажденными до температуры 12-15 °С по 150-200 г на порцию.</t>
  </si>
  <si>
    <t>Внешний вид: сироп прозрачный, яблоки, груши зачищены от сердцевины и плодоножек, нарезаны дольками; абрикосы, персики, сливы разделены пополам, косточки удалены; мелкие — с косточками
Консистенция: компота - жидкая, плодов - мягкая
Цвет: присущий вареным плодам в сиропе
Вкус: кисло-сладкий
Запах: фруктов - концентрированный, приятный</t>
  </si>
  <si>
    <t>ТЕХНОЛОГИЧЕСКАЯ КАРТА № 349</t>
  </si>
  <si>
    <t>КОМПОТ ИЗ СМЕСИ СУХОФРУКТОВ</t>
  </si>
  <si>
    <t>349</t>
  </si>
  <si>
    <t>СУХОФРУКТЫ (СМЕСЬ)</t>
  </si>
  <si>
    <t>222,2</t>
  </si>
  <si>
    <t>22,22</t>
  </si>
  <si>
    <t>Подготовленные сухофрукты (смесью или отдельно) заливают горячей водой, нагревают до кипения, всыпают сахар, добавляют лимонную кислоту и варят до готовности. 
Компот отпускают охлажденными до температуры 12-15 °С</t>
  </si>
  <si>
    <t>Внешний вид: сухофрукты сохранили форму, жидкая часть прозрачная. 
Консистенция: компота - жидкая, плодов - мягкая. 
Цвет: коричневый. 
Вкус: сладкий, с хорошо выраженным привкусом сухофруктов. 
Запах: сухофруктов.</t>
  </si>
  <si>
    <t>ТЕХНОЛОГИЧЕСКАЯ КАРТА № 401</t>
  </si>
  <si>
    <t>КОМПОТ ИЗ СУШЕНЫХ ПЛОДОВ</t>
  </si>
  <si>
    <t>401</t>
  </si>
  <si>
    <t>13,5</t>
  </si>
  <si>
    <t>1,35</t>
  </si>
  <si>
    <t>209,7</t>
  </si>
  <si>
    <t>20,97</t>
  </si>
  <si>
    <t>Сушеные плоды перебирают, удаляя посторонние примеси, тщательно промывают в теплой воде, сменяя ее несколько раз.
Крупные груши и яблоки нарезают на кусочки 3-4 см. Подготовленные сушеные плоды или ягоды заливают горячей водой,нагревают до кипения, всыпают сахар, добавляют лимонную кислоту и варят до готовности.
Груши сушеные в зависимости от величины и вида варят 1-2 ч, яблоки 20-30 мин. Готовый компот охлаждают до 12-14° С.</t>
  </si>
  <si>
    <t>Порционируют в стаканы или чашки, равномерно распределяя сухофрукты и сироп. Оптимальная температура подачи 12-14° С.</t>
  </si>
  <si>
    <t>• Внешний вид — плоды целые, залиты прозрачным сиропом, в котором может быть незначительное количество взвешенных частиц, не вызывающих его помутнения;
• цвет — от темно-желтого до светло-коричневого;
• вкус — кисловато-сладкий, с хорошо выраженным вкусом варенных в сиропе плодов;
запах — типичный для вареных в сиропе плодов;
• консистенция — жидкая, плодов — мягкая, соотношение жидкой и плотной части в сиропе соблюдено.</t>
  </si>
  <si>
    <t xml:space="preserve">ТЕХНОЛОГИЧЕСКАЯ КАРТА № </t>
  </si>
  <si>
    <t>КОНДИТЕРСКИЕ ИЗДЕЛИЯ*** /ПЕЧЕНЬЕ САХАРНОЕ/</t>
  </si>
  <si>
    <t>ПЕЧЕНЬЕ САХАРНОЕ МУКА ВЫСШ.СОРТ</t>
  </si>
  <si>
    <t>Выход: 20</t>
  </si>
  <si>
    <t>Кондитерские изделия выдают порционно на десертной тарелке</t>
  </si>
  <si>
    <t>Выход: 30</t>
  </si>
  <si>
    <t>КОТЛЕТЫ  КУРИНЫЕ "КАЗАЧОК"</t>
  </si>
  <si>
    <t xml:space="preserve">Мясо птицы с кожей нарезают на кусочки и пропускают через мясорубку вместе с внутренним жиром,капустой, луком, чесноком. соединяют с замоченным в воде хлебом, кладут соль, хорошо перемешивают, пропускают через мясорубку и выбивают.
Готовую котлетную массу порционируют,  формуют котлеты ,обмакивают в льезоне, затем панируют  панируют в сухарях ,запекают в жарочном шкафу или пароконвектомате при температуре 160-180 С в течение 20-30 мин.
</t>
  </si>
  <si>
    <t>Внешний вид: изделия овально-приплюснутой формы с одним заостренным концом, поверхность равномерно пропечена
Консистенция: сочная, мягкая. 
Цвет: корочки - коричневый, на разрезе серый.
Вкус: мяса запеченой птицы, умеренно соленый.
Запах: запеченого мяса птицы (данного вида), приятный.</t>
  </si>
  <si>
    <t>2,07</t>
  </si>
  <si>
    <t>СОУС МОЛОЧНЫЙ 326 ДЛЯ ПОДАЧИ К БЛЮДУ</t>
  </si>
  <si>
    <t>12,5</t>
  </si>
  <si>
    <t>0,04</t>
  </si>
  <si>
    <t>Выход: 115</t>
  </si>
  <si>
    <t>Филе рыбы без кожи и костей нарезают на куски, пропускают через мясорубку вместе с замоченным в воде или молоке черствым пшеничным хлебом, добавляют соль, тщательно перемешивают и выбивают. Из полученной рыбной котлетной массы формуют котлеты или биточки, панируют в сухарях, обжаривают с двух сторон на противне или сковороде в течение 8-10 мин, и доводят до готовности в жарочном шкафу 5 мин.
При отпуске котлеты или биточки массой 50 г гарнируют, подливают сбоку соус (30 г) или поливают сливочным маслом (5 г).
Гарниры - картофель отварной, пюре картофельное, овощи отварные с маслом, овощи, припущенные с маслом. 
Соусы - сметанный №330, сметанный с луком №332.
Норма на порцию: гарнира - 75-150 г, соли - 2 г, лаврового листа - 0,01 г.
При отпуске рыбные блюда посыпают измельченной зеленью петрушки, сельдерея или укропа (1-3 г нетто на порцию) или оформляют веточкой зелени.
Соус молочный 326 для подачи к блюду
Просеянную рисовую муку подсушивают до кремового цвета, растирают с маслом, разводят кипяченым молоком или молоком с бульоном и варят 7-10 минут при постоянном помешивании, солят, доводят до кипения.</t>
  </si>
  <si>
    <t>Температура подачи +65º С</t>
  </si>
  <si>
    <t>ТЕХНОЛОГИЧЕСКАЯ КАРТА № 271</t>
  </si>
  <si>
    <t>271</t>
  </si>
  <si>
    <t>Сборник рецептур на продукцию для обучающихся во всех образовательных учреждениях / под редакцией М.П. Могильного и В.А. Тутельяна.-М.: ДеЛи плюс. 2017.-544с.</t>
  </si>
  <si>
    <t>ГОВЯДИНА Б/К</t>
  </si>
  <si>
    <t>2 шт.</t>
  </si>
  <si>
    <t>Полуфабрикаты жарят: кладут на сковороду или противень с жиром, нагретым до температуры 150-160 °С, и обжаривают 3-5 мин с двух сторон до образования поджаристой корочки, а затем доводят до готовности в жарочном шкафу (5-7 мин), при температуре 250-280 °С, отпускают с гарниром и маслом или гарниром и соусом.
 Или запекают до готовности в жарочном шкафу до готовности в течение 20-30 мин при температуре 180-200 С</t>
  </si>
  <si>
    <t>Внешний вид: форма котлеты - овально-приплюснутая, с заостренным концом, сбоку подлит соус и уложен гарнир. 
Консистенция: сочная, пышная, однородная. 
Цвет: корочки - коричневый, на разрезе - светло-серый. 
Вкус: жареного мяса, умеренно соленый, без привкуса хлеба. 
Запах: жареного мяса, запанированного в сухарях.</t>
  </si>
  <si>
    <t>КОТЛЕТЫ РУБЛЕННЫЕ ИЗ ПТИЦЫ</t>
  </si>
  <si>
    <t>КУРИНЫЕ ОКОРОЧКА БЕЗ КОСТИ С КОЖЕЙ</t>
  </si>
  <si>
    <t>5,4</t>
  </si>
  <si>
    <t>0,54</t>
  </si>
  <si>
    <t>Мясо птицы с кожей нарезают на кусочки и пропускают через мясорубку вместе с внутренним жиром, соединяют с замоченным в воде хлебом, кладут соль, хорошо перемешивают, пропускают через мясорубку и выбивают.
Готовую котлетную массу порционируют, панируют в сухарях или белой панировке массой в 2 раза больше массы сухарей (хлеб можно нарезать в виде соломки или кубиков), формуют котлеты, затем запекают в жарочном шкафу или пароконвектомате при температуре 160-180 С в течение 20-30 мин.</t>
  </si>
  <si>
    <t>ТЕХНОЛОГИЧЕСКАЯ КАРТА № 241</t>
  </si>
  <si>
    <t>КОТЛЕТЫ РЫБНЫЕ ЛЮБИТЕЛЬСКИЕ</t>
  </si>
  <si>
    <t>241</t>
  </si>
  <si>
    <t>Подготовленное филе рыбы нарезают на куски и пропускают дважды через мясорубку вместе с замоченным в молоке хлебом, вареной морковью и луком репчатым. В рыбную массу добавляют яйцо, соль, хорошо перемешивают и формуют котлеты по 2 шт. на порцию. Изделия кладут в сотейник, смазанный маслом сливочным, добавляют немного воды и припускают при закрытой крышке 15-20 мин. Температуры внутри изделия не ниже 80° С. Готовые изделия хранят не более 40 мин при температуре 60-65° С.</t>
  </si>
  <si>
    <t>При отпуске котлеты аккуратно укладывают поливают их соусом паровым и гарнируют. Оптимальная температура подачи 65° С.
Гарниры - картофель отварной, пюре картофельное.</t>
  </si>
  <si>
    <t>• Внешний вид — котлеты овально-приплюснутой формы с заостренным концом, аккуратно уложены, политы соусом, рядом — гарнир;
• цвет — изделие на поверхности и в разрезе с розоватым оттенком от моркови;
• вкус - приятный сладковато-соленый, характерный для определенного вида рыбы, с привкусом овощей;
• запах - характерный для определенного вида припущенной рыбы с приятным оттенком овощей;
• консистенция - сочная, рыхлая однородная, сохраняет форму.</t>
  </si>
  <si>
    <t>СОУС СМЕТАННЫЙ С ЛУКОМ</t>
  </si>
  <si>
    <t>17,3</t>
  </si>
  <si>
    <t>0,25</t>
  </si>
  <si>
    <t>Филе рыбы без кожи и костей нарезают на куски, пропускают через мясорубку вместе с замоченным в воде или молоке черствым пшеничным хлебом, добавляют соль, тщательно перемешивают и выбивают. Из полученной рыбной котлетной массы формуют котлеты или биточки, панируют в сухарях, обжаривают с двух сторон на противне или сковороде в течение 8-10 мин, и доводят до готовности в жарочном шкафу 5 мин.
При отпуске котлеты или биточки массой 50 г гарнируют, подливают сбоку соус (30 г) или поливают сливочным маслом (5 г).
Гарниры - картофель отварной, пюре картофельное, овощи отварные с маслом, овощи, припущенные с маслом. 
Соусы - сметанный №330, сметанный с луком №332.
Норма на порцию: гарнира - 75-150 г, соли - 2 г, лаврового листа - 0,01 г.
При отпуске рыбные блюда посыпают измельченной зеленью петрушки, сельдерея или укропа (1-3 г нетто на порцию) или оформляют веточкой зелени.
Соус сметанный с луком
Лук репчатый шинкуют,пассеруют до готовности,не изменяя цвета, кладут в готовый сметанный соус и доводят до кипения.</t>
  </si>
  <si>
    <t>ТЕХНОЛОГИЧЕСКАЯ КАРТА № 379</t>
  </si>
  <si>
    <t>КОФЕЙНЫЙ НАПИТОК С МОЛОКОМ</t>
  </si>
  <si>
    <t>379</t>
  </si>
  <si>
    <t>КОФЕЙНЫЙ НАПИТОК</t>
  </si>
  <si>
    <t>108</t>
  </si>
  <si>
    <t>10,8</t>
  </si>
  <si>
    <t>В сваренный процеженный кофейный напиток добавляют горячее кипяченое молоко, сахар и доводят до кипения.</t>
  </si>
  <si>
    <t>Оптимальная температура подачи 75 С</t>
  </si>
  <si>
    <t>Внешний вид: кофейный напиток налит в стакан или чашку
Консистенция: жидкая
Цвет: светло-коричневый
Вкус: сладкий, с выраженным привкусом кофейного напитка и кипяченого молока
Запах: аромат кофейного напитка и кипяченого молока</t>
  </si>
  <si>
    <t>ТЕХНОЛОГИЧЕСКАЯ КАРТА № 206</t>
  </si>
  <si>
    <t xml:space="preserve">МАКАРОНЫ, ЗАПЕЧЕННЫЕ С ЯЙЦОМ И СЫРОМ </t>
  </si>
  <si>
    <t>206</t>
  </si>
  <si>
    <t>МАКАРОННЫЕ ИЗДЕЛИЯ ОТВАРНЫЕ ДЛЯ ЗАПЕЧЕННЫХ БЛЮД</t>
  </si>
  <si>
    <t>МАКАРОННЫЕ ИЗДЕЛИЯ ВЫСШ.СОРТ</t>
  </si>
  <si>
    <t>Обработанные яйца смешивают с холодным молоком, солят и перемешивают. Смесь соединяют с отварными, заправленными маслом макаронными изделиями, перемешивают, выкладывают на смазанный маслом противень , посыпают тертым сыром и запекают 10 минут до образования на поверхности макарон поджаристой корочки. При подаче нарезают на порции. При отпуске поливают прокипяченным сливочным маслом.
Макаронные изделия отварные для запеченных блюд
Макаронные изделия (макароны, лапщу, вермишель и др.) для приготовления запеченных блюд варят не откидывая, в небольшом количестве воды (на 1 кг макаронных изделий 2,2-3,0 л воды, 15 г соли).).</t>
  </si>
  <si>
    <t>Внешний вид: аккуратно нарезанные куски в виде ромбов или квадратов, политы сливочным маслом.
Консистенция: рыхлая, сочная, мягкая.
Цвет: корочки - румяно-золотистый, на разрезе - от светло-кремового до кремового.
Вкус: умеренно соленый, свойственный макаронам и яйцам.
Запах: запеченных макаронных изделий и яиц.</t>
  </si>
  <si>
    <t>МАКАРОНЫ, ЗАПЕЧЕННЫЕ С ЯЙЦОМ</t>
  </si>
  <si>
    <t>9,7</t>
  </si>
  <si>
    <t>Обработанные яйца смешивают с холодным молоком, солят и перемешивают. Смесь соединяют с отварными, заправленными маслом макаронными изделиями, перемешивают, выкладывают на смазанный маслом противень и запекают 10 минут до образования на поверхности макарон поджаристой корочки. При подаче нарезают на порции. При отпуске поливают прокипяченным сливочным маслом.
Макаронные изделия отварные для запеченных блюд
Макаронные изделия (макароны, лапщу, вермишель и др.) для приготовления запеченных блюд варят не откидывая, в небольшом количестве воды (на 1 кг макаронных изделий 2,2-3,0 л воды, 15 г соли).).</t>
  </si>
  <si>
    <t>45</t>
  </si>
  <si>
    <t>Морковь промывают, перебирают, очищают и повторно промывают в холодной проточной воде. Лук перебирают, очищают, промывают в холодной проточной воде. Томатную пасту разводят водой в соотношении 1:1. Овощи нарезают соломкой, пассеруют на растительном масле, затем добавляют томатное пюре и пассеруют еще 7-10 мин. После этого вводят воду, лимонную кислоту и кипятят 15-20 мин. В конце варки добавляют лавровый лист, соль, сахар.</t>
  </si>
  <si>
    <t>Подают соус к холодным блюдам из рыбы, мяса, птицы. Оптимальная температура подачи 12-14° С.</t>
  </si>
  <si>
    <t>• Внешний вид — овощи, нарезанные соломкой, легко выделяемые из жидкой части соуса; овощи равномерно распределены в соусе;
• цвет — оранжево-красный;
• вкус — кисло-сладкий с выраженным вкусом моркови и привкусом пассерованного лука, томата, специй; умеренно соленый; запах — уксуса, пассерованных овощей и специй;
• консистенция — полужидкая; овощи плотные, лук более мягкий.</t>
  </si>
  <si>
    <t>Молоко для детского питания 2,5% 200 г т/п</t>
  </si>
  <si>
    <t>Молоко для детского питания 2,5% т/п</t>
  </si>
  <si>
    <t>1 шт.</t>
  </si>
  <si>
    <t>100 шт.</t>
  </si>
  <si>
    <t>ТЕХНОЛОГИЧЕСКАЯ КАРТА № 179</t>
  </si>
  <si>
    <t>179</t>
  </si>
  <si>
    <t>4,02</t>
  </si>
  <si>
    <t>Готовые к употреблению мюсли заливают кипяченым молоком, перемешивают, доводят до кипения.</t>
  </si>
  <si>
    <t>Температура подачи не менее +75 С</t>
  </si>
  <si>
    <t>Внешний вид: зерна крупы набухшие, полностью разваренные. 
Консистенция: однородная, вязкая, зерна - мягкие.
Цвет: светло-серый. 
Вкус: мюсли с выраженным вкусом молока. 
Запах: мюсли в сочетании с молоком.</t>
  </si>
  <si>
    <t>МЯСО ТУШЕНОЕ С ОВОЩАМИ В СОУСЕ</t>
  </si>
  <si>
    <t>ГОРОШЕК ЗЕЛЕНЫЙ КОНСЕРВЫ</t>
  </si>
  <si>
    <t>0,63</t>
  </si>
  <si>
    <t>2,7</t>
  </si>
  <si>
    <t>0,27</t>
  </si>
  <si>
    <t>6,5</t>
  </si>
  <si>
    <t>0,65</t>
  </si>
  <si>
    <t>3,4</t>
  </si>
  <si>
    <t>0,34</t>
  </si>
  <si>
    <t>Овощи нарезают мелкими кубиками, отваривают до полуготовности. На овощном отваре готовят соус белый или томатный. 
Отварное мясо мелко нарезают, заливают горячей водой, добавляют картофель, нарезанный кубиками, варят до полуготовности картофеля, соединяют с отварными овощами и соусом, тушат до готовности, в конце приготовления добавляют масло сливочное. Отпускают с овощами и соусом, в котором тушилось мясо.
Норма на блюдо: соли 3 г, зелени (лук, петрушка, укроп) - 4 г нетто, а кроме того, по мере надобности - лаврового листа 0,02 г.
Норма гарнира - от 50 до 150 г. Кроме того, сверх установленной нормы основного гарнира можно дополнительно подавать свежие или соленые огурцы и помидоры, квашеную капусту, а также салат из свежей или квашеной капусты в количестве от 30 до 100 г (нетто) на порцию; при этом выход блюда соответственно увеличивают.</t>
  </si>
  <si>
    <t>Внешний вид: кусочки мяса одинаково нарезаны, овощи сохраняют форму нарезки 
Консистенция: мяса - сочная, мягкая; овощей — мягкая 
Цвет: мяса - серый, свойственный овощам и соусу 
Вкус: свойственный продуктам, входящим в блюдо 
Запах: свойственный продуктам, входящим в блюдо</t>
  </si>
  <si>
    <t>ОВОЩИ НАТУРАЛЬНЫЕ /МОРКОВНЫЕ ПАЛОЧКИ/</t>
  </si>
  <si>
    <t>АКТ ПРОРАБОТКИ.</t>
  </si>
  <si>
    <t>Морковь свежую сортируют, у молодой моркови отрезают ботву, промывают, после чего отправляют на очистку вручную или в очистительных машинах с последующей ручной доочисткой. Не рекомендуется очищать в машинах длинную морковь, т.к. это приводит к увеличению нормы отходов. При очистке моркови вручную кожицу снимают ножом. Отходы при очистке моркови зависят от сезона.
Подготовленную морковь нарезают брусочками длиной 8-10 см и диаметром 1-1,5 см</t>
  </si>
  <si>
    <t>Внешний вид: Огурцы нарезаны кружочками или дольками, помидоры.
Консистенция: огурцов - упругая, хрустящая, помидоров - мягкая. 
Цвет: огурцов - зеленый, помидоров - красный. 
Вкус: огурцов или помидоров. 
Запах: огурцов или помидоров.</t>
  </si>
  <si>
    <t>ОВОЩИ НАТУРАЛЬНЫЕ ПО СЕЗОНУ**** /ТОМАТЫ/</t>
  </si>
  <si>
    <t>70</t>
  </si>
  <si>
    <t>ТОМАТЫ ГРУНТОВЫЕ</t>
  </si>
  <si>
    <t>Внешний вид: огурцы или помидоры сохранили форму. 
Консистенция: огурцы - упругие, хрустящие, помидоры - мягкие. 
Цвет: огурцов - оливковый, помидоров - красный.
Вкус: соленых огурцов или помидоров, в меру кисло-соленый. 
Запах: соленых огурцов или помидоров, приятный.</t>
  </si>
  <si>
    <t>ТЕХНОЛОГИЧЕСКАЯ КАРТА № 71</t>
  </si>
  <si>
    <t>ОВОЩИ НАТУРАЛЬНЫЕ ПО СЕЗОНУ****/ ОГУРЦЫ /</t>
  </si>
  <si>
    <t>71</t>
  </si>
  <si>
    <t>ОГУРЦЫ ГРУНТОВЫЕ</t>
  </si>
  <si>
    <t>Огурцы и помидоры перебирают, промывают небольшими партиями в подсоленной или подкисленной воде. У огурцов отрезают стебель с частью мякоти, затем нарезают кружочками или дольками непосредственно перед отпуском. У помидоров вырезают место прикрепления плодоножки. Используют в целом виде.</t>
  </si>
  <si>
    <t>39,6</t>
  </si>
  <si>
    <t>3,96</t>
  </si>
  <si>
    <t>2,8</t>
  </si>
  <si>
    <t>2,69</t>
  </si>
  <si>
    <t>7</t>
  </si>
  <si>
    <t>22</t>
  </si>
  <si>
    <t>1,9</t>
  </si>
  <si>
    <t>0,19</t>
  </si>
  <si>
    <t xml:space="preserve">Макаронные изделия (спагетти.) варят в большом количестве кипящей подсоленной воды (на 1 кг макаронных изделий берут 6 л воды, 30 г соли). Макароны варят 20-30 мин, лапшу - 20-25 мин, вермишель - 10-12 мин. В процессе варки макаронные изделия набухают, впитывая воду, в результате чего масса их увеличивается примерно в 3 раза (в зависимости от сорта). 
Сваренные макаронные изделия откидывают и перемешивают с растопленным сливочным маслом (
СОУС :
Просеянную пшеничную муку пассеруют при непрерывном помешивании до
светло-желтого цвета. Подготовленный чеснок мелко рубят. В пассерованную охлажденную
муку аккуратно вливают горячую смесь молока и воды при непрерывном  и варят 7-10
минут при слабом кипении до загустения, добавляют вторую часть молока , измельченный чеснок, затем соус процеживают,
добавляют соль и доводят до кипения.Соус получается консистенции густой сметаны.
Подготовленную мякоть птицы нарезают соломкой, слегка обжаривают на растительном масле, добавляют воду и тушат до готовности, до полного испарения воды., затем соединяют с соусом сметанно-молочным и смесь доводят до кипения. 
ПОДАЧА
Макаронные изделия отварные (спагетти ) кладут в тарелку, сверхву по центру заливают соус с курицей и посыпают тертым сыром.
</t>
  </si>
  <si>
    <t>Внешний вид: макароны уложены горкой, сохраняют форму, легко отделяются
друг от друга
Консистенция: мягкая, упругая, в меру плотная
Цвет: белый с кремовым оттенком
Вкус: отварных макаронных изделий и сливочного масла, умеренно соленый
Запах: отварных макаронных изделий и сливочного масла</t>
  </si>
  <si>
    <t>ТЕХНОЛОГИЧЕСКАЯ КАРТА № 291</t>
  </si>
  <si>
    <t>291</t>
  </si>
  <si>
    <t>Птицу или кролика рубят на порции (по одному куску), обжаривают до образования корочки, посыпают солью, кладут в посуду, добавляют пассерованные, мелко нарезанные морковь и лук, томатное пюре, заливают горячей водой и дают закипеть (жидкость наливают из расчета нормы воды для приготовления рассыпчатой каши), затем кладут промытую рисовую крупу и варят до загустения. После этого посуду с пловом ставят на 30—40 мин в жарочный шкаф.
При массовом приготовлении рассыпчатую кашу варят отдельно, при отпуске на рассыпчатую кашу кладут мясо птицы или кролика, поливают соусом в котором оно тушилось.</t>
  </si>
  <si>
    <t>Оптимальная температура подачи +65 С.</t>
  </si>
  <si>
    <t>Внешний вид: обжаренный кусок птицы или кролика, рис рассыпчатый. 
Консистенция: мяса - мягкая, риса - мягкая. 
Цвет: мяса - серый, риса и овощей - от светло- до темно-оранжевого. 
Вкус: специфический для тушеного мяса, риса и пассерованных овощей, умеренно соленый.
Запах: мяса птицы или кролика, с ароматом риса и овощей.</t>
  </si>
  <si>
    <t>ТЕХНОЛОГИЧЕСКАЯ КАРТА № 312</t>
  </si>
  <si>
    <t>ПЮРЕ КАРТОФЕЛЬНОЕ</t>
  </si>
  <si>
    <t>312</t>
  </si>
  <si>
    <t>14,66</t>
  </si>
  <si>
    <t>Очищенный картофель варят в воде с солью (0,6-0,7 л воды на 1 кг картофеля, уровень воды должен быть на 1-1,5 см выше уровня картофеля) до готовности, воду сливают, картофель подсушивают. Вареный горячий картофель протирают через протирочную машину. Температура протираемого картофеля должна быть не ниже 80 °С, иначе картофельное пюре будет тягучим, что резко ухудшает его вкус и внешний вид. В горячий протертый картофель, непрерывно помешивая, добавляют в два-три приема горячее кипяченое молоко и растопленное масло. Смесь взбивают до получения пышной однородной массы.
При отсутствии молока необходимо на 10 г увеличить норму закладки масла.</t>
  </si>
  <si>
    <t>Оптимальная температура подачи не ниже +65С</t>
  </si>
  <si>
    <t>Внешний вид: протертая картофельная масса. 
Консистенция: густая, пышная, однородная. 
Цвет: белый с кремовым оттенком. 
Вкус: свойственный вареному картофелю, с выраженным привкусом сливочного масла и кипяченого молока, умеренно соленый, нежный. 
Запах: свежеприготовленного картофельного пюре с ароматом кипяченого молока и сливочного масла.</t>
  </si>
  <si>
    <t>ТЕХНОЛОГИЧЕСКАЯ КАРТА № 143</t>
  </si>
  <si>
    <t>РАГУ ИЗ ОВОЩЕЙ</t>
  </si>
  <si>
    <t>143</t>
  </si>
  <si>
    <t xml:space="preserve">СОУС СМЕТАННЫЙ 330 </t>
  </si>
  <si>
    <t>Нарезанные дольками или кубиками картофель и коренья слегка обжаривают, лук слегка пассеруют или припускают. Капусту белокочанную нарезают шашками, припускают. Затем картофель и овощи соединяют с соусом сметанным и тушат 10-15 мин. После этого добавляют припущенную белокочанную капусту и продолжают тушить 15-20 мин. За 5-10 мин до готовности кладут лавровый лист.
При отпуске рагу поливают растопленным сливочным маслом, посыпают зеленью.
Соус сметанный 330 
Для белого соуса пассеруют муку при непрерывном помешивании до образования светло-кремового цвета . не допуская пригорания.  В пассерованную муку охлажденную до 60-70 С, выливают /4 часть горячей воды  или отвара и вымешивают.
Для приготовления соуса сметанного в горячий белый соус кладут прокипяченную сметану, соль и кипятят 3-5 минут.. процеживают и доводят до кипения.</t>
  </si>
  <si>
    <t>Внешний вид: овощи и картофель нарезаны кубиками или дольками, овощи сохранили первоначальную форму нарезки. 
Консистенция: картофеля, овощей мягкая, плотная. 
Цвет: светло-оранжевый. 
Вкус: умеренно соленый, слегка острый.
Запах: овощей, не допускается запах подгорелых овощей.</t>
  </si>
  <si>
    <t>ТЕХНОЛОГИЧЕСКАЯ КАРТА № 96</t>
  </si>
  <si>
    <t>РАССОЛЬНИК ЛЕНИНГРАДСКИЙ</t>
  </si>
  <si>
    <t>96</t>
  </si>
  <si>
    <t>4,8</t>
  </si>
  <si>
    <t>150</t>
  </si>
  <si>
    <t>0,004</t>
  </si>
  <si>
    <t>0,0004</t>
  </si>
  <si>
    <t xml:space="preserve">   Свежие овощи перебирают, моют, очищают. Перловую крупу перебирают, отваривают отдельно. Индивидуальную упаковку консервированных продуктов (банки, вёдра) промывают проточной водой и протирают ветошью, затем вскрывают. Огурцы консервированные откидывают на дуршлаг, дают жидкости стечь. Огурцы   промывают, срезают плодоножку и верхушку, нарезают  соломкой и припускают с небольшим количеством бульона. Морковь и лук шинкуют соломкой, пассеруют, картофель нарезают дольками. В кипящий  бульон или воду  закладывают картофель, доводят до кипения, варят до полуготовности, добавляют пассерованные овощи и припущенные огурцы. За 5-10 мин. до готовности добавляют подготовленную перловую крупу. Перед окончанием варки рассольник заправляют солью, лавровым листом и перцем</t>
  </si>
  <si>
    <t>Оптимальная температура подачи блюда +75 С</t>
  </si>
  <si>
    <t>Внешний вид: в жидкой части рассольника - огурцы без кожицы и семян, нарезанные
ромбиками или соломкой, картофель - брусочками, коренья - соломкой
Консистенция: овощей, мяса - мягкая, сочная; огурцов - слегка хрустящая; перловая
крупа хорошо разварена, соблюдается соотношение жидкой и плотной части
Цвет: жира на поверхности - желтый, овощей - натуральный
Вкус: умеренно соленый, с умеренной кислотностью
Запах: продуктов, входящих в рассольник</t>
  </si>
  <si>
    <t>САЛАТ "КУБАНОЧКА"</t>
  </si>
  <si>
    <t>Капусту шинкуют, добавляют соль (1,5 г на 100 г), лимонную кислоту и нагревают при непрерывном помешивании. Не следует перегревать капусту, так как она будет слишком мягкой. Прогретую капусту охлаждают, смешивают с репчатым луком. нарезанным полукольцом, морковью, нарезанной соломкой, добавляют сахар и растительное масло.Далее добавляют огурцы свежие или соленые , измельченный чеснок и мелко рубленную зелень.</t>
  </si>
  <si>
    <t>Салат укладывают горкой в салатник или на тарелку. Оптимальная температура подачи 14° С.</t>
  </si>
  <si>
    <t xml:space="preserve">• Внешний вид — компоненты равномерно нарезаны в соответствии с технологией приготовления, уложены горкой, заправлены сахаром, лимонной кислотой и маслом растительным;
   цвет - типичный для используемых овощей;
•  вкус, запах — приятно кисловатый со слегка ощутимой сладостью, умеренно соленый, без горечи, характерный для используемых овощей с привкусом и ароматом масла растительного;
•  консистенция овощей — хрустящая, нежесткая, сочная.
</t>
  </si>
  <si>
    <t xml:space="preserve">САЛАТ ВИТАМИННЫЙ </t>
  </si>
  <si>
    <t>Акт проработки</t>
  </si>
  <si>
    <t>Морковь предварительно промывают, тщательно перебирают, очищают, повторно промывают проточной водой, затем ошпаривают кипятком, нарезают соломкой или натирают на крупной терке. Яблоки предварительно промывают в проточной воде, перебирают, ошпаривают, удаляют семенное гнездо, нарезают тонкими ломтиками или соломкой.
Белокочанную капусту зачищают, промывают, разрезают на 2-4 части, бланшируют погружением в кипяток на 1-2 мин, шинкуют, посыпают солью и слегка перетирают до появления сока.
Капусту заправляют лимонной кислотой, сахаром, добавляют нарезанные морковь, яблоки и все перемешивают. При отпуске за,-правляют растительным маслом.</t>
  </si>
  <si>
    <t>•  Внешний вид — овощи и яблоки равномерно нарезаны, аккуратно уложены горкой, поверхность овощей блестящая. Допускается незначительное отделение жидкости;
•  цвет — типичный для смеси овощей и яблок;
•  вкус, запах — слегка кисловато-сладковатый, характерный для используемых сырых овощей и яблок с привкусом и ароматом масла растительного;
•  консистенция овощей сырых — упругая, хрустящая.</t>
  </si>
  <si>
    <t>ТЕХНОЛОГИЧЕСКАЯ КАРТА № 46</t>
  </si>
  <si>
    <t>САЛАТ ИЗ БЕЛОКОЧАННОЙ КАПУСТЫ С ЯБЛОКАМИ</t>
  </si>
  <si>
    <t>46</t>
  </si>
  <si>
    <t>Капусту шинкуют, лук, морковь, очищенные яблоки с удаленным семенным гнездом (отходы 30%) нарезают соломкой, добавляют чеснок, сахар и растительное масло.</t>
  </si>
  <si>
    <t>Внешний вид: овощи и яблоки нарезаны тонкой соломкой, лук нашинкован. Салат заправлен растительным маслом, посыпан зеленью.
Консистенция: овощей - хрустящая, не жесткая, сочная.
Цвет: желтоватый от моркови.
Вкус: приятно-кисловатый со слегка ощутимой сладостью, умеренно соленый, без горечи.
Запах: свежей белокочанной капусты в смеси с морковью, яблоками, чесноком.</t>
  </si>
  <si>
    <t>САЛАТ ИЗ СВЕКЛЫ С  ИЗЮМОМ</t>
  </si>
  <si>
    <t>62,5</t>
  </si>
  <si>
    <t>6,25</t>
  </si>
  <si>
    <t>ВИНОГРАД СУШЕНЫЙ (ИЗЮМ)</t>
  </si>
  <si>
    <t>Вареную свеклу нарезают соломкой, добавляют  подготовленный изюм (заранее замоченный и промытый кипяченой водой) изюм, заправляют растительным маслом. Салат укладывают горкой.
Масса пропаренных кураги и изюма на 100 г салата - 5,6 и 6,2 г соответственно.</t>
  </si>
  <si>
    <t>Внешний вид: свекла нарезана соломкой. Салат уложен горкой. 
Консистенция: свеклы, кураги и изюма мягкая, сочная. 
Цвет: темно-малиновый. 
Вкус: свойственный свекле, кураге и изюму.
Запах: свеклы, кураги, изюма.</t>
  </si>
  <si>
    <t>ТЕХНОЛОГИЧЕСКАЯ КАРТА № 389</t>
  </si>
  <si>
    <t>СОК ФРУКТОВЫЙ ** ВИШНЕВЫЙ</t>
  </si>
  <si>
    <t>389</t>
  </si>
  <si>
    <t>СОК ВИШНЕВЫЙ</t>
  </si>
  <si>
    <t>Сок, выпускаемый промышленностью, разливают в стаканы порциями по 100-200 мл непосредственно перед отпуском.</t>
  </si>
  <si>
    <t>Внешний вид: сок налит в стакан
Консистенция: жидкая
Цвет: соответствует соку
Вкус: соответствует соку
Запах: соответствует соку</t>
  </si>
  <si>
    <t>СОК ФРУКТОВЫЙ **/ЯБЛОЧНЫЙ/</t>
  </si>
  <si>
    <t>СОК ЯБЛОЧНЫЙ</t>
  </si>
  <si>
    <t>СОК ФРУКТОВЫЙ**/ВИНОГРАДНЫЙ/</t>
  </si>
  <si>
    <t>СОК ВИНОГРАДНЫЙ</t>
  </si>
  <si>
    <t>Температура подачи не выше +14 С.</t>
  </si>
  <si>
    <t>19,3</t>
  </si>
  <si>
    <t>1,93</t>
  </si>
  <si>
    <t>5,73</t>
  </si>
  <si>
    <t>4,3</t>
  </si>
  <si>
    <t>0,57</t>
  </si>
  <si>
    <t>5,38</t>
  </si>
  <si>
    <t>Выход: 25</t>
  </si>
  <si>
    <t xml:space="preserve">Лук репчатый режут соломкой, морковь шинкуют тонкой соломкой или натирают на крупной терке. Выкладывают в сотейник, пассеруют в масле при умеренном нагреве, периодически помешивая. Затем добавляют томатную пасту, муку, продолжают пассеровать.Доливают воду, доводят до кипения. Заправляют солью, сахаром, черным молотым перцем. Варят на медленном огне в течение 10-15 минут.
</t>
  </si>
  <si>
    <t>Внешний вид – соус томатный с овощами имеет сметанообразную консистенцию с включениями пассерованных овощей
Цвет соуса – красновато-оранжевый.
Вкус и запах –томата, пассерованных овощей, слегка сладковатый. Без постороннего привкуса и запаха.
Соус томатный с овощами изготавливают по мере необходимости. Допустимый срок хранения полуфабриката соуса, согласно СанПиН 2.3.2.1324-03 при температуре +(2+4) градусов  С,  не более  72 часов с момента окончания технологического процесса, в вакууме – до 7 дней (с последующей тепловой обработкой).</t>
  </si>
  <si>
    <t>Способ термической обработки: варка.
Технология приготовления:
Картофель перебирают, моют, чистят, повторно промывают, нарезают брусочками
(кубиками). Морковь перебирают, промывают, шинкуют с помощью овощерезательной
машины мелкой соломкой. Лук репчатый перебирают, промывают проточной водой, очи-
щают, повторно промывают и шинкуют, делят на две части. Морковь перебирают, промывают, очищают, повторно промывают, шинкуют с помощью овощерезательной машины
мелкой соломкой. Петрушку ) промывают проточной водой не менее 5 минут,
шинкуют. Одну часть лука бланшируют, затем пассеруют вместе с морковью и петрушкой,
вторую часть (1/5 часть) лука бланшируют отдельно для добавления в мясо.
Мясо дефростируют, промывают проточной водой при помощи щетки, разрезают на
куски и пропускают через мясорубку (2–3 раза), добавляют мелко рубленный бланшированный лук, яйцо, соль (1/3 часть) и воду, перемешивают и выбивают, затем разделывают
на шарики по 7–10 г, укладывают на смоченную кипяченой водой решетку паровой коробки и готовят на пару 15–20 минут или варят в кастрюле – 15–20 минут. Готовые фрикадельки хранят в бульоне, перед отпуском еще раз доводят до кипения.
В кипящий бульон (или воду) кладут картофель, нарезанный брусочками. Добавляют припущенную морковь, бланшированный и пассерованный репчатый лук, томатную
пасту. Варят до готовности. За 5 минут до готовности суп заправляют солью. За 1–2 мин до
готовности добавляют лавровый лист. При отпуске в тарелку кладут горячие фрикадельки
и наливают суп.
Температура подачи: не менее 75 С.
Характеристика блюда на выходе:
Внешний вид – бульон прозрачный, форма овощей сохранена, консистенция мягкая,
фрикадельки – сочные; вкус – соответствует наименованию блюда; запах – аромат мяса и
овощей.</t>
  </si>
  <si>
    <t>Оптимальная температура подачи +75 С</t>
  </si>
  <si>
    <t>Внешний вид: капуста, коренья, стручки фасоли нарезаны соломкой, картофель - дольками.
Консистенция: овощи мягкие, но не переварены.
Цвет: бульона - золотистый, жира на поверхности - светло-оранжевый.
Вкус: капусты, картофеля, овощей; умеренно соленый, кисловатый.
Запах: кореньев, овощей.</t>
  </si>
  <si>
    <t>ТЕХНОЛОГИЧЕСКАЯ КАРТА № 99</t>
  </si>
  <si>
    <t xml:space="preserve">СУП ИЗ ОВОЩЕЙ </t>
  </si>
  <si>
    <t>В кипящий бульон кладут нашинкованную белокочанную капусту, зеленый консервированный горошек или нарезанные стручки фасоли той же массы нетто, картофель, нарезанный дольками. За 10-15 мин до окончания варки супа добавляют слегка пассерованные или припущенные овощи, горошек зеленый, соль. 
Суп можно отпускать с прокипяченной сметаной.
Примечание:
1. Норма закладки сметаны - 20 г на 1000 г супа. Сметану перед использованием кипятят.
2. При приготовлении супов на бульоне (количество бульона равно норме воды, указанной в рецептурах) норма вложения масла сливочного, указанная в рецептуре, не должна превышать 10 г на 1000 г супа. Масло сливочное используется для пассерования или припускания овощей.
3. Нормы закладки основных овощей (картофеля, капусты, свеклы и т.п.), указанные в рецептурах, могут быть изменены (увеличены или уменьшены), но не более чем на 10-15% при условии сохранения общей массы закладываемых овощей.
4. Норма для всех супов, кроме молочных, лаврового листа - 0,04 г, соли - 6-10 г на 1000 г супа. Лавровый лист и соль кладут в суп за 5-10 мин до окончания варки.
5. Зелень (петрушка, укроп, сельдерей следует добавлять в котел мелко нарезанной во все супы перед отправкой на раздачу для улучшения их вкуса в количестве 2-3 г нетто на порцию (кроме молочных).
6. Морковь, лук, томатное пюре перед закладкой в заправочные супы слегка пассеруют или припускают. Это улучшает вкусовые качества и внешний вид супа. Пассерование не должно быть продолжительным, перегрев жира не допускается. Корень петрушки следует класть в суп в сыром виде за 20-25 мин до окончания варки. Сладкий перец мелко шинкуют и закладывают в суп в слегка пассерованном или сыром виде.
9. Слабая пассеровка овощей производится с добавлением соли и сахара в количестве 2-3% к массе овощей. Время слабого пассерования овощей уменьшается в 2 раза.
10. При отпуске горячие супы должны иметь температуру 75-80 °С</t>
  </si>
  <si>
    <t>ТЕХНОЛОГИЧЕСКАЯ КАРТА № 102</t>
  </si>
  <si>
    <t xml:space="preserve">СУП КАРТОФЕЛЬНЫЙ С БОБОВЫМИ </t>
  </si>
  <si>
    <t>102</t>
  </si>
  <si>
    <t>ГОРОХ ЛУЩЕНЫЙ</t>
  </si>
  <si>
    <t>140</t>
  </si>
  <si>
    <t>14</t>
  </si>
  <si>
    <t xml:space="preserve">Свежие овощи перебирают, моют, очищают. Горох перебирают, промывают и целый замачивают на 4-5 часов, лущеный не замачивают. В кипящий бульон или воду  кладут подготовленный горох, проваривают почти до готовности, затем картофель, нарезанный кубиками, пассерованные отдельно лук и морковь, нарезанные мелкими кубиками. За 5-10 минут  до окончания варки супа добавляют соль, специи.
</t>
  </si>
  <si>
    <t>При отпуске горячие супы должны иметь температуру 75-°С</t>
  </si>
  <si>
    <t>Внешний вид: в жидкой части супа - картофель, нарезанный кубиками или дольками; горох (кроме лущеного) или фасоль - в виде целых, неразваренных зерен
Консистенция: картофель и бобовые - мягкие; горох лущеный - пюреобразный, соблюдается соотношение жидкой и плотной частей супа
Цвет: светло-желтый (горчичный) - супа горохового; светло-коричневый - супа фасолевого
Вкус: умеренно соленый, свойственный гороху или фасоли.
Запах: продуктов, входящих в суп</t>
  </si>
  <si>
    <t>ТЕХНОЛОГИЧЕСКАЯ КАРТА № 103</t>
  </si>
  <si>
    <t>СУП КАРТОФЕЛЬНЫЙ С МАКАРОННЫМИ ИЗДЕЛИЯМИ</t>
  </si>
  <si>
    <t>103</t>
  </si>
  <si>
    <t>ВЕРМИШЕЛЬ</t>
  </si>
  <si>
    <t>Овощи нарезают в соответствии с видом используемых макаронных изделий: картофель брусочками или кубиками, коренья - брусочками, соломкой или кубиками, лук шинкуют или мелко рубят. Морковь и лук пассеруют.
В кипящую воду кладут макароны и варят 10-15 мин, затем добавляют картофель и слегка пассерованные или припущенные овощи, лапшу, соль и варят до готовности.
Вермишель и фигурные изделия добавляют в суп за 10-15 мин до готовности супа.</t>
  </si>
  <si>
    <t>При отпуске горячие супы должны иметь температуру 75 °С</t>
  </si>
  <si>
    <t>Внешний вид: в жидкой части супа - овощи и макаронные изделия, сохранившие форму
Консистенция: картофель и овощи - мягкие; макаронные изделия, хорошо набухшие, мягкие, соблюдается соотношение жидкой и плотной частей
Цвет: супа - золотистый, жира на поверхности - светло-оранжевый
Вкус: картофеля и припущенных овощей, умеренно соленый
Запах: продуктов входящих в суп</t>
  </si>
  <si>
    <t>ТЕХНОЛОГИЧЕСКАЯ КАРТА № 98</t>
  </si>
  <si>
    <t>СУП КРЕСТЬЯНСКИЙ С КРУПОЙ</t>
  </si>
  <si>
    <t>98</t>
  </si>
  <si>
    <t>Крупу перловую, ячневую, овсяную, пшеничную, рисовую, пшено или хлопья овсяные "Геркулес" промывают сначала в теплой, затем в горячей воде, закладывают в кипящую воду (3 л на 1 кг) и варят до полуготовности, воду сливают. В кипящий бульон или воду кладут подготовленную крупу, свежую белокочанную капусту, нарезанную шашками, картофель и варят до готовности. За 5-10 мин до окончания варки кладут слегка пассерованные или припущенные овощи. Крупу рисовую или пшено закладывают одновременно с овощами. Хлопья овсяные «Геркулес» закладывают за 15-20 мин до готовности супа. 
Можно отпускать суп с прокипяченной сметаной.
Масса крупы и бульона или воды на 1000 г супа: пшена, хлопьев овсяных "Геркулес" - 20 г и 850 г соответственно, остальных круп 40 г и 800 г соответственно. 
Примечание:
1. Норма закладки сметаны - 20 г на 1000 г супа. Сметану перед использованием кипятят.
2. При приготовлении супов на бульоне (количество бульона равно норме воды, указанной в рецептурах) норма вложения масла сливочного, указанная в рецептуре, не должна превышать 10 г на 1000 г супа. Масло сливочное используется для пассерования или припускания овощей.
3. Нормы закладки основных овощей (картофеля, капусты, свеклы и т.п.), указанные в рецептурах, могут быть изменены (увеличены или уменьшены), но не более чем на 10-15% при условии сохранения общей массы закладываемых овощей.
4. Норма для всех супов, кроме молочных, лаврового листа - 0,04 г, соли - 6-10 г на 1000 г супа. Лавровый лист и соль кладут в суп за 5-10 мин до окончания варки.
5. Зелень (петрушка, укроп, сельдерей следует добавлять в котел мелко нарезанной во все супы перед отправкой на раздачу для улучшения их вкуса в количестве 2-3 г нетто на порцию (кроме молочных).
6. Морковь, лук, томатное пюре перед закладкой в заправочные супы слегка пассеруют или припускают. Это улучшает вкусовые качества и внешний вид супа. Пассерование не должно быть продолжительным, перегрев жира не допускается. Корень петрушки следует класть в суп в сыром виде за 20-25 мин до окончания варки. Сладкий перец мелко шинкуют и закладывают в суп в слегка пассерованном или сыром виде.
9. Слабая пассеровка овощей производится с добавлением соли и сахара в количестве 2-3% к массе овощей. Время слабого пассерования овощей уменьшается в 2 раза.
10. При отпуске горячие супы должны иметь температуру 75-80 °С</t>
  </si>
  <si>
    <t>Внешний вид: картофель и овощи нарезаны кубиками, капуста - шашками, крупа хорошо разварилась, но не потеряла форму.
Консистенция: картофель, коренья - мягкие, крупа - хорошо разварившаяся.
Цвет: бульона - золотистый, жира на поверхности - светло-оранжевый.
Вкус: картофеля, овощей, крупы умеренно соленый.
Запах: овощей и крупы.</t>
  </si>
  <si>
    <t>ТЕХНОЛОГИЧЕСКАЯ КАРТА № 113</t>
  </si>
  <si>
    <t>СУП-ЛАПША ДОМАШНЯЯ</t>
  </si>
  <si>
    <t>113</t>
  </si>
  <si>
    <t>ЛАПША ДОМАШНЯЯ</t>
  </si>
  <si>
    <t>В кипящий бульон или воду кладут припущенный лук и варят с момента закипания 5-8 мин, после чего добавляют подготовленную домашнюю лапшу №114 и варят до готовности.
Масса вареной лапши 50 г при 20 г сырой на 250 г супа.
Лапша домашняя
В холодную воду вводят сырые яйца, соль, перемешивают, добавляют муку не ниже 1 сорта и замешивают крутое тесто, которое выдерживают 20-30 мин для того, чтобы оно лучше раскатывалось. Куски готового теста кладут на стол, посыпанный мукой, и раскатывают в пласт толщиной 1-1,5 мм и подсушивают. Пересыпанные мукой пласты складывают один на другой, нарезают их на полоски шириной 35 15 мм, которые, в свою очередь, режут поперек полосками шириной 3-4 мм или соломкой.
Лапшу рассыпают на посыпанные мукой столы слоем не более 10 мм и подсушивают 2-3 ч при температуре 40-45 °С.</t>
  </si>
  <si>
    <t>Внешний вид: лук и лапша сохранили форму,
Консистенция: лук мягкий; лапша - хорошо набухшая, мягкая.
Цвет: бульона - золотистый, жира на поверхности - светло-оранжевый.
Вкус: овощей, лапши, умеренно соленый. 
Запах: овощей и лапши.</t>
  </si>
  <si>
    <t>ТЕХНОЛОГИЧЕСКАЯ КАРТА № 15</t>
  </si>
  <si>
    <t>СЫР (ПОРЦИЯМИ)</t>
  </si>
  <si>
    <t>Выход: 15</t>
  </si>
  <si>
    <t>Сыр нарезают ломтиками толщиной 2-3 мм. Плавленый сыр рекомендуется использовать в мелкой расфасовке по 30 г.</t>
  </si>
  <si>
    <t>Внешний вид: ломтики прямоугольной или треугольной формы
Консистенция: мягкая, не крошащаяся
Цвет: соответствует виду сыра
Вкус: соответствует виду сыра
Запах: соответствует виду сыра</t>
  </si>
  <si>
    <t>ТЕХНОЛОГИЧЕСКАЯ КАРТА № 278</t>
  </si>
  <si>
    <t>ТЕФТЕЛИ МЯСНЫЕ  110/20</t>
  </si>
  <si>
    <t>278</t>
  </si>
  <si>
    <t>8,96</t>
  </si>
  <si>
    <t>8,79</t>
  </si>
  <si>
    <t>1,47</t>
  </si>
  <si>
    <t>7,33</t>
  </si>
  <si>
    <t>0,73</t>
  </si>
  <si>
    <t>СОУС СМЕТАННЫЙ С ТОМАТОМ</t>
  </si>
  <si>
    <t>Выход: 130</t>
  </si>
  <si>
    <t>В котлетную массу добавляют измельченный слегка пассерованный или припущенный репчатый лук (можно добавлять зеленый лук), перемешивают и формуют в виде шариков по 3-4 шт. на порцию, панируют в муке, обжаривают, перекладывают в неглубокую посуду в 1-2 ряда, заливают соусом, в который добавляют 10-20 г воды и тушат 8-10 мин.
Отпускают тефтели с гарниром и с соусом, в котором они тушились.
Соус - сметанный с томатом №331.
Гарниры - каши рассыпчатые, рис отварной, картофель отварной, пюре картофельное, овощи отварные с маслом.
Мясные рубленые изделия рекомендуется жарить непосредственно перед отпуском.
Норма на блюдо: соли 3 г, зелени (лук, петрушка, укроп) - 4 г нетто, а кроме того, по мере надобности - лаврового листа 0,02 г.
Норма гарнира - от 50 до 150 г. Кроме того, сверх установленной нормы основного гарнира можно дополнительно подавать свежие или соленые огурцы и помидоры, квашеную капусту, а также салат из свежей или квашеной капусты в количестве от 30 до 100 г (нетто) на порцию; при этом выход блюда соответственно увеличивают.
Соус сметанный с томатом
Томатный соус уваривают до половины первоначального объема, соединяют  с соусом сметанным.Соус проваривают, процеживают и доводят до кипенияя.</t>
  </si>
  <si>
    <t>Оптимальная температура подачи +65 С</t>
  </si>
  <si>
    <t>Внешний вид: тефтели в виде шариков с равномерной (без трещин) мягкой корочкой, пропитаны соусом, сбоку уложен гарнир.
Консистенция: тефтелей в меру плотная, сочная, однородная.
Цвет: тефтелей - коричневый, соуса - светло-коричневый.
Вкус: тушенного мяса в соусе, умеренно соленый
Запах: тушеного мяса с ароматом мяса, соуса и гарнира</t>
  </si>
  <si>
    <t>ТЕХНОЛОГИЧЕСКАЯ КАРТА № 239</t>
  </si>
  <si>
    <t>2,3</t>
  </si>
  <si>
    <t>Выход: 105</t>
  </si>
  <si>
    <t xml:space="preserve">Филе без кожи и костей нарезают на куски, пропускают два раза через мясорубку вместе с луком и замоченным в воде хлебом. В массу добавляют соль, хорошо вымешивают, формуют шарики по 3-5 шт. на порцию, панируют в муке, обжаривают, заливают соусом, добавляют воду 10% от массы соуса и тушат 10-15 мин. Блюдо можно приготовить, заменив хлеб припущенным рисом из расчета закладки сырого риса в количестве 2 г на порцию. Рис вводят в готовую котлетную массу в охлажденном виде.
При отпуске тефтели поливают соусом, в котором они тушились
Гарниры - рис отварной, фкартофель отварной, пюре картофельное.
Соус - сметанный с томатом №331.
Норма на порцию: гарнира - 75-150 г, соли - 2 г, лаврового листа - 0,01 г.
При отпуске рыбные блюда посыпают измельченной зеленью петрушки, сельдерея или укропа (1-3 г нетто на порцию) или оформляют веточкой зелени.
Соус томатный с овощами 
Лук репчатый режут соломкой, морковь шинкуют тонкой соломкой или натирают на крупной терке. Выкладывают в сотейник, пассеруют в масле при умеренном нагреве, периодически помешивая. Затем добавляют томатную пасту, муку, продолжают пассеровать.Доливают воду, доводят до кипения. Заправляют солью, сахаром, черным молотым перцем. Варят на медленном огне в течение 10-15 минут.
</t>
  </si>
  <si>
    <t>Внешний вид: тефтели в виде шариков с равномерной (без трещин) мягкой корочкой, политы соусом. 
Консистенция: тефтелей - в меру плотная, сочная, однородная. 
Цвет: корочки - светло-коричневый, на разрезе — светло-серый. 
Вкус: тушеной рыбы в соусе, умеренно соленый. 
Запах: тушеной рыбы с ароматом лука и соуса.</t>
  </si>
  <si>
    <t>Подготовленную тыкву очищают, удаляют семена и нарезают ломтиками. Яблоки очищают от кожицы, удаляют семенные гнезда, нарезают ломтиками. Изюм перебирают и промывают. Тыкву припускают с добавлением воды (на 1 кг овощей 0,2 л), масла сливочного, сахара, затем добавляют яблоки, изюм и доводят до готовности.</t>
  </si>
  <si>
    <t>Тыкву кладут горкой на тарелку, поливают растопленным прокипяченным маслом сливочным. Оптимальная температура подачи 65° С.</t>
  </si>
  <si>
    <t xml:space="preserve">• Внешний вид — тыква и яблоки порезаны ломтиками, соединены с изюмом, политы сливочным маслом;
•  цвет — свойственный используемым овощам и фруктам;
•  вкус — умеренно-сладкий с привкусом тыквы и изюма;
•  запах — тыквы и яблок, без порочащих признаков;
•  консистенция — овощи и фрукты мягкие, сочные.
</t>
  </si>
  <si>
    <t xml:space="preserve">УЗВАР ИЗ СУХОФРУКТОВ И   ПЛОДОВ ШИПОВНИКА </t>
  </si>
  <si>
    <t>ШИПОВНИК СУХОЙ</t>
  </si>
  <si>
    <t>Плоды шиповника  и сухофрукты промывают холодной водой, кладут в посуду из неокисляющегося материала, заливают кипятком и кипятят при закрытой крышке и слабом кипении 1,5-2 часа. Добавляют сахар. Затем оставляют для настаивания на 2-4 часа. После этого отвар процеживают и охлаждают.</t>
  </si>
  <si>
    <t>Внешний вид: напиток налит в стакан
Консистенция: жидкая
Цвет: темно-красный
Вкус: кисло-сладкий, с привкусом плодов шиповника
Запах: шиповника</t>
  </si>
  <si>
    <t>ТЕХНОЛОГИЧЕСКАЯ КАРТА № 338</t>
  </si>
  <si>
    <t>ФРУКТЫ СВЕЖИЕ */ АПЕЛЬСИНЫ/</t>
  </si>
  <si>
    <t>338</t>
  </si>
  <si>
    <t>АПЕЛЬСИН</t>
  </si>
  <si>
    <t>Плоды и ягоды свежие перед отпуском перебирают, удаляют плодоножки, сорные примеси, тщательно промывают проточной питьевой холодной водой.</t>
  </si>
  <si>
    <t>Целые плоды или ягоды, уложенные на десертную тарелку или вазочку</t>
  </si>
  <si>
    <t>Внешний вид: целые плоды или ягоды, уложенные на десертную тарелку или вазочку
Консистенция: соответствует виду плодов или ягод
Цвет: соответствует виду плодов или ягод
Вкус: соответствует виду плодов или ягод
Запах: соответствует виду плодов или ягод</t>
  </si>
  <si>
    <t>ФРУКТЫ СВЕЖИЕ ПО СЕЗОНУ * /ЯБЛОКО/</t>
  </si>
  <si>
    <t>ХЛЕБ ПШЕНИЧНЫЙ</t>
  </si>
  <si>
    <t>МР 2.4.0179-20. 2.4. Гигиена детей и подростков. Рекомендации по организации питания обучающихся общеобразовательных организаций. Методические рекомендации" (утв. Главным государственным санитарным врачом РФ 18.05.2020)</t>
  </si>
  <si>
    <t>Хлеб нарезают порционными кусочками.</t>
  </si>
  <si>
    <t>Выход: 40</t>
  </si>
  <si>
    <t>Хлеб нарезать на порции.</t>
  </si>
  <si>
    <t>Хлеб нарезают на порционные кусочки.</t>
  </si>
  <si>
    <t>ХЛЕБ РЖАНОЙ</t>
  </si>
  <si>
    <t>ХЛЕБ РЖАНО-ПШЕНИЧНЫЙ ОБОГ. МИКРОНУТРИЕНТАМИ</t>
  </si>
  <si>
    <t>Хлеб нарезать порционными кусочками.</t>
  </si>
  <si>
    <t>Хлеб нарезать на порционные кусочки</t>
  </si>
  <si>
    <t>ТЕХНОЛОГИЧЕСКАЯ КАРТА № 377</t>
  </si>
  <si>
    <t>ЧАЙ С ЛИМОНОМ</t>
  </si>
  <si>
    <t>377</t>
  </si>
  <si>
    <t>ЧАЙ-ЗАВАРКА</t>
  </si>
  <si>
    <t>ЧАЙ ЧЕРНЫЙ БАЙХОВЫЙ</t>
  </si>
  <si>
    <t>48,6</t>
  </si>
  <si>
    <t>4,86</t>
  </si>
  <si>
    <t>ЛИМОН</t>
  </si>
  <si>
    <t>135</t>
  </si>
  <si>
    <t>Предварительно промытый теплой водой лимон ошпаривают кипятком в течение 1-2 мин. 
Лимон нарезают тонкими кружочками и кладут в стакан приготовленного чая с сахаром непосредственно перед отпуском.
Чай-заварка
Чайник ополаскивают кипятком, кладут в него чай по норме на определенное количество порций и заливают его свежеприготовленным кипятком на 1/3 объема чайника. Настаивают 5-10 мин. и доливают кипятком.
На порцию чая (200 мл) расходуют 50 мл заварки, что равноценно 0,5 г сухого чая.</t>
  </si>
  <si>
    <t>Внешний вид: жидкость золотисто-коричневого цвета, налита в стакан, где плавает кружочек лимона
Консистенция: жидкая
Цвет: золотисто-коричневый
Вкус: сладкий, с привкусом лимона
Запах: свойственный чаю и лимону</t>
  </si>
  <si>
    <t>ТЕХНОЛОГИЧЕСКАЯ КАРТА № 378</t>
  </si>
  <si>
    <t xml:space="preserve">ЧАЙ С МОЛОКОМ </t>
  </si>
  <si>
    <t>378</t>
  </si>
  <si>
    <t>4,6</t>
  </si>
  <si>
    <t>0,09</t>
  </si>
  <si>
    <t>50,1</t>
  </si>
  <si>
    <t>5,01</t>
  </si>
  <si>
    <t>92,5</t>
  </si>
  <si>
    <t>9,25</t>
  </si>
  <si>
    <t>К приготовленному чаю с сахаром добавляют горячее кипяченое молоко или сливки.
Чай-заварка
Чайник ополаскивают кипятком, кладут в него чай по норме на определенное количество порций и заливают его свежеприготовленным кипятком на 1/3 объема чайника. Настаивают 5-10 мин. и доливают кипятком.
На порцию чая (200 мл) расходуют 50 мл заварки, что равноценно 0,5 г сухого чая.</t>
  </si>
  <si>
    <t>Внешний вид: жидкость серовато-белого цвета, налита в стакан.
Консистенция: жидкая.
Цвет: серовато-белый.
Вкус: сладкий, с привкусом молока или сливок.
Запах: свойственный молоку и чаю или сливкам и чаю.</t>
  </si>
  <si>
    <t>54</t>
  </si>
  <si>
    <t>Температура подачи +75 С</t>
  </si>
  <si>
    <t>ТЕХНОЛОГИЧЕСКАЯ КАРТА № 376</t>
  </si>
  <si>
    <t>ЧАЙ С САХАРОМ</t>
  </si>
  <si>
    <t>376</t>
  </si>
  <si>
    <t>144</t>
  </si>
  <si>
    <t>14,4</t>
  </si>
  <si>
    <t>В стакан или чашку наливают заварку чая и доливают кипятком. Сахар (10 г)  кладут в стакан или чашку или подают отдельно.
Чай-заварка
Чайник ополаскивают кипятком, кладут в него чай по норме на определенное количество порций и заливают его свежеприготовленным кипятком на 1/3 объема чайника. Настаивают 5-10 мин. и доливают кипятком.
На порцию чая (200 мл) расходуют 50 мл заварки, что равноценно 0,5 г сухого чая.</t>
  </si>
  <si>
    <t>Внешний вид: жидкость золотисто- коричневого цвета налита в стакан.
Консистенция: жидкая.
Цвет: золотисто-коричневый.
Вкус: сладкий, чуть терпкий.
Запах: свойственный чаю.</t>
  </si>
  <si>
    <t>ТЕХНОЛОГИЧЕСКАЯ КАРТА № 87</t>
  </si>
  <si>
    <t>ЩИ ИЗ СВЕЖЕЙ КАПУСТЫ</t>
  </si>
  <si>
    <t>87</t>
  </si>
  <si>
    <t>В кипящий бульон или воду кладут подготовленную свежую капусту, доводят до кипения, добавляют слегка пассерованные или припущенные морковь, лук и варят до готовности. За 5-10 мин до окончания варки в щи добавляют прогретое томатное пюре, подсушенную муку, разведенную бульоном или водой.
Примечание:
1. Норма закладки сметаны - 20 г на 1000 г супа. Сметану перед использованием кипятят.
2. При приготовлении супов на бульоне (количество бульона равно норме воды, указанной в рецептурах) норма вложения масла сливочного, указанная в рецептуре, не должна превышать 10 г на 1000 г супа. Масло сливочное используется для пассерования или припускания овощей.
3. Нормы закладки основных овощей (картофеля, капусты, свеклы и т.п.), указанные в рецептурах, могут быть изменены (увеличены или уменьшены), но не более чем на 10-15% при условии сохранения общей массы закладываемых овощей.
4. Норма для всех супов, кроме молочных, лаврового листа - 0,04 г, соли - 6-10 г на 1000 г супа. Лавровый лист и соль кладут в суп за 5-10 мин до окончания варки.
5. Зелень (петрушка, укроп, сельдерей следует добавлять в котел мелко нарезанной во все супы перед отправкой на раздачу для улучшения их вкуса в количестве 2-3 г нетто на порцию (кроме молочных).
6. Морковь, лук, томатное пюре перед закладкой в заправочные супы слегка пассеруют или припускают. Это улучшает вкусовые качества и внешний вид супа. Пассерование не должно быть продолжительным, перегрев жира не допускается. Корень петрушки следует класть в суп в сыром виде за 20-25 мин до окончания варки. Сладкий перец мелко шинкуют и закладывают в суп в слегка пассерованном или сыром виде.
9. Слабая пассеровка овощей производится с добавлением соли и сахара в количестве 2-3% к массе овощей. Время слабого пассерования овощей уменьшается в 2 раза.
10. Муку для заправки супов используют высшего и 1-го сорта. Муку просеивают, подсушивают без масла до светло-желтого цвета, охлаждают, разводят небольшим количеством холодного овощного отвара (4 л на 1 кг муки), размешивают венчиком для получения однородной массы, процеживают. Заправляют ею суп за 5-10 мин до окончания варки.
11. При отпуске горячие супы должны иметь температуру 75-80 °С</t>
  </si>
  <si>
    <t>Внешний вид: капуста нарезана шашками, морковь, лук - дольками. 
Консистенция: капуста упругая, овощи мягкие.
Цвет: желтый, жира на поверхности - оранжевый; овощей - натуральный. 
Вкус: капусты в сочетании с овощами, специями, умеренно соленый. 
Запах: свойственный овощам, капусты.</t>
  </si>
  <si>
    <t>ЯБЛОКИ, ЗАПЕЧЕННЫЕ  ПО-КУБАНСКИ</t>
  </si>
  <si>
    <t xml:space="preserve">АКТ ПРОРАБОТКИ    
</t>
  </si>
  <si>
    <t>САХАРНАЯ ПУДРА</t>
  </si>
  <si>
    <t>Выход: 110</t>
  </si>
  <si>
    <t>Яблоки моют, удаляют сердцевину.
 Изюм заливают холодной водой на 10 мин, затем промывают несколько раз, вынимая из воды, замачивают в охлажденной кипя­ченой воде до набухания, обсушивают, пересыпают сахаром (1/2 от нормы)
.
Яблоки наполняют изюмом, укладывают на противень, подливают небольшое количество воды и запекают в жарочном шкафу при умеренной температуре 160/180 °С 15-20 мин (в зависимости от сорта яблок).
Остужают и сверху посыпают сахарной пудрой</t>
  </si>
  <si>
    <t>Внешний вид: яблоки сохраняют свою форму, сверху румяная корочка
Консистенция: мягкая, сочная
Цвет: золотистый
Вкус: кисло-сладкий.
Запах: аромат печеных яблок и творога</t>
  </si>
  <si>
    <t>БУЛОЧКА  ДОМАШНЯЯ</t>
  </si>
  <si>
    <t>ПРОМЫШЛЕННОГО ПРОИЗВОДСТВА</t>
  </si>
  <si>
    <t>ПРОМЫШЛЕННОЕ ПРОИЗВОДСТВО</t>
  </si>
  <si>
    <t>Оптимальная температура подачи +75С</t>
  </si>
  <si>
    <t>Руководствуясь МР 2.4.0179-20 о принципах здорового питания, в том числе включающие уменьшение количества потребляемых кондитерских и колбасных изделий, сахара и соли, уменьшено количество сахара в напитке, что не повлияло на его вкусовые качества.</t>
  </si>
  <si>
    <t>При отпуске горячую кашу кладут в тарелку и поливают растопленным и прокипяченным маслом сливочным.
Оптимальная температура блюда 65° С.</t>
  </si>
  <si>
    <t>Оптимальная температура подачи  7- 14 С</t>
  </si>
  <si>
    <t>Оптимальная температура подачи 7-14 С</t>
  </si>
  <si>
    <t>ТЕХНИКО- ТЕХНОЛОГИЧЕСКАЯ КАРТА № 2</t>
  </si>
  <si>
    <t>За основу приготовления данного блюда взяты рекомендации  из Сборник рецептур на продукцию для обучающихся во всех образовательных учреждениях / под редакцией М.П. Могильного и В.А. Тутельяна.-М.: ДеЛи плюс, 2017.-544с .№302.3</t>
  </si>
  <si>
    <t>Салат укладывают горкой в салатник или на тарелку. Оптимальная температура подачи  7-14° С.</t>
  </si>
  <si>
    <t xml:space="preserve">За основу приготовлния данного блюда взяты рекомендации из </t>
  </si>
  <si>
    <t>ТЕХНИКО=ТЕХНОЛОГИЧЕСКАЯ КАРТА № 5</t>
  </si>
  <si>
    <t xml:space="preserve"> Оптимальная температура подачи +65 С.</t>
  </si>
  <si>
    <t>ТЕХНИКО-ТЕХНОЛОГИЧЕСКАЯ КАРТА № 19</t>
  </si>
  <si>
    <t>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№223</t>
  </si>
  <si>
    <t>или</t>
  </si>
  <si>
    <t>Томаты консервированные откидывают на дуршлаг, дают жидкости стечь. Огурцам и помидорам срезают плодоножку, нарезают дольками или кружочками</t>
  </si>
  <si>
    <t>Огурцы консервированные откидывают на дуршлаг, дают жидкости стечь. Огурцам и помидорам срезают плодоножку, нарезают дольками или кружочками</t>
  </si>
  <si>
    <t>ТТК 20</t>
  </si>
  <si>
    <t>ТЕХНИКО-ТЕХНОЛОГИЧЕСКАЯ КАРТА № 20</t>
  </si>
  <si>
    <t>Сборник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№367</t>
  </si>
  <si>
    <t>239/ТТК20</t>
  </si>
  <si>
    <t>СОУС ТОМАТНЫЙ С ОВОЩАМИ  15</t>
  </si>
  <si>
    <t>МАСЛО  СЛАДКО-СЛИВОЧНОЕ</t>
  </si>
  <si>
    <t>МЮСЛИ</t>
  </si>
  <si>
    <t>МЮСЛИ  С МОЛОКОМ</t>
  </si>
  <si>
    <t>ХЛЕБПШЕНИЧНЫЙ ВЫСШИЙ СОРТ</t>
  </si>
  <si>
    <t>120</t>
  </si>
  <si>
    <t xml:space="preserve"> За основу приготовлния данного блюда взяты рекомендации из </t>
  </si>
  <si>
    <t>Сборник рецептур блюд и кулинарных изделий для обучающихся образовательных организаций / Под ред. В. Р. Кучмы, Москва, 2016 №58</t>
  </si>
  <si>
    <t>ТТК 7</t>
  </si>
  <si>
    <t>ТЕХНИКО-ТЕХНОЛОГИЧЕСКАЯ КАРТА №7</t>
  </si>
  <si>
    <t>Температура подачи +7-14С</t>
  </si>
  <si>
    <t>ТЕХНИКО-ТЕХНОЛОГИЧЕСКАЯ КАРТА № 8</t>
  </si>
  <si>
    <t>ТТК 8</t>
  </si>
  <si>
    <t>Сборник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№163</t>
  </si>
  <si>
    <t>ПП</t>
  </si>
  <si>
    <t xml:space="preserve">ТЕХНОЛОГИЧЕСКАЯ КАРТА </t>
  </si>
  <si>
    <t>ПРОМЫШЛЕННОЕ ПОИЗВОДСТВО</t>
  </si>
  <si>
    <t>ТЕХНОЛОГИЧЕСКАЯ КАРТА № 294</t>
  </si>
  <si>
    <t>ИКРА МОРКОВНАЯ</t>
  </si>
  <si>
    <t>ТЕХНИКО-ТЕХНОЛОГИЧЕСКАЯ КАРТА № 10</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</si>
  <si>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№285</t>
  </si>
  <si>
    <t>ТЕХНИКО-ТЕХНОЛОГИЧЕСКАЯ КАРТА № 12</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</si>
  <si>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№372</t>
  </si>
  <si>
    <t>МОЛОКО 2,5%</t>
  </si>
  <si>
    <t>МУКА ПШЕНИЧНАЯ ВЫСШИЙ СОРТ</t>
  </si>
  <si>
    <t xml:space="preserve"> У печени снимаем плёнки, жир и сосуды, после чего ополосните её холодной водой и промокните бумажным полотенцем.
Печень нарезаем на очень ь мелкие кусочки и слегка обжариваем.(до полуготовности)
Очищенный репчатый лук нарезаем мелким кубиком, пассеруем.
Очищенную морковь пропускаем через крурную терку и пассеруем.
Очищенный картофель нарезаем тонким кругом или полукругом.
Заранее размешиваем молоко, сметану и манную крупу, чтобы манная крупа набухла.Только после набухания крупы добавляем муку и хорошо размешивакм, чтобы не было комочков.
В гастроемкость сначала укладываем подготовленную печень, на нее раскладываем пассерованные овощи, заливаем 1/2  набухшего соуса, сверху укладываем подготовленный картофель.Заливаем оставшимся соусом и посыпаем натертым сыром.
Запекаем в ПКШ  при температуре 160 гр. -25-30 минут.
8</t>
  </si>
  <si>
    <t>Оптимальная температура подачи  +14° С.</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</si>
  <si>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№82</t>
  </si>
  <si>
    <t>Сборник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№311</t>
  </si>
  <si>
    <t>ТЕХНИКО-ТЕХНОЛОГИЧЕСКАЯ КАРТА № 14</t>
  </si>
  <si>
    <t>Температура подачи блюда +75С</t>
  </si>
  <si>
    <t>Подают на пирожковой тарелке. Оптимальная температура подачи +65° С.</t>
  </si>
  <si>
    <t>ТЕХНИКО-ТЕХНОЛОГИЧЕСКАЯ КАРТА № 1</t>
  </si>
  <si>
    <t>Наименование сборника рецептур: АКТ ПРОРАБОТКИ</t>
  </si>
  <si>
    <t>ТЕХНИКО-ТЕХНОЛОГИЧЕСКАЯ КАРТА № 4</t>
  </si>
  <si>
    <t>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№224</t>
  </si>
  <si>
    <t>ТЕХНИКО-ТЕХНОЛОГИЧЕСКАЯ КАРТА № 21</t>
  </si>
  <si>
    <t>ТЕХНИКО-ТЕХНОЛОГИЧЕСКАЯ КАРТА № 15</t>
  </si>
  <si>
    <t>Сборник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№315</t>
  </si>
  <si>
    <t>ТЕХНИКО-ТЕХНОЛОГИЧЕСКАЯ КАРТА № 16</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</si>
  <si>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№206</t>
  </si>
  <si>
    <t>ТЕХНИКО-ТЕХНОЛОГИЧЕСКАЯ КАРТА № 11</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</si>
  <si>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№264</t>
  </si>
  <si>
    <t>Температура подачи не менее +65 С</t>
  </si>
  <si>
    <t>ТЕХНИКО-ТЕХНОЛОГИЧЕСКАЯ КАРТА № 13</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</si>
  <si>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№49</t>
  </si>
  <si>
    <t>ТЕХНИКО-ТЕХНОЛОГИЧЕСКАЯ КАРТА № 3</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</si>
  <si>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№51</t>
  </si>
  <si>
    <t>ТЕХНИКО-ТЕХНОЛОГИЧЕСКАЯ КАРТА № 9</t>
  </si>
  <si>
    <t>ТЕХНИКО-ТЕХНОЛОГИЧЕСКАЯ КАРТА № 6</t>
  </si>
  <si>
    <t>Сборник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№142</t>
  </si>
  <si>
    <t>ТЕХНИКО-ТЕХНОЛОГИЧЕСКАЯ КАРТА № 17</t>
  </si>
  <si>
    <t>. Оптимальная температура подачи 14° С.</t>
  </si>
  <si>
    <t xml:space="preserve"> Сборника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№308</t>
  </si>
  <si>
    <t xml:space="preserve"> Сборника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№311</t>
  </si>
  <si>
    <r>
      <t xml:space="preserve"> </t>
    </r>
    <r>
      <rPr>
        <b/>
        <sz val="10"/>
        <color rgb="FF000000"/>
        <rFont val="Times New Roman"/>
        <family val="1"/>
        <charset val="204"/>
      </rPr>
      <t xml:space="preserve">За основу приготовления данного блюда взяты рекомендации из </t>
    </r>
  </si>
  <si>
    <r>
      <t xml:space="preserve">     </t>
    </r>
    <r>
      <rPr>
        <b/>
        <sz val="10"/>
        <color rgb="FF000000"/>
        <rFont val="Times New Roman"/>
        <family val="1"/>
        <charset val="204"/>
      </rPr>
      <t xml:space="preserve">За основу приготовлния данного блюда взяты рекомендации из </t>
    </r>
  </si>
  <si>
    <t>МАСЛО СЛАДКО-СЛИВОЧНОЕ</t>
  </si>
  <si>
    <t>КУРИНЫЕ ОКОРОЧКА БЕЗ КОСТИ И КОЖИ</t>
  </si>
  <si>
    <t>ТЕХНИКО-ТЕХНОЛОГИЧЕСКАЯ КАРТА № 23</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</si>
  <si>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№388,349</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</si>
  <si>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№338</t>
  </si>
  <si>
    <t>ТЕХНИКО-ТЕХНОЛОГИЧЕСКАЯ КАРТА №24</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</si>
  <si>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№99</t>
  </si>
  <si>
    <t xml:space="preserve">ТЫКВА, ПРИПУЩЕННАЯ С ЯБЛОКАМИ </t>
  </si>
  <si>
    <t>ЯБЛОКИ сушеные</t>
  </si>
  <si>
    <t>ПЛОВ ИЗ ЦЫПЛЕНКА</t>
  </si>
  <si>
    <t>МЯКОТЬ ЦЫПЛЕНКА  БЕЗ КОСТИ И КОЖИ</t>
  </si>
  <si>
    <t>ТЕХНОЛОГИЧЕСКАЯ КАРТА № 451</t>
  </si>
  <si>
    <t>ПИРОЖКИ ПЕЧЕНЫЕ С КАПУСТОЙ</t>
  </si>
  <si>
    <t>451</t>
  </si>
  <si>
    <t>ТЕСТО ДРОЖЖЕВОЕ</t>
  </si>
  <si>
    <t>48</t>
  </si>
  <si>
    <t>30,4</t>
  </si>
  <si>
    <t>ДРОЖЖИ СУХИЕ</t>
  </si>
  <si>
    <t>11,7</t>
  </si>
  <si>
    <t>ФАРШ ИЗ СВЕЖЕЙ КАПУСТЫ</t>
  </si>
  <si>
    <t>34</t>
  </si>
  <si>
    <t>50,2</t>
  </si>
  <si>
    <t>40,2</t>
  </si>
  <si>
    <t>5,02</t>
  </si>
  <si>
    <t>0,24</t>
  </si>
  <si>
    <t>0,08 шт.</t>
  </si>
  <si>
    <t>8 шт.</t>
  </si>
  <si>
    <t>7,391</t>
  </si>
  <si>
    <t>0,03</t>
  </si>
  <si>
    <t>Дрожжевое тесто, приготовленное опарным или безопарным способом, выкладывают на подпиленной мукой стол, отрезают от него кусок массой 1-1,5 кг, закатывают его в жгут и делят на куски требуемой массы (58, 43 и 22 г соответственно). Затем куски формируют в шарики, дают им расстояться 5-6 мин и раскатывают на круглые лепешки толщиной 0,5-1 см. На середину каждой лепешки кладут фарш и защипывают края, придавая пирожку форму «лодочки», «полумесяца», цилиндрическую и др.
Сформированные пирожки укладывают швом вниз на кондитерский лист, предварительно смазанный растительным маслом. Пирожки выпекают при температуре 200-240° С 8-10 мин.
Прилегание. В случае использовании жидкого повидла часть его (8-10%) заменяют мукой.
Тесто дрожжевое
Дрожжевое тестоприготовляют двумя способами - опарным и безопарным.
Безопарным способом тесто приготовляют преимущественно для изделий с малым содержанием сдобы (сахара, масла), опарным — для изделий с большим содержанием сдобы (тесто дрожжевое сдобное).
Безопарный способ.
В дежу тестомесильной машины вливают подогретую до температуры 35-40° С воду, предварительно разведенные в воде с температурой не выше 40° С и процеженные дрожжи, сахар, соль, добавляют яйца, всыпают муку и все перемешивают в течение 7-8 мин. После этого вводят размягченное масло и замешивают тесто до тех пор, пока оно приобретет однородную консистенцию и будет легко отделяться от стенок дежи.
Дежу закрывают крышкой и ставят на 3-4 ч для брожения в помещение с температурой 35-40° С. Когда тесто увеличится в объеме в 1,5 раза, производят обминку в течение 1-2 мин и вновь оставляют для брожения, в процессе которого тесто обминают еще 1-2 раза. Тесто, приготовленное из муки со слабой клейковиной, обминают 1 раз.
Опарный способ.
В дежу вливают подогретую до температуры 35-40° С воду (60-70% от общего количества жидкости), добавляют разведенные в воде и процеженные дрожжи, всыпают муку (35-60%) и перемешивают до получения однородной массы. Поверхность опары посыпают мукой, дежу накрывают крышкой и ставят в помещение с температурой 35-40° С на 2,5-3 ч для брожения. Когда опара увеличится в объеме в 2-2,5 раза и начнет опадать, к ней добавляют остальную жидкость с растворенными солью и сахаром, яйца, затем все перемешивают, всыпают оставшуюся муку и замешивают тесто. Перед окончанием замеса добавляют размягченное масло. Дежу закрывают крышкой и оставляют на 2-2,5 ч для брожения. За время брожения тесто обминают 2-3 раза.
Фарш из свежей капусты
Свежую очищенную, промытую капусту шинкуют, затем кладут слоем не более 3 см на противень с маслом растительным и жарят до готовности в жарочном шкафу при температуре 180-200° С.
Готовую капусту охлаждают, добавляют соль, пассерованный лук или сваренные вкрутую рубленые яйца, мелко нарезанную зелень петрушки. Солить капусту до жаренья, а также не охлажденную после жаренья нельзя, так как при этом из нее выделится влага, что снизит качество фарша.
Если свежая капуста горчит, ее предварительно бланшируют в течение 3-5 мин, откидывают, обсушивают, а затем обжаривают. Свежую капусту при частом помешивании можно обжарить на плите.</t>
  </si>
  <si>
    <t>Подают на пирожковой тарелке по 1 шт. на порцию.</t>
  </si>
  <si>
    <t>• Внешний вид — изделия в виде лодочки; поверхность румяная, тестовая основа на разрезе пропеченная, пористая;
• цвет поверхности от золотистого до светло-коричневого;
• запах свежевыпеченного пирожка, фарша — свежий; кислый запах перекисшего теста недопустим;
• вкус — свежевыпеченного пирожка с фаршем;
• консистенция — хорошо пропеченная, пористость развитая.</t>
  </si>
  <si>
    <t>БУЛОЧКА ДОМАШНЯЯ  ПП</t>
  </si>
  <si>
    <t>ТЕХНОЛОГИЧЕСКАЯ КАРТА № ПП</t>
  </si>
  <si>
    <t>Выход:200</t>
  </si>
  <si>
    <t>Выход: 250</t>
  </si>
  <si>
    <t>КОТЛЕТЫ  РЫБНЫЕ /СОУС МОЛОЧНЫЙ   100/25</t>
  </si>
  <si>
    <t>Выход: 125</t>
  </si>
  <si>
    <t>Выход:100</t>
  </si>
  <si>
    <t>КОТЛЕТЫ ДОМАШНИЕ С МАСЛОМ 100/5</t>
  </si>
  <si>
    <t>БИТОЧКИ РЫБНЫЕ/МАСЛО СЛИВ 100/5</t>
  </si>
  <si>
    <t>ТЕФТЕЛИ РЫБНЫЕ 100</t>
  </si>
  <si>
    <t>ТЕХНОЛОГИЧЕСКАЯ КАРТА № 45</t>
  </si>
  <si>
    <t>САЛАТ ИЗ БЕЛОКОЧАННОЙ КАПУСТЫ С МОРКОВЬЮ****</t>
  </si>
  <si>
    <t>78,8</t>
  </si>
  <si>
    <t>9,87</t>
  </si>
  <si>
    <t>7,88</t>
  </si>
  <si>
    <t>0,97</t>
  </si>
  <si>
    <t xml:space="preserve">С кочана капусты срезают верхние загрязненные и поврежденные листья, подрезая их у основания. Затем обрезают наружную часть кочерыжки и разрезают кочан пополам. Из каждой половины внутренней части кочана вырезают кочерыжки. Капусту  рекомендуется выдерживать в 3%-ном растворе уксусной кислоты или 10%-ном растворе поваренной соли в течении 10 мин с последующим ополаскиванием проточной водой. Затем капусту шинкуют соломкой, добавляют соль, уксус и нагревают при непрерывном помешивании до тех пор, пока капуста   не станет мягкой (но не потеряет хруста). Затем ее быстро охлаждают, добавляют очищенную промытую и нарезанную соломкой морковь.                                                                                              Заправляют  маслом растительным перед подачей и перемешивают. При перемешивании ингредиентов, входящих в состав блюд, необходимо пользоваться кухонным инвентарем, не касаясь продукта руками.  Хранение заправленных салатов не допускается. </t>
  </si>
  <si>
    <t xml:space="preserve">Внешний вид: компоненты равномерно распределены по всему объему. 
Консистенция:   мягкая, сочная, хрустящая.  
Вкус, запах:  в меру соленый.
Цвет:  свойственный компонентам, входящим в состав блюда. </t>
  </si>
  <si>
    <t>СУП ИЗ ОВОЩЕЙ С ФРИКАДЕЛЬКАМИ 180/70</t>
  </si>
  <si>
    <t>0,14 ШТ</t>
  </si>
  <si>
    <t>14 ШТ</t>
  </si>
  <si>
    <t>МАСЛО СЛИВОЧНОЕ</t>
  </si>
  <si>
    <t>1,55 ШТ</t>
  </si>
  <si>
    <t>155 ШТ</t>
  </si>
  <si>
    <t>Выход: 80</t>
  </si>
  <si>
    <t>2,016 шт</t>
  </si>
  <si>
    <t>202 шт</t>
  </si>
  <si>
    <t>ЗАПЕКАНКА ИЗ ТВОРОГА / МОЛОКО СГУЩ 200/20</t>
  </si>
  <si>
    <t>Выход: 220</t>
  </si>
  <si>
    <t>0,2 шт</t>
  </si>
  <si>
    <t>20 шт</t>
  </si>
  <si>
    <t>КОТЛЕТЫ РЫБНЫЕ/СОУС СМЕТАННЫЙ 100/25</t>
  </si>
  <si>
    <t>ЗАПЕКАНКА ИЗ ТВОРОГА/ПОВИДЛО 200/20</t>
  </si>
  <si>
    <t>0,416 шт</t>
  </si>
  <si>
    <t>41,5 шт</t>
  </si>
  <si>
    <t>МУКА ВЫСШИЙ СОРТ</t>
  </si>
  <si>
    <t>153 шт</t>
  </si>
  <si>
    <t>ЗАПЕКАНКА ИЗ ПЕЧЕНИ С РИСОМ/ СОУС ТОМАТНЫЙ С ОВОЩАМИ 200/20</t>
  </si>
  <si>
    <t>0,26 шт</t>
  </si>
  <si>
    <t>26 шт</t>
  </si>
  <si>
    <t>0,08 шт</t>
  </si>
  <si>
    <t>8 шт</t>
  </si>
  <si>
    <t>ЗАПЕКАНКА ИЗ ТВОРОГА С  ТЫКВОЙ / ПОВИДЛО 200/20</t>
  </si>
  <si>
    <t>117 шт</t>
  </si>
  <si>
    <t>КОТЛЕТЫ РЫБНЫЕ С МАСЛОМ  110/5</t>
  </si>
  <si>
    <t xml:space="preserve">"УТВЕРЖДАЮ"
Индивидуальный предприниматель
В.А.Тульментьева
_________В.А.Тульментьева
01 ИЮНЯ  2023 г.
</t>
  </si>
  <si>
    <t>ТЕХНОЛОГИЧЕСКАЯ КАРТА № 111</t>
  </si>
  <si>
    <t>СУП С МАКАРОННЫМИ ИЗДЕЛИЯМИ</t>
  </si>
  <si>
    <t>111</t>
  </si>
  <si>
    <t>237,5</t>
  </si>
  <si>
    <t>23,75</t>
  </si>
  <si>
    <t>В кипящий бульон или воду кладут подготовленные макароны, доводят до кипения, добавляют слегка пассерованные или припущенные овощи, томатное пюре и варят суп до готовности. При приготовлении супа с вермишелью и фигурными изделиями в кипящий бульон или воду кладут подготовленные овощи, томатное пюре и варят с момента закипания 5-8 мин, после чего добавляют вермишель или фигурные изделия и суп варят до готовности.</t>
  </si>
  <si>
    <t>Внешний вид: овощи и макаронные изделия сохранили форму.
Консистенция: овощи - мягкие; макаронные изделия - хорошо набухшие, мягкие.
Цвет: бульона - золотистый, жира на поверхности - светло-оранжевый.
Вкус: овощей, макаронных изделий, умеренно соленый.
Запах: овощей и макаронных изделий</t>
  </si>
  <si>
    <t>4,4</t>
  </si>
  <si>
    <t>КИСЕЛЬ ИЗ ЯБЛОК СУШЕНЫХ НА СОКЕ</t>
  </si>
  <si>
    <t>Промытые сушеные яблоки заливают горячей водой и оставляют в закрытой посуде на 2 часа, для набухания. Варят их в той же воде 20-30 мин, при слабом кипении и протирают.Остужают и добавляют яблочный сок. В остальном готовят так же, как описано в рец. №352
Кисель средней густоты охлаждают, при отпуске разливают по 150-200 г в стаканы, можно посыпать сахаром в количестве 5-8% от нормы, предусмотренной рецептурой. Кисели подают охлажденными до температуры 12-14 °С.</t>
  </si>
  <si>
    <t>ТЕХНИКО-ТЕХНОЛОГИЧЕСКАЯ КАРТА № 35</t>
  </si>
  <si>
    <t>СТОЖКИ КУРИНЫЕ С ОВОЩАМИ</t>
  </si>
  <si>
    <t>1. ОБЛАСТЬ ПРИМЕНЕНИЯ</t>
  </si>
  <si>
    <t>Настоящая технико-технологическая карта распространяется на блюдо "СТОЖКИ КУРИНЫЕ С ОВОЩАМИ", вырабатываемое и реализуемое ООО "ВИТА ЛАЙН".</t>
  </si>
  <si>
    <t>2. ТРЕБОВАНИЯ К СЫРЬЮ</t>
  </si>
  <si>
    <t>Продовольственное сырье, пищевые продукты и полуфабрикаты, используемые для приготовления блюда "СТОЖКИ КУРИНЫЕ С ОВОЩАМИ", должны соответствовать требованиям действующих нормативных и технических документов, иметь сопроводительные документы, подтверждающие их безопасность и качество (сертификат соответствия, санитарно-эпидемиологическое заключение, удостоверение безопасности и качества, и пр.).</t>
  </si>
  <si>
    <t>3. РЕЦЕПТУРА</t>
  </si>
  <si>
    <t>Наименование сырья и продуктов</t>
  </si>
  <si>
    <t>Расход сырья и продуктов на 1 порцию, г</t>
  </si>
  <si>
    <t>Расход сырья и продуктов на 100 порций, кг</t>
  </si>
  <si>
    <t>брутто</t>
  </si>
  <si>
    <t>нетто</t>
  </si>
  <si>
    <t>79,17</t>
  </si>
  <si>
    <t>76</t>
  </si>
  <si>
    <t>7,92</t>
  </si>
  <si>
    <t>7,6</t>
  </si>
  <si>
    <t>0,67 шт.</t>
  </si>
  <si>
    <t>26,97</t>
  </si>
  <si>
    <t>67 шт.</t>
  </si>
  <si>
    <t>17,86</t>
  </si>
  <si>
    <t>1,79</t>
  </si>
  <si>
    <t>4. ТЕХНОЛОГИЧЕСКИЙ ПРОЦЕСС</t>
  </si>
  <si>
    <t>Подготовка сырья производится в соответствии с рекомендациями сборника "За основу приготовления данного блюда взяты рекомендации из
Сборник рецептур на продукцию для обучающихся во всех образовательных учреждениях / под редакцией М.П. Могильного и В.А. Тутельяна.-М.: ДеЛи принт, 2017.-544с.", санитарных норм и правил и технологическими рекомендациями для импортного сырья.
Подготовленную мякоть птицы пропускают через мясорубку вместе с луком репчатым, предварительно замоченным хлебом, солят. Фарш отбивают и формуют по 2 плоские котлеты на 1 порцию блюда.
Яйцо вареное мелко нарезают, лук репчатый пассеруют в сливочном масле.
Варят картофельное пюре.
Сыр натирают на терке.
Собирают стожок:
наверх плоской котлеты укладывают пассерованный лук , затем- картофельное пюре, далее- тертое яйцо и сверху посыпают сыром.
Запекают при  температуре + 160С 20-30 минут до полной готовности.</t>
  </si>
  <si>
    <t>5. ТРЕБОВАНИЯ К ОФОРМЛЕНИЮ, РЕАЛИЗАЦИИ И ХРАНЕНИЮ</t>
  </si>
  <si>
    <t>Оптимальная температура подачи блюда 65 С
Срок хранения до реализации - не более 1 часа.
Срок реализации согласно СанПиН 2.3/2.4.3590-20 - не более 2 часов с момента приготовления.</t>
  </si>
  <si>
    <t>6. ПОКАЗАТЕЛИ КАЧЕСТВА И БЕЗОПАСНОСТИ</t>
  </si>
  <si>
    <t>6.1. Органолептические показатели качества:</t>
  </si>
  <si>
    <t>Внешний вид: ; блюдо аккуратно оформлено. 
Консистенция: корочки - хрустящая, внутри - мягкая, сочная. 
Цвет:  - золотистый
Вкус: мяса запеченной птицы с картофелем, умеренно соленый. 
Запах: запеченного мяса птицы (данного вида), приятный.</t>
  </si>
  <si>
    <t>6.2. Микробиологические показатели безопасности блюда, должны соответствовать требованиям ТР ТС 021/2011, приложения 1, 2. Показатели качества и безопасности: физико-химические показатели, содержание токсичных элементов, антибиотиков, нитратов, пестицидов, микотоксинов, радионуклидов и др. должны соответствовать требованиям ТР ТС 021/2011, приложение 3.</t>
  </si>
  <si>
    <t>7. ПИЩЕВАЯ ЦЕННОСТЬ</t>
  </si>
  <si>
    <t>24,05</t>
  </si>
  <si>
    <t>181,91</t>
  </si>
  <si>
    <t>25,18</t>
  </si>
  <si>
    <t>5,69</t>
  </si>
  <si>
    <t>47,73</t>
  </si>
  <si>
    <t>21,90</t>
  </si>
  <si>
    <t>314,68</t>
  </si>
  <si>
    <t>415,52</t>
  </si>
  <si>
    <t>1,15</t>
  </si>
  <si>
    <t>3,48</t>
  </si>
  <si>
    <t>0,67</t>
  </si>
  <si>
    <t>602,32</t>
  </si>
  <si>
    <t>15,00</t>
  </si>
  <si>
    <t>Выход: 210</t>
  </si>
  <si>
    <t xml:space="preserve">ПАСТА С КУРИЦЕЙ </t>
  </si>
  <si>
    <t>ТЕФТЕЛИ РЫБНЫЕ /СОУС ТОМАТНЫЙ С ОВОЩАМИ  130/15</t>
  </si>
  <si>
    <t>Выход: 130/15</t>
  </si>
  <si>
    <t>ТЕХНИКО-ТЕХНОЛОГИЧЕСКАЯ КАРТА №  25</t>
  </si>
  <si>
    <t>ЗАПЕКАНКА  ОВОЩНАЯ  С КУРИЦЕЙ</t>
  </si>
  <si>
    <t>ТТК 25</t>
  </si>
  <si>
    <t>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№284</t>
  </si>
  <si>
    <t>КУРИНАЯ ГРУДКА ФИЛЕ</t>
  </si>
  <si>
    <t>2,81</t>
  </si>
  <si>
    <t>27,5</t>
  </si>
  <si>
    <t>2,75</t>
  </si>
  <si>
    <t>Подготовленное мясо подвергают тепловой обработке: мясо обжаривают и тушат. Готовые продукты пропускают через мясорубку, добавляют пассерованный )лук. Протертый вареный картофель делят на две равные части. Одну часть кладут на смазанный маслом противень или сковороду, разравнивают, кладут куриный фарш,на него пассерованные овощи (морковь, капусту), а на него оставшуюся часть картофеля. После разравнивания изделие сбрызгивают маслом сливочным и запекают около часа при температуре 220-250° С.</t>
  </si>
  <si>
    <t>При отпуске запеканку нарезают по одному куску на порцию. Оптимальная температура подачи 65° С.</t>
  </si>
  <si>
    <t>• Внешний вид — кусочек запеканки прямоугольной формы (рулета — круглой формы) уложен на тарелку, полит маслом, поверхность изделия ровная, без трещин, с поджаристой корочкой, на разрезе виден мясной фарш;
• цвет поверхности — золотисто-коричневый, картофельной основы — от светло-кремового до кремового, мясного фарша — темно-серый или коричневатый;
• вкус, запах — характерный для запеченного картофеля и жареного мяса;
• консистенция — мягкая.</t>
  </si>
  <si>
    <t>"УТВЕРЖДАЮ"
Заведующий 
_________
01 августа 2023 г</t>
  </si>
  <si>
    <t>ТЕХНОЛОГИЧЕСКАЯ КАРТА № 372</t>
  </si>
  <si>
    <t xml:space="preserve">ЯБЛОКИ ПЕЧЕНЫЕ </t>
  </si>
  <si>
    <t>372</t>
  </si>
  <si>
    <t>105,6</t>
  </si>
  <si>
    <t>10,56</t>
  </si>
  <si>
    <t>15,38</t>
  </si>
  <si>
    <t>1,54</t>
  </si>
  <si>
    <t xml:space="preserve">Из яблок, не очищая кожицы, удаляют семенные гнезда; образовавшиеся отверстия заполняют сахаром. Затем их кладут на противень, подливают небольшое количество воды и запекают в жарочном шкафу 15-20 мин (в зависимости от сорта яблок).  Отпускают 80 г яблок горячими или холодными, посыпанными рафинадной пудрой (+5 г), или с соусом вишневым №334 или клюквенным №361 (2012) (+30 г), или с повидлом (+20 г).
Указанные в данной технологической карте соусы взяты из текущего справочника 2011 года и из справочника "Сборник рецептур блюд и кулинарных изделий для питания детей в дошкольных организациях / под редакцией М.П. Могильного и В.А. Тутельяна.-М.: ДеЛи принт, 2012.-584с."      
</t>
  </si>
  <si>
    <t>Внешний вид: яблоки сохраняют свою форму, сверху румяная корочка
Консистенция: мягкая, сочная
Цвет: золотистый
Вкус: кисло-сладкий
Запах: печеных яблок и варенья</t>
  </si>
  <si>
    <t>ТЕХНОЛОГИЧЕСКАЯ КАРТА № 184</t>
  </si>
  <si>
    <t>КАША ОВСЯНАЯ "ГЕРКУЛЕС" ВЯЗКАЯ</t>
  </si>
  <si>
    <t>184</t>
  </si>
  <si>
    <t>ОВСЯНЫЕ ХЛОПЬЯ "ГЕРКУЛЕС"</t>
  </si>
  <si>
    <t>42,6</t>
  </si>
  <si>
    <t>4,26</t>
  </si>
  <si>
    <t>95,5</t>
  </si>
  <si>
    <t>9,55</t>
  </si>
  <si>
    <t>Хлопья овсяные «Геркулес» засыпают в кипящее молоко с водой и варят до готовности.
Соотношение молока и воды принимается следующее: 60% молока, 40% воды.</t>
  </si>
  <si>
    <t>Молочные вязкие каши отпускают в горячем виде с растопленным и прокипяченным маслом сливочным. Масло сливочное можно положить кусочком. Оптимальная температура блюда 65° С.</t>
  </si>
  <si>
    <t>• Внешний вид — зерна крупы набухшие, полностью разварены. Каша заправлена сливочным маслом или сахаром;
• цвет — свойственный виду крупы;
• вкус — умеренно сладкий и соленый, с выраженным вкусом молока и привкусом сливочного масла;
• запах — свойственный виду крупы и молока;
• консистенция — однородная, вязкая, зерна мягкие.</t>
  </si>
  <si>
    <t>105</t>
  </si>
  <si>
    <t>Оптимальная температура подачи блюда 75 С</t>
  </si>
  <si>
    <t>Внешний вид: в жидкой части супа макаронные изделия сохранили форму. 
Консистенция: макаронные изделия хорошо набухшие, мягкие, соблюдается соотношение жидкой и плотной части. 
Цвет: молочно-белый, сливочного масла - желтый. 
Вкус: сладковатый, умеренно соленый, с привкусом сливочного масла. 
Запах: кипяченого молока, выражен аромат свежего масла.</t>
  </si>
  <si>
    <t>ТЕХНОЛОГИЧЕСКАЯ КАРТА № 118.2</t>
  </si>
  <si>
    <t>СУП С КЛЕЦКАМИ</t>
  </si>
  <si>
    <t>118.2</t>
  </si>
  <si>
    <t>12,51</t>
  </si>
  <si>
    <t xml:space="preserve">КЛЕЦКИ </t>
  </si>
  <si>
    <t>15,4</t>
  </si>
  <si>
    <t>0,11 шт.</t>
  </si>
  <si>
    <t>11 шт.</t>
  </si>
  <si>
    <t>9,565</t>
  </si>
  <si>
    <t>24,2</t>
  </si>
  <si>
    <t>2,42</t>
  </si>
  <si>
    <t>212,5</t>
  </si>
  <si>
    <t>21,25</t>
  </si>
  <si>
    <t>В кипящий бульон или воду кладут петрушку, слегка пассерованные или припущенные морковь, лук и варят до готовности, за 5-10 мин до окончания варки добавляют соль.
Клецки варят в небольшом количестве бульона и кладут в суп при отпуске.
Клецки 
В воду или молоко кладут масло сливочное, соль и доводят до кипения. В кипящую жидкость, помешивая, всыпают муку и заваривают тесто, которое, не переставая помешивать, прогревают в течение 5-10 мин. После этого массу охлаждают до 60-70 °С, добавляют в 3-4 приема сырые яйца и перемешивают. Приготовленное тесто закатывают в виде жгута и нарезают на кусочки массой 10-15 г. Для варки клецек на 1 кг берут 5 л жидкости. Варят при слабом кипении 5-7 мин.</t>
  </si>
  <si>
    <t>Внешний вид: овощи нарезаны кубиками, сохранили форму нарезки. Клецки одинакового размера, не разварившиеся. 
Консистенция: овощи - мягкие; клецки - мягкие. 
Цвет: бульона - прозрачный, золотистый, жира на поверхности - светло-оранжевый. 
Вкус: супа — умеренно соленый, овощей.
Запах: овощей, клецек</t>
  </si>
  <si>
    <t>ПЕЧЕНЬЕ САХАРНОЕ ФИГУРНОЕ</t>
  </si>
  <si>
    <t>МОЛОКО</t>
  </si>
  <si>
    <t>ТЕХНОЛОГИЧЕСКАЯ КАРТА № 359</t>
  </si>
  <si>
    <t>КИСЕЛЬ ИЗ СОКА ПЛОДОВОГО ИЛИ ЯГОДНОГО С САХАРОМ</t>
  </si>
  <si>
    <t>359</t>
  </si>
  <si>
    <t>80</t>
  </si>
  <si>
    <t>Сок плодовый или ягодный с сахаром (50% от нормы, указанной в рецептуре) разбавляют водой, добавляют сахар и доводят до кипения. В полученный сироп вводят подготовленный крахмал, добавляют остальной сок и вновь доводят до кипения.
Кисель средней густоты охлаждают, при отпуске разливают по 150-200 г в стаканы, можно посыпать сахаром в количестве 5-8% от нормы, предусмотренной рецептурой. Кисели подают охлажденными до температуры 12-14 °С.</t>
  </si>
  <si>
    <t>Оптимальная температура подачи +14С</t>
  </si>
  <si>
    <t>Внешний вид: однородная прозрачная масса, без пленки на поверхности
Консистенция: однородная, средней густоты, слегка желеобразная
Цвет: сока плодового или ягодного
Вкус: сладкий с кисловатым привкусом
Запах: сока плодового или ягодного</t>
  </si>
  <si>
    <t>МАСЛО СЛАДКО-СЛИВОЧНОЕ 72,5%</t>
  </si>
  <si>
    <t>ТЕХНОЛОГИЧЕСКАЯ КАРТА № 228</t>
  </si>
  <si>
    <t>РЫБА, ПРИПУЩЕННАЯ В МОЛОКЕ</t>
  </si>
  <si>
    <t>228</t>
  </si>
  <si>
    <t>164</t>
  </si>
  <si>
    <t>82,66</t>
  </si>
  <si>
    <t>16,4</t>
  </si>
  <si>
    <t>8,27</t>
  </si>
  <si>
    <t>33,33</t>
  </si>
  <si>
    <t>3,33</t>
  </si>
  <si>
    <t>23,8</t>
  </si>
  <si>
    <t>2,38</t>
  </si>
  <si>
    <t>Порционные куски рыбы, нарезанные из филе с кожей без костей, перекладывают луком, нарезанным полукольцами, заливают молоком, добавляют масло растительное и припускают 20-25 мин.
Отпускают рыбу с соусом, в котором она припускалась, гарнируют.
Гарниры - картофель отварной, пюре картофельное.
Норма на порцию: гарнира - 75-150 г, соли - 2 г, лаврового листа - 0,01 г.
При отпуске рыбные блюда посыпают измельченной зеленью петрушки, сельдерея или укропа (1-3 г нетто на порцию) или оформляют веточкой зелени.
Рыбу припускают порционными кусками, нарезанными из филе с кожей. 
Рыбу припускают в рыбных котлах, снабженных решетками, при закрытой крышке. Подготовленную для припускания рыбу кладут в посуду в один ряд кожей вниз, подливают воду (0,3 л жидкости на 1 кг рыбы) так, чтобы жидкость покрыла рыбу на 1/3 толщины куска. Бульон, полученный при припускании рыбы, можно использовать для приготовления рыбных первых блюд и соусов.</t>
  </si>
  <si>
    <t>Оптимальная температура подачи +65С</t>
  </si>
  <si>
    <t>Внешний вид: целый припущенный кусок рыбы уложен на тарелку вместе с соусом, сбоку гарнир.
Консистенция: мягкая, допускается легкое расслаивание мякоти у трески. 
Цвет: рыбы на разрезе - белый или светло-серый. 
Вкус: рыбы в сочетании с соусом, умеренно соленый.
Запах: рыбный с ароматом молока и лука.</t>
  </si>
  <si>
    <t>ТЕХНИКО-ТЕХНОЛОГИЧЕСКАЯ КАРТА № 27</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</si>
  <si>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t>
  </si>
  <si>
    <t>МАКАРОНЫ В МОЛОКЕ</t>
  </si>
  <si>
    <t>Макаронные изделия варят в воде до полуготовности (макароны -15-20 мин, лапшу 10-12 мин, вермишель5—7 мин), воду сливают, а макаронные изделия закладывают в кипящую смесь молока и воды и, периодически помешивая, варят до готовности, кладут соль, сахар. При отпуске заправляют маслом.
Норма закладки соли  - 6 г на 1000 г готового блюда</t>
  </si>
  <si>
    <t>ТЕХНОЛОГИЧЕСКАЯ КАРТА № 304</t>
  </si>
  <si>
    <t>РИС ОТВАРНОЙ</t>
  </si>
  <si>
    <t>304</t>
  </si>
  <si>
    <t>65,5</t>
  </si>
  <si>
    <t>64,8</t>
  </si>
  <si>
    <t>6,55</t>
  </si>
  <si>
    <t>6,48</t>
  </si>
  <si>
    <t>8,1</t>
  </si>
  <si>
    <t>0,81</t>
  </si>
  <si>
    <t>388,8</t>
  </si>
  <si>
    <t>38,88</t>
  </si>
  <si>
    <t>Подготовленную рисовую крупу кладут в подсоленную кипящую воду (6 л воды, 60 г соли на 1 кг риса) и варят при слабом кипении. Когда зерна набухнут и станут мягкими, рис откидывают и промывают горячей кипяченой водой. После стекания воды рис кладут в посуду, заправляют маслом, перемешивают и прогревают.</t>
  </si>
  <si>
    <t xml:space="preserve"> Оптимальная температура подачи 65° С.</t>
  </si>
  <si>
    <t>Внешний вид: зерна крупы целые, хорошо набухшие, легко разделяются.
Консистенция: рассыпчатая, мягкая, однородная.
Цвет: от белого до кремового.
Вкус: отварного риса с маслом.
Запах: отварного риса с маслом.</t>
  </si>
  <si>
    <t>172</t>
  </si>
  <si>
    <t>137,5</t>
  </si>
  <si>
    <t>17,2</t>
  </si>
  <si>
    <t>13,75</t>
  </si>
  <si>
    <t>4,2</t>
  </si>
  <si>
    <t>0,42</t>
  </si>
  <si>
    <t>3,2</t>
  </si>
  <si>
    <t>0,32</t>
  </si>
  <si>
    <t>0,48</t>
  </si>
  <si>
    <t>1,4</t>
  </si>
  <si>
    <t>0,14</t>
  </si>
  <si>
    <t>0,12</t>
  </si>
  <si>
    <t>Выход: 120</t>
  </si>
  <si>
    <t>ТЕХНОЛОГИЧЕСКАЯ КАРТА № 133</t>
  </si>
  <si>
    <t>КАРТОФЕЛЬ ТУШЕНЫЙ</t>
  </si>
  <si>
    <t>133</t>
  </si>
  <si>
    <t xml:space="preserve">    с 01.01 по 28.02</t>
  </si>
  <si>
    <t>235,38</t>
  </si>
  <si>
    <t>153</t>
  </si>
  <si>
    <t>23,54</t>
  </si>
  <si>
    <t>15,3</t>
  </si>
  <si>
    <t xml:space="preserve">    с 01.03 по 31.07</t>
  </si>
  <si>
    <t>255</t>
  </si>
  <si>
    <t>25,5</t>
  </si>
  <si>
    <t xml:space="preserve">    с 01.08 по 31.08</t>
  </si>
  <si>
    <t>191,25</t>
  </si>
  <si>
    <t>19,13</t>
  </si>
  <si>
    <t xml:space="preserve">    с 01.09 по 31.10</t>
  </si>
  <si>
    <t>204</t>
  </si>
  <si>
    <t>20,4</t>
  </si>
  <si>
    <t xml:space="preserve">    с 01.11 по 31.12</t>
  </si>
  <si>
    <t>218,57</t>
  </si>
  <si>
    <t>21,86</t>
  </si>
  <si>
    <t>24</t>
  </si>
  <si>
    <t>22,5</t>
  </si>
  <si>
    <t>34,2</t>
  </si>
  <si>
    <t>28,8</t>
  </si>
  <si>
    <t>3,42</t>
  </si>
  <si>
    <t>2,88</t>
  </si>
  <si>
    <t>4,1</t>
  </si>
  <si>
    <t>0,41</t>
  </si>
  <si>
    <t>Сырые очищенные картофель и морковь нарезают кубиками или дольками среднего размера, обжаривают. В картофель добавляют пассерованный лук, нарезанный полукольцами или дольками, пассерованную разведенную водой (в соотношении 1:1) томатную пасту, заливают кипящей водой или бульоном (0,2-0,3 л на 1 кг овощей), кладут соль и тушат при слабом нагреве до готовности 20-25 мин.</t>
  </si>
  <si>
    <t>Тушеный картофель кладут горкой на тарелку, можно посыпать мелко нарезанной зеленью. Оптимальная температура подачи 65° С.</t>
  </si>
  <si>
    <t xml:space="preserve">•  Внешний вид — картофель и морковь нарезаны кубиками или дольками, лук — полукольцами, не помяты, не разварены;
•  цвет — соответствует цвету тушеного картофеля с морковью, луком и томатом;
•  вкус — тушеного картофеля и овощей, кисло-сладкий, в меру соленый;
•  запах — тушеного картофеля, с ароматом лука и томата;
•  консистенция — картофель и овощи мягкие, сочные, но не разварены.
</t>
  </si>
  <si>
    <t>КАША ГРЕЧНЕВАЯ РАССЫПЧАТАЯ</t>
  </si>
  <si>
    <t>КРУПА ГРЕЧНЕВАЯ ЯДРИЦА</t>
  </si>
  <si>
    <t>83</t>
  </si>
  <si>
    <t>8,3</t>
  </si>
  <si>
    <t>124,7</t>
  </si>
  <si>
    <t>12,47</t>
  </si>
  <si>
    <t>При отпуске горячую рассыпчатую кашу кладут на тарелку и поливают растопленным и прокипяченным маслом сливочным, можно отпускать с маслом сливочным и сахаром, соответственно увеличив предусмотренную в рецептуре норму выхода блюда.
Кипяченое молоко горячее или холодное подают в стакане или глубокой тарелке вместе с кашей.
Оптимальная температура блюда 65° С.</t>
  </si>
  <si>
    <t>ТЕХНОЛОГИЧЕСКАЯ КАРТА № 171.4</t>
  </si>
  <si>
    <t>КАША РАССЫПЧАТАЯ  ПШЕНИЧНАЯ</t>
  </si>
  <si>
    <t>171.4</t>
  </si>
  <si>
    <t>68,2</t>
  </si>
  <si>
    <t>67,6</t>
  </si>
  <si>
    <t>6,82</t>
  </si>
  <si>
    <t>6,76</t>
  </si>
  <si>
    <t>121,6</t>
  </si>
  <si>
    <t>12,16</t>
  </si>
  <si>
    <t>Подготовленную крупу пшенную или пшеничную всыпают в подсоленную кипящую жидкость. Всплывшие пустотелые зерна удаляют. Кашу варят до загустения, помешивая. Когда каша сделается густой, перемешивание прекращают, закрывают котел крышкой и дают каше упреть около 2,5 ч. За это время она приобретает своеобразный приятный запах и цвет. При отпуске горячую рассыпчатую кашу кладут на тарелку и поливают растопленным маслом (10 г) или посыпают сахаром (10 г). Молоко к каше отпускают в глубокой тарелке вместе с кашей или подают отдельно в стакане.</t>
  </si>
  <si>
    <t>ТЕХНОЛОГИЧЕСКАЯ КАРТА № 207</t>
  </si>
  <si>
    <t>МАКАРОННИК</t>
  </si>
  <si>
    <t>207</t>
  </si>
  <si>
    <t>61,6</t>
  </si>
  <si>
    <t>6,16</t>
  </si>
  <si>
    <t>176,9</t>
  </si>
  <si>
    <t>17,69</t>
  </si>
  <si>
    <t>0,19 шт.</t>
  </si>
  <si>
    <t>7,7</t>
  </si>
  <si>
    <t>19 шт.</t>
  </si>
  <si>
    <t>0,77</t>
  </si>
  <si>
    <t>4,7</t>
  </si>
  <si>
    <t>0,47</t>
  </si>
  <si>
    <t>Макароны варят в воде не откидывая. В охлажденные до 60-70 °С макароны добавляют яйца, взбитые с сахаром, и перемешивают. Массу выкладывают на смазанный маслом противень, посыпают сухарями и запекают. При подаче нарезают на порции. При отпуске макаронник поливают прокипяченным сливочным маслом.</t>
  </si>
  <si>
    <t>Внешний вид: аккуратно нарезанные куски в виде ромбов или квадратов, политы сливочным маслом
Консистенция: рыхлая, сочная, мягкая
Цвет: корочки — румяно-золотистый, на разрезе - от светло-кремового до кремового
Вкус: свойственный макаронам и яйцам, умеренно соленый, умеренно сладкий
Запах: запеченных макаронных изделий и яиц</t>
  </si>
  <si>
    <t>ТЕХНОЛОГИЧЕСКАЯ КАРТА № 95</t>
  </si>
  <si>
    <t xml:space="preserve">СУП ВЕГЕТАРИАНСКИЙ ПАУТИНКА СО СМЕТАНОЙ </t>
  </si>
  <si>
    <t>95</t>
  </si>
  <si>
    <t>0,28 шт.</t>
  </si>
  <si>
    <t>11,3</t>
  </si>
  <si>
    <t>28 шт.</t>
  </si>
  <si>
    <t>1,13</t>
  </si>
  <si>
    <t>154,62</t>
  </si>
  <si>
    <t>100,5</t>
  </si>
  <si>
    <t>15,46</t>
  </si>
  <si>
    <t>10,05</t>
  </si>
  <si>
    <t>167,5</t>
  </si>
  <si>
    <t>16,75</t>
  </si>
  <si>
    <t>125,63</t>
  </si>
  <si>
    <t>12,56</t>
  </si>
  <si>
    <t>134</t>
  </si>
  <si>
    <t>13,4</t>
  </si>
  <si>
    <t>143,57</t>
  </si>
  <si>
    <t>14,36</t>
  </si>
  <si>
    <t>18,75</t>
  </si>
  <si>
    <t>1,88</t>
  </si>
  <si>
    <t>285</t>
  </si>
  <si>
    <t>28,5</t>
  </si>
  <si>
    <t xml:space="preserve">
Нарезаем мелким кубиком репчатый  лук, морковь натираем на крупной тёрке, пассеруеи лук и морковь на растительном масле.
 Картошку нарезаем небольшими кубиками со стороной примерно 1 см.
Все овощи закладываем в кипящую воду и варим до готовности.
Тем временем в миску разобьём яйца и хорошенько перемешаем.
 Далее начинаем мешать суп в кастрюле по кругу, делая воронку, . В эту воронку, не переставая мешать, тонкой струйкой вливаем разболтанные яйца.
В процессе яичная смесь будет превращаться в "кудряшки" или "паутинку".
Суп солим по вкусу и томим на медленном огне ещё 2-3 минуты. </t>
  </si>
  <si>
    <t>Внешний вид: картофель и овощи нарезаны кубиками, капуста - шашками, крупа хорошо разварилась, но не потеряла форму.
Консистенция: картофель, коренья - мягкие, крупа - хорошо разварившаяся.
Цвет: бульона - золотистый, жира на поверхности - светло-оранжевый.
Вкус:  умеренно соленый.
Запах: овощей и крупы.</t>
  </si>
  <si>
    <t>21,8</t>
  </si>
  <si>
    <t>21,6</t>
  </si>
  <si>
    <t>2,18</t>
  </si>
  <si>
    <t>2,16</t>
  </si>
  <si>
    <t>2,6</t>
  </si>
  <si>
    <t>0,26</t>
  </si>
  <si>
    <t>0,08</t>
  </si>
  <si>
    <t>129,6</t>
  </si>
  <si>
    <t>12,96</t>
  </si>
  <si>
    <t>Выход: 60</t>
  </si>
  <si>
    <t>ТЕХНОЛОГИЧЕСКАЯ КАРТА № 235</t>
  </si>
  <si>
    <t>РЫБА, ЗАПЕЧЕННАЯ С КАРТОФЕЛЕМ ПО-РУССКИ</t>
  </si>
  <si>
    <t>235</t>
  </si>
  <si>
    <t>РЫБА МИНТАЙ ФИЛЕ</t>
  </si>
  <si>
    <t>7,11</t>
  </si>
  <si>
    <t>118,46</t>
  </si>
  <si>
    <t>77</t>
  </si>
  <si>
    <t>11,85</t>
  </si>
  <si>
    <t>128,33</t>
  </si>
  <si>
    <t>12,83</t>
  </si>
  <si>
    <t>96,25</t>
  </si>
  <si>
    <t>9,63</t>
  </si>
  <si>
    <t>102,67</t>
  </si>
  <si>
    <t>10,27</t>
  </si>
  <si>
    <t>СОУС  СМЕТАННЫЙ С ЛУКОМ И ТОМАТОМ</t>
  </si>
  <si>
    <t>60</t>
  </si>
  <si>
    <t>12,1</t>
  </si>
  <si>
    <t>1,44</t>
  </si>
  <si>
    <t>1,21</t>
  </si>
  <si>
    <t>40,5</t>
  </si>
  <si>
    <t>4,05</t>
  </si>
  <si>
    <t>Сырую рыбу, разделанную на филе с кожей без реберных костей,  посыпают солью, кладут на смазанную маслом сливочным сковороду или противень. Сверху вокруг кусков внахлест укладывают ломтики вареного картофеля, заливают соусом молочным, посыпают сухарями или тертым сыром, поливают маслом и запекают в жарочном шкафу при температуре 250-280° С до образования на поверхности румяной корочки и температуры внутри изделия не ниже 80° С.
Соус  сметанный с луком и томатом1
Пассерованную на масле муку разводят горячим молоком с добавлением воды и варят 7-10 мин при слабом кипении. Затем кладут соль, процеживают и доводят до кипения.</t>
  </si>
  <si>
    <t>При отпуске рыбу, запеченную на противнях, аккуратно перекладывают на подогретые тарелки, вместе с гарниром и соусом. Рыбу, запеченную в порционных сковородах, подают к столу в них же, на подстановочных тарелках. Для естественной витаминизации целесообразно блюдо дополнить ломтиком лимона и посыпать мелко нарубленной зеленью укропа и зеленого лука, включив их дополнительно в рецептуру и выход. Оптимальная температура подачи 65° С.</t>
  </si>
  <si>
    <t>• Внешний вид — на поверхности изделия румяная корочка;
• цвет — золотисто-коричневый;
• вкус, запах — свойственный припущенной рыбе и картофелю в белом соусе;
• консистенция — мягкая, сочная, сохраняет форму.</t>
  </si>
  <si>
    <t>ТЕХНОЛОГИЧЕСКАЯ КАРТА № 229</t>
  </si>
  <si>
    <t>РЫБА, ТУШЕННАЯ В ТОМАТЕ С ОВОЩАМИ</t>
  </si>
  <si>
    <t>229</t>
  </si>
  <si>
    <t>82</t>
  </si>
  <si>
    <t>9,26</t>
  </si>
  <si>
    <t>8,2</t>
  </si>
  <si>
    <t>19,1</t>
  </si>
  <si>
    <t>1,91</t>
  </si>
  <si>
    <t>9,5</t>
  </si>
  <si>
    <t>0,95</t>
  </si>
  <si>
    <t>МАСЛО СЛАДКО-СОЛЕНОЕ СЛИВОЧНОЕ</t>
  </si>
  <si>
    <t xml:space="preserve">Порционные куски рыбы, нарезанные из филе с кожей без костей, укладывают в посуду в два слоя, чередуя со слоями нашинкованных овощей, заливают бульоном или водой, добавляют масло растительное, томатную  пасту, раствор лимонной кислоты, сахар, соль, посуду закрывают крышкой и тушат до готовности (45-60 мин); за 5-7 мин до окончания тушения добавляют специи.
При отпуске рыбу поливают соусом с овощами, в котором она тушилась.
Гарниры - картофель отварной, пюре картофельное.
Также в рецептуре указан раствор лимонной кислоты (без %) массой 2,5 г.
Норма на порцию: гарнира - 75-150 г, соли - 2 г, лаврового листа - 0,01 г.
При отпуске рыбные блюда посыпают измельченной зеленью петрушки, сельдерея или укропа (1-3 г нетто на порцию) или оформляют веточкой зелени.
</t>
  </si>
  <si>
    <t>Внешний вид: целый кусок тушеной рыбы, уложен на тарелку вместе с соусом, сбоку гарнир.
Консистенция: мягкая, допускается легкое расслаивание мякоти у трески, морского окуня. 
Цвет: рыбы на разрезе белый или светло-серый, соуса оранжево-красный, овощей натуральный. 
Вкус: рыбы в сочетании с соусом и овощами, умеренно соленый.
Запах: свойственный тушеной рыбе, с ароматом специй.</t>
  </si>
  <si>
    <t>ТЕХНОЛОГИЧЕСКАЯ КАРТА № 47</t>
  </si>
  <si>
    <t>САЛАТ ИЗ КВАШЕНОЙ КАПУСТЫ</t>
  </si>
  <si>
    <t>47</t>
  </si>
  <si>
    <t>81</t>
  </si>
  <si>
    <t>11,8</t>
  </si>
  <si>
    <t>1,18</t>
  </si>
  <si>
    <t>Квашеную капусту перебирают, крупные части измельчают, затем добавляют шинкованный репчатый или зеленый лук, сахар и заправляют растительным маслом.</t>
  </si>
  <si>
    <t>Внешний вид: салат уложен горкой. Поверхность блестит от растительного масла, лук зеленый мелко нашинкован, лук репчатый - полукольцами.
Консистенция: хрустящая, сочная.
Цвет: белый со слегка темноватым оттенком.
Вкус: квашеной капусты, приятно-кисловатый со слегка ощутимой сладостью. Умеренно соленый.
Запах: свойственный квашеной капусте в смеси с растительным маслом.</t>
  </si>
  <si>
    <t>ТЕХНОЛОГИЧЕСКАЯ КАРТА № 40</t>
  </si>
  <si>
    <t>САЛАТ ИЗ МОРКОВИ И ЗЕЛЕНОГО ГОРОШКА</t>
  </si>
  <si>
    <t xml:space="preserve">Сборник рецептур блюд и кулинарных изделий для питания детей в дошкольных организациях / под редакцией М.П. Могильного и В.А. Тутельяна.-М.: ДеЛи принт, 2012.-584с.        </t>
  </si>
  <si>
    <t>82,27</t>
  </si>
  <si>
    <t>61,7</t>
  </si>
  <si>
    <t>8,23</t>
  </si>
  <si>
    <t>6,17</t>
  </si>
  <si>
    <t>77,13</t>
  </si>
  <si>
    <t>7,71</t>
  </si>
  <si>
    <t>51,3</t>
  </si>
  <si>
    <t>33,3</t>
  </si>
  <si>
    <t>5,13</t>
  </si>
  <si>
    <t>Подготовленную морковь нарезают мелкой соломкой.. Подготовленные морковь и зеленый горошек  соединяют, прогревают при температуре 85 °С не менее 3 минут, заправляют растительным маслом.</t>
  </si>
  <si>
    <t>Внешний вид: морковь и яблоки мелко нарезаны. Салат уложен горкой, заправлен растительным маслом
Консистенция: мягкая, сочная
Цвет: моркови и яблок
Вкус: свойственный моркови и сорту яблок
Запах: свойственный входящим в блюдо продуктам</t>
  </si>
  <si>
    <t>ТЕХНОЛОГИЧЕСКАЯ КАРТА № 67</t>
  </si>
  <si>
    <t>САЛАТ ИЗ МОРКОВИ С ЧЕСНОКОМ</t>
  </si>
  <si>
    <t>67</t>
  </si>
  <si>
    <t>122,27</t>
  </si>
  <si>
    <t>91,7</t>
  </si>
  <si>
    <t>12,23</t>
  </si>
  <si>
    <t>9,17</t>
  </si>
  <si>
    <t>114,63</t>
  </si>
  <si>
    <t>11,46</t>
  </si>
  <si>
    <t>Подготовленную сырую очищенную морковь нарезают мелкой соломкой, добавляют мелко рубленный чеснок и прогревают при постоянном помешивании при температуре 85 °С не менее 3 минут.Заправляют растительным маслом.</t>
  </si>
  <si>
    <t>Внешний вид: морковь нарезана соломкой, салат уложен горкой
Консистенция: мягкая, сочная
Цвет: оранжевый
Вкус: свойственный моркови с чесноком и растительным маслом
Запах: свойственный входящим в блюдо продуктам</t>
  </si>
  <si>
    <t>ТЕХНОЛОГИЧЕСКАЯ КАРТА № 52</t>
  </si>
  <si>
    <t>САЛАТ ИЗ СВЕКЛЫ ОТВАРНОЙ</t>
  </si>
  <si>
    <t>52</t>
  </si>
  <si>
    <t>129,33</t>
  </si>
  <si>
    <t>97</t>
  </si>
  <si>
    <t>12,93</t>
  </si>
  <si>
    <t>121,25</t>
  </si>
  <si>
    <t>12,13</t>
  </si>
  <si>
    <t>Подготовленную свеклу отваривают, затем очищают и измельчают на овощерезке. При отпуске свеклу заправляют чесноком и  маслом растительным.</t>
  </si>
  <si>
    <t>Оптимальная температура подачи блюда +14С</t>
  </si>
  <si>
    <t>Внешний вид: свекла мелко измельчена. Салат уложен горкой, заправлен маслом растительным. Консистенция: мягкая, сочная. 
Цвет: темно-малиновый. 
Вкус: умеренно соленый, свойственный свекле. 
Запах: свеклы.</t>
  </si>
  <si>
    <t>ТЕХНОЛОГИЧЕСКАЯ КАРТА № 70</t>
  </si>
  <si>
    <t>САЛАТ ИЗ СОЛЕНЫХ  ПОМИДОРОВ С ЛУКОМ</t>
  </si>
  <si>
    <t>ТОМАТЫ СОЛЕНЫЕ</t>
  </si>
  <si>
    <t>148,3</t>
  </si>
  <si>
    <t>81,6</t>
  </si>
  <si>
    <t>14,83</t>
  </si>
  <si>
    <t>8,16</t>
  </si>
  <si>
    <t>16,7</t>
  </si>
  <si>
    <t>1,67</t>
  </si>
  <si>
    <t>Огурцы или томаты консервированные откидывают на дуршлаг, дают жидкости стечь. Огурцам и помидорам срезают плодоножку, нарезают дольками или кружочками</t>
  </si>
  <si>
    <t>Оптимальная температура подачи 14 С</t>
  </si>
  <si>
    <t>ОВОЩИ НАТУРАЛЬНЫЕ СОЛЕНЫЕ/ОГУРЦЫ/</t>
  </si>
  <si>
    <t>181,8</t>
  </si>
  <si>
    <t>18,18</t>
  </si>
  <si>
    <t>ОВОЩИ НАТУРАЛЬНЫЕ СОЛЕНЫЕ/ТОМАТЫ/</t>
  </si>
  <si>
    <t>Сборник рецептур на продукцию для обучающихся во всех образовательных учреждениях / под редакцией М.П. Могильного и В.А. Тутельяна.-М.: ДеЛи принт, 2017 .-544с.</t>
  </si>
  <si>
    <t>Можно подавать в многопорционной или однопорционной посуде. Оптимальная температура подачи 75° С.</t>
  </si>
  <si>
    <t xml:space="preserve">• Внешний вид — на поверхности жидкой части блестки масла. В жидкой части супа —  коренья, картофель — дольками, овощи не переварены. Набор компонентов и их соотношение соответствуют рецептуре; 
• цвет бульона — светло-желтый, овощей — натуральный, жира на поверхности — оранжевый;
 • вкус, запах — приятный, , картофеля, пассерованных кореньев, умеренно соленый; 
</t>
  </si>
  <si>
    <t>ТЕХНОЛОГИЧЕСКАЯ КАРТА № 172</t>
  </si>
  <si>
    <t>ХЛОПЬЯ КУКУРУЗНЫЕ ИЛИ ПШЕНИЧНЫЕ С МОЛОКОМ</t>
  </si>
  <si>
    <t>ХЛОПЬЯ КУКУРУЗНЫЕ</t>
  </si>
  <si>
    <t>16,53</t>
  </si>
  <si>
    <t>1,65</t>
  </si>
  <si>
    <t>198,38</t>
  </si>
  <si>
    <t>19,84</t>
  </si>
  <si>
    <t>При отпуске молоко наливают в тарелку, а хлопья подают отдельно.</t>
  </si>
  <si>
    <t>Внешний вид: набухшие хлопья в молоке.
Консистенция: хлопьев - мягкая. 
Цвет: хлопьев - кремовый, молока белый.
Вкус: с выраженным вкусом молока и привкусом хлопьев. 
Запах: кипяченого молока и хлопьев.</t>
  </si>
  <si>
    <t>Можно подавать в многопорционной или однопорционной посуде. Оптимальная температура подачи 65° С.</t>
  </si>
  <si>
    <t>ТЕХНОЛОГИЧЕСКАЯ КАРТА № 209</t>
  </si>
  <si>
    <t>ЯЙЦА ВАРЕНЫЕ</t>
  </si>
  <si>
    <t>209</t>
  </si>
  <si>
    <t>40,25</t>
  </si>
  <si>
    <t>4,03</t>
  </si>
  <si>
    <t xml:space="preserve">Яйца погружают в кипящую подсоленную воду (3 л воды и 40-50 г соли на 10 яиц) и варят вкрутую 8-10 мин с момента закипания. Для облегчения очистки от скорлупы яйца сразу же после варки погружают в холодную воду. </t>
  </si>
  <si>
    <t>Внешний вид: кругло-овальной формы, без трещин на поверхности
Консистенция: умеренно плотная
Цвет: белок - белый, желток - желтый
Вкус: свежего вареного яйца, приятный
Запах: свойственный свежесваренным яйцам</t>
  </si>
  <si>
    <t>ТЕХНОЛОГИЧЕСКАЯ КАРТА № ТТК 85</t>
  </si>
  <si>
    <t>АЗУ С ПТИЦЕЙ И ПШЕНИЧНОЙ КРУПОЙ</t>
  </si>
  <si>
    <t>ТТК 85</t>
  </si>
  <si>
    <t>КАША РАССЫПЧАТАЯ ПШЕНИЧНАЯ</t>
  </si>
  <si>
    <t>37,9</t>
  </si>
  <si>
    <t>37,5</t>
  </si>
  <si>
    <t>3,79</t>
  </si>
  <si>
    <t>3,75</t>
  </si>
  <si>
    <t>67,5</t>
  </si>
  <si>
    <t>6,75</t>
  </si>
  <si>
    <t>0,28</t>
  </si>
  <si>
    <t>21,82</t>
  </si>
  <si>
    <t xml:space="preserve">Мясо, нарезанное брусочками по 10-15 г, обжаривают, заливают горячим бульоном или водой, добавляют пассерованную томатную пасту и тушат в течение 40-50 мин в закрытой посуде при слабом кипении. На оставшемся бульоне приготавливают соус, в который кладут соленые огурцы, нарезанные соломкой, пассерованный лук, соль. Полученным соусом заливают мясо, тушат еще 15-20 мин.
За 5-10 мин до готовности кладут лавровый лист. Для удобства порционирования крупу надо варить отдельно
Каша рассыпчатая пшеничная
Подготовленную крупу пшенную или пшеничную всыпают в подсоленную кипящую жидкость. Всплывшие пустотелые зерна удаляют. Кашу варят до загустения, помешивая. Когда каша сделается густой, перемешивание прекращают, закрывают котел крышкой и дают каше упреть около 2,5 ч. За это время она приобретает своеобразный приятный запах и цвет. </t>
  </si>
  <si>
    <t>ФРУКТЫ СВЕЖИЕ / МАНДАРИНЫ/</t>
  </si>
  <si>
    <t>МАНДАРИНЫ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</si>
</sst>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8"/>
      <color rgb="FF000000"/>
      <name val="Tahoma"/>
    </font>
    <font>
      <sz val="10"/>
      <color rgb="FF000000"/>
      <name val="Times New Roman"/>
      <family val="1"/>
      <charset val="204"/>
    </font>
    <font>
      <b/>
      <u/>
      <sz val="10"/>
      <color rgb="FF000000"/>
      <name val="Times New Roman"/>
      <family val="1"/>
      <charset val="204"/>
    </font>
    <font>
      <b/>
      <sz val="10"/>
      <color rgb="FF000000"/>
      <name val="Times New Roman"/>
      <family val="1"/>
      <charset val="204"/>
    </font>
    <font>
      <b/>
      <i/>
      <sz val="10"/>
      <color rgb="FF000000"/>
      <name val="Times New Roman"/>
      <family val="1"/>
      <charset val="204"/>
    </font>
    <font>
      <sz val="10"/>
      <color rgb="FF000000"/>
      <name val="Arial"/>
      <family val="2"/>
      <charset val="204"/>
    </font>
    <font>
      <b/>
      <sz val="12"/>
      <color rgb="FF000000"/>
      <name val="Arial"/>
      <family val="2"/>
      <charset val="204"/>
    </font>
    <font>
      <b/>
      <u/>
      <sz val="10"/>
      <color rgb="FF000000"/>
      <name val="Arial"/>
      <family val="2"/>
      <charset val="204"/>
    </font>
    <font>
      <b/>
      <sz val="10"/>
      <color rgb="FF000000"/>
      <name val="Arial"/>
      <family val="2"/>
      <charset val="204"/>
    </font>
    <font>
      <sz val="9"/>
      <color rgb="FF000000"/>
      <name val="Arial"/>
      <family val="2"/>
      <charset val="204"/>
    </font>
    <font>
      <b/>
      <i/>
      <sz val="10"/>
      <color rgb="FF000000"/>
      <name val="Arial"/>
      <family val="2"/>
      <charset val="204"/>
    </font>
    <font>
      <sz val="8"/>
      <color rgb="FF000000"/>
      <name val="Arial"/>
      <family val="2"/>
      <charset val="204"/>
    </font>
    <font>
      <b/>
      <sz val="9"/>
      <color rgb="FF000000"/>
      <name val="Arial"/>
      <family val="2"/>
      <charset val="204"/>
    </font>
    <font>
      <sz val="10"/>
      <color rgb="FF000000"/>
      <name val="Arial"/>
      <family val="2"/>
      <charset val="204"/>
    </font>
    <font>
      <b/>
      <sz val="12"/>
      <color rgb="FF000000"/>
      <name val="Arial"/>
      <family val="2"/>
      <charset val="204"/>
    </font>
    <font>
      <b/>
      <u/>
      <sz val="10"/>
      <color rgb="FF000000"/>
      <name val="Arial"/>
      <family val="2"/>
      <charset val="204"/>
    </font>
    <font>
      <b/>
      <sz val="10"/>
      <color rgb="FF000000"/>
      <name val="Arial"/>
      <family val="2"/>
      <charset val="204"/>
    </font>
    <font>
      <sz val="9"/>
      <color rgb="FF000000"/>
      <name val="Arial"/>
      <family val="2"/>
      <charset val="204"/>
    </font>
    <font>
      <b/>
      <i/>
      <sz val="10"/>
      <color rgb="FF000000"/>
      <name val="Arial"/>
      <family val="2"/>
      <charset val="204"/>
    </font>
    <font>
      <sz val="8"/>
      <color rgb="FF000000"/>
      <name val="Arial"/>
      <family val="2"/>
      <charset val="204"/>
    </font>
    <font>
      <sz val="10"/>
      <color rgb="FF000000"/>
      <name val="Arial"/>
      <family val="2"/>
      <charset val="204"/>
    </font>
    <font>
      <b/>
      <sz val="12"/>
      <color rgb="FF000000"/>
      <name val="Arial"/>
      <family val="2"/>
      <charset val="204"/>
    </font>
    <font>
      <b/>
      <u/>
      <sz val="12"/>
      <color rgb="FF000000"/>
      <name val="Arial"/>
      <family val="2"/>
      <charset val="204"/>
    </font>
    <font>
      <b/>
      <sz val="9"/>
      <color rgb="FF000000"/>
      <name val="Arial"/>
      <family val="2"/>
      <charset val="204"/>
    </font>
    <font>
      <sz val="9"/>
      <color rgb="FF000000"/>
      <name val="Arial"/>
      <family val="2"/>
      <charset val="204"/>
    </font>
    <font>
      <b/>
      <sz val="10"/>
      <color rgb="FF000000"/>
      <name val="Arial"/>
      <family val="2"/>
      <charset val="204"/>
    </font>
    <font>
      <b/>
      <i/>
      <sz val="10"/>
      <color rgb="FF000000"/>
      <name val="Arial"/>
      <family val="2"/>
      <charset val="204"/>
    </font>
    <font>
      <sz val="10"/>
      <color rgb="FF000000"/>
      <name val="Arial"/>
      <family val="2"/>
      <charset val="204"/>
    </font>
    <font>
      <b/>
      <sz val="12"/>
      <color rgb="FF000000"/>
      <name val="Arial"/>
      <family val="2"/>
      <charset val="204"/>
    </font>
    <font>
      <b/>
      <u/>
      <sz val="10"/>
      <color rgb="FF000000"/>
      <name val="Arial"/>
      <family val="2"/>
      <charset val="204"/>
    </font>
    <font>
      <b/>
      <sz val="10"/>
      <color rgb="FF000000"/>
      <name val="Arial"/>
      <family val="2"/>
      <charset val="204"/>
    </font>
    <font>
      <sz val="9"/>
      <color rgb="FF000000"/>
      <name val="Arial"/>
      <family val="2"/>
      <charset val="204"/>
    </font>
    <font>
      <b/>
      <i/>
      <sz val="10"/>
      <color rgb="FF000000"/>
      <name val="Arial"/>
      <family val="2"/>
      <charset val="204"/>
    </font>
    <font>
      <sz val="8"/>
      <color rgb="FF000000"/>
      <name val="Arial"/>
      <family val="2"/>
      <charset val="204"/>
    </font>
    <font>
      <b/>
      <sz val="9"/>
      <color rgb="FF000000"/>
      <name val="Arial"/>
      <family val="2"/>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184">
    <xf numFmtId="0" fontId="0" fillId="0" borderId="0" xfId="0"/>
    <xf numFmtId="0" fontId="1" fillId="2" borderId="0" xfId="0" applyFont="1" applyFill="1"/>
    <xf numFmtId="0" fontId="3" fillId="2" borderId="0" xfId="0" applyFont="1" applyFill="1"/>
    <xf numFmtId="0" fontId="1" fillId="2" borderId="0" xfId="0" applyFont="1" applyFill="1" applyAlignment="1">
      <alignment vertical="center"/>
    </xf>
    <xf numFmtId="0" fontId="3" fillId="2" borderId="0" xfId="0" applyFont="1" applyFill="1" applyAlignment="1">
      <alignment vertical="center"/>
    </xf>
    <xf numFmtId="0" fontId="2" fillId="2" borderId="18"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1" fillId="2" borderId="18" xfId="0" applyFont="1" applyFill="1" applyBorder="1" applyAlignment="1">
      <alignment horizontal="left" vertical="top" wrapText="1"/>
    </xf>
    <xf numFmtId="0" fontId="1" fillId="2" borderId="0" xfId="0" applyFont="1" applyFill="1" applyAlignment="1">
      <alignment horizontal="center" vertical="center"/>
    </xf>
    <xf numFmtId="0" fontId="3" fillId="2" borderId="12"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Alignment="1">
      <alignment horizontal="left"/>
    </xf>
    <xf numFmtId="0" fontId="3" fillId="2" borderId="19" xfId="0" applyFont="1" applyFill="1" applyBorder="1" applyAlignment="1">
      <alignment horizontal="left" vertical="center" wrapText="1"/>
    </xf>
    <xf numFmtId="0" fontId="1" fillId="2" borderId="2" xfId="0" applyFont="1" applyFill="1" applyBorder="1" applyAlignment="1">
      <alignment horizontal="left" vertical="top" wrapText="1"/>
    </xf>
    <xf numFmtId="0" fontId="1" fillId="2" borderId="16" xfId="0" applyFont="1" applyFill="1" applyBorder="1" applyAlignment="1">
      <alignment horizontal="left" vertical="center" wrapText="1"/>
    </xf>
    <xf numFmtId="0" fontId="5" fillId="0" borderId="18" xfId="0" applyFont="1" applyFill="1" applyBorder="1" applyAlignment="1">
      <alignment horizontal="left" vertical="top" wrapText="1"/>
    </xf>
    <xf numFmtId="0" fontId="8" fillId="0" borderId="19"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2" xfId="0" applyFont="1" applyFill="1" applyBorder="1" applyAlignment="1">
      <alignment horizontal="left" vertical="center" wrapText="1"/>
    </xf>
    <xf numFmtId="4" fontId="1" fillId="2" borderId="12" xfId="0" applyNumberFormat="1" applyFont="1" applyFill="1" applyBorder="1" applyAlignment="1">
      <alignment horizontal="left" vertical="center" wrapText="1"/>
    </xf>
    <xf numFmtId="0" fontId="13" fillId="0" borderId="18" xfId="0" applyFont="1" applyFill="1" applyBorder="1" applyAlignment="1">
      <alignment horizontal="left" vertical="top" wrapText="1"/>
    </xf>
    <xf numFmtId="0" fontId="16" fillId="0" borderId="19"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16" fillId="0" borderId="19" xfId="0" applyFont="1" applyFill="1" applyBorder="1" applyAlignment="1">
      <alignment horizontal="center" vertical="center" wrapText="1"/>
    </xf>
    <xf numFmtId="0" fontId="13" fillId="0" borderId="18" xfId="0" applyFont="1" applyFill="1" applyBorder="1" applyAlignment="1">
      <alignment horizontal="left" vertical="top" wrapText="1"/>
    </xf>
    <xf numFmtId="0" fontId="17" fillId="0" borderId="18"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1" fillId="2" borderId="2" xfId="0" applyFont="1" applyFill="1" applyBorder="1" applyAlignment="1">
      <alignment horizontal="left" vertical="top" wrapText="1"/>
    </xf>
    <xf numFmtId="0" fontId="3" fillId="2" borderId="0" xfId="0" applyFont="1" applyFill="1" applyAlignment="1">
      <alignment horizontal="left"/>
    </xf>
    <xf numFmtId="0" fontId="5" fillId="0" borderId="18" xfId="0" applyFont="1" applyFill="1" applyBorder="1" applyAlignment="1">
      <alignment horizontal="left" vertical="top" wrapText="1"/>
    </xf>
    <xf numFmtId="0" fontId="8" fillId="0" borderId="19"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20" fillId="0" borderId="18" xfId="0" applyFont="1" applyFill="1" applyBorder="1" applyAlignment="1">
      <alignment horizontal="left" vertical="top" wrapText="1"/>
    </xf>
    <xf numFmtId="0" fontId="23" fillId="0" borderId="19" xfId="0" applyFont="1" applyFill="1" applyBorder="1" applyAlignment="1">
      <alignment horizontal="center" vertical="center" wrapText="1"/>
    </xf>
    <xf numFmtId="0" fontId="24" fillId="0" borderId="19" xfId="0" applyFont="1" applyFill="1" applyBorder="1" applyAlignment="1">
      <alignment horizontal="left" vertical="center" wrapText="1"/>
    </xf>
    <xf numFmtId="0" fontId="24" fillId="0" borderId="19" xfId="0" applyFont="1" applyFill="1" applyBorder="1" applyAlignment="1">
      <alignment horizontal="right" vertical="center" wrapText="1"/>
    </xf>
    <xf numFmtId="0" fontId="24" fillId="0" borderId="18" xfId="0" applyFont="1" applyFill="1" applyBorder="1" applyAlignment="1">
      <alignment horizontal="left" vertical="center" wrapText="1"/>
    </xf>
    <xf numFmtId="0" fontId="1" fillId="2" borderId="2" xfId="0" applyFont="1" applyFill="1" applyBorder="1" applyAlignment="1">
      <alignment horizontal="left" vertical="top" wrapText="1"/>
    </xf>
    <xf numFmtId="0" fontId="1" fillId="2" borderId="12"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27" fillId="0" borderId="18" xfId="0" applyFont="1" applyFill="1" applyBorder="1" applyAlignment="1">
      <alignment horizontal="left" vertical="top" wrapText="1"/>
    </xf>
    <xf numFmtId="0" fontId="30" fillId="0" borderId="19" xfId="0" applyFont="1" applyFill="1" applyBorder="1" applyAlignment="1">
      <alignment horizontal="center" vertical="center" wrapText="1"/>
    </xf>
    <xf numFmtId="0" fontId="31" fillId="0" borderId="19" xfId="0" applyFont="1" applyFill="1" applyBorder="1" applyAlignment="1">
      <alignment horizontal="left" vertical="center" wrapText="1"/>
    </xf>
    <xf numFmtId="0" fontId="31"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1" fillId="2" borderId="2" xfId="0" applyFont="1" applyFill="1" applyBorder="1" applyAlignment="1">
      <alignment horizontal="left" vertical="top" wrapText="1"/>
    </xf>
    <xf numFmtId="0" fontId="1" fillId="2" borderId="16"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27" fillId="0" borderId="18" xfId="0" applyFont="1" applyFill="1" applyBorder="1" applyAlignment="1">
      <alignment horizontal="left" vertical="top" wrapText="1"/>
    </xf>
    <xf numFmtId="0" fontId="31" fillId="0" borderId="18" xfId="0" applyFont="1" applyFill="1" applyBorder="1" applyAlignment="1">
      <alignment horizontal="left" vertical="center" wrapText="1"/>
    </xf>
    <xf numFmtId="0" fontId="31" fillId="0" borderId="19" xfId="0" applyFont="1" applyFill="1" applyBorder="1" applyAlignment="1">
      <alignment horizontal="left" vertical="center" wrapText="1"/>
    </xf>
    <xf numFmtId="0" fontId="30" fillId="0" borderId="19" xfId="0" applyFont="1" applyFill="1" applyBorder="1" applyAlignment="1">
      <alignment horizontal="center" vertical="center" wrapText="1"/>
    </xf>
    <xf numFmtId="0" fontId="24" fillId="0" borderId="19" xfId="0" applyFont="1" applyFill="1" applyBorder="1" applyAlignment="1">
      <alignment horizontal="left" vertical="center" wrapText="1"/>
    </xf>
    <xf numFmtId="0" fontId="5" fillId="0" borderId="18" xfId="0" applyFont="1" applyFill="1" applyBorder="1" applyAlignment="1">
      <alignment horizontal="left" vertical="top"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8" fillId="0" borderId="19" xfId="0" applyFont="1" applyFill="1" applyBorder="1" applyAlignment="1">
      <alignment horizontal="center" vertical="center" wrapText="1"/>
    </xf>
    <xf numFmtId="0" fontId="5" fillId="0" borderId="18" xfId="0" applyFont="1" applyFill="1" applyBorder="1" applyAlignment="1">
      <alignment horizontal="left" vertical="top" wrapText="1"/>
    </xf>
    <xf numFmtId="0" fontId="8" fillId="0" borderId="19"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 fillId="2" borderId="2" xfId="0" applyFont="1" applyFill="1" applyBorder="1" applyAlignment="1">
      <alignment horizontal="left" vertical="top" wrapText="1"/>
    </xf>
    <xf numFmtId="0" fontId="1" fillId="2" borderId="12"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4" fillId="2" borderId="17"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16" xfId="0" applyFont="1" applyFill="1" applyBorder="1" applyAlignment="1">
      <alignment horizontal="left" vertical="center" wrapText="1"/>
    </xf>
    <xf numFmtId="0" fontId="1" fillId="2" borderId="12" xfId="0" applyFont="1" applyFill="1" applyBorder="1" applyAlignment="1">
      <alignment horizontal="left" vertical="center" wrapText="1"/>
    </xf>
    <xf numFmtId="39" fontId="1" fillId="2" borderId="15" xfId="0" applyNumberFormat="1" applyFont="1" applyFill="1" applyBorder="1" applyAlignment="1">
      <alignment horizontal="right" vertical="center" wrapText="1"/>
    </xf>
    <xf numFmtId="0" fontId="3" fillId="2" borderId="13" xfId="0" applyFont="1" applyFill="1" applyBorder="1" applyAlignment="1">
      <alignment horizontal="left" vertical="center" wrapText="1"/>
    </xf>
    <xf numFmtId="0" fontId="4" fillId="2" borderId="14" xfId="0" applyFont="1" applyFill="1" applyBorder="1" applyAlignment="1">
      <alignment horizontal="left" vertical="top" wrapText="1"/>
    </xf>
    <xf numFmtId="0" fontId="1" fillId="2" borderId="0" xfId="0" applyFont="1" applyFill="1" applyAlignment="1">
      <alignment horizontal="left" vertical="center" wrapText="1"/>
    </xf>
    <xf numFmtId="0" fontId="1" fillId="2" borderId="0" xfId="0" applyFont="1" applyFill="1" applyAlignment="1"/>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 fillId="2" borderId="3" xfId="0" applyFont="1" applyFill="1" applyBorder="1" applyAlignment="1">
      <alignment horizontal="right" vertical="top" wrapText="1"/>
    </xf>
    <xf numFmtId="0" fontId="3" fillId="2" borderId="4" xfId="0" applyFont="1" applyFill="1" applyBorder="1" applyAlignment="1">
      <alignment horizontal="center" vertical="top" wrapText="1"/>
    </xf>
    <xf numFmtId="0" fontId="1" fillId="2" borderId="1" xfId="0" applyFont="1" applyFill="1" applyBorder="1" applyAlignment="1">
      <alignment horizontal="left" vertical="top" wrapText="1"/>
    </xf>
    <xf numFmtId="0" fontId="2" fillId="2" borderId="5" xfId="0" applyFont="1" applyFill="1" applyBorder="1" applyAlignment="1">
      <alignment horizontal="left" vertical="top" wrapText="1"/>
    </xf>
    <xf numFmtId="0" fontId="1" fillId="2" borderId="0" xfId="0" applyFont="1" applyFill="1" applyAlignment="1">
      <alignment horizontal="justify" vertical="center"/>
    </xf>
    <xf numFmtId="0" fontId="28" fillId="0" borderId="18" xfId="0" applyFont="1" applyFill="1" applyBorder="1" applyAlignment="1">
      <alignment horizontal="center" vertical="top" wrapText="1"/>
    </xf>
    <xf numFmtId="0" fontId="27" fillId="0" borderId="18" xfId="0" applyFont="1" applyFill="1" applyBorder="1" applyAlignment="1">
      <alignment horizontal="left" vertical="top" wrapText="1"/>
    </xf>
    <xf numFmtId="0" fontId="29" fillId="0" borderId="18" xfId="0" applyFont="1" applyFill="1" applyBorder="1" applyAlignment="1">
      <alignment horizontal="left" vertical="top" wrapText="1"/>
    </xf>
    <xf numFmtId="0" fontId="30" fillId="0" borderId="19" xfId="0" applyFont="1" applyFill="1" applyBorder="1" applyAlignment="1">
      <alignment horizontal="center" vertical="center" wrapText="1"/>
    </xf>
    <xf numFmtId="0" fontId="31" fillId="0" borderId="19" xfId="0" applyFont="1" applyFill="1" applyBorder="1" applyAlignment="1">
      <alignment horizontal="left" vertical="center" wrapText="1"/>
    </xf>
    <xf numFmtId="0" fontId="30" fillId="0" borderId="19" xfId="0" applyFont="1" applyFill="1" applyBorder="1" applyAlignment="1">
      <alignment horizontal="left" vertical="center" wrapText="1"/>
    </xf>
    <xf numFmtId="0" fontId="32" fillId="0" borderId="18" xfId="0" applyFont="1" applyFill="1" applyBorder="1" applyAlignment="1">
      <alignment horizontal="left" vertical="top" wrapText="1"/>
    </xf>
    <xf numFmtId="39" fontId="31" fillId="0" borderId="19" xfId="0" applyNumberFormat="1" applyFont="1" applyFill="1" applyBorder="1" applyAlignment="1">
      <alignment horizontal="right" vertical="center" wrapText="1"/>
    </xf>
    <xf numFmtId="0" fontId="31" fillId="0" borderId="18" xfId="0" applyFont="1" applyFill="1" applyBorder="1" applyAlignment="1">
      <alignment horizontal="left" vertical="center" wrapText="1"/>
    </xf>
    <xf numFmtId="0" fontId="33" fillId="0" borderId="18" xfId="0" applyFont="1" applyFill="1" applyBorder="1" applyAlignment="1">
      <alignment horizontal="left" vertical="top" wrapText="1"/>
    </xf>
    <xf numFmtId="0" fontId="3" fillId="2" borderId="0" xfId="0" applyFont="1" applyFill="1" applyAlignment="1">
      <alignment horizontal="justify" vertical="center" wrapText="1"/>
    </xf>
    <xf numFmtId="0" fontId="3" fillId="2" borderId="0" xfId="0" applyFont="1" applyFill="1" applyAlignment="1">
      <alignment wrapText="1"/>
    </xf>
    <xf numFmtId="0" fontId="3" fillId="2" borderId="0" xfId="0" applyFont="1" applyFill="1" applyAlignment="1">
      <alignment vertical="center" wrapText="1"/>
    </xf>
    <xf numFmtId="0" fontId="1" fillId="2" borderId="0" xfId="0" applyFont="1" applyFill="1" applyAlignment="1">
      <alignment vertical="center" wrapText="1"/>
    </xf>
    <xf numFmtId="0" fontId="1" fillId="2" borderId="0" xfId="0" applyFont="1" applyFill="1" applyAlignment="1">
      <alignment wrapText="1"/>
    </xf>
    <xf numFmtId="0" fontId="5" fillId="0" borderId="18" xfId="0" applyFont="1" applyFill="1" applyBorder="1" applyAlignment="1">
      <alignment horizontal="left" vertical="top" wrapText="1"/>
    </xf>
    <xf numFmtId="0" fontId="10" fillId="0" borderId="18" xfId="0" applyFont="1" applyFill="1" applyBorder="1" applyAlignment="1">
      <alignment horizontal="left" vertical="top" wrapText="1"/>
    </xf>
    <xf numFmtId="0" fontId="11" fillId="0" borderId="18" xfId="0" applyFont="1" applyFill="1" applyBorder="1" applyAlignment="1">
      <alignment horizontal="left" vertical="top"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39" fontId="9" fillId="0" borderId="19" xfId="0" applyNumberFormat="1" applyFont="1" applyFill="1" applyBorder="1" applyAlignment="1">
      <alignment horizontal="right" vertical="center" wrapText="1"/>
    </xf>
    <xf numFmtId="0" fontId="8" fillId="0" borderId="1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8" fillId="0" borderId="19" xfId="0" applyFont="1" applyFill="1" applyBorder="1" applyAlignment="1">
      <alignment horizontal="center" vertical="center" wrapText="1"/>
    </xf>
    <xf numFmtId="0" fontId="7" fillId="0" borderId="18" xfId="0" applyFont="1" applyFill="1" applyBorder="1" applyAlignment="1">
      <alignment horizontal="left" vertical="top" wrapText="1"/>
    </xf>
    <xf numFmtId="0" fontId="6" fillId="0" borderId="18" xfId="0" applyFont="1" applyFill="1" applyBorder="1" applyAlignment="1">
      <alignment horizontal="center" vertical="top" wrapText="1"/>
    </xf>
    <xf numFmtId="0" fontId="3" fillId="2" borderId="19" xfId="0" applyFont="1" applyFill="1" applyBorder="1" applyAlignment="1">
      <alignment horizontal="left" vertical="center" wrapText="1"/>
    </xf>
    <xf numFmtId="4" fontId="1" fillId="2" borderId="12" xfId="0" applyNumberFormat="1"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0" xfId="0" applyFont="1" applyFill="1" applyAlignment="1">
      <alignment horizontal="left" vertical="center" wrapText="1"/>
    </xf>
    <xf numFmtId="0" fontId="1" fillId="2" borderId="20" xfId="0" applyFont="1" applyFill="1" applyBorder="1" applyAlignment="1">
      <alignment horizontal="left" vertical="top" wrapText="1"/>
    </xf>
    <xf numFmtId="0" fontId="2" fillId="2" borderId="18" xfId="0" applyFont="1" applyFill="1" applyBorder="1" applyAlignment="1">
      <alignment horizontal="left" vertical="top" wrapText="1"/>
    </xf>
    <xf numFmtId="0" fontId="1" fillId="2" borderId="18" xfId="0" applyFont="1" applyFill="1" applyBorder="1" applyAlignment="1">
      <alignment horizontal="right" vertical="top" wrapText="1"/>
    </xf>
    <xf numFmtId="0" fontId="3" fillId="2" borderId="18" xfId="0" applyFont="1" applyFill="1" applyBorder="1" applyAlignment="1">
      <alignment horizontal="center" vertical="top" wrapText="1"/>
    </xf>
    <xf numFmtId="0" fontId="1" fillId="2" borderId="19" xfId="0" applyFont="1" applyFill="1" applyBorder="1" applyAlignment="1">
      <alignment horizontal="left" vertical="center" wrapText="1"/>
    </xf>
    <xf numFmtId="0" fontId="3" fillId="2" borderId="19" xfId="0" applyFont="1" applyFill="1" applyBorder="1" applyAlignment="1">
      <alignment horizontal="center" vertical="center" wrapText="1"/>
    </xf>
    <xf numFmtId="39" fontId="1" fillId="2" borderId="19" xfId="0" applyNumberFormat="1" applyFont="1" applyFill="1" applyBorder="1" applyAlignment="1">
      <alignment horizontal="right" vertical="center" wrapText="1"/>
    </xf>
    <xf numFmtId="0" fontId="4" fillId="2" borderId="18" xfId="0" applyFont="1" applyFill="1" applyBorder="1" applyAlignment="1">
      <alignment horizontal="left" vertical="top" wrapText="1"/>
    </xf>
    <xf numFmtId="0" fontId="1" fillId="2" borderId="18" xfId="0" applyFont="1" applyFill="1" applyBorder="1" applyAlignment="1">
      <alignment horizontal="left" vertical="center" wrapText="1"/>
    </xf>
    <xf numFmtId="0" fontId="3" fillId="2" borderId="2" xfId="0" applyFont="1" applyFill="1" applyBorder="1" applyAlignment="1">
      <alignment horizontal="left" vertical="top" wrapText="1"/>
    </xf>
    <xf numFmtId="0" fontId="3" fillId="2" borderId="0" xfId="0" applyFont="1" applyFill="1" applyAlignment="1">
      <alignment horizontal="justify" vertical="center"/>
    </xf>
    <xf numFmtId="0" fontId="1" fillId="2" borderId="0" xfId="0" applyFont="1" applyFill="1" applyAlignment="1">
      <alignment horizontal="justify" vertical="center" wrapText="1"/>
    </xf>
    <xf numFmtId="0" fontId="3" fillId="2" borderId="18" xfId="0" applyFont="1" applyFill="1" applyBorder="1" applyAlignment="1">
      <alignment horizontal="center" vertical="center" wrapText="1"/>
    </xf>
    <xf numFmtId="0" fontId="3" fillId="2" borderId="0" xfId="0" applyFont="1" applyFill="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5" fillId="0" borderId="18" xfId="0" applyFont="1" applyFill="1" applyBorder="1" applyAlignment="1">
      <alignment horizontal="right" vertical="top" wrapText="1"/>
    </xf>
    <xf numFmtId="0" fontId="15" fillId="0" borderId="18" xfId="0" applyFont="1" applyFill="1" applyBorder="1" applyAlignment="1">
      <alignment horizontal="left" vertical="top" wrapText="1"/>
    </xf>
    <xf numFmtId="0" fontId="16" fillId="0" borderId="19"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19" xfId="0" applyFont="1" applyFill="1" applyBorder="1" applyAlignment="1">
      <alignment horizontal="right" vertical="center" wrapText="1"/>
    </xf>
    <xf numFmtId="0" fontId="24" fillId="0" borderId="18" xfId="0" applyFont="1" applyFill="1" applyBorder="1" applyAlignment="1">
      <alignment horizontal="justify" vertical="top" wrapText="1"/>
    </xf>
    <xf numFmtId="0" fontId="20" fillId="0" borderId="18" xfId="0" applyFont="1" applyFill="1" applyBorder="1" applyAlignment="1">
      <alignment horizontal="left" vertical="top" wrapText="1"/>
    </xf>
    <xf numFmtId="0" fontId="23" fillId="0" borderId="18" xfId="0" applyFont="1" applyFill="1" applyBorder="1" applyAlignment="1">
      <alignment horizontal="left" vertical="top" wrapText="1"/>
    </xf>
    <xf numFmtId="0" fontId="26" fillId="0" borderId="18" xfId="0" applyFont="1" applyFill="1" applyBorder="1" applyAlignment="1">
      <alignment horizontal="left" vertical="top" wrapText="1"/>
    </xf>
    <xf numFmtId="0" fontId="25" fillId="0" borderId="19" xfId="0" applyFont="1" applyFill="1" applyBorder="1" applyAlignment="1">
      <alignment horizontal="left" vertical="center" wrapText="1"/>
    </xf>
    <xf numFmtId="0" fontId="24" fillId="0" borderId="18" xfId="0" applyFont="1" applyFill="1" applyBorder="1" applyAlignment="1">
      <alignment horizontal="left" vertical="top" wrapText="1"/>
    </xf>
    <xf numFmtId="0" fontId="23" fillId="0" borderId="19" xfId="0" applyFont="1" applyFill="1" applyBorder="1" applyAlignment="1">
      <alignment horizontal="center" vertical="center" wrapText="1"/>
    </xf>
    <xf numFmtId="0" fontId="21" fillId="0" borderId="18"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3" fillId="0" borderId="18" xfId="0" applyFont="1" applyFill="1" applyBorder="1" applyAlignment="1">
      <alignment horizontal="left" wrapText="1"/>
    </xf>
    <xf numFmtId="0" fontId="3" fillId="2" borderId="18" xfId="0" applyFont="1" applyFill="1" applyBorder="1" applyAlignment="1">
      <alignment horizontal="left" vertical="top" wrapText="1"/>
    </xf>
    <xf numFmtId="0" fontId="3" fillId="2" borderId="0" xfId="0" applyFont="1" applyFill="1" applyAlignment="1">
      <alignment horizontal="left" wrapText="1"/>
    </xf>
    <xf numFmtId="0" fontId="3" fillId="2" borderId="0" xfId="0" applyFont="1" applyFill="1" applyAlignment="1">
      <alignment horizontal="left"/>
    </xf>
    <xf numFmtId="0" fontId="1" fillId="2" borderId="20" xfId="0" applyFont="1" applyFill="1" applyBorder="1" applyAlignment="1">
      <alignment horizontal="justify" vertical="center"/>
    </xf>
    <xf numFmtId="0" fontId="1" fillId="2" borderId="20" xfId="0" applyFont="1" applyFill="1" applyBorder="1" applyAlignment="1"/>
    <xf numFmtId="0" fontId="17" fillId="0" borderId="19" xfId="0" applyFont="1" applyFill="1" applyBorder="1" applyAlignment="1">
      <alignment horizontal="left" vertical="center" wrapText="1"/>
    </xf>
    <xf numFmtId="0" fontId="13" fillId="0" borderId="18" xfId="0" applyFont="1" applyFill="1" applyBorder="1" applyAlignment="1">
      <alignment horizontal="right" vertical="top" wrapText="1"/>
    </xf>
    <xf numFmtId="0" fontId="14" fillId="0" borderId="18" xfId="0" applyFont="1" applyFill="1" applyBorder="1" applyAlignment="1">
      <alignment horizontal="center" vertical="top" wrapText="1"/>
    </xf>
    <xf numFmtId="0" fontId="13" fillId="0" borderId="18" xfId="0" applyFont="1" applyFill="1" applyBorder="1" applyAlignment="1">
      <alignment horizontal="left" vertical="top" wrapText="1"/>
    </xf>
    <xf numFmtId="0" fontId="16" fillId="0" borderId="19" xfId="0" applyFont="1" applyFill="1" applyBorder="1" applyAlignment="1">
      <alignment horizontal="center" vertical="center" wrapText="1"/>
    </xf>
    <xf numFmtId="0" fontId="18" fillId="0" borderId="18" xfId="0" applyFont="1" applyFill="1" applyBorder="1" applyAlignment="1">
      <alignment horizontal="left" vertical="top" wrapText="1"/>
    </xf>
    <xf numFmtId="39" fontId="17" fillId="0" borderId="19" xfId="0" applyNumberFormat="1" applyFont="1" applyFill="1" applyBorder="1" applyAlignment="1">
      <alignment horizontal="right" vertical="center" wrapText="1"/>
    </xf>
    <xf numFmtId="0" fontId="19" fillId="0" borderId="18" xfId="0" applyFont="1" applyFill="1" applyBorder="1" applyAlignment="1">
      <alignment horizontal="left" vertical="top" wrapText="1"/>
    </xf>
    <xf numFmtId="0" fontId="17" fillId="0" borderId="18" xfId="0" applyFont="1" applyFill="1" applyBorder="1" applyAlignment="1">
      <alignment horizontal="left" vertical="center" wrapText="1"/>
    </xf>
    <xf numFmtId="0" fontId="27" fillId="0" borderId="18" xfId="0" applyFont="1" applyFill="1" applyBorder="1" applyAlignment="1">
      <alignment horizontal="right" vertical="top" wrapText="1"/>
    </xf>
    <xf numFmtId="0" fontId="34" fillId="0" borderId="19"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0"/>
  <sheetViews>
    <sheetView topLeftCell="A82" workbookViewId="0">
      <selection activeCell="Q264" sqref="Q264"/>
    </sheetView>
  </sheetViews>
  <sheetFormatPr defaultRowHeight="10.199999999999999" x14ac:dyDescent="0.2"/>
  <sheetData>
    <row r="1" spans="1:20" s="1" customFormat="1" ht="72.45" customHeight="1" x14ac:dyDescent="0.25">
      <c r="J1" s="100" t="s">
        <v>0</v>
      </c>
      <c r="K1" s="100"/>
      <c r="L1" s="100"/>
      <c r="M1" s="100"/>
      <c r="N1" s="100"/>
      <c r="O1" s="100"/>
      <c r="P1" s="100"/>
      <c r="Q1" s="100"/>
      <c r="R1" s="100"/>
      <c r="S1" s="100"/>
      <c r="T1" s="100"/>
    </row>
    <row r="2" spans="1:20" ht="7.05" customHeight="1" x14ac:dyDescent="0.2"/>
    <row r="3" spans="1:20" ht="14.1" customHeight="1" x14ac:dyDescent="0.2">
      <c r="B3" s="105" t="s">
        <v>902</v>
      </c>
      <c r="C3" s="105"/>
      <c r="D3" s="105"/>
      <c r="E3" s="105"/>
      <c r="F3" s="105"/>
      <c r="G3" s="105"/>
      <c r="H3" s="105"/>
      <c r="I3" s="105"/>
      <c r="J3" s="105"/>
      <c r="K3" s="105"/>
      <c r="L3" s="105"/>
      <c r="M3" s="105"/>
      <c r="N3" s="105"/>
      <c r="O3" s="105"/>
      <c r="P3" s="105"/>
      <c r="Q3" s="105"/>
      <c r="R3" s="105"/>
    </row>
    <row r="4" spans="1:20" ht="14.1" customHeight="1" x14ac:dyDescent="0.2"/>
    <row r="5" spans="1:20" ht="14.1" customHeight="1" x14ac:dyDescent="0.2">
      <c r="A5" s="106" t="s">
        <v>2</v>
      </c>
      <c r="B5" s="106"/>
      <c r="C5" s="106"/>
      <c r="D5" s="107" t="s">
        <v>903</v>
      </c>
      <c r="E5" s="107"/>
      <c r="F5" s="107"/>
      <c r="G5" s="107"/>
      <c r="H5" s="107"/>
      <c r="I5" s="107"/>
      <c r="J5" s="107"/>
      <c r="K5" s="107"/>
      <c r="L5" s="107"/>
      <c r="M5" s="107"/>
      <c r="N5" s="107"/>
      <c r="O5" s="107"/>
      <c r="P5" s="107"/>
      <c r="Q5" s="107"/>
      <c r="R5" s="107"/>
      <c r="S5" s="107"/>
      <c r="T5" s="107"/>
    </row>
    <row r="6" spans="1:20" ht="14.1" customHeight="1" x14ac:dyDescent="0.2">
      <c r="A6" s="106" t="s">
        <v>4</v>
      </c>
      <c r="B6" s="106"/>
      <c r="C6" s="107" t="s">
        <v>904</v>
      </c>
      <c r="D6" s="107"/>
      <c r="E6" s="107"/>
      <c r="F6" s="107"/>
      <c r="G6" s="107"/>
      <c r="H6" s="107"/>
      <c r="I6" s="107"/>
      <c r="J6" s="107"/>
      <c r="K6" s="107"/>
      <c r="L6" s="107"/>
      <c r="M6" s="107"/>
      <c r="N6" s="107"/>
      <c r="O6" s="107"/>
      <c r="P6" s="107"/>
      <c r="Q6" s="107"/>
      <c r="R6" s="107"/>
      <c r="S6" s="107"/>
      <c r="T6" s="107"/>
    </row>
    <row r="7" spans="1:20" ht="14.1" customHeight="1" x14ac:dyDescent="0.2">
      <c r="A7" s="106" t="s">
        <v>6</v>
      </c>
      <c r="B7" s="106"/>
      <c r="C7" s="106"/>
      <c r="D7" s="106"/>
      <c r="E7" s="106"/>
      <c r="F7" s="107" t="s">
        <v>248</v>
      </c>
      <c r="G7" s="107"/>
      <c r="H7" s="107"/>
      <c r="I7" s="107"/>
      <c r="J7" s="107"/>
      <c r="K7" s="107"/>
      <c r="L7" s="107"/>
      <c r="M7" s="107"/>
      <c r="N7" s="107"/>
      <c r="O7" s="107"/>
      <c r="P7" s="107"/>
      <c r="Q7" s="107"/>
      <c r="R7" s="107"/>
      <c r="S7" s="107"/>
      <c r="T7" s="107"/>
    </row>
    <row r="8" spans="1:20" ht="22.35" customHeight="1" x14ac:dyDescent="0.2">
      <c r="F8" s="107"/>
      <c r="G8" s="107"/>
      <c r="H8" s="107"/>
      <c r="I8" s="107"/>
      <c r="J8" s="107"/>
      <c r="K8" s="107"/>
      <c r="L8" s="107"/>
      <c r="M8" s="107"/>
      <c r="N8" s="107"/>
      <c r="O8" s="107"/>
      <c r="P8" s="107"/>
      <c r="Q8" s="107"/>
      <c r="R8" s="107"/>
      <c r="S8" s="107"/>
      <c r="T8" s="107"/>
    </row>
    <row r="9" spans="1:20" ht="7.05" customHeight="1" x14ac:dyDescent="0.2">
      <c r="A9" s="106"/>
      <c r="B9" s="106"/>
      <c r="C9" s="106"/>
      <c r="D9" s="106"/>
      <c r="E9" s="106"/>
      <c r="F9" s="106"/>
      <c r="G9" s="106"/>
      <c r="H9" s="106"/>
      <c r="I9" s="106"/>
      <c r="J9" s="106"/>
      <c r="K9" s="106"/>
      <c r="L9" s="106"/>
      <c r="M9" s="106"/>
      <c r="N9" s="106"/>
      <c r="O9" s="106"/>
      <c r="P9" s="106"/>
      <c r="Q9" s="57"/>
      <c r="R9" s="106"/>
      <c r="S9" s="106"/>
      <c r="T9" s="106"/>
    </row>
    <row r="10" spans="1:20" ht="16.95" customHeight="1" x14ac:dyDescent="0.2">
      <c r="A10" s="108" t="s">
        <v>8</v>
      </c>
      <c r="B10" s="108"/>
      <c r="C10" s="108"/>
      <c r="D10" s="108"/>
      <c r="E10" s="108"/>
      <c r="F10" s="108"/>
      <c r="G10" s="108"/>
      <c r="H10" s="108"/>
      <c r="I10" s="108"/>
      <c r="J10" s="108"/>
      <c r="K10" s="108"/>
      <c r="L10" s="108"/>
      <c r="M10" s="108" t="s">
        <v>9</v>
      </c>
      <c r="N10" s="108"/>
      <c r="O10" s="108"/>
      <c r="P10" s="108"/>
      <c r="Q10" s="108"/>
      <c r="R10" s="108"/>
      <c r="S10" s="108"/>
      <c r="T10" s="108"/>
    </row>
    <row r="11" spans="1:20" ht="16.95" customHeight="1" x14ac:dyDescent="0.2">
      <c r="A11" s="108"/>
      <c r="B11" s="108"/>
      <c r="C11" s="108"/>
      <c r="D11" s="108"/>
      <c r="E11" s="108"/>
      <c r="F11" s="108"/>
      <c r="G11" s="108"/>
      <c r="H11" s="108"/>
      <c r="I11" s="108"/>
      <c r="J11" s="108"/>
      <c r="K11" s="108"/>
      <c r="L11" s="108"/>
      <c r="M11" s="108" t="s">
        <v>10</v>
      </c>
      <c r="N11" s="108"/>
      <c r="O11" s="108"/>
      <c r="P11" s="108"/>
      <c r="Q11" s="108" t="s">
        <v>11</v>
      </c>
      <c r="R11" s="108"/>
      <c r="S11" s="108"/>
      <c r="T11" s="108"/>
    </row>
    <row r="12" spans="1:20" ht="16.95" customHeight="1" x14ac:dyDescent="0.2">
      <c r="A12" s="108"/>
      <c r="B12" s="108"/>
      <c r="C12" s="108"/>
      <c r="D12" s="108"/>
      <c r="E12" s="108"/>
      <c r="F12" s="108"/>
      <c r="G12" s="108"/>
      <c r="H12" s="108"/>
      <c r="I12" s="108"/>
      <c r="J12" s="108"/>
      <c r="K12" s="108"/>
      <c r="L12" s="108"/>
      <c r="M12" s="108" t="s">
        <v>12</v>
      </c>
      <c r="N12" s="108"/>
      <c r="O12" s="108" t="s">
        <v>13</v>
      </c>
      <c r="P12" s="108"/>
      <c r="Q12" s="58" t="s">
        <v>14</v>
      </c>
      <c r="R12" s="108" t="s">
        <v>15</v>
      </c>
      <c r="S12" s="108"/>
      <c r="T12" s="108"/>
    </row>
    <row r="13" spans="1:20" ht="13.35" customHeight="1" x14ac:dyDescent="0.2">
      <c r="A13" s="109" t="s">
        <v>671</v>
      </c>
      <c r="B13" s="109"/>
      <c r="C13" s="109"/>
      <c r="D13" s="109"/>
      <c r="E13" s="109"/>
      <c r="F13" s="109"/>
      <c r="G13" s="109"/>
      <c r="H13" s="109"/>
      <c r="I13" s="109"/>
      <c r="J13" s="109"/>
      <c r="K13" s="109"/>
      <c r="L13" s="109"/>
      <c r="M13" s="109" t="s">
        <v>240</v>
      </c>
      <c r="N13" s="109"/>
      <c r="O13" s="109" t="s">
        <v>240</v>
      </c>
      <c r="P13" s="109"/>
      <c r="Q13" s="59" t="s">
        <v>241</v>
      </c>
      <c r="R13" s="109" t="s">
        <v>241</v>
      </c>
      <c r="S13" s="109"/>
      <c r="T13" s="109"/>
    </row>
    <row r="14" spans="1:20" ht="13.35" customHeight="1" x14ac:dyDescent="0.2">
      <c r="A14" s="109" t="s">
        <v>269</v>
      </c>
      <c r="B14" s="109"/>
      <c r="C14" s="109"/>
      <c r="D14" s="109"/>
      <c r="E14" s="109"/>
      <c r="F14" s="109"/>
      <c r="G14" s="109"/>
      <c r="H14" s="109"/>
      <c r="I14" s="109"/>
      <c r="J14" s="109"/>
      <c r="K14" s="109"/>
      <c r="L14" s="109"/>
      <c r="M14" s="109" t="s">
        <v>703</v>
      </c>
      <c r="N14" s="109"/>
      <c r="O14" s="109" t="s">
        <v>905</v>
      </c>
      <c r="P14" s="109"/>
      <c r="Q14" s="59" t="s">
        <v>162</v>
      </c>
      <c r="R14" s="109" t="s">
        <v>906</v>
      </c>
      <c r="S14" s="109"/>
      <c r="T14" s="109"/>
    </row>
    <row r="15" spans="1:20" ht="13.35" customHeight="1" x14ac:dyDescent="0.2">
      <c r="A15" s="109" t="s">
        <v>109</v>
      </c>
      <c r="B15" s="109"/>
      <c r="C15" s="109"/>
      <c r="D15" s="109"/>
      <c r="E15" s="109"/>
      <c r="F15" s="109"/>
      <c r="G15" s="109"/>
      <c r="H15" s="109"/>
      <c r="I15" s="109"/>
      <c r="J15" s="109"/>
      <c r="K15" s="109"/>
      <c r="L15" s="109"/>
      <c r="M15" s="109" t="s">
        <v>907</v>
      </c>
      <c r="N15" s="109"/>
      <c r="O15" s="109" t="s">
        <v>907</v>
      </c>
      <c r="P15" s="109"/>
      <c r="Q15" s="59" t="s">
        <v>908</v>
      </c>
      <c r="R15" s="109" t="s">
        <v>908</v>
      </c>
      <c r="S15" s="109"/>
      <c r="T15" s="109"/>
    </row>
    <row r="16" spans="1:20" ht="14.1" customHeight="1" x14ac:dyDescent="0.2">
      <c r="A16" s="110" t="s">
        <v>134</v>
      </c>
      <c r="B16" s="110"/>
      <c r="C16" s="110"/>
      <c r="D16" s="110"/>
      <c r="E16" s="110"/>
      <c r="F16" s="110"/>
      <c r="G16" s="110"/>
      <c r="H16" s="110"/>
      <c r="I16" s="110"/>
      <c r="J16" s="110"/>
      <c r="K16" s="110"/>
      <c r="L16" s="110"/>
      <c r="M16" s="110"/>
      <c r="N16" s="110"/>
      <c r="O16" s="110"/>
      <c r="P16" s="110"/>
      <c r="Q16" s="110"/>
      <c r="R16" s="110"/>
      <c r="S16" s="110"/>
      <c r="T16" s="110"/>
    </row>
    <row r="17" spans="1:19" ht="14.1" customHeight="1" x14ac:dyDescent="0.2"/>
    <row r="18" spans="1:19" ht="14.1" customHeight="1" x14ac:dyDescent="0.2">
      <c r="A18" s="111" t="s">
        <v>33</v>
      </c>
      <c r="B18" s="111"/>
      <c r="C18" s="111"/>
      <c r="D18" s="111"/>
      <c r="E18" s="111"/>
      <c r="F18" s="111"/>
      <c r="G18" s="111"/>
      <c r="H18" s="111"/>
      <c r="I18" s="111"/>
      <c r="J18" s="111"/>
      <c r="K18" s="111"/>
      <c r="L18" s="111"/>
      <c r="M18" s="111"/>
      <c r="N18" s="111"/>
    </row>
    <row r="19" spans="1:19" ht="13.35" customHeight="1" x14ac:dyDescent="0.2">
      <c r="A19" s="109" t="s">
        <v>34</v>
      </c>
      <c r="B19" s="109"/>
      <c r="C19" s="109"/>
      <c r="D19" s="109"/>
      <c r="E19" s="112">
        <v>0.41</v>
      </c>
      <c r="F19" s="112"/>
      <c r="G19" s="60"/>
      <c r="H19" s="59" t="s">
        <v>35</v>
      </c>
      <c r="I19" s="112">
        <v>0.02</v>
      </c>
      <c r="J19" s="112"/>
      <c r="K19" s="60"/>
      <c r="L19" s="109" t="s">
        <v>36</v>
      </c>
      <c r="M19" s="109"/>
      <c r="N19" s="112">
        <v>15.49</v>
      </c>
      <c r="O19" s="112"/>
    </row>
    <row r="20" spans="1:19" ht="13.35" customHeight="1" x14ac:dyDescent="0.2">
      <c r="A20" s="109" t="s">
        <v>37</v>
      </c>
      <c r="B20" s="109"/>
      <c r="C20" s="109"/>
      <c r="D20" s="109"/>
      <c r="E20" s="112">
        <v>0.41</v>
      </c>
      <c r="F20" s="112"/>
      <c r="G20" s="60"/>
      <c r="H20" s="59" t="s">
        <v>38</v>
      </c>
      <c r="I20" s="112">
        <v>4.22</v>
      </c>
      <c r="J20" s="112"/>
      <c r="K20" s="60"/>
      <c r="L20" s="109" t="s">
        <v>39</v>
      </c>
      <c r="M20" s="109"/>
      <c r="N20" s="112">
        <v>7.61</v>
      </c>
      <c r="O20" s="112"/>
    </row>
    <row r="21" spans="1:19" ht="13.35" customHeight="1" x14ac:dyDescent="0.2">
      <c r="A21" s="109" t="s">
        <v>40</v>
      </c>
      <c r="B21" s="109"/>
      <c r="C21" s="109"/>
      <c r="D21" s="109"/>
      <c r="E21" s="112">
        <v>39.450000000000003</v>
      </c>
      <c r="F21" s="112"/>
      <c r="G21" s="60"/>
      <c r="H21" s="59" t="s">
        <v>41</v>
      </c>
      <c r="I21" s="112">
        <v>0.01</v>
      </c>
      <c r="J21" s="112"/>
      <c r="K21" s="60"/>
      <c r="L21" s="109" t="s">
        <v>42</v>
      </c>
      <c r="M21" s="109"/>
      <c r="N21" s="112">
        <v>10.46</v>
      </c>
      <c r="O21" s="112"/>
    </row>
    <row r="22" spans="1:19" ht="13.35" customHeight="1" x14ac:dyDescent="0.2">
      <c r="A22" s="109" t="s">
        <v>43</v>
      </c>
      <c r="B22" s="109"/>
      <c r="C22" s="109"/>
      <c r="D22" s="109"/>
      <c r="E22" s="112">
        <v>165.72</v>
      </c>
      <c r="F22" s="112"/>
      <c r="G22" s="60"/>
      <c r="H22" s="59" t="s">
        <v>44</v>
      </c>
      <c r="I22" s="112">
        <v>0.67</v>
      </c>
      <c r="J22" s="112"/>
      <c r="K22" s="60"/>
      <c r="L22" s="109" t="s">
        <v>45</v>
      </c>
      <c r="M22" s="109"/>
      <c r="N22" s="112">
        <v>2.09</v>
      </c>
      <c r="O22" s="112"/>
    </row>
    <row r="23" spans="1:19" ht="13.35" customHeight="1" x14ac:dyDescent="0.2">
      <c r="A23" s="113"/>
      <c r="B23" s="113"/>
      <c r="C23" s="113"/>
      <c r="D23" s="113"/>
      <c r="E23" s="113"/>
      <c r="F23" s="113"/>
      <c r="G23" s="60"/>
      <c r="H23" s="59" t="s">
        <v>46</v>
      </c>
      <c r="I23" s="112">
        <v>0</v>
      </c>
      <c r="J23" s="112"/>
      <c r="K23" s="60"/>
      <c r="L23" s="109" t="s">
        <v>47</v>
      </c>
      <c r="M23" s="109"/>
      <c r="N23" s="112">
        <v>294.02999999999997</v>
      </c>
      <c r="O23" s="112"/>
    </row>
    <row r="24" spans="1:19" ht="13.35" customHeight="1" x14ac:dyDescent="0.2">
      <c r="A24" s="113"/>
      <c r="B24" s="113"/>
      <c r="C24" s="113"/>
      <c r="D24" s="113"/>
      <c r="E24" s="113"/>
      <c r="F24" s="113"/>
      <c r="G24" s="60"/>
      <c r="H24" s="59" t="s">
        <v>48</v>
      </c>
      <c r="I24" s="112">
        <v>0.02</v>
      </c>
      <c r="J24" s="112"/>
      <c r="K24" s="60"/>
      <c r="L24" s="109" t="s">
        <v>49</v>
      </c>
      <c r="M24" s="109"/>
      <c r="N24" s="112">
        <v>2.11</v>
      </c>
      <c r="O24" s="112"/>
    </row>
    <row r="25" spans="1:19" ht="13.35" customHeight="1" x14ac:dyDescent="0.2">
      <c r="A25" s="113"/>
      <c r="B25" s="113"/>
      <c r="C25" s="113"/>
      <c r="D25" s="113"/>
      <c r="E25" s="113"/>
      <c r="F25" s="113"/>
      <c r="G25" s="60"/>
      <c r="H25" s="60"/>
      <c r="I25" s="113"/>
      <c r="J25" s="113"/>
      <c r="K25" s="60"/>
      <c r="L25" s="109" t="s">
        <v>50</v>
      </c>
      <c r="M25" s="109"/>
      <c r="N25" s="112">
        <v>0.01</v>
      </c>
      <c r="O25" s="112"/>
    </row>
    <row r="26" spans="1:19" ht="13.35" customHeight="1" x14ac:dyDescent="0.2">
      <c r="A26" s="113"/>
      <c r="B26" s="113"/>
      <c r="C26" s="113"/>
      <c r="D26" s="113"/>
      <c r="E26" s="113"/>
      <c r="F26" s="113"/>
      <c r="G26" s="60"/>
      <c r="H26" s="60"/>
      <c r="I26" s="113"/>
      <c r="J26" s="113"/>
      <c r="K26" s="60"/>
      <c r="L26" s="109" t="s">
        <v>51</v>
      </c>
      <c r="M26" s="109"/>
      <c r="N26" s="112">
        <v>0</v>
      </c>
      <c r="O26" s="112"/>
    </row>
    <row r="27" spans="1:19" ht="14.1" customHeight="1" x14ac:dyDescent="0.2">
      <c r="A27" s="106"/>
      <c r="B27" s="106"/>
      <c r="C27" s="106"/>
      <c r="D27" s="106"/>
      <c r="E27" s="106"/>
      <c r="F27" s="106"/>
      <c r="G27" s="106"/>
      <c r="H27" s="106"/>
      <c r="I27" s="106"/>
      <c r="J27" s="106"/>
      <c r="K27" s="106"/>
      <c r="L27" s="106"/>
      <c r="M27" s="106"/>
      <c r="N27" s="106"/>
      <c r="O27" s="106"/>
      <c r="P27" s="106"/>
      <c r="Q27" s="106"/>
      <c r="R27" s="106"/>
      <c r="S27" s="106"/>
    </row>
    <row r="28" spans="1:19" ht="14.1" customHeight="1" x14ac:dyDescent="0.2">
      <c r="A28" s="111" t="s">
        <v>52</v>
      </c>
      <c r="B28" s="111"/>
      <c r="C28" s="111"/>
      <c r="D28" s="111"/>
      <c r="E28" s="111"/>
      <c r="F28" s="111"/>
      <c r="G28" s="111"/>
      <c r="H28" s="111"/>
      <c r="I28" s="111"/>
      <c r="J28" s="111"/>
      <c r="K28" s="111"/>
      <c r="L28" s="111"/>
      <c r="M28" s="111"/>
      <c r="N28" s="111"/>
      <c r="O28" s="111"/>
      <c r="P28" s="111"/>
      <c r="Q28" s="111"/>
      <c r="R28" s="111"/>
      <c r="S28" s="111"/>
    </row>
    <row r="29" spans="1:19" ht="86.1" customHeight="1" x14ac:dyDescent="0.2">
      <c r="A29" s="114" t="s">
        <v>909</v>
      </c>
      <c r="B29" s="114"/>
      <c r="C29" s="114"/>
      <c r="D29" s="114"/>
      <c r="E29" s="114"/>
      <c r="F29" s="114"/>
      <c r="G29" s="114"/>
      <c r="H29" s="114"/>
      <c r="I29" s="114"/>
      <c r="J29" s="114"/>
      <c r="K29" s="114"/>
      <c r="L29" s="114"/>
      <c r="M29" s="114"/>
      <c r="N29" s="114"/>
      <c r="O29" s="114"/>
      <c r="P29" s="114"/>
      <c r="Q29" s="114"/>
      <c r="R29" s="114"/>
      <c r="S29" s="114"/>
    </row>
    <row r="30" spans="1:19" ht="14.1" customHeight="1" x14ac:dyDescent="0.2">
      <c r="A30" s="106"/>
      <c r="B30" s="106"/>
      <c r="C30" s="106"/>
      <c r="D30" s="106"/>
      <c r="E30" s="106"/>
      <c r="F30" s="106"/>
      <c r="G30" s="106"/>
      <c r="H30" s="106"/>
      <c r="I30" s="106"/>
      <c r="J30" s="106"/>
      <c r="K30" s="106"/>
      <c r="L30" s="106"/>
      <c r="M30" s="106"/>
      <c r="N30" s="106"/>
      <c r="O30" s="106"/>
      <c r="P30" s="106"/>
      <c r="Q30" s="106"/>
      <c r="R30" s="106"/>
      <c r="S30" s="106"/>
    </row>
    <row r="31" spans="1:19" ht="14.1" customHeight="1" x14ac:dyDescent="0.2">
      <c r="A31" s="111" t="s">
        <v>56</v>
      </c>
      <c r="B31" s="111"/>
      <c r="C31" s="111"/>
      <c r="D31" s="111"/>
      <c r="E31" s="111"/>
      <c r="F31" s="111"/>
      <c r="G31" s="111"/>
      <c r="H31" s="111"/>
      <c r="I31" s="111"/>
      <c r="J31" s="111"/>
      <c r="K31" s="111"/>
      <c r="L31" s="111"/>
      <c r="M31" s="111"/>
      <c r="N31" s="111"/>
      <c r="O31" s="111"/>
      <c r="P31" s="111"/>
      <c r="Q31" s="111"/>
      <c r="R31" s="111"/>
      <c r="S31" s="111"/>
    </row>
    <row r="32" spans="1:19" ht="49.2" customHeight="1" x14ac:dyDescent="0.2">
      <c r="A32" s="114" t="s">
        <v>910</v>
      </c>
      <c r="B32" s="114"/>
      <c r="C32" s="114"/>
      <c r="D32" s="114"/>
      <c r="E32" s="114"/>
      <c r="F32" s="114"/>
      <c r="G32" s="114"/>
      <c r="H32" s="114"/>
      <c r="I32" s="114"/>
      <c r="J32" s="114"/>
      <c r="K32" s="114"/>
      <c r="L32" s="114"/>
      <c r="M32" s="114"/>
      <c r="N32" s="114"/>
      <c r="O32" s="114"/>
      <c r="P32" s="114"/>
      <c r="Q32" s="114"/>
      <c r="R32" s="114"/>
      <c r="S32" s="114"/>
    </row>
    <row r="34" spans="1:20" s="1" customFormat="1" ht="72.45" customHeight="1" x14ac:dyDescent="0.25">
      <c r="J34" s="100" t="s">
        <v>0</v>
      </c>
      <c r="K34" s="100"/>
      <c r="L34" s="100"/>
      <c r="M34" s="100"/>
      <c r="N34" s="100"/>
      <c r="O34" s="100"/>
      <c r="P34" s="100"/>
      <c r="Q34" s="100"/>
      <c r="R34" s="100"/>
      <c r="S34" s="100"/>
      <c r="T34" s="100"/>
    </row>
    <row r="35" spans="1:20" s="1" customFormat="1" ht="7.05" customHeight="1" x14ac:dyDescent="0.25"/>
    <row r="36" spans="1:20" s="1" customFormat="1" ht="14.1" customHeight="1" x14ac:dyDescent="0.25">
      <c r="B36" s="101" t="s">
        <v>719</v>
      </c>
      <c r="C36" s="101"/>
      <c r="D36" s="101"/>
      <c r="E36" s="101"/>
      <c r="F36" s="101"/>
      <c r="G36" s="101"/>
      <c r="H36" s="101"/>
      <c r="I36" s="101"/>
      <c r="J36" s="101"/>
      <c r="K36" s="101"/>
      <c r="L36" s="101"/>
      <c r="M36" s="101"/>
      <c r="N36" s="101"/>
      <c r="O36" s="101"/>
      <c r="P36" s="101"/>
      <c r="Q36" s="101"/>
      <c r="R36" s="101"/>
    </row>
    <row r="37" spans="1:20" s="1" customFormat="1" ht="14.1" customHeight="1" x14ac:dyDescent="0.25"/>
    <row r="38" spans="1:20" s="1" customFormat="1" ht="14.1" customHeight="1" x14ac:dyDescent="0.25">
      <c r="A38" s="102" t="s">
        <v>2</v>
      </c>
      <c r="B38" s="102"/>
      <c r="C38" s="102"/>
      <c r="D38" s="103" t="s">
        <v>669</v>
      </c>
      <c r="E38" s="103"/>
      <c r="F38" s="103"/>
      <c r="G38" s="103"/>
      <c r="H38" s="103"/>
      <c r="I38" s="103"/>
      <c r="J38" s="103"/>
      <c r="K38" s="103"/>
      <c r="L38" s="103"/>
      <c r="M38" s="103"/>
      <c r="N38" s="103"/>
      <c r="O38" s="103"/>
      <c r="P38" s="103"/>
      <c r="Q38" s="103"/>
      <c r="R38" s="103"/>
      <c r="S38" s="103"/>
      <c r="T38" s="103"/>
    </row>
    <row r="39" spans="1:20" s="1" customFormat="1" ht="14.1" customHeight="1" x14ac:dyDescent="0.25">
      <c r="A39" s="102" t="s">
        <v>4</v>
      </c>
      <c r="B39" s="102"/>
      <c r="C39" s="103">
        <v>12</v>
      </c>
      <c r="D39" s="103"/>
      <c r="E39" s="103"/>
      <c r="F39" s="103"/>
      <c r="G39" s="103"/>
      <c r="H39" s="103"/>
      <c r="I39" s="103"/>
      <c r="J39" s="103"/>
      <c r="K39" s="103"/>
      <c r="L39" s="103"/>
      <c r="M39" s="103"/>
      <c r="N39" s="103"/>
      <c r="O39" s="103"/>
      <c r="P39" s="103"/>
      <c r="Q39" s="103"/>
      <c r="R39" s="103"/>
      <c r="S39" s="103"/>
      <c r="T39" s="103"/>
    </row>
    <row r="40" spans="1:20" s="1" customFormat="1" ht="14.1" customHeight="1" x14ac:dyDescent="0.25">
      <c r="A40" s="102" t="s">
        <v>6</v>
      </c>
      <c r="B40" s="102"/>
      <c r="C40" s="102"/>
      <c r="D40" s="102"/>
      <c r="E40" s="102"/>
      <c r="F40" s="103" t="s">
        <v>670</v>
      </c>
      <c r="G40" s="103"/>
      <c r="H40" s="103"/>
      <c r="I40" s="103"/>
      <c r="J40" s="103"/>
      <c r="K40" s="103"/>
      <c r="L40" s="103"/>
      <c r="M40" s="103"/>
      <c r="N40" s="103"/>
      <c r="O40" s="103"/>
      <c r="P40" s="103"/>
      <c r="Q40" s="103"/>
      <c r="R40" s="103"/>
      <c r="S40" s="103"/>
      <c r="T40" s="103"/>
    </row>
    <row r="41" spans="1:20" s="1" customFormat="1" ht="1.35" customHeight="1" x14ac:dyDescent="0.25"/>
    <row r="42" spans="1:20" s="1" customFormat="1" ht="13.2" x14ac:dyDescent="0.25">
      <c r="A42" s="104" t="s">
        <v>754</v>
      </c>
      <c r="B42" s="93"/>
      <c r="C42" s="93"/>
      <c r="D42" s="93"/>
      <c r="E42" s="93"/>
      <c r="F42" s="93"/>
      <c r="G42" s="93"/>
      <c r="H42" s="93"/>
      <c r="I42" s="93"/>
      <c r="J42" s="93"/>
      <c r="K42" s="93"/>
      <c r="L42" s="93"/>
      <c r="M42" s="93"/>
      <c r="N42" s="93"/>
      <c r="O42" s="93"/>
      <c r="P42" s="93"/>
      <c r="Q42" s="93"/>
      <c r="R42" s="93"/>
      <c r="S42" s="93"/>
    </row>
    <row r="43" spans="1:20" s="1" customFormat="1" ht="49.95" customHeight="1" x14ac:dyDescent="0.25">
      <c r="A43" s="92" t="s">
        <v>720</v>
      </c>
      <c r="B43" s="93"/>
      <c r="C43" s="93"/>
      <c r="D43" s="93"/>
      <c r="E43" s="93"/>
      <c r="F43" s="93"/>
      <c r="G43" s="93"/>
      <c r="H43" s="93"/>
      <c r="I43" s="93"/>
      <c r="J43" s="93"/>
      <c r="K43" s="93"/>
      <c r="L43" s="93"/>
      <c r="M43" s="93"/>
      <c r="N43" s="93"/>
      <c r="O43" s="93"/>
      <c r="P43" s="93"/>
      <c r="Q43" s="93"/>
      <c r="R43" s="93"/>
      <c r="S43" s="93"/>
    </row>
    <row r="44" spans="1:20" s="1" customFormat="1" ht="7.05" customHeight="1" x14ac:dyDescent="0.25">
      <c r="A44" s="86"/>
      <c r="B44" s="86"/>
      <c r="C44" s="86"/>
      <c r="D44" s="86"/>
      <c r="E44" s="86"/>
      <c r="F44" s="86"/>
      <c r="G44" s="86"/>
      <c r="H44" s="86"/>
      <c r="I44" s="86"/>
      <c r="J44" s="86"/>
      <c r="K44" s="86"/>
      <c r="L44" s="86"/>
      <c r="M44" s="86"/>
      <c r="N44" s="86"/>
      <c r="O44" s="86"/>
      <c r="P44" s="86"/>
      <c r="Q44" s="42"/>
      <c r="R44" s="86"/>
      <c r="S44" s="86"/>
      <c r="T44" s="86"/>
    </row>
    <row r="45" spans="1:20" s="1" customFormat="1" ht="16.95" customHeight="1" x14ac:dyDescent="0.25">
      <c r="A45" s="94" t="s">
        <v>8</v>
      </c>
      <c r="B45" s="94"/>
      <c r="C45" s="94"/>
      <c r="D45" s="94"/>
      <c r="E45" s="94"/>
      <c r="F45" s="94"/>
      <c r="G45" s="94"/>
      <c r="H45" s="94"/>
      <c r="I45" s="94"/>
      <c r="J45" s="94"/>
      <c r="K45" s="94"/>
      <c r="L45" s="94"/>
      <c r="M45" s="95" t="s">
        <v>9</v>
      </c>
      <c r="N45" s="95"/>
      <c r="O45" s="95"/>
      <c r="P45" s="95"/>
      <c r="Q45" s="95"/>
      <c r="R45" s="95"/>
      <c r="S45" s="95"/>
      <c r="T45" s="95"/>
    </row>
    <row r="46" spans="1:20" s="1" customFormat="1" ht="16.95" customHeight="1" x14ac:dyDescent="0.25">
      <c r="A46" s="94"/>
      <c r="B46" s="94"/>
      <c r="C46" s="94"/>
      <c r="D46" s="94"/>
      <c r="E46" s="94"/>
      <c r="F46" s="94"/>
      <c r="G46" s="94"/>
      <c r="H46" s="94"/>
      <c r="I46" s="94"/>
      <c r="J46" s="94"/>
      <c r="K46" s="94"/>
      <c r="L46" s="94"/>
      <c r="M46" s="96" t="s">
        <v>10</v>
      </c>
      <c r="N46" s="96"/>
      <c r="O46" s="96"/>
      <c r="P46" s="96"/>
      <c r="Q46" s="97" t="s">
        <v>11</v>
      </c>
      <c r="R46" s="97"/>
      <c r="S46" s="97"/>
      <c r="T46" s="97"/>
    </row>
    <row r="47" spans="1:20" s="1" customFormat="1" ht="16.95" customHeight="1" x14ac:dyDescent="0.25">
      <c r="A47" s="94"/>
      <c r="B47" s="94"/>
      <c r="C47" s="94"/>
      <c r="D47" s="94"/>
      <c r="E47" s="94"/>
      <c r="F47" s="94"/>
      <c r="G47" s="94"/>
      <c r="H47" s="94"/>
      <c r="I47" s="94"/>
      <c r="J47" s="94"/>
      <c r="K47" s="94"/>
      <c r="L47" s="94"/>
      <c r="M47" s="98" t="s">
        <v>12</v>
      </c>
      <c r="N47" s="98"/>
      <c r="O47" s="98" t="s">
        <v>13</v>
      </c>
      <c r="P47" s="98"/>
      <c r="Q47" s="40" t="s">
        <v>14</v>
      </c>
      <c r="R47" s="99" t="s">
        <v>15</v>
      </c>
      <c r="S47" s="99"/>
      <c r="T47" s="99"/>
    </row>
    <row r="48" spans="1:20" s="1" customFormat="1" ht="13.35" customHeight="1" x14ac:dyDescent="0.25">
      <c r="A48" s="88" t="s">
        <v>529</v>
      </c>
      <c r="B48" s="88"/>
      <c r="C48" s="88"/>
      <c r="D48" s="88"/>
      <c r="E48" s="88"/>
      <c r="F48" s="88"/>
      <c r="G48" s="88"/>
      <c r="H48" s="88"/>
      <c r="I48" s="88"/>
      <c r="J48" s="88"/>
      <c r="K48" s="88"/>
      <c r="L48" s="88"/>
      <c r="M48" s="88">
        <v>14</v>
      </c>
      <c r="N48" s="88"/>
      <c r="O48" s="88">
        <v>14</v>
      </c>
      <c r="P48" s="88"/>
      <c r="Q48" s="39">
        <v>1.4</v>
      </c>
      <c r="R48" s="88">
        <v>1.4</v>
      </c>
      <c r="S48" s="88"/>
      <c r="T48" s="88"/>
    </row>
    <row r="49" spans="1:20" s="1" customFormat="1" ht="13.35" customHeight="1" x14ac:dyDescent="0.25">
      <c r="A49" s="88" t="s">
        <v>671</v>
      </c>
      <c r="B49" s="88"/>
      <c r="C49" s="88"/>
      <c r="D49" s="88"/>
      <c r="E49" s="88"/>
      <c r="F49" s="88"/>
      <c r="G49" s="88"/>
      <c r="H49" s="88"/>
      <c r="I49" s="88"/>
      <c r="J49" s="88"/>
      <c r="K49" s="88"/>
      <c r="L49" s="88"/>
      <c r="M49" s="88" t="s">
        <v>62</v>
      </c>
      <c r="N49" s="88"/>
      <c r="O49" s="88" t="s">
        <v>62</v>
      </c>
      <c r="P49" s="88"/>
      <c r="Q49" s="39" t="s">
        <v>63</v>
      </c>
      <c r="R49" s="88" t="s">
        <v>63</v>
      </c>
      <c r="S49" s="88"/>
      <c r="T49" s="88"/>
    </row>
    <row r="50" spans="1:20" s="1" customFormat="1" ht="13.35" customHeight="1" x14ac:dyDescent="0.25">
      <c r="A50" s="88" t="s">
        <v>269</v>
      </c>
      <c r="B50" s="88"/>
      <c r="C50" s="88"/>
      <c r="D50" s="88"/>
      <c r="E50" s="88"/>
      <c r="F50" s="88"/>
      <c r="G50" s="88"/>
      <c r="H50" s="88"/>
      <c r="I50" s="88"/>
      <c r="J50" s="88"/>
      <c r="K50" s="88"/>
      <c r="L50" s="88"/>
      <c r="M50" s="88" t="s">
        <v>255</v>
      </c>
      <c r="N50" s="88"/>
      <c r="O50" s="88">
        <v>99</v>
      </c>
      <c r="P50" s="88"/>
      <c r="Q50" s="39" t="s">
        <v>101</v>
      </c>
      <c r="R50" s="88" t="s">
        <v>164</v>
      </c>
      <c r="S50" s="88"/>
      <c r="T50" s="88"/>
    </row>
    <row r="51" spans="1:20" s="1" customFormat="1" ht="13.35" customHeight="1" x14ac:dyDescent="0.25">
      <c r="A51" s="88" t="s">
        <v>109</v>
      </c>
      <c r="B51" s="88"/>
      <c r="C51" s="88"/>
      <c r="D51" s="88"/>
      <c r="E51" s="88"/>
      <c r="F51" s="88"/>
      <c r="G51" s="88"/>
      <c r="H51" s="88"/>
      <c r="I51" s="88"/>
      <c r="J51" s="88"/>
      <c r="K51" s="88"/>
      <c r="L51" s="88"/>
      <c r="M51" s="88" t="s">
        <v>101</v>
      </c>
      <c r="N51" s="88"/>
      <c r="O51" s="88">
        <v>112.5</v>
      </c>
      <c r="P51" s="88"/>
      <c r="Q51" s="39" t="s">
        <v>103</v>
      </c>
      <c r="R51" s="88" t="s">
        <v>103</v>
      </c>
      <c r="S51" s="88"/>
      <c r="T51" s="88"/>
    </row>
    <row r="52" spans="1:20" s="1" customFormat="1" ht="14.1" customHeight="1" x14ac:dyDescent="0.25">
      <c r="A52" s="90" t="s">
        <v>672</v>
      </c>
      <c r="B52" s="90"/>
      <c r="C52" s="90"/>
      <c r="D52" s="90"/>
      <c r="E52" s="90"/>
      <c r="F52" s="90"/>
      <c r="G52" s="90"/>
      <c r="H52" s="90"/>
      <c r="I52" s="90"/>
      <c r="J52" s="90"/>
      <c r="K52" s="90"/>
      <c r="L52" s="90"/>
      <c r="M52" s="90"/>
      <c r="N52" s="90"/>
      <c r="O52" s="90"/>
      <c r="P52" s="90"/>
      <c r="Q52" s="90"/>
      <c r="R52" s="90"/>
      <c r="S52" s="90"/>
      <c r="T52" s="90"/>
    </row>
    <row r="53" spans="1:20" s="1" customFormat="1" ht="21.3" customHeight="1" x14ac:dyDescent="0.25"/>
    <row r="54" spans="1:20" s="1" customFormat="1" ht="14.1" customHeight="1" x14ac:dyDescent="0.25">
      <c r="A54" s="91" t="s">
        <v>33</v>
      </c>
      <c r="B54" s="91"/>
      <c r="C54" s="91"/>
      <c r="D54" s="91"/>
      <c r="E54" s="91"/>
      <c r="F54" s="91"/>
      <c r="G54" s="91"/>
      <c r="H54" s="91"/>
      <c r="I54" s="91"/>
      <c r="J54" s="91"/>
      <c r="K54" s="91"/>
      <c r="L54" s="91"/>
      <c r="M54" s="91"/>
      <c r="N54" s="91"/>
    </row>
    <row r="55" spans="1:20" s="1" customFormat="1" ht="13.35" customHeight="1" x14ac:dyDescent="0.25">
      <c r="A55" s="88" t="s">
        <v>34</v>
      </c>
      <c r="B55" s="88"/>
      <c r="C55" s="88"/>
      <c r="D55" s="88"/>
      <c r="E55" s="89">
        <v>0.5</v>
      </c>
      <c r="F55" s="89"/>
      <c r="G55" s="41"/>
      <c r="H55" s="39" t="s">
        <v>35</v>
      </c>
      <c r="I55" s="89">
        <v>0.03</v>
      </c>
      <c r="J55" s="89"/>
      <c r="K55" s="41"/>
      <c r="L55" s="88" t="s">
        <v>36</v>
      </c>
      <c r="M55" s="88"/>
      <c r="N55" s="89">
        <v>17.170000000000002</v>
      </c>
      <c r="O55" s="89"/>
    </row>
    <row r="56" spans="1:20" s="1" customFormat="1" ht="13.35" customHeight="1" x14ac:dyDescent="0.25">
      <c r="A56" s="88" t="s">
        <v>37</v>
      </c>
      <c r="B56" s="88"/>
      <c r="C56" s="88"/>
      <c r="D56" s="88"/>
      <c r="E56" s="89">
        <v>0.4</v>
      </c>
      <c r="F56" s="89"/>
      <c r="G56" s="41"/>
      <c r="H56" s="39" t="s">
        <v>38</v>
      </c>
      <c r="I56" s="89">
        <v>3.52</v>
      </c>
      <c r="J56" s="89"/>
      <c r="K56" s="41"/>
      <c r="L56" s="88" t="s">
        <v>39</v>
      </c>
      <c r="M56" s="88"/>
      <c r="N56" s="89">
        <v>8.61</v>
      </c>
      <c r="O56" s="89"/>
    </row>
    <row r="57" spans="1:20" s="1" customFormat="1" ht="13.35" customHeight="1" x14ac:dyDescent="0.25">
      <c r="A57" s="88" t="s">
        <v>40</v>
      </c>
      <c r="B57" s="88"/>
      <c r="C57" s="88"/>
      <c r="D57" s="88"/>
      <c r="E57" s="89">
        <v>26.7</v>
      </c>
      <c r="F57" s="89"/>
      <c r="G57" s="41"/>
      <c r="H57" s="39" t="s">
        <v>41</v>
      </c>
      <c r="I57" s="89">
        <v>0.01</v>
      </c>
      <c r="J57" s="89"/>
      <c r="K57" s="41"/>
      <c r="L57" s="88" t="s">
        <v>42</v>
      </c>
      <c r="M57" s="88"/>
      <c r="N57" s="89">
        <v>15.68</v>
      </c>
      <c r="O57" s="89"/>
    </row>
    <row r="58" spans="1:20" s="1" customFormat="1" ht="13.35" customHeight="1" x14ac:dyDescent="0.25">
      <c r="A58" s="88" t="s">
        <v>43</v>
      </c>
      <c r="B58" s="88"/>
      <c r="C58" s="88"/>
      <c r="D58" s="88"/>
      <c r="E58" s="89">
        <v>114.5</v>
      </c>
      <c r="F58" s="89"/>
      <c r="G58" s="41"/>
      <c r="H58" s="39" t="s">
        <v>44</v>
      </c>
      <c r="I58" s="89">
        <v>0.55000000000000004</v>
      </c>
      <c r="J58" s="89"/>
      <c r="K58" s="41"/>
      <c r="L58" s="88" t="s">
        <v>45</v>
      </c>
      <c r="M58" s="88"/>
      <c r="N58" s="89">
        <v>1.91</v>
      </c>
      <c r="O58" s="89"/>
    </row>
    <row r="59" spans="1:20" s="1" customFormat="1" ht="13.35" customHeight="1" x14ac:dyDescent="0.25">
      <c r="A59" s="87"/>
      <c r="B59" s="87"/>
      <c r="C59" s="87"/>
      <c r="D59" s="87"/>
      <c r="E59" s="87"/>
      <c r="F59" s="87"/>
      <c r="G59" s="41"/>
      <c r="H59" s="39" t="s">
        <v>46</v>
      </c>
      <c r="I59" s="89">
        <v>0</v>
      </c>
      <c r="J59" s="89"/>
      <c r="K59" s="41"/>
      <c r="L59" s="88" t="s">
        <v>47</v>
      </c>
      <c r="M59" s="88"/>
      <c r="N59" s="89">
        <v>294.74</v>
      </c>
      <c r="O59" s="89"/>
    </row>
    <row r="60" spans="1:20" s="1" customFormat="1" ht="13.35" customHeight="1" x14ac:dyDescent="0.25">
      <c r="A60" s="87"/>
      <c r="B60" s="87"/>
      <c r="C60" s="87"/>
      <c r="D60" s="87"/>
      <c r="E60" s="87"/>
      <c r="F60" s="87"/>
      <c r="G60" s="41"/>
      <c r="H60" s="39" t="s">
        <v>48</v>
      </c>
      <c r="I60" s="89">
        <v>0.02</v>
      </c>
      <c r="J60" s="89"/>
      <c r="K60" s="41"/>
      <c r="L60" s="88" t="s">
        <v>49</v>
      </c>
      <c r="M60" s="88"/>
      <c r="N60" s="89">
        <v>1.76</v>
      </c>
      <c r="O60" s="89"/>
    </row>
    <row r="61" spans="1:20" s="1" customFormat="1" ht="13.35" customHeight="1" x14ac:dyDescent="0.25">
      <c r="A61" s="87"/>
      <c r="B61" s="87"/>
      <c r="C61" s="87"/>
      <c r="D61" s="87"/>
      <c r="E61" s="87"/>
      <c r="F61" s="87"/>
      <c r="G61" s="41"/>
      <c r="H61" s="41"/>
      <c r="I61" s="87"/>
      <c r="J61" s="87"/>
      <c r="K61" s="41"/>
      <c r="L61" s="88" t="s">
        <v>50</v>
      </c>
      <c r="M61" s="88"/>
      <c r="N61" s="89">
        <v>0.01</v>
      </c>
      <c r="O61" s="89"/>
    </row>
    <row r="62" spans="1:20" s="1" customFormat="1" ht="13.35" customHeight="1" x14ac:dyDescent="0.25">
      <c r="A62" s="87"/>
      <c r="B62" s="87"/>
      <c r="C62" s="87"/>
      <c r="D62" s="87"/>
      <c r="E62" s="87"/>
      <c r="F62" s="87"/>
      <c r="G62" s="41"/>
      <c r="H62" s="41"/>
      <c r="I62" s="87"/>
      <c r="J62" s="87"/>
      <c r="K62" s="41"/>
      <c r="L62" s="88" t="s">
        <v>51</v>
      </c>
      <c r="M62" s="88"/>
      <c r="N62" s="89">
        <v>0</v>
      </c>
      <c r="O62" s="89"/>
    </row>
    <row r="63" spans="1:20" s="1" customFormat="1" ht="14.1" customHeight="1" x14ac:dyDescent="0.25">
      <c r="A63" s="86"/>
      <c r="B63" s="86"/>
      <c r="C63" s="86"/>
      <c r="D63" s="86"/>
      <c r="E63" s="86"/>
      <c r="F63" s="86"/>
      <c r="G63" s="86"/>
      <c r="H63" s="86"/>
      <c r="I63" s="86"/>
      <c r="J63" s="86"/>
      <c r="K63" s="86"/>
      <c r="L63" s="86"/>
      <c r="M63" s="86"/>
      <c r="N63" s="86"/>
      <c r="O63" s="86"/>
      <c r="P63" s="86"/>
      <c r="Q63" s="86"/>
      <c r="R63" s="86"/>
      <c r="S63" s="86"/>
    </row>
    <row r="64" spans="1:20" s="1" customFormat="1" ht="14.1" customHeight="1" x14ac:dyDescent="0.25">
      <c r="A64" s="84" t="s">
        <v>52</v>
      </c>
      <c r="B64" s="84"/>
      <c r="C64" s="84"/>
      <c r="D64" s="84"/>
      <c r="E64" s="84"/>
      <c r="F64" s="84"/>
      <c r="G64" s="84"/>
      <c r="H64" s="84"/>
      <c r="I64" s="84"/>
      <c r="J64" s="84"/>
      <c r="K64" s="84"/>
      <c r="L64" s="84"/>
      <c r="M64" s="84"/>
      <c r="N64" s="84"/>
      <c r="O64" s="84"/>
      <c r="P64" s="84"/>
      <c r="Q64" s="84"/>
      <c r="R64" s="84"/>
      <c r="S64" s="84"/>
    </row>
    <row r="65" spans="1:20" s="1" customFormat="1" ht="86.1" customHeight="1" x14ac:dyDescent="0.25">
      <c r="A65" s="85" t="s">
        <v>673</v>
      </c>
      <c r="B65" s="85"/>
      <c r="C65" s="85"/>
      <c r="D65" s="85"/>
      <c r="E65" s="85"/>
      <c r="F65" s="85"/>
      <c r="G65" s="85"/>
      <c r="H65" s="85"/>
      <c r="I65" s="85"/>
      <c r="J65" s="85"/>
      <c r="K65" s="85"/>
      <c r="L65" s="85"/>
      <c r="M65" s="85"/>
      <c r="N65" s="85"/>
      <c r="O65" s="85"/>
      <c r="P65" s="85"/>
      <c r="Q65" s="85"/>
      <c r="R65" s="85"/>
      <c r="S65" s="85"/>
    </row>
    <row r="66" spans="1:20" s="1" customFormat="1" ht="14.1" customHeight="1" x14ac:dyDescent="0.25">
      <c r="A66" s="84" t="s">
        <v>54</v>
      </c>
      <c r="B66" s="84"/>
      <c r="C66" s="84"/>
      <c r="D66" s="84"/>
      <c r="E66" s="84"/>
      <c r="F66" s="84"/>
      <c r="G66" s="84"/>
      <c r="H66" s="84"/>
      <c r="I66" s="84"/>
      <c r="J66" s="84"/>
      <c r="K66" s="84"/>
      <c r="L66" s="84"/>
      <c r="M66" s="84"/>
      <c r="N66" s="84"/>
      <c r="O66" s="84"/>
      <c r="P66" s="84"/>
      <c r="Q66" s="84"/>
      <c r="R66" s="84"/>
      <c r="S66" s="84"/>
    </row>
    <row r="67" spans="1:20" s="1" customFormat="1" ht="12.15" customHeight="1" x14ac:dyDescent="0.25">
      <c r="A67" s="85" t="s">
        <v>353</v>
      </c>
      <c r="B67" s="85"/>
      <c r="C67" s="85"/>
      <c r="D67" s="85"/>
      <c r="E67" s="85"/>
      <c r="F67" s="85"/>
      <c r="G67" s="85"/>
      <c r="H67" s="85"/>
      <c r="I67" s="85"/>
      <c r="J67" s="85"/>
      <c r="K67" s="85"/>
      <c r="L67" s="85"/>
      <c r="M67" s="85"/>
      <c r="N67" s="85"/>
      <c r="O67" s="85"/>
      <c r="P67" s="85"/>
      <c r="Q67" s="85"/>
      <c r="R67" s="85"/>
      <c r="S67" s="85"/>
    </row>
    <row r="68" spans="1:20" s="1" customFormat="1" ht="14.1" customHeight="1" x14ac:dyDescent="0.25">
      <c r="A68" s="86"/>
      <c r="B68" s="86"/>
      <c r="C68" s="86"/>
      <c r="D68" s="86"/>
      <c r="E68" s="86"/>
      <c r="F68" s="86"/>
      <c r="G68" s="86"/>
      <c r="H68" s="86"/>
      <c r="I68" s="86"/>
      <c r="J68" s="86"/>
      <c r="K68" s="86"/>
      <c r="L68" s="86"/>
      <c r="M68" s="86"/>
      <c r="N68" s="86"/>
      <c r="O68" s="86"/>
      <c r="P68" s="86"/>
      <c r="Q68" s="86"/>
      <c r="R68" s="86"/>
      <c r="S68" s="86"/>
    </row>
    <row r="69" spans="1:20" s="1" customFormat="1" ht="14.1" customHeight="1" x14ac:dyDescent="0.25">
      <c r="A69" s="84" t="s">
        <v>56</v>
      </c>
      <c r="B69" s="84"/>
      <c r="C69" s="84"/>
      <c r="D69" s="84"/>
      <c r="E69" s="84"/>
      <c r="F69" s="84"/>
      <c r="G69" s="84"/>
      <c r="H69" s="84"/>
      <c r="I69" s="84"/>
      <c r="J69" s="84"/>
      <c r="K69" s="84"/>
      <c r="L69" s="84"/>
      <c r="M69" s="84"/>
      <c r="N69" s="84"/>
      <c r="O69" s="84"/>
      <c r="P69" s="84"/>
      <c r="Q69" s="84"/>
      <c r="R69" s="84"/>
      <c r="S69" s="84"/>
    </row>
    <row r="70" spans="1:20" s="1" customFormat="1" ht="49.2" customHeight="1" x14ac:dyDescent="0.25">
      <c r="A70" s="85" t="s">
        <v>674</v>
      </c>
      <c r="B70" s="85"/>
      <c r="C70" s="85"/>
      <c r="D70" s="85"/>
      <c r="E70" s="85"/>
      <c r="F70" s="85"/>
      <c r="G70" s="85"/>
      <c r="H70" s="85"/>
      <c r="I70" s="85"/>
      <c r="J70" s="85"/>
      <c r="K70" s="85"/>
      <c r="L70" s="85"/>
      <c r="M70" s="85"/>
      <c r="N70" s="85"/>
      <c r="O70" s="85"/>
      <c r="P70" s="85"/>
      <c r="Q70" s="85"/>
      <c r="R70" s="85"/>
      <c r="S70" s="85"/>
    </row>
    <row r="71" spans="1:20" s="1" customFormat="1" ht="13.2" x14ac:dyDescent="0.25"/>
    <row r="72" spans="1:20" s="1" customFormat="1" ht="72.45" customHeight="1" x14ac:dyDescent="0.25">
      <c r="J72" s="100" t="s">
        <v>0</v>
      </c>
      <c r="K72" s="100"/>
      <c r="L72" s="100"/>
      <c r="M72" s="100"/>
      <c r="N72" s="100"/>
      <c r="O72" s="100"/>
      <c r="P72" s="100"/>
      <c r="Q72" s="100"/>
      <c r="R72" s="100"/>
      <c r="S72" s="100"/>
      <c r="T72" s="100"/>
    </row>
    <row r="73" spans="1:20" s="1" customFormat="1" ht="7.05" customHeight="1" x14ac:dyDescent="0.25"/>
    <row r="74" spans="1:20" s="1" customFormat="1" ht="14.1" customHeight="1" x14ac:dyDescent="0.25">
      <c r="B74" s="101" t="s">
        <v>707</v>
      </c>
      <c r="C74" s="101"/>
      <c r="D74" s="101"/>
      <c r="E74" s="101"/>
      <c r="F74" s="101"/>
      <c r="G74" s="101"/>
      <c r="H74" s="101"/>
      <c r="I74" s="101"/>
      <c r="J74" s="101"/>
      <c r="K74" s="101"/>
      <c r="L74" s="101"/>
      <c r="M74" s="101"/>
      <c r="N74" s="101"/>
      <c r="O74" s="101"/>
      <c r="P74" s="101"/>
      <c r="Q74" s="101"/>
      <c r="R74" s="101"/>
    </row>
    <row r="75" spans="1:20" s="1" customFormat="1" ht="14.1" customHeight="1" x14ac:dyDescent="0.25"/>
    <row r="76" spans="1:20" s="1" customFormat="1" ht="14.1" customHeight="1" x14ac:dyDescent="0.25">
      <c r="A76" s="102" t="s">
        <v>2</v>
      </c>
      <c r="B76" s="102"/>
      <c r="C76" s="102"/>
      <c r="D76" s="103" t="s">
        <v>462</v>
      </c>
      <c r="E76" s="103"/>
      <c r="F76" s="103"/>
      <c r="G76" s="103"/>
      <c r="H76" s="103"/>
      <c r="I76" s="103"/>
      <c r="J76" s="103"/>
      <c r="K76" s="103"/>
      <c r="L76" s="103"/>
      <c r="M76" s="103"/>
      <c r="N76" s="103"/>
      <c r="O76" s="103"/>
      <c r="P76" s="103"/>
      <c r="Q76" s="103"/>
      <c r="R76" s="103"/>
      <c r="S76" s="103"/>
      <c r="T76" s="103"/>
    </row>
    <row r="77" spans="1:20" s="1" customFormat="1" ht="14.1" customHeight="1" x14ac:dyDescent="0.25">
      <c r="A77" s="102" t="s">
        <v>4</v>
      </c>
      <c r="B77" s="102"/>
      <c r="C77" s="103" t="s">
        <v>706</v>
      </c>
      <c r="D77" s="103"/>
      <c r="E77" s="103"/>
      <c r="F77" s="103"/>
      <c r="G77" s="103"/>
      <c r="H77" s="103"/>
      <c r="I77" s="103"/>
      <c r="J77" s="103"/>
      <c r="K77" s="103"/>
      <c r="L77" s="103"/>
      <c r="M77" s="103"/>
      <c r="N77" s="103"/>
      <c r="O77" s="103"/>
      <c r="P77" s="103"/>
      <c r="Q77" s="103"/>
      <c r="R77" s="103"/>
      <c r="S77" s="103"/>
      <c r="T77" s="103"/>
    </row>
    <row r="78" spans="1:20" s="1" customFormat="1" ht="14.1" customHeight="1" x14ac:dyDescent="0.25">
      <c r="A78" s="102" t="s">
        <v>6</v>
      </c>
      <c r="B78" s="102"/>
      <c r="C78" s="102"/>
      <c r="D78" s="102"/>
      <c r="E78" s="102"/>
      <c r="F78" s="103" t="s">
        <v>463</v>
      </c>
      <c r="G78" s="103"/>
      <c r="H78" s="103"/>
      <c r="I78" s="103"/>
      <c r="J78" s="103"/>
      <c r="K78" s="103"/>
      <c r="L78" s="103"/>
      <c r="M78" s="103"/>
      <c r="N78" s="103"/>
      <c r="O78" s="103"/>
      <c r="P78" s="103"/>
      <c r="Q78" s="103"/>
      <c r="R78" s="103"/>
      <c r="S78" s="103"/>
      <c r="T78" s="103"/>
    </row>
    <row r="79" spans="1:20" s="1" customFormat="1" ht="1.35" customHeight="1" x14ac:dyDescent="0.25"/>
    <row r="80" spans="1:20" s="2" customFormat="1" ht="13.2" x14ac:dyDescent="0.25">
      <c r="A80" s="115" t="s">
        <v>704</v>
      </c>
      <c r="B80" s="116"/>
      <c r="C80" s="116"/>
      <c r="D80" s="116"/>
      <c r="E80" s="116"/>
      <c r="F80" s="116"/>
      <c r="G80" s="116"/>
      <c r="H80" s="116"/>
      <c r="I80" s="116"/>
      <c r="J80" s="116"/>
      <c r="K80" s="116"/>
      <c r="L80" s="116"/>
      <c r="M80" s="116"/>
      <c r="N80" s="116"/>
      <c r="O80" s="116"/>
      <c r="P80" s="116"/>
      <c r="Q80" s="116"/>
      <c r="R80" s="116"/>
      <c r="S80" s="116"/>
    </row>
    <row r="81" spans="1:20" s="4" customFormat="1" ht="34.950000000000003" customHeight="1" x14ac:dyDescent="0.2">
      <c r="A81" s="117" t="s">
        <v>705</v>
      </c>
      <c r="B81" s="118"/>
      <c r="C81" s="118"/>
      <c r="D81" s="118"/>
      <c r="E81" s="118"/>
      <c r="F81" s="118"/>
      <c r="G81" s="118"/>
      <c r="H81" s="118"/>
      <c r="I81" s="118"/>
      <c r="J81" s="118"/>
      <c r="K81" s="118"/>
      <c r="L81" s="118"/>
      <c r="M81" s="118"/>
      <c r="N81" s="118"/>
      <c r="O81" s="118"/>
      <c r="P81" s="118"/>
      <c r="Q81" s="118"/>
      <c r="R81" s="118"/>
      <c r="S81" s="118"/>
    </row>
    <row r="82" spans="1:20" s="1" customFormat="1" ht="7.05" customHeight="1" x14ac:dyDescent="0.25">
      <c r="A82" s="86"/>
      <c r="B82" s="86"/>
      <c r="C82" s="86"/>
      <c r="D82" s="86"/>
      <c r="E82" s="86"/>
      <c r="F82" s="86"/>
      <c r="G82" s="86"/>
      <c r="H82" s="86"/>
      <c r="I82" s="86"/>
      <c r="J82" s="86"/>
      <c r="K82" s="86"/>
      <c r="L82" s="86"/>
      <c r="M82" s="86"/>
      <c r="N82" s="86"/>
      <c r="O82" s="86"/>
      <c r="P82" s="86"/>
      <c r="Q82" s="42"/>
      <c r="R82" s="86"/>
      <c r="S82" s="86"/>
      <c r="T82" s="86"/>
    </row>
    <row r="83" spans="1:20" s="1" customFormat="1" ht="16.95" customHeight="1" x14ac:dyDescent="0.25">
      <c r="A83" s="94" t="s">
        <v>8</v>
      </c>
      <c r="B83" s="94"/>
      <c r="C83" s="94"/>
      <c r="D83" s="94"/>
      <c r="E83" s="94"/>
      <c r="F83" s="94"/>
      <c r="G83" s="94"/>
      <c r="H83" s="94"/>
      <c r="I83" s="94"/>
      <c r="J83" s="94"/>
      <c r="K83" s="94"/>
      <c r="L83" s="94"/>
      <c r="M83" s="95" t="s">
        <v>9</v>
      </c>
      <c r="N83" s="95"/>
      <c r="O83" s="95"/>
      <c r="P83" s="95"/>
      <c r="Q83" s="95"/>
      <c r="R83" s="95"/>
      <c r="S83" s="95"/>
      <c r="T83" s="95"/>
    </row>
    <row r="84" spans="1:20" s="1" customFormat="1" ht="16.95" customHeight="1" x14ac:dyDescent="0.25">
      <c r="A84" s="94"/>
      <c r="B84" s="94"/>
      <c r="C84" s="94"/>
      <c r="D84" s="94"/>
      <c r="E84" s="94"/>
      <c r="F84" s="94"/>
      <c r="G84" s="94"/>
      <c r="H84" s="94"/>
      <c r="I84" s="94"/>
      <c r="J84" s="94"/>
      <c r="K84" s="94"/>
      <c r="L84" s="94"/>
      <c r="M84" s="96" t="s">
        <v>10</v>
      </c>
      <c r="N84" s="96"/>
      <c r="O84" s="96"/>
      <c r="P84" s="96"/>
      <c r="Q84" s="97" t="s">
        <v>11</v>
      </c>
      <c r="R84" s="97"/>
      <c r="S84" s="97"/>
      <c r="T84" s="97"/>
    </row>
    <row r="85" spans="1:20" s="1" customFormat="1" ht="16.95" customHeight="1" x14ac:dyDescent="0.25">
      <c r="A85" s="94"/>
      <c r="B85" s="94"/>
      <c r="C85" s="94"/>
      <c r="D85" s="94"/>
      <c r="E85" s="94"/>
      <c r="F85" s="94"/>
      <c r="G85" s="94"/>
      <c r="H85" s="94"/>
      <c r="I85" s="94"/>
      <c r="J85" s="94"/>
      <c r="K85" s="94"/>
      <c r="L85" s="94"/>
      <c r="M85" s="98" t="s">
        <v>12</v>
      </c>
      <c r="N85" s="98"/>
      <c r="O85" s="98" t="s">
        <v>13</v>
      </c>
      <c r="P85" s="98"/>
      <c r="Q85" s="40" t="s">
        <v>14</v>
      </c>
      <c r="R85" s="99" t="s">
        <v>15</v>
      </c>
      <c r="S85" s="99"/>
      <c r="T85" s="99"/>
    </row>
    <row r="86" spans="1:20" s="1" customFormat="1" ht="13.35" customHeight="1" x14ac:dyDescent="0.25">
      <c r="A86" s="88" t="s">
        <v>100</v>
      </c>
      <c r="B86" s="88"/>
      <c r="C86" s="88"/>
      <c r="D86" s="88"/>
      <c r="E86" s="88"/>
      <c r="F86" s="88"/>
      <c r="G86" s="88"/>
      <c r="H86" s="88"/>
      <c r="I86" s="88"/>
      <c r="J86" s="88"/>
      <c r="K86" s="88"/>
      <c r="L86" s="88"/>
      <c r="M86" s="88">
        <f>75*100/60</f>
        <v>125</v>
      </c>
      <c r="N86" s="88"/>
      <c r="O86" s="88">
        <v>100</v>
      </c>
      <c r="P86" s="88"/>
      <c r="Q86" s="39">
        <v>12.5</v>
      </c>
      <c r="R86" s="88">
        <v>10</v>
      </c>
      <c r="S86" s="88"/>
      <c r="T86" s="88"/>
    </row>
    <row r="87" spans="1:20" s="1" customFormat="1" ht="14.1" customHeight="1" x14ac:dyDescent="0.25">
      <c r="A87" s="90" t="s">
        <v>134</v>
      </c>
      <c r="B87" s="90"/>
      <c r="C87" s="90"/>
      <c r="D87" s="90"/>
      <c r="E87" s="90"/>
      <c r="F87" s="90"/>
      <c r="G87" s="90"/>
      <c r="H87" s="90"/>
      <c r="I87" s="90"/>
      <c r="J87" s="90"/>
      <c r="K87" s="90"/>
      <c r="L87" s="90"/>
      <c r="M87" s="90"/>
      <c r="N87" s="90"/>
      <c r="O87" s="90"/>
      <c r="P87" s="90"/>
      <c r="Q87" s="90"/>
      <c r="R87" s="90"/>
      <c r="S87" s="90"/>
      <c r="T87" s="90"/>
    </row>
    <row r="88" spans="1:20" s="1" customFormat="1" ht="21.3" customHeight="1" x14ac:dyDescent="0.25"/>
    <row r="89" spans="1:20" s="1" customFormat="1" ht="14.1" customHeight="1" x14ac:dyDescent="0.25">
      <c r="A89" s="91" t="s">
        <v>33</v>
      </c>
      <c r="B89" s="91"/>
      <c r="C89" s="91"/>
      <c r="D89" s="91"/>
      <c r="E89" s="91"/>
      <c r="F89" s="91"/>
      <c r="G89" s="91"/>
      <c r="H89" s="91"/>
      <c r="I89" s="91"/>
      <c r="J89" s="91"/>
      <c r="K89" s="91"/>
      <c r="L89" s="91"/>
      <c r="M89" s="91"/>
      <c r="N89" s="91"/>
    </row>
    <row r="90" spans="1:20" s="1" customFormat="1" ht="13.35" customHeight="1" x14ac:dyDescent="0.25">
      <c r="A90" s="88" t="s">
        <v>34</v>
      </c>
      <c r="B90" s="88"/>
      <c r="C90" s="88"/>
      <c r="D90" s="88"/>
      <c r="E90" s="89">
        <f>0.8*100/60</f>
        <v>1.3333333333333333</v>
      </c>
      <c r="F90" s="89"/>
      <c r="G90" s="41"/>
      <c r="H90" s="39" t="s">
        <v>35</v>
      </c>
      <c r="I90" s="89">
        <v>0.04</v>
      </c>
      <c r="J90" s="89"/>
      <c r="K90" s="41"/>
      <c r="L90" s="88" t="s">
        <v>36</v>
      </c>
      <c r="M90" s="88"/>
      <c r="N90" s="89">
        <v>30.6</v>
      </c>
      <c r="O90" s="89"/>
    </row>
    <row r="91" spans="1:20" s="1" customFormat="1" ht="13.35" customHeight="1" x14ac:dyDescent="0.25">
      <c r="A91" s="88" t="s">
        <v>37</v>
      </c>
      <c r="B91" s="88"/>
      <c r="C91" s="88"/>
      <c r="D91" s="88"/>
      <c r="E91" s="89">
        <f>0.1*100/60</f>
        <v>0.16666666666666666</v>
      </c>
      <c r="F91" s="89"/>
      <c r="G91" s="41"/>
      <c r="H91" s="39" t="s">
        <v>38</v>
      </c>
      <c r="I91" s="89">
        <v>3</v>
      </c>
      <c r="J91" s="89"/>
      <c r="K91" s="41"/>
      <c r="L91" s="88" t="s">
        <v>39</v>
      </c>
      <c r="M91" s="88"/>
      <c r="N91" s="89">
        <v>22.8</v>
      </c>
      <c r="O91" s="89"/>
    </row>
    <row r="92" spans="1:20" s="1" customFormat="1" ht="13.35" customHeight="1" x14ac:dyDescent="0.25">
      <c r="A92" s="88" t="s">
        <v>40</v>
      </c>
      <c r="B92" s="88"/>
      <c r="C92" s="88"/>
      <c r="D92" s="88"/>
      <c r="E92" s="89">
        <f>5.1*100/60</f>
        <v>8.4999999999999982</v>
      </c>
      <c r="F92" s="89"/>
      <c r="G92" s="41"/>
      <c r="H92" s="39" t="s">
        <v>41</v>
      </c>
      <c r="I92" s="89">
        <v>1.49</v>
      </c>
      <c r="J92" s="89"/>
      <c r="K92" s="41"/>
      <c r="L92" s="88" t="s">
        <v>42</v>
      </c>
      <c r="M92" s="88"/>
      <c r="N92" s="89">
        <v>33</v>
      </c>
      <c r="O92" s="89"/>
    </row>
    <row r="93" spans="1:20" s="1" customFormat="1" ht="13.35" customHeight="1" x14ac:dyDescent="0.25">
      <c r="A93" s="88" t="s">
        <v>43</v>
      </c>
      <c r="B93" s="88"/>
      <c r="C93" s="88"/>
      <c r="D93" s="88"/>
      <c r="E93" s="89">
        <f>15*100/60</f>
        <v>25</v>
      </c>
      <c r="F93" s="89"/>
      <c r="G93" s="41"/>
      <c r="H93" s="39" t="s">
        <v>44</v>
      </c>
      <c r="I93" s="89">
        <v>0.38</v>
      </c>
      <c r="J93" s="89"/>
      <c r="K93" s="41"/>
      <c r="L93" s="88" t="s">
        <v>45</v>
      </c>
      <c r="M93" s="88"/>
      <c r="N93" s="89">
        <v>0.6</v>
      </c>
      <c r="O93" s="89"/>
    </row>
    <row r="94" spans="1:20" s="1" customFormat="1" ht="13.35" customHeight="1" x14ac:dyDescent="0.25">
      <c r="A94" s="87"/>
      <c r="B94" s="87"/>
      <c r="C94" s="87"/>
      <c r="D94" s="87"/>
      <c r="E94" s="87"/>
      <c r="F94" s="87"/>
      <c r="G94" s="41"/>
      <c r="H94" s="39" t="s">
        <v>46</v>
      </c>
      <c r="I94" s="89">
        <v>0</v>
      </c>
      <c r="J94" s="89"/>
      <c r="K94" s="41"/>
      <c r="L94" s="88" t="s">
        <v>47</v>
      </c>
      <c r="M94" s="88"/>
      <c r="N94" s="89">
        <v>120</v>
      </c>
      <c r="O94" s="89"/>
    </row>
    <row r="95" spans="1:20" s="1" customFormat="1" ht="13.35" customHeight="1" x14ac:dyDescent="0.25">
      <c r="A95" s="87"/>
      <c r="B95" s="87"/>
      <c r="C95" s="87"/>
      <c r="D95" s="87"/>
      <c r="E95" s="87"/>
      <c r="F95" s="87"/>
      <c r="G95" s="41"/>
      <c r="H95" s="39" t="s">
        <v>48</v>
      </c>
      <c r="I95" s="89">
        <v>0.04</v>
      </c>
      <c r="J95" s="89"/>
      <c r="K95" s="41"/>
      <c r="L95" s="88" t="s">
        <v>49</v>
      </c>
      <c r="M95" s="88"/>
      <c r="N95" s="89">
        <v>3</v>
      </c>
      <c r="O95" s="89"/>
    </row>
    <row r="96" spans="1:20" s="1" customFormat="1" ht="13.35" customHeight="1" x14ac:dyDescent="0.25">
      <c r="A96" s="87"/>
      <c r="B96" s="87"/>
      <c r="C96" s="87"/>
      <c r="D96" s="87"/>
      <c r="E96" s="87"/>
      <c r="F96" s="87"/>
      <c r="G96" s="41"/>
      <c r="H96" s="41"/>
      <c r="I96" s="87"/>
      <c r="J96" s="87"/>
      <c r="K96" s="41"/>
      <c r="L96" s="88" t="s">
        <v>50</v>
      </c>
      <c r="M96" s="88"/>
      <c r="N96" s="89">
        <v>0.03</v>
      </c>
      <c r="O96" s="89"/>
    </row>
    <row r="97" spans="1:20" s="1" customFormat="1" ht="13.35" customHeight="1" x14ac:dyDescent="0.25">
      <c r="A97" s="87"/>
      <c r="B97" s="87"/>
      <c r="C97" s="87"/>
      <c r="D97" s="87"/>
      <c r="E97" s="87"/>
      <c r="F97" s="87"/>
      <c r="G97" s="41"/>
      <c r="H97" s="41"/>
      <c r="I97" s="87"/>
      <c r="J97" s="87"/>
      <c r="K97" s="41"/>
      <c r="L97" s="88" t="s">
        <v>51</v>
      </c>
      <c r="M97" s="88"/>
      <c r="N97" s="89">
        <v>0</v>
      </c>
      <c r="O97" s="89"/>
    </row>
    <row r="98" spans="1:20" s="1" customFormat="1" ht="14.1" customHeight="1" x14ac:dyDescent="0.25">
      <c r="A98" s="86"/>
      <c r="B98" s="86"/>
      <c r="C98" s="86"/>
      <c r="D98" s="86"/>
      <c r="E98" s="86"/>
      <c r="F98" s="86"/>
      <c r="G98" s="86"/>
      <c r="H98" s="86"/>
      <c r="I98" s="86"/>
      <c r="J98" s="86"/>
      <c r="K98" s="86"/>
      <c r="L98" s="86"/>
      <c r="M98" s="86"/>
      <c r="N98" s="86"/>
      <c r="O98" s="86"/>
      <c r="P98" s="86"/>
      <c r="Q98" s="86"/>
      <c r="R98" s="86"/>
      <c r="S98" s="86"/>
    </row>
    <row r="99" spans="1:20" s="1" customFormat="1" ht="14.1" customHeight="1" x14ac:dyDescent="0.25">
      <c r="A99" s="84" t="s">
        <v>52</v>
      </c>
      <c r="B99" s="84"/>
      <c r="C99" s="84"/>
      <c r="D99" s="84"/>
      <c r="E99" s="84"/>
      <c r="F99" s="84"/>
      <c r="G99" s="84"/>
      <c r="H99" s="84"/>
      <c r="I99" s="84"/>
      <c r="J99" s="84"/>
      <c r="K99" s="84"/>
      <c r="L99" s="84"/>
      <c r="M99" s="84"/>
      <c r="N99" s="84"/>
      <c r="O99" s="84"/>
      <c r="P99" s="84"/>
      <c r="Q99" s="84"/>
      <c r="R99" s="84"/>
      <c r="S99" s="84"/>
    </row>
    <row r="100" spans="1:20" s="1" customFormat="1" ht="40.049999999999997" customHeight="1" x14ac:dyDescent="0.25">
      <c r="A100" s="85" t="s">
        <v>464</v>
      </c>
      <c r="B100" s="85"/>
      <c r="C100" s="85"/>
      <c r="D100" s="85"/>
      <c r="E100" s="85"/>
      <c r="F100" s="85"/>
      <c r="G100" s="85"/>
      <c r="H100" s="85"/>
      <c r="I100" s="85"/>
      <c r="J100" s="85"/>
      <c r="K100" s="85"/>
      <c r="L100" s="85"/>
      <c r="M100" s="85"/>
      <c r="N100" s="85"/>
      <c r="O100" s="85"/>
      <c r="P100" s="85"/>
      <c r="Q100" s="85"/>
      <c r="R100" s="85"/>
      <c r="S100" s="85"/>
    </row>
    <row r="101" spans="1:20" s="1" customFormat="1" ht="14.1" customHeight="1" x14ac:dyDescent="0.25">
      <c r="A101" s="84" t="s">
        <v>54</v>
      </c>
      <c r="B101" s="84"/>
      <c r="C101" s="84"/>
      <c r="D101" s="84"/>
      <c r="E101" s="84"/>
      <c r="F101" s="84"/>
      <c r="G101" s="84"/>
      <c r="H101" s="84"/>
      <c r="I101" s="84"/>
      <c r="J101" s="84"/>
      <c r="K101" s="84"/>
      <c r="L101" s="84"/>
      <c r="M101" s="84"/>
      <c r="N101" s="84"/>
      <c r="O101" s="84"/>
      <c r="P101" s="84"/>
      <c r="Q101" s="84"/>
      <c r="R101" s="84"/>
      <c r="S101" s="84"/>
    </row>
    <row r="102" spans="1:20" s="1" customFormat="1" ht="12.15" customHeight="1" x14ac:dyDescent="0.25">
      <c r="A102" s="85" t="s">
        <v>708</v>
      </c>
      <c r="B102" s="85"/>
      <c r="C102" s="85"/>
      <c r="D102" s="85"/>
      <c r="E102" s="85"/>
      <c r="F102" s="85"/>
      <c r="G102" s="85"/>
      <c r="H102" s="85"/>
      <c r="I102" s="85"/>
      <c r="J102" s="85"/>
      <c r="K102" s="85"/>
      <c r="L102" s="85"/>
      <c r="M102" s="85"/>
      <c r="N102" s="85"/>
      <c r="O102" s="85"/>
      <c r="P102" s="85"/>
      <c r="Q102" s="85"/>
      <c r="R102" s="85"/>
      <c r="S102" s="85"/>
    </row>
    <row r="103" spans="1:20" s="1" customFormat="1" ht="14.1" customHeight="1" x14ac:dyDescent="0.25">
      <c r="A103" s="86"/>
      <c r="B103" s="86"/>
      <c r="C103" s="86"/>
      <c r="D103" s="86"/>
      <c r="E103" s="86"/>
      <c r="F103" s="86"/>
      <c r="G103" s="86"/>
      <c r="H103" s="86"/>
      <c r="I103" s="86"/>
      <c r="J103" s="86"/>
      <c r="K103" s="86"/>
      <c r="L103" s="86"/>
      <c r="M103" s="86"/>
      <c r="N103" s="86"/>
      <c r="O103" s="86"/>
      <c r="P103" s="86"/>
      <c r="Q103" s="86"/>
      <c r="R103" s="86"/>
      <c r="S103" s="86"/>
    </row>
    <row r="104" spans="1:20" s="1" customFormat="1" ht="14.1" customHeight="1" x14ac:dyDescent="0.25">
      <c r="A104" s="84" t="s">
        <v>56</v>
      </c>
      <c r="B104" s="84"/>
      <c r="C104" s="84"/>
      <c r="D104" s="84"/>
      <c r="E104" s="84"/>
      <c r="F104" s="84"/>
      <c r="G104" s="84"/>
      <c r="H104" s="84"/>
      <c r="I104" s="84"/>
      <c r="J104" s="84"/>
      <c r="K104" s="84"/>
      <c r="L104" s="84"/>
      <c r="M104" s="84"/>
      <c r="N104" s="84"/>
      <c r="O104" s="84"/>
      <c r="P104" s="84"/>
      <c r="Q104" s="84"/>
      <c r="R104" s="84"/>
      <c r="S104" s="84"/>
    </row>
    <row r="105" spans="1:20" s="1" customFormat="1" ht="49.2" customHeight="1" x14ac:dyDescent="0.25">
      <c r="A105" s="85" t="s">
        <v>465</v>
      </c>
      <c r="B105" s="85"/>
      <c r="C105" s="85"/>
      <c r="D105" s="85"/>
      <c r="E105" s="85"/>
      <c r="F105" s="85"/>
      <c r="G105" s="85"/>
      <c r="H105" s="85"/>
      <c r="I105" s="85"/>
      <c r="J105" s="85"/>
      <c r="K105" s="85"/>
      <c r="L105" s="85"/>
      <c r="M105" s="85"/>
      <c r="N105" s="85"/>
      <c r="O105" s="85"/>
      <c r="P105" s="85"/>
      <c r="Q105" s="85"/>
      <c r="R105" s="85"/>
      <c r="S105" s="85"/>
    </row>
    <row r="106" spans="1:20" s="1" customFormat="1" ht="72.45" customHeight="1" x14ac:dyDescent="0.25">
      <c r="J106" s="100" t="s">
        <v>0</v>
      </c>
      <c r="K106" s="100"/>
      <c r="L106" s="100"/>
      <c r="M106" s="100"/>
      <c r="N106" s="100"/>
      <c r="O106" s="100"/>
      <c r="P106" s="100"/>
      <c r="Q106" s="100"/>
      <c r="R106" s="100"/>
      <c r="S106" s="100"/>
      <c r="T106" s="100"/>
    </row>
    <row r="107" spans="1:20" s="1" customFormat="1" ht="7.05" customHeight="1" x14ac:dyDescent="0.25"/>
    <row r="108" spans="1:20" s="1" customFormat="1" ht="14.1" customHeight="1" x14ac:dyDescent="0.25">
      <c r="B108" s="101" t="s">
        <v>470</v>
      </c>
      <c r="C108" s="101"/>
      <c r="D108" s="101"/>
      <c r="E108" s="101"/>
      <c r="F108" s="101"/>
      <c r="G108" s="101"/>
      <c r="H108" s="101"/>
      <c r="I108" s="101"/>
      <c r="J108" s="101"/>
      <c r="K108" s="101"/>
      <c r="L108" s="101"/>
      <c r="M108" s="101"/>
      <c r="N108" s="101"/>
      <c r="O108" s="101"/>
      <c r="P108" s="101"/>
      <c r="Q108" s="101"/>
      <c r="R108" s="101"/>
    </row>
    <row r="109" spans="1:20" s="1" customFormat="1" ht="14.1" customHeight="1" x14ac:dyDescent="0.25"/>
    <row r="110" spans="1:20" s="1" customFormat="1" ht="14.1" customHeight="1" x14ac:dyDescent="0.25">
      <c r="A110" s="102" t="s">
        <v>2</v>
      </c>
      <c r="B110" s="102"/>
      <c r="C110" s="102"/>
      <c r="D110" s="103" t="s">
        <v>466</v>
      </c>
      <c r="E110" s="103"/>
      <c r="F110" s="103"/>
      <c r="G110" s="103"/>
      <c r="H110" s="103"/>
      <c r="I110" s="103"/>
      <c r="J110" s="103"/>
      <c r="K110" s="103"/>
      <c r="L110" s="103"/>
      <c r="M110" s="103"/>
      <c r="N110" s="103"/>
      <c r="O110" s="103"/>
      <c r="P110" s="103"/>
      <c r="Q110" s="103"/>
      <c r="R110" s="103"/>
      <c r="S110" s="103"/>
      <c r="T110" s="103"/>
    </row>
    <row r="111" spans="1:20" s="1" customFormat="1" ht="14.1" customHeight="1" x14ac:dyDescent="0.25">
      <c r="A111" s="102" t="s">
        <v>4</v>
      </c>
      <c r="B111" s="102"/>
      <c r="C111" s="103">
        <v>71</v>
      </c>
      <c r="D111" s="103"/>
      <c r="E111" s="103"/>
      <c r="F111" s="103"/>
      <c r="G111" s="103"/>
      <c r="H111" s="103"/>
      <c r="I111" s="103"/>
      <c r="J111" s="103"/>
      <c r="K111" s="103"/>
      <c r="L111" s="103"/>
      <c r="M111" s="103"/>
      <c r="N111" s="103"/>
      <c r="O111" s="103"/>
      <c r="P111" s="103"/>
      <c r="Q111" s="103"/>
      <c r="R111" s="103"/>
      <c r="S111" s="103"/>
      <c r="T111" s="103"/>
    </row>
    <row r="112" spans="1:20" s="1" customFormat="1" ht="14.1" customHeight="1" x14ac:dyDescent="0.25">
      <c r="A112" s="102" t="s">
        <v>6</v>
      </c>
      <c r="B112" s="102"/>
      <c r="C112" s="102"/>
      <c r="D112" s="102"/>
      <c r="E112" s="102"/>
      <c r="F112" s="103" t="s">
        <v>60</v>
      </c>
      <c r="G112" s="103"/>
      <c r="H112" s="103"/>
      <c r="I112" s="103"/>
      <c r="J112" s="103"/>
      <c r="K112" s="103"/>
      <c r="L112" s="103"/>
      <c r="M112" s="103"/>
      <c r="N112" s="103"/>
      <c r="O112" s="103"/>
      <c r="P112" s="103"/>
      <c r="Q112" s="103"/>
      <c r="R112" s="103"/>
      <c r="S112" s="103"/>
      <c r="T112" s="103"/>
    </row>
    <row r="113" spans="1:20" s="1" customFormat="1" ht="22.35" customHeight="1" x14ac:dyDescent="0.25">
      <c r="F113" s="103"/>
      <c r="G113" s="103"/>
      <c r="H113" s="103"/>
      <c r="I113" s="103"/>
      <c r="J113" s="103"/>
      <c r="K113" s="103"/>
      <c r="L113" s="103"/>
      <c r="M113" s="103"/>
      <c r="N113" s="103"/>
      <c r="O113" s="103"/>
      <c r="P113" s="103"/>
      <c r="Q113" s="103"/>
      <c r="R113" s="103"/>
      <c r="S113" s="103"/>
      <c r="T113" s="103"/>
    </row>
    <row r="114" spans="1:20" s="1" customFormat="1" ht="7.05" customHeight="1" x14ac:dyDescent="0.25">
      <c r="A114" s="86"/>
      <c r="B114" s="86"/>
      <c r="C114" s="86"/>
      <c r="D114" s="86"/>
      <c r="E114" s="86"/>
      <c r="F114" s="86"/>
      <c r="G114" s="86"/>
      <c r="H114" s="86"/>
      <c r="I114" s="86"/>
      <c r="J114" s="86"/>
      <c r="K114" s="86"/>
      <c r="L114" s="86"/>
      <c r="M114" s="86"/>
      <c r="N114" s="86"/>
      <c r="O114" s="86"/>
      <c r="P114" s="86"/>
      <c r="Q114" s="42"/>
      <c r="R114" s="86"/>
      <c r="S114" s="86"/>
      <c r="T114" s="86"/>
    </row>
    <row r="115" spans="1:20" s="1" customFormat="1" ht="16.95" customHeight="1" x14ac:dyDescent="0.25">
      <c r="A115" s="94" t="s">
        <v>8</v>
      </c>
      <c r="B115" s="94"/>
      <c r="C115" s="94"/>
      <c r="D115" s="94"/>
      <c r="E115" s="94"/>
      <c r="F115" s="94"/>
      <c r="G115" s="94"/>
      <c r="H115" s="94"/>
      <c r="I115" s="94"/>
      <c r="J115" s="94"/>
      <c r="K115" s="94"/>
      <c r="L115" s="94"/>
      <c r="M115" s="95" t="s">
        <v>9</v>
      </c>
      <c r="N115" s="95"/>
      <c r="O115" s="95"/>
      <c r="P115" s="95"/>
      <c r="Q115" s="95"/>
      <c r="R115" s="95"/>
      <c r="S115" s="95"/>
      <c r="T115" s="95"/>
    </row>
    <row r="116" spans="1:20" s="1" customFormat="1" ht="16.95" customHeight="1" x14ac:dyDescent="0.25">
      <c r="A116" s="94"/>
      <c r="B116" s="94"/>
      <c r="C116" s="94"/>
      <c r="D116" s="94"/>
      <c r="E116" s="94"/>
      <c r="F116" s="94"/>
      <c r="G116" s="94"/>
      <c r="H116" s="94"/>
      <c r="I116" s="94"/>
      <c r="J116" s="94"/>
      <c r="K116" s="94"/>
      <c r="L116" s="94"/>
      <c r="M116" s="96" t="s">
        <v>10</v>
      </c>
      <c r="N116" s="96"/>
      <c r="O116" s="96"/>
      <c r="P116" s="96"/>
      <c r="Q116" s="97" t="s">
        <v>11</v>
      </c>
      <c r="R116" s="97"/>
      <c r="S116" s="97"/>
      <c r="T116" s="97"/>
    </row>
    <row r="117" spans="1:20" s="1" customFormat="1" ht="16.95" customHeight="1" x14ac:dyDescent="0.25">
      <c r="A117" s="94"/>
      <c r="B117" s="94"/>
      <c r="C117" s="94"/>
      <c r="D117" s="94"/>
      <c r="E117" s="94"/>
      <c r="F117" s="94"/>
      <c r="G117" s="94"/>
      <c r="H117" s="94"/>
      <c r="I117" s="94"/>
      <c r="J117" s="94"/>
      <c r="K117" s="94"/>
      <c r="L117" s="94"/>
      <c r="M117" s="98" t="s">
        <v>12</v>
      </c>
      <c r="N117" s="98"/>
      <c r="O117" s="98" t="s">
        <v>13</v>
      </c>
      <c r="P117" s="98"/>
      <c r="Q117" s="40" t="s">
        <v>14</v>
      </c>
      <c r="R117" s="99" t="s">
        <v>15</v>
      </c>
      <c r="S117" s="99"/>
      <c r="T117" s="99"/>
    </row>
    <row r="118" spans="1:20" s="1" customFormat="1" ht="13.35" customHeight="1" x14ac:dyDescent="0.25">
      <c r="A118" s="88" t="s">
        <v>468</v>
      </c>
      <c r="B118" s="88"/>
      <c r="C118" s="88"/>
      <c r="D118" s="88"/>
      <c r="E118" s="88"/>
      <c r="F118" s="88"/>
      <c r="G118" s="88"/>
      <c r="H118" s="88"/>
      <c r="I118" s="88"/>
      <c r="J118" s="88"/>
      <c r="K118" s="88"/>
      <c r="L118" s="88"/>
      <c r="M118" s="88">
        <f>70.8*100/60</f>
        <v>118</v>
      </c>
      <c r="N118" s="88"/>
      <c r="O118" s="88">
        <f>60*100/60</f>
        <v>100</v>
      </c>
      <c r="P118" s="88"/>
      <c r="Q118" s="39">
        <v>11.8</v>
      </c>
      <c r="R118" s="88">
        <v>10</v>
      </c>
      <c r="S118" s="88"/>
      <c r="T118" s="88"/>
    </row>
    <row r="119" spans="1:20" s="1" customFormat="1" ht="14.1" customHeight="1" x14ac:dyDescent="0.25">
      <c r="A119" s="90" t="s">
        <v>793</v>
      </c>
      <c r="B119" s="90"/>
      <c r="C119" s="90"/>
      <c r="D119" s="90"/>
      <c r="E119" s="90"/>
      <c r="F119" s="90"/>
      <c r="G119" s="90"/>
      <c r="H119" s="90"/>
      <c r="I119" s="90"/>
      <c r="J119" s="90"/>
      <c r="K119" s="90"/>
      <c r="L119" s="90"/>
      <c r="M119" s="90"/>
      <c r="N119" s="90"/>
      <c r="O119" s="90"/>
      <c r="P119" s="90"/>
      <c r="Q119" s="90"/>
      <c r="R119" s="90"/>
      <c r="S119" s="90"/>
      <c r="T119" s="90"/>
    </row>
    <row r="120" spans="1:20" s="1" customFormat="1" ht="21.3" customHeight="1" x14ac:dyDescent="0.25"/>
    <row r="121" spans="1:20" s="1" customFormat="1" ht="14.1" customHeight="1" x14ac:dyDescent="0.25">
      <c r="A121" s="91" t="s">
        <v>33</v>
      </c>
      <c r="B121" s="91"/>
      <c r="C121" s="91"/>
      <c r="D121" s="91"/>
      <c r="E121" s="91"/>
      <c r="F121" s="91"/>
      <c r="G121" s="91"/>
      <c r="H121" s="91"/>
      <c r="I121" s="91"/>
      <c r="J121" s="91"/>
      <c r="K121" s="91"/>
      <c r="L121" s="91"/>
      <c r="M121" s="91"/>
      <c r="N121" s="91"/>
    </row>
    <row r="122" spans="1:20" s="1" customFormat="1" ht="13.35" customHeight="1" x14ac:dyDescent="0.25">
      <c r="A122" s="88" t="s">
        <v>34</v>
      </c>
      <c r="B122" s="88"/>
      <c r="C122" s="88"/>
      <c r="D122" s="88"/>
      <c r="E122" s="89">
        <f>0.67*100/60</f>
        <v>1.1166666666666667</v>
      </c>
      <c r="F122" s="89"/>
      <c r="G122" s="41"/>
      <c r="H122" s="39" t="s">
        <v>35</v>
      </c>
      <c r="I122" s="89">
        <v>0.04</v>
      </c>
      <c r="J122" s="89"/>
      <c r="K122" s="41"/>
      <c r="L122" s="88" t="s">
        <v>36</v>
      </c>
      <c r="M122" s="88"/>
      <c r="N122" s="89">
        <v>8.4</v>
      </c>
      <c r="O122" s="89"/>
    </row>
    <row r="123" spans="1:20" s="1" customFormat="1" ht="13.35" customHeight="1" x14ac:dyDescent="0.25">
      <c r="A123" s="88" t="s">
        <v>37</v>
      </c>
      <c r="B123" s="88"/>
      <c r="C123" s="88"/>
      <c r="D123" s="88"/>
      <c r="E123" s="89">
        <f>0.12*100/60</f>
        <v>0.2</v>
      </c>
      <c r="F123" s="89"/>
      <c r="G123" s="41"/>
      <c r="H123" s="39" t="s">
        <v>38</v>
      </c>
      <c r="I123" s="89">
        <v>15</v>
      </c>
      <c r="J123" s="89"/>
      <c r="K123" s="41"/>
      <c r="L123" s="88" t="s">
        <v>39</v>
      </c>
      <c r="M123" s="88"/>
      <c r="N123" s="89">
        <v>12</v>
      </c>
      <c r="O123" s="89"/>
    </row>
    <row r="124" spans="1:20" s="1" customFormat="1" ht="13.35" customHeight="1" x14ac:dyDescent="0.25">
      <c r="A124" s="88" t="s">
        <v>40</v>
      </c>
      <c r="B124" s="88"/>
      <c r="C124" s="88"/>
      <c r="D124" s="88"/>
      <c r="E124" s="89">
        <f>2.28*100/60</f>
        <v>3.7999999999999994</v>
      </c>
      <c r="F124" s="89"/>
      <c r="G124" s="41"/>
      <c r="H124" s="39" t="s">
        <v>41</v>
      </c>
      <c r="I124" s="89">
        <v>0.1</v>
      </c>
      <c r="J124" s="89"/>
      <c r="K124" s="41"/>
      <c r="L124" s="88" t="s">
        <v>42</v>
      </c>
      <c r="M124" s="88"/>
      <c r="N124" s="89">
        <v>15.6</v>
      </c>
      <c r="O124" s="89"/>
    </row>
    <row r="125" spans="1:20" s="1" customFormat="1" ht="13.35" customHeight="1" x14ac:dyDescent="0.25">
      <c r="A125" s="88" t="s">
        <v>43</v>
      </c>
      <c r="B125" s="88"/>
      <c r="C125" s="88"/>
      <c r="D125" s="88"/>
      <c r="E125" s="89">
        <f>13.2*100/60</f>
        <v>22</v>
      </c>
      <c r="F125" s="89"/>
      <c r="G125" s="41"/>
      <c r="H125" s="39" t="s">
        <v>44</v>
      </c>
      <c r="I125" s="89">
        <v>0.23</v>
      </c>
      <c r="J125" s="89"/>
      <c r="K125" s="41"/>
      <c r="L125" s="88" t="s">
        <v>45</v>
      </c>
      <c r="M125" s="88"/>
      <c r="N125" s="89">
        <v>0.6</v>
      </c>
      <c r="O125" s="89"/>
    </row>
    <row r="126" spans="1:20" s="1" customFormat="1" ht="13.35" customHeight="1" x14ac:dyDescent="0.25">
      <c r="A126" s="87"/>
      <c r="B126" s="87"/>
      <c r="C126" s="87"/>
      <c r="D126" s="87"/>
      <c r="E126" s="87"/>
      <c r="F126" s="87"/>
      <c r="G126" s="41"/>
      <c r="H126" s="39" t="s">
        <v>46</v>
      </c>
      <c r="I126" s="89">
        <v>0</v>
      </c>
      <c r="J126" s="89"/>
      <c r="K126" s="41"/>
      <c r="L126" s="88" t="s">
        <v>47</v>
      </c>
      <c r="M126" s="88"/>
      <c r="N126" s="89">
        <v>174</v>
      </c>
      <c r="O126" s="89"/>
    </row>
    <row r="127" spans="1:20" s="1" customFormat="1" ht="13.35" customHeight="1" x14ac:dyDescent="0.25">
      <c r="A127" s="87"/>
      <c r="B127" s="87"/>
      <c r="C127" s="87"/>
      <c r="D127" s="87"/>
      <c r="E127" s="87"/>
      <c r="F127" s="87"/>
      <c r="G127" s="41"/>
      <c r="H127" s="39" t="s">
        <v>48</v>
      </c>
      <c r="I127" s="89">
        <v>0.02</v>
      </c>
      <c r="J127" s="89"/>
      <c r="K127" s="41"/>
      <c r="L127" s="88" t="s">
        <v>49</v>
      </c>
      <c r="M127" s="88"/>
      <c r="N127" s="89">
        <v>1.2</v>
      </c>
      <c r="O127" s="89"/>
    </row>
    <row r="128" spans="1:20" s="1" customFormat="1" ht="13.35" customHeight="1" x14ac:dyDescent="0.25">
      <c r="A128" s="87"/>
      <c r="B128" s="87"/>
      <c r="C128" s="87"/>
      <c r="D128" s="87"/>
      <c r="E128" s="87"/>
      <c r="F128" s="87"/>
      <c r="G128" s="41"/>
      <c r="H128" s="41"/>
      <c r="I128" s="87"/>
      <c r="J128" s="87"/>
      <c r="K128" s="41"/>
      <c r="L128" s="88" t="s">
        <v>50</v>
      </c>
      <c r="M128" s="88"/>
      <c r="N128" s="89">
        <v>0</v>
      </c>
      <c r="O128" s="89"/>
    </row>
    <row r="129" spans="1:20" s="1" customFormat="1" ht="13.35" customHeight="1" x14ac:dyDescent="0.25">
      <c r="A129" s="87"/>
      <c r="B129" s="87"/>
      <c r="C129" s="87"/>
      <c r="D129" s="87"/>
      <c r="E129" s="87"/>
      <c r="F129" s="87"/>
      <c r="G129" s="41"/>
      <c r="H129" s="41"/>
      <c r="I129" s="87"/>
      <c r="J129" s="87"/>
      <c r="K129" s="41"/>
      <c r="L129" s="88" t="s">
        <v>51</v>
      </c>
      <c r="M129" s="88"/>
      <c r="N129" s="89">
        <v>0</v>
      </c>
      <c r="O129" s="89"/>
    </row>
    <row r="130" spans="1:20" s="1" customFormat="1" ht="14.1" customHeight="1" x14ac:dyDescent="0.25">
      <c r="A130" s="86"/>
      <c r="B130" s="86"/>
      <c r="C130" s="86"/>
      <c r="D130" s="86"/>
      <c r="E130" s="86"/>
      <c r="F130" s="86"/>
      <c r="G130" s="86"/>
      <c r="H130" s="86"/>
      <c r="I130" s="86"/>
      <c r="J130" s="86"/>
      <c r="K130" s="86"/>
      <c r="L130" s="86"/>
      <c r="M130" s="86"/>
      <c r="N130" s="86"/>
      <c r="O130" s="86"/>
      <c r="P130" s="86"/>
      <c r="Q130" s="86"/>
      <c r="R130" s="86"/>
      <c r="S130" s="86"/>
    </row>
    <row r="131" spans="1:20" s="1" customFormat="1" ht="14.1" customHeight="1" x14ac:dyDescent="0.25">
      <c r="A131" s="84" t="s">
        <v>52</v>
      </c>
      <c r="B131" s="84"/>
      <c r="C131" s="84"/>
      <c r="D131" s="84"/>
      <c r="E131" s="84"/>
      <c r="F131" s="84"/>
      <c r="G131" s="84"/>
      <c r="H131" s="84"/>
      <c r="I131" s="84"/>
      <c r="J131" s="84"/>
      <c r="K131" s="84"/>
      <c r="L131" s="84"/>
      <c r="M131" s="84"/>
      <c r="N131" s="84"/>
      <c r="O131" s="84"/>
      <c r="P131" s="84"/>
      <c r="Q131" s="84"/>
      <c r="R131" s="84"/>
      <c r="S131" s="84"/>
    </row>
    <row r="132" spans="1:20" s="1" customFormat="1" ht="49.95" customHeight="1" x14ac:dyDescent="0.25">
      <c r="A132" s="119" t="s">
        <v>474</v>
      </c>
      <c r="B132" s="93"/>
      <c r="C132" s="93"/>
      <c r="D132" s="93"/>
      <c r="E132" s="93"/>
      <c r="F132" s="93"/>
      <c r="G132" s="93"/>
      <c r="H132" s="93"/>
      <c r="I132" s="93"/>
      <c r="J132" s="93"/>
      <c r="K132" s="93"/>
      <c r="L132" s="93"/>
      <c r="M132" s="93"/>
      <c r="N132" s="93"/>
      <c r="O132" s="93"/>
      <c r="P132" s="93"/>
      <c r="Q132" s="93"/>
      <c r="R132" s="93"/>
      <c r="S132" s="93"/>
    </row>
    <row r="133" spans="1:20" s="1" customFormat="1" ht="15" customHeight="1" x14ac:dyDescent="0.25">
      <c r="A133" s="119" t="s">
        <v>691</v>
      </c>
      <c r="B133" s="93"/>
      <c r="C133" s="93"/>
      <c r="D133" s="93"/>
      <c r="E133" s="93"/>
      <c r="F133" s="93"/>
      <c r="G133" s="93"/>
      <c r="H133" s="93"/>
      <c r="I133" s="93"/>
      <c r="J133" s="93"/>
      <c r="K133" s="93"/>
      <c r="L133" s="93"/>
      <c r="M133" s="93"/>
      <c r="N133" s="93"/>
      <c r="O133" s="93"/>
      <c r="P133" s="93"/>
      <c r="Q133" s="93"/>
      <c r="R133" s="93"/>
      <c r="S133" s="93"/>
    </row>
    <row r="134" spans="1:20" s="1" customFormat="1" ht="21.6" customHeight="1" x14ac:dyDescent="0.25">
      <c r="A134" s="85" t="s">
        <v>692</v>
      </c>
      <c r="B134" s="85"/>
      <c r="C134" s="85"/>
      <c r="D134" s="85"/>
      <c r="E134" s="85"/>
      <c r="F134" s="85"/>
      <c r="G134" s="85"/>
      <c r="H134" s="85"/>
      <c r="I134" s="85"/>
      <c r="J134" s="85"/>
      <c r="K134" s="85"/>
      <c r="L134" s="85"/>
      <c r="M134" s="85"/>
      <c r="N134" s="85"/>
      <c r="O134" s="85"/>
      <c r="P134" s="85"/>
      <c r="Q134" s="85"/>
      <c r="R134" s="85"/>
      <c r="S134" s="85"/>
    </row>
    <row r="135" spans="1:20" s="1" customFormat="1" ht="14.1" customHeight="1" x14ac:dyDescent="0.25">
      <c r="A135" s="86"/>
      <c r="B135" s="86"/>
      <c r="C135" s="86"/>
      <c r="D135" s="86"/>
      <c r="E135" s="86"/>
      <c r="F135" s="86"/>
      <c r="G135" s="86"/>
      <c r="H135" s="86"/>
      <c r="I135" s="86"/>
      <c r="J135" s="86"/>
      <c r="K135" s="86"/>
      <c r="L135" s="86"/>
      <c r="M135" s="86"/>
      <c r="N135" s="86"/>
      <c r="O135" s="86"/>
      <c r="P135" s="86"/>
      <c r="Q135" s="86"/>
      <c r="R135" s="86"/>
      <c r="S135" s="86"/>
    </row>
    <row r="136" spans="1:20" s="1" customFormat="1" ht="14.1" customHeight="1" x14ac:dyDescent="0.25">
      <c r="A136" s="84" t="s">
        <v>54</v>
      </c>
      <c r="B136" s="84"/>
      <c r="C136" s="84"/>
      <c r="D136" s="84"/>
      <c r="E136" s="84"/>
      <c r="F136" s="84"/>
      <c r="G136" s="84"/>
      <c r="H136" s="84"/>
      <c r="I136" s="84"/>
      <c r="J136" s="84"/>
      <c r="K136" s="84"/>
      <c r="L136" s="84"/>
      <c r="M136" s="84"/>
      <c r="N136" s="84"/>
      <c r="O136" s="84"/>
      <c r="P136" s="84"/>
      <c r="Q136" s="84"/>
      <c r="R136" s="84"/>
      <c r="S136" s="84"/>
    </row>
    <row r="137" spans="1:20" s="1" customFormat="1" ht="12.15" customHeight="1" x14ac:dyDescent="0.25">
      <c r="A137" s="85" t="s">
        <v>682</v>
      </c>
      <c r="B137" s="85"/>
      <c r="C137" s="85"/>
      <c r="D137" s="85"/>
      <c r="E137" s="85"/>
      <c r="F137" s="85"/>
      <c r="G137" s="85"/>
      <c r="H137" s="85"/>
      <c r="I137" s="85"/>
      <c r="J137" s="85"/>
      <c r="K137" s="85"/>
      <c r="L137" s="85"/>
      <c r="M137" s="85"/>
      <c r="N137" s="85"/>
      <c r="O137" s="85"/>
      <c r="P137" s="85"/>
      <c r="Q137" s="85"/>
      <c r="R137" s="85"/>
      <c r="S137" s="85"/>
    </row>
    <row r="138" spans="1:20" s="1" customFormat="1" ht="14.1" customHeight="1" x14ac:dyDescent="0.25">
      <c r="A138" s="86"/>
      <c r="B138" s="86"/>
      <c r="C138" s="86"/>
      <c r="D138" s="86"/>
      <c r="E138" s="86"/>
      <c r="F138" s="86"/>
      <c r="G138" s="86"/>
      <c r="H138" s="86"/>
      <c r="I138" s="86"/>
      <c r="J138" s="86"/>
      <c r="K138" s="86"/>
      <c r="L138" s="86"/>
      <c r="M138" s="86"/>
      <c r="N138" s="86"/>
      <c r="O138" s="86"/>
      <c r="P138" s="86"/>
      <c r="Q138" s="86"/>
      <c r="R138" s="86"/>
      <c r="S138" s="86"/>
    </row>
    <row r="139" spans="1:20" s="1" customFormat="1" ht="14.1" customHeight="1" x14ac:dyDescent="0.25">
      <c r="A139" s="84" t="s">
        <v>56</v>
      </c>
      <c r="B139" s="84"/>
      <c r="C139" s="84"/>
      <c r="D139" s="84"/>
      <c r="E139" s="84"/>
      <c r="F139" s="84"/>
      <c r="G139" s="84"/>
      <c r="H139" s="84"/>
      <c r="I139" s="84"/>
      <c r="J139" s="84"/>
      <c r="K139" s="84"/>
      <c r="L139" s="84"/>
      <c r="M139" s="84"/>
      <c r="N139" s="84"/>
      <c r="O139" s="84"/>
      <c r="P139" s="84"/>
      <c r="Q139" s="84"/>
      <c r="R139" s="84"/>
      <c r="S139" s="84"/>
    </row>
    <row r="140" spans="1:20" s="1" customFormat="1" ht="49.2" customHeight="1" x14ac:dyDescent="0.25">
      <c r="A140" s="85" t="s">
        <v>469</v>
      </c>
      <c r="B140" s="85"/>
      <c r="C140" s="85"/>
      <c r="D140" s="85"/>
      <c r="E140" s="85"/>
      <c r="F140" s="85"/>
      <c r="G140" s="85"/>
      <c r="H140" s="85"/>
      <c r="I140" s="85"/>
      <c r="J140" s="85"/>
      <c r="K140" s="85"/>
      <c r="L140" s="85"/>
      <c r="M140" s="85"/>
      <c r="N140" s="85"/>
      <c r="O140" s="85"/>
      <c r="P140" s="85"/>
      <c r="Q140" s="85"/>
      <c r="R140" s="85"/>
      <c r="S140" s="85"/>
    </row>
    <row r="141" spans="1:20" s="1" customFormat="1" ht="72.45" customHeight="1" x14ac:dyDescent="0.25">
      <c r="J141" s="100" t="s">
        <v>0</v>
      </c>
      <c r="K141" s="100"/>
      <c r="L141" s="100"/>
      <c r="M141" s="100"/>
      <c r="N141" s="100"/>
      <c r="O141" s="100"/>
      <c r="P141" s="100"/>
      <c r="Q141" s="100"/>
      <c r="R141" s="100"/>
      <c r="S141" s="100"/>
      <c r="T141" s="100"/>
    </row>
    <row r="142" spans="1:20" s="1" customFormat="1" ht="7.05" customHeight="1" x14ac:dyDescent="0.25"/>
    <row r="143" spans="1:20" s="1" customFormat="1" ht="14.1" customHeight="1" x14ac:dyDescent="0.25">
      <c r="B143" s="101" t="s">
        <v>470</v>
      </c>
      <c r="C143" s="101"/>
      <c r="D143" s="101"/>
      <c r="E143" s="101"/>
      <c r="F143" s="101"/>
      <c r="G143" s="101"/>
      <c r="H143" s="101"/>
      <c r="I143" s="101"/>
      <c r="J143" s="101"/>
      <c r="K143" s="101"/>
      <c r="L143" s="101"/>
      <c r="M143" s="101"/>
      <c r="N143" s="101"/>
      <c r="O143" s="101"/>
      <c r="P143" s="101"/>
      <c r="Q143" s="101"/>
      <c r="R143" s="101"/>
    </row>
    <row r="144" spans="1:20" s="1" customFormat="1" ht="14.1" customHeight="1" x14ac:dyDescent="0.25"/>
    <row r="145" spans="1:20" s="1" customFormat="1" ht="14.1" customHeight="1" x14ac:dyDescent="0.25">
      <c r="A145" s="102" t="s">
        <v>2</v>
      </c>
      <c r="B145" s="102"/>
      <c r="C145" s="102"/>
      <c r="D145" s="103" t="s">
        <v>471</v>
      </c>
      <c r="E145" s="103"/>
      <c r="F145" s="103"/>
      <c r="G145" s="103"/>
      <c r="H145" s="103"/>
      <c r="I145" s="103"/>
      <c r="J145" s="103"/>
      <c r="K145" s="103"/>
      <c r="L145" s="103"/>
      <c r="M145" s="103"/>
      <c r="N145" s="103"/>
      <c r="O145" s="103"/>
      <c r="P145" s="103"/>
      <c r="Q145" s="103"/>
      <c r="R145" s="103"/>
      <c r="S145" s="103"/>
      <c r="T145" s="103"/>
    </row>
    <row r="146" spans="1:20" s="1" customFormat="1" ht="14.1" customHeight="1" x14ac:dyDescent="0.25">
      <c r="A146" s="102" t="s">
        <v>4</v>
      </c>
      <c r="B146" s="102"/>
      <c r="C146" s="103" t="s">
        <v>472</v>
      </c>
      <c r="D146" s="103"/>
      <c r="E146" s="103"/>
      <c r="F146" s="103"/>
      <c r="G146" s="103"/>
      <c r="H146" s="103"/>
      <c r="I146" s="103"/>
      <c r="J146" s="103"/>
      <c r="K146" s="103"/>
      <c r="L146" s="103"/>
      <c r="M146" s="103"/>
      <c r="N146" s="103"/>
      <c r="O146" s="103"/>
      <c r="P146" s="103"/>
      <c r="Q146" s="103"/>
      <c r="R146" s="103"/>
      <c r="S146" s="103"/>
      <c r="T146" s="103"/>
    </row>
    <row r="147" spans="1:20" s="1" customFormat="1" ht="14.1" customHeight="1" x14ac:dyDescent="0.25">
      <c r="A147" s="102" t="s">
        <v>6</v>
      </c>
      <c r="B147" s="102"/>
      <c r="C147" s="102"/>
      <c r="D147" s="102"/>
      <c r="E147" s="102"/>
      <c r="F147" s="103" t="s">
        <v>60</v>
      </c>
      <c r="G147" s="103"/>
      <c r="H147" s="103"/>
      <c r="I147" s="103"/>
      <c r="J147" s="103"/>
      <c r="K147" s="103"/>
      <c r="L147" s="103"/>
      <c r="M147" s="103"/>
      <c r="N147" s="103"/>
      <c r="O147" s="103"/>
      <c r="P147" s="103"/>
      <c r="Q147" s="103"/>
      <c r="R147" s="103"/>
      <c r="S147" s="103"/>
      <c r="T147" s="103"/>
    </row>
    <row r="148" spans="1:20" s="1" customFormat="1" ht="22.35" customHeight="1" x14ac:dyDescent="0.25">
      <c r="F148" s="103"/>
      <c r="G148" s="103"/>
      <c r="H148" s="103"/>
      <c r="I148" s="103"/>
      <c r="J148" s="103"/>
      <c r="K148" s="103"/>
      <c r="L148" s="103"/>
      <c r="M148" s="103"/>
      <c r="N148" s="103"/>
      <c r="O148" s="103"/>
      <c r="P148" s="103"/>
      <c r="Q148" s="103"/>
      <c r="R148" s="103"/>
      <c r="S148" s="103"/>
      <c r="T148" s="103"/>
    </row>
    <row r="149" spans="1:20" s="1" customFormat="1" ht="7.05" customHeight="1" x14ac:dyDescent="0.25">
      <c r="A149" s="86"/>
      <c r="B149" s="86"/>
      <c r="C149" s="86"/>
      <c r="D149" s="86"/>
      <c r="E149" s="86"/>
      <c r="F149" s="86"/>
      <c r="G149" s="86"/>
      <c r="H149" s="86"/>
      <c r="I149" s="86"/>
      <c r="J149" s="86"/>
      <c r="K149" s="86"/>
      <c r="L149" s="86"/>
      <c r="M149" s="86"/>
      <c r="N149" s="86"/>
      <c r="O149" s="86"/>
      <c r="P149" s="86"/>
      <c r="Q149" s="42"/>
      <c r="R149" s="86"/>
      <c r="S149" s="86"/>
      <c r="T149" s="86"/>
    </row>
    <row r="150" spans="1:20" s="1" customFormat="1" ht="16.95" customHeight="1" x14ac:dyDescent="0.25">
      <c r="A150" s="94" t="s">
        <v>8</v>
      </c>
      <c r="B150" s="94"/>
      <c r="C150" s="94"/>
      <c r="D150" s="94"/>
      <c r="E150" s="94"/>
      <c r="F150" s="94"/>
      <c r="G150" s="94"/>
      <c r="H150" s="94"/>
      <c r="I150" s="94"/>
      <c r="J150" s="94"/>
      <c r="K150" s="94"/>
      <c r="L150" s="94"/>
      <c r="M150" s="95" t="s">
        <v>9</v>
      </c>
      <c r="N150" s="95"/>
      <c r="O150" s="95"/>
      <c r="P150" s="95"/>
      <c r="Q150" s="95"/>
      <c r="R150" s="95"/>
      <c r="S150" s="95"/>
      <c r="T150" s="95"/>
    </row>
    <row r="151" spans="1:20" s="1" customFormat="1" ht="16.95" customHeight="1" x14ac:dyDescent="0.25">
      <c r="A151" s="94"/>
      <c r="B151" s="94"/>
      <c r="C151" s="94"/>
      <c r="D151" s="94"/>
      <c r="E151" s="94"/>
      <c r="F151" s="94"/>
      <c r="G151" s="94"/>
      <c r="H151" s="94"/>
      <c r="I151" s="94"/>
      <c r="J151" s="94"/>
      <c r="K151" s="94"/>
      <c r="L151" s="94"/>
      <c r="M151" s="96" t="s">
        <v>10</v>
      </c>
      <c r="N151" s="96"/>
      <c r="O151" s="96"/>
      <c r="P151" s="96"/>
      <c r="Q151" s="97" t="s">
        <v>11</v>
      </c>
      <c r="R151" s="97"/>
      <c r="S151" s="97"/>
      <c r="T151" s="97"/>
    </row>
    <row r="152" spans="1:20" s="1" customFormat="1" ht="16.95" customHeight="1" x14ac:dyDescent="0.25">
      <c r="A152" s="94"/>
      <c r="B152" s="94"/>
      <c r="C152" s="94"/>
      <c r="D152" s="94"/>
      <c r="E152" s="94"/>
      <c r="F152" s="94"/>
      <c r="G152" s="94"/>
      <c r="H152" s="94"/>
      <c r="I152" s="94"/>
      <c r="J152" s="94"/>
      <c r="K152" s="94"/>
      <c r="L152" s="94"/>
      <c r="M152" s="98" t="s">
        <v>12</v>
      </c>
      <c r="N152" s="98"/>
      <c r="O152" s="98" t="s">
        <v>13</v>
      </c>
      <c r="P152" s="98"/>
      <c r="Q152" s="40" t="s">
        <v>14</v>
      </c>
      <c r="R152" s="99" t="s">
        <v>15</v>
      </c>
      <c r="S152" s="99"/>
      <c r="T152" s="99"/>
    </row>
    <row r="153" spans="1:20" s="1" customFormat="1" ht="13.35" customHeight="1" x14ac:dyDescent="0.25">
      <c r="A153" s="88" t="s">
        <v>473</v>
      </c>
      <c r="B153" s="88"/>
      <c r="C153" s="88"/>
      <c r="D153" s="88"/>
      <c r="E153" s="88"/>
      <c r="F153" s="88"/>
      <c r="G153" s="88"/>
      <c r="H153" s="88"/>
      <c r="I153" s="88"/>
      <c r="J153" s="88"/>
      <c r="K153" s="88"/>
      <c r="L153" s="88"/>
      <c r="M153" s="88">
        <f>60.6*100/60</f>
        <v>101</v>
      </c>
      <c r="N153" s="88"/>
      <c r="O153" s="88">
        <v>100</v>
      </c>
      <c r="P153" s="88"/>
      <c r="Q153" s="39">
        <v>10.1</v>
      </c>
      <c r="R153" s="88">
        <v>1</v>
      </c>
      <c r="S153" s="88"/>
      <c r="T153" s="88"/>
    </row>
    <row r="154" spans="1:20" s="1" customFormat="1" ht="14.1" customHeight="1" x14ac:dyDescent="0.25">
      <c r="A154" s="90" t="s">
        <v>134</v>
      </c>
      <c r="B154" s="90"/>
      <c r="C154" s="90"/>
      <c r="D154" s="90"/>
      <c r="E154" s="90"/>
      <c r="F154" s="90"/>
      <c r="G154" s="90"/>
      <c r="H154" s="90"/>
      <c r="I154" s="90"/>
      <c r="J154" s="90"/>
      <c r="K154" s="90"/>
      <c r="L154" s="90"/>
      <c r="M154" s="90"/>
      <c r="N154" s="90"/>
      <c r="O154" s="90"/>
      <c r="P154" s="90"/>
      <c r="Q154" s="90"/>
      <c r="R154" s="90"/>
      <c r="S154" s="90"/>
      <c r="T154" s="90"/>
    </row>
    <row r="155" spans="1:20" s="1" customFormat="1" ht="21.3" customHeight="1" x14ac:dyDescent="0.25"/>
    <row r="156" spans="1:20" s="1" customFormat="1" ht="14.1" customHeight="1" x14ac:dyDescent="0.25">
      <c r="A156" s="91" t="s">
        <v>33</v>
      </c>
      <c r="B156" s="91"/>
      <c r="C156" s="91"/>
      <c r="D156" s="91"/>
      <c r="E156" s="91"/>
      <c r="F156" s="91"/>
      <c r="G156" s="91"/>
      <c r="H156" s="91"/>
      <c r="I156" s="91"/>
      <c r="J156" s="91"/>
      <c r="K156" s="91"/>
      <c r="L156" s="91"/>
      <c r="M156" s="91"/>
      <c r="N156" s="91"/>
    </row>
    <row r="157" spans="1:20" s="1" customFormat="1" ht="13.35" customHeight="1" x14ac:dyDescent="0.25">
      <c r="A157" s="88" t="s">
        <v>34</v>
      </c>
      <c r="B157" s="88"/>
      <c r="C157" s="88"/>
      <c r="D157" s="88"/>
      <c r="E157" s="89">
        <f>0.42*100/60</f>
        <v>0.7</v>
      </c>
      <c r="F157" s="89"/>
      <c r="G157" s="41"/>
      <c r="H157" s="39" t="s">
        <v>35</v>
      </c>
      <c r="I157" s="89">
        <v>0.02</v>
      </c>
      <c r="J157" s="89"/>
      <c r="K157" s="41"/>
      <c r="L157" s="88" t="s">
        <v>36</v>
      </c>
      <c r="M157" s="88"/>
      <c r="N157" s="89">
        <v>0</v>
      </c>
      <c r="O157" s="89"/>
    </row>
    <row r="158" spans="1:20" s="1" customFormat="1" ht="13.35" customHeight="1" x14ac:dyDescent="0.25">
      <c r="A158" s="88" t="s">
        <v>37</v>
      </c>
      <c r="B158" s="88"/>
      <c r="C158" s="88"/>
      <c r="D158" s="88"/>
      <c r="E158" s="89">
        <f>0.06*100/60</f>
        <v>0.1</v>
      </c>
      <c r="F158" s="89"/>
      <c r="G158" s="41"/>
      <c r="H158" s="39" t="s">
        <v>38</v>
      </c>
      <c r="I158" s="89">
        <v>2.4500000000000002</v>
      </c>
      <c r="J158" s="89"/>
      <c r="K158" s="41"/>
      <c r="L158" s="88" t="s">
        <v>39</v>
      </c>
      <c r="M158" s="88"/>
      <c r="N158" s="89">
        <v>0</v>
      </c>
      <c r="O158" s="89"/>
    </row>
    <row r="159" spans="1:20" s="1" customFormat="1" ht="13.35" customHeight="1" x14ac:dyDescent="0.25">
      <c r="A159" s="88" t="s">
        <v>40</v>
      </c>
      <c r="B159" s="88"/>
      <c r="C159" s="88"/>
      <c r="D159" s="88"/>
      <c r="E159" s="89">
        <f>1.14*100/60</f>
        <v>1.8999999999999997</v>
      </c>
      <c r="F159" s="89"/>
      <c r="G159" s="41"/>
      <c r="H159" s="39" t="s">
        <v>41</v>
      </c>
      <c r="I159" s="89">
        <v>0</v>
      </c>
      <c r="J159" s="89"/>
      <c r="K159" s="41"/>
      <c r="L159" s="88" t="s">
        <v>42</v>
      </c>
      <c r="M159" s="88"/>
      <c r="N159" s="89">
        <v>0</v>
      </c>
      <c r="O159" s="89"/>
    </row>
    <row r="160" spans="1:20" s="1" customFormat="1" ht="13.35" customHeight="1" x14ac:dyDescent="0.25">
      <c r="A160" s="88" t="s">
        <v>43</v>
      </c>
      <c r="B160" s="88"/>
      <c r="C160" s="88"/>
      <c r="D160" s="88"/>
      <c r="E160" s="89">
        <f>7.2*100/60</f>
        <v>12</v>
      </c>
      <c r="F160" s="89"/>
      <c r="G160" s="41"/>
      <c r="H160" s="39" t="s">
        <v>44</v>
      </c>
      <c r="I160" s="89">
        <v>0</v>
      </c>
      <c r="J160" s="89"/>
      <c r="K160" s="41"/>
      <c r="L160" s="88" t="s">
        <v>45</v>
      </c>
      <c r="M160" s="88"/>
      <c r="N160" s="89">
        <v>0</v>
      </c>
      <c r="O160" s="89"/>
    </row>
    <row r="161" spans="1:20" s="1" customFormat="1" ht="13.35" customHeight="1" x14ac:dyDescent="0.25">
      <c r="A161" s="87"/>
      <c r="B161" s="87"/>
      <c r="C161" s="87"/>
      <c r="D161" s="87"/>
      <c r="E161" s="87"/>
      <c r="F161" s="87"/>
      <c r="G161" s="41"/>
      <c r="H161" s="39" t="s">
        <v>46</v>
      </c>
      <c r="I161" s="89">
        <v>0</v>
      </c>
      <c r="J161" s="89"/>
      <c r="K161" s="41"/>
      <c r="L161" s="88" t="s">
        <v>47</v>
      </c>
      <c r="M161" s="88"/>
      <c r="N161" s="89">
        <v>0</v>
      </c>
      <c r="O161" s="89"/>
    </row>
    <row r="162" spans="1:20" s="1" customFormat="1" ht="13.35" customHeight="1" x14ac:dyDescent="0.25">
      <c r="A162" s="87"/>
      <c r="B162" s="87"/>
      <c r="C162" s="87"/>
      <c r="D162" s="87"/>
      <c r="E162" s="87"/>
      <c r="F162" s="87"/>
      <c r="G162" s="41"/>
      <c r="H162" s="39" t="s">
        <v>48</v>
      </c>
      <c r="I162" s="89">
        <v>0.01</v>
      </c>
      <c r="J162" s="89"/>
      <c r="K162" s="41"/>
      <c r="L162" s="88" t="s">
        <v>49</v>
      </c>
      <c r="M162" s="88"/>
      <c r="N162" s="89">
        <v>0</v>
      </c>
      <c r="O162" s="89"/>
    </row>
    <row r="163" spans="1:20" s="1" customFormat="1" ht="13.35" customHeight="1" x14ac:dyDescent="0.25">
      <c r="A163" s="87"/>
      <c r="B163" s="87"/>
      <c r="C163" s="87"/>
      <c r="D163" s="87"/>
      <c r="E163" s="87"/>
      <c r="F163" s="87"/>
      <c r="G163" s="41"/>
      <c r="H163" s="41"/>
      <c r="I163" s="87"/>
      <c r="J163" s="87"/>
      <c r="K163" s="41"/>
      <c r="L163" s="88" t="s">
        <v>50</v>
      </c>
      <c r="M163" s="88"/>
      <c r="N163" s="89">
        <v>0</v>
      </c>
      <c r="O163" s="89"/>
    </row>
    <row r="164" spans="1:20" s="1" customFormat="1" ht="13.35" customHeight="1" x14ac:dyDescent="0.25">
      <c r="A164" s="87"/>
      <c r="B164" s="87"/>
      <c r="C164" s="87"/>
      <c r="D164" s="87"/>
      <c r="E164" s="87"/>
      <c r="F164" s="87"/>
      <c r="G164" s="41"/>
      <c r="H164" s="41"/>
      <c r="I164" s="87"/>
      <c r="J164" s="87"/>
      <c r="K164" s="41"/>
      <c r="L164" s="88" t="s">
        <v>51</v>
      </c>
      <c r="M164" s="88"/>
      <c r="N164" s="89">
        <v>0</v>
      </c>
      <c r="O164" s="89"/>
    </row>
    <row r="165" spans="1:20" s="1" customFormat="1" ht="14.1" customHeight="1" x14ac:dyDescent="0.25">
      <c r="A165" s="86"/>
      <c r="B165" s="86"/>
      <c r="C165" s="86"/>
      <c r="D165" s="86"/>
      <c r="E165" s="86"/>
      <c r="F165" s="86"/>
      <c r="G165" s="86"/>
      <c r="H165" s="86"/>
      <c r="I165" s="86"/>
      <c r="J165" s="86"/>
      <c r="K165" s="86"/>
      <c r="L165" s="86"/>
      <c r="M165" s="86"/>
      <c r="N165" s="86"/>
      <c r="O165" s="86"/>
      <c r="P165" s="86"/>
      <c r="Q165" s="86"/>
      <c r="R165" s="86"/>
      <c r="S165" s="86"/>
    </row>
    <row r="166" spans="1:20" s="1" customFormat="1" ht="14.1" customHeight="1" x14ac:dyDescent="0.25">
      <c r="A166" s="84" t="s">
        <v>52</v>
      </c>
      <c r="B166" s="84"/>
      <c r="C166" s="84"/>
      <c r="D166" s="84"/>
      <c r="E166" s="84"/>
      <c r="F166" s="84"/>
      <c r="G166" s="84"/>
      <c r="H166" s="84"/>
      <c r="I166" s="84"/>
      <c r="J166" s="84"/>
      <c r="K166" s="84"/>
      <c r="L166" s="84"/>
      <c r="M166" s="84"/>
      <c r="N166" s="84"/>
      <c r="O166" s="84"/>
      <c r="P166" s="84"/>
      <c r="Q166" s="84"/>
      <c r="R166" s="84"/>
      <c r="S166" s="84"/>
    </row>
    <row r="167" spans="1:20" s="1" customFormat="1" ht="30.9" customHeight="1" x14ac:dyDescent="0.25">
      <c r="A167" s="85" t="s">
        <v>474</v>
      </c>
      <c r="B167" s="85"/>
      <c r="C167" s="85"/>
      <c r="D167" s="85"/>
      <c r="E167" s="85"/>
      <c r="F167" s="85"/>
      <c r="G167" s="85"/>
      <c r="H167" s="85"/>
      <c r="I167" s="85"/>
      <c r="J167" s="85"/>
      <c r="K167" s="85"/>
      <c r="L167" s="85"/>
      <c r="M167" s="85"/>
      <c r="N167" s="85"/>
      <c r="O167" s="85"/>
      <c r="P167" s="85"/>
      <c r="Q167" s="85"/>
      <c r="R167" s="85"/>
      <c r="S167" s="85"/>
    </row>
    <row r="168" spans="1:20" s="1" customFormat="1" ht="15" customHeight="1" x14ac:dyDescent="0.25">
      <c r="A168" s="119" t="s">
        <v>691</v>
      </c>
      <c r="B168" s="93"/>
      <c r="C168" s="93"/>
      <c r="D168" s="93"/>
      <c r="E168" s="93"/>
      <c r="F168" s="93"/>
      <c r="G168" s="93"/>
      <c r="H168" s="93"/>
      <c r="I168" s="93"/>
      <c r="J168" s="93"/>
      <c r="K168" s="93"/>
      <c r="L168" s="93"/>
      <c r="M168" s="93"/>
      <c r="N168" s="93"/>
      <c r="O168" s="93"/>
      <c r="P168" s="93"/>
      <c r="Q168" s="93"/>
      <c r="R168" s="93"/>
      <c r="S168" s="93"/>
    </row>
    <row r="169" spans="1:20" s="1" customFormat="1" ht="21.6" customHeight="1" x14ac:dyDescent="0.25">
      <c r="A169" s="85" t="s">
        <v>693</v>
      </c>
      <c r="B169" s="85"/>
      <c r="C169" s="85"/>
      <c r="D169" s="85"/>
      <c r="E169" s="85"/>
      <c r="F169" s="85"/>
      <c r="G169" s="85"/>
      <c r="H169" s="85"/>
      <c r="I169" s="85"/>
      <c r="J169" s="85"/>
      <c r="K169" s="85"/>
      <c r="L169" s="85"/>
      <c r="M169" s="85"/>
      <c r="N169" s="85"/>
      <c r="O169" s="85"/>
      <c r="P169" s="85"/>
      <c r="Q169" s="85"/>
      <c r="R169" s="85"/>
      <c r="S169" s="85"/>
    </row>
    <row r="170" spans="1:20" s="1" customFormat="1" ht="14.1" customHeight="1" x14ac:dyDescent="0.25">
      <c r="A170" s="84" t="s">
        <v>54</v>
      </c>
      <c r="B170" s="84"/>
      <c r="C170" s="84"/>
      <c r="D170" s="84"/>
      <c r="E170" s="84"/>
      <c r="F170" s="84"/>
      <c r="G170" s="84"/>
      <c r="H170" s="84"/>
      <c r="I170" s="84"/>
      <c r="J170" s="84"/>
      <c r="K170" s="84"/>
      <c r="L170" s="84"/>
      <c r="M170" s="84"/>
      <c r="N170" s="84"/>
      <c r="O170" s="84"/>
      <c r="P170" s="84"/>
      <c r="Q170" s="84"/>
      <c r="R170" s="84"/>
      <c r="S170" s="84"/>
    </row>
    <row r="171" spans="1:20" s="1" customFormat="1" ht="12.15" customHeight="1" x14ac:dyDescent="0.25">
      <c r="A171" s="85" t="s">
        <v>681</v>
      </c>
      <c r="B171" s="85"/>
      <c r="C171" s="85"/>
      <c r="D171" s="85"/>
      <c r="E171" s="85"/>
      <c r="F171" s="85"/>
      <c r="G171" s="85"/>
      <c r="H171" s="85"/>
      <c r="I171" s="85"/>
      <c r="J171" s="85"/>
      <c r="K171" s="85"/>
      <c r="L171" s="85"/>
      <c r="M171" s="85"/>
      <c r="N171" s="85"/>
      <c r="O171" s="85"/>
      <c r="P171" s="85"/>
      <c r="Q171" s="85"/>
      <c r="R171" s="85"/>
      <c r="S171" s="85"/>
    </row>
    <row r="172" spans="1:20" s="1" customFormat="1" ht="14.1" customHeight="1" x14ac:dyDescent="0.25">
      <c r="A172" s="86"/>
      <c r="B172" s="86"/>
      <c r="C172" s="86"/>
      <c r="D172" s="86"/>
      <c r="E172" s="86"/>
      <c r="F172" s="86"/>
      <c r="G172" s="86"/>
      <c r="H172" s="86"/>
      <c r="I172" s="86"/>
      <c r="J172" s="86"/>
      <c r="K172" s="86"/>
      <c r="L172" s="86"/>
      <c r="M172" s="86"/>
      <c r="N172" s="86"/>
      <c r="O172" s="86"/>
      <c r="P172" s="86"/>
      <c r="Q172" s="86"/>
      <c r="R172" s="86"/>
      <c r="S172" s="86"/>
    </row>
    <row r="173" spans="1:20" s="1" customFormat="1" ht="14.1" customHeight="1" x14ac:dyDescent="0.25">
      <c r="A173" s="84" t="s">
        <v>56</v>
      </c>
      <c r="B173" s="84"/>
      <c r="C173" s="84"/>
      <c r="D173" s="84"/>
      <c r="E173" s="84"/>
      <c r="F173" s="84"/>
      <c r="G173" s="84"/>
      <c r="H173" s="84"/>
      <c r="I173" s="84"/>
      <c r="J173" s="84"/>
      <c r="K173" s="84"/>
      <c r="L173" s="84"/>
      <c r="M173" s="84"/>
      <c r="N173" s="84"/>
      <c r="O173" s="84"/>
      <c r="P173" s="84"/>
      <c r="Q173" s="84"/>
      <c r="R173" s="84"/>
      <c r="S173" s="84"/>
    </row>
    <row r="174" spans="1:20" s="1" customFormat="1" ht="49.2" customHeight="1" x14ac:dyDescent="0.25">
      <c r="A174" s="85" t="s">
        <v>465</v>
      </c>
      <c r="B174" s="85"/>
      <c r="C174" s="85"/>
      <c r="D174" s="85"/>
      <c r="E174" s="85"/>
      <c r="F174" s="85"/>
      <c r="G174" s="85"/>
      <c r="H174" s="85"/>
      <c r="I174" s="85"/>
      <c r="J174" s="85"/>
      <c r="K174" s="85"/>
      <c r="L174" s="85"/>
      <c r="M174" s="85"/>
      <c r="N174" s="85"/>
      <c r="O174" s="85"/>
      <c r="P174" s="85"/>
      <c r="Q174" s="85"/>
      <c r="R174" s="85"/>
      <c r="S174" s="85"/>
    </row>
    <row r="176" spans="1:20" s="1" customFormat="1" ht="72.45" customHeight="1" x14ac:dyDescent="0.25">
      <c r="J176" s="100" t="s">
        <v>0</v>
      </c>
      <c r="K176" s="100"/>
      <c r="L176" s="100"/>
      <c r="M176" s="100"/>
      <c r="N176" s="100"/>
      <c r="O176" s="100"/>
      <c r="P176" s="100"/>
      <c r="Q176" s="100"/>
      <c r="R176" s="100"/>
      <c r="S176" s="100"/>
      <c r="T176" s="100"/>
    </row>
    <row r="177" spans="1:20" s="1" customFormat="1" ht="7.05" customHeight="1" x14ac:dyDescent="0.25"/>
    <row r="178" spans="1:20" s="1" customFormat="1" ht="14.1" customHeight="1" x14ac:dyDescent="0.25">
      <c r="B178" s="101" t="s">
        <v>757</v>
      </c>
      <c r="C178" s="101"/>
      <c r="D178" s="101"/>
      <c r="E178" s="101"/>
      <c r="F178" s="101"/>
      <c r="G178" s="101"/>
      <c r="H178" s="101"/>
      <c r="I178" s="101"/>
      <c r="J178" s="101"/>
      <c r="K178" s="101"/>
      <c r="L178" s="101"/>
      <c r="M178" s="101"/>
      <c r="N178" s="101"/>
      <c r="O178" s="101"/>
      <c r="P178" s="101"/>
      <c r="Q178" s="101"/>
      <c r="R178" s="101"/>
    </row>
    <row r="179" spans="1:20" s="1" customFormat="1" ht="14.1" customHeight="1" x14ac:dyDescent="0.25"/>
    <row r="180" spans="1:20" s="1" customFormat="1" ht="14.1" customHeight="1" x14ac:dyDescent="0.25">
      <c r="A180" s="102" t="s">
        <v>2</v>
      </c>
      <c r="B180" s="102"/>
      <c r="C180" s="102"/>
      <c r="D180" s="103" t="s">
        <v>616</v>
      </c>
      <c r="E180" s="103"/>
      <c r="F180" s="103"/>
      <c r="G180" s="103"/>
      <c r="H180" s="103"/>
      <c r="I180" s="103"/>
      <c r="J180" s="103"/>
      <c r="K180" s="103"/>
      <c r="L180" s="103"/>
      <c r="M180" s="103"/>
      <c r="N180" s="103"/>
      <c r="O180" s="103"/>
      <c r="P180" s="103"/>
      <c r="Q180" s="103"/>
      <c r="R180" s="103"/>
      <c r="S180" s="103"/>
      <c r="T180" s="103"/>
    </row>
    <row r="181" spans="1:20" s="1" customFormat="1" ht="14.1" customHeight="1" x14ac:dyDescent="0.25">
      <c r="A181" s="102" t="s">
        <v>4</v>
      </c>
      <c r="B181" s="102"/>
      <c r="C181" s="103">
        <v>23</v>
      </c>
      <c r="D181" s="103"/>
      <c r="E181" s="103"/>
      <c r="F181" s="103"/>
      <c r="G181" s="103"/>
      <c r="H181" s="103"/>
      <c r="I181" s="103"/>
      <c r="J181" s="103"/>
      <c r="K181" s="103"/>
      <c r="L181" s="103"/>
      <c r="M181" s="103"/>
      <c r="N181" s="103"/>
      <c r="O181" s="103"/>
      <c r="P181" s="103"/>
      <c r="Q181" s="103"/>
      <c r="R181" s="103"/>
      <c r="S181" s="103"/>
      <c r="T181" s="103"/>
    </row>
    <row r="182" spans="1:20" s="1" customFormat="1" ht="14.1" customHeight="1" x14ac:dyDescent="0.25">
      <c r="A182" s="102" t="s">
        <v>6</v>
      </c>
      <c r="B182" s="102"/>
      <c r="C182" s="102"/>
      <c r="D182" s="102"/>
      <c r="E182" s="102"/>
      <c r="F182" s="103" t="s">
        <v>60</v>
      </c>
      <c r="G182" s="103"/>
      <c r="H182" s="103"/>
      <c r="I182" s="103"/>
      <c r="J182" s="103"/>
      <c r="K182" s="103"/>
      <c r="L182" s="103"/>
      <c r="M182" s="103"/>
      <c r="N182" s="103"/>
      <c r="O182" s="103"/>
      <c r="P182" s="103"/>
      <c r="Q182" s="103"/>
      <c r="R182" s="103"/>
      <c r="S182" s="103"/>
      <c r="T182" s="103"/>
    </row>
    <row r="183" spans="1:20" s="1" customFormat="1" ht="22.35" customHeight="1" x14ac:dyDescent="0.25">
      <c r="F183" s="103"/>
      <c r="G183" s="103"/>
      <c r="H183" s="103"/>
      <c r="I183" s="103"/>
      <c r="J183" s="103"/>
      <c r="K183" s="103"/>
      <c r="L183" s="103"/>
      <c r="M183" s="103"/>
      <c r="N183" s="103"/>
      <c r="O183" s="103"/>
      <c r="P183" s="103"/>
      <c r="Q183" s="103"/>
      <c r="R183" s="103"/>
      <c r="S183" s="103"/>
      <c r="T183" s="103"/>
    </row>
    <row r="184" spans="1:20" s="1" customFormat="1" ht="13.2" x14ac:dyDescent="0.25">
      <c r="A184" s="104" t="s">
        <v>754</v>
      </c>
      <c r="B184" s="93"/>
      <c r="C184" s="93"/>
      <c r="D184" s="93"/>
      <c r="E184" s="93"/>
      <c r="F184" s="93"/>
      <c r="G184" s="93"/>
      <c r="H184" s="93"/>
      <c r="I184" s="93"/>
      <c r="J184" s="93"/>
      <c r="K184" s="93"/>
      <c r="L184" s="93"/>
      <c r="M184" s="93"/>
      <c r="N184" s="93"/>
      <c r="O184" s="93"/>
      <c r="P184" s="93"/>
      <c r="Q184" s="93"/>
      <c r="R184" s="93"/>
      <c r="S184" s="93"/>
    </row>
    <row r="185" spans="1:20" s="1" customFormat="1" ht="49.95" customHeight="1" x14ac:dyDescent="0.25">
      <c r="A185" s="92" t="s">
        <v>759</v>
      </c>
      <c r="B185" s="93"/>
      <c r="C185" s="93"/>
      <c r="D185" s="93"/>
      <c r="E185" s="93"/>
      <c r="F185" s="93"/>
      <c r="G185" s="93"/>
      <c r="H185" s="93"/>
      <c r="I185" s="93"/>
      <c r="J185" s="93"/>
      <c r="K185" s="93"/>
      <c r="L185" s="93"/>
      <c r="M185" s="93"/>
      <c r="N185" s="93"/>
      <c r="O185" s="93"/>
      <c r="P185" s="93"/>
      <c r="Q185" s="93"/>
      <c r="R185" s="93"/>
      <c r="S185" s="93"/>
    </row>
    <row r="186" spans="1:20" s="1" customFormat="1" ht="7.05" customHeight="1" x14ac:dyDescent="0.25">
      <c r="A186" s="86"/>
      <c r="B186" s="86"/>
      <c r="C186" s="86"/>
      <c r="D186" s="86"/>
      <c r="E186" s="86"/>
      <c r="F186" s="86"/>
      <c r="G186" s="86"/>
      <c r="H186" s="86"/>
      <c r="I186" s="86"/>
      <c r="J186" s="86"/>
      <c r="K186" s="86"/>
      <c r="L186" s="86"/>
      <c r="M186" s="86"/>
      <c r="N186" s="86"/>
      <c r="O186" s="86"/>
      <c r="P186" s="86"/>
      <c r="Q186" s="42"/>
      <c r="R186" s="86"/>
      <c r="S186" s="86"/>
      <c r="T186" s="86"/>
    </row>
    <row r="187" spans="1:20" s="1" customFormat="1" ht="16.95" customHeight="1" x14ac:dyDescent="0.25">
      <c r="A187" s="94" t="s">
        <v>8</v>
      </c>
      <c r="B187" s="94"/>
      <c r="C187" s="94"/>
      <c r="D187" s="94"/>
      <c r="E187" s="94"/>
      <c r="F187" s="94"/>
      <c r="G187" s="94"/>
      <c r="H187" s="94"/>
      <c r="I187" s="94"/>
      <c r="J187" s="94"/>
      <c r="K187" s="94"/>
      <c r="L187" s="94"/>
      <c r="M187" s="95" t="s">
        <v>9</v>
      </c>
      <c r="N187" s="95"/>
      <c r="O187" s="95"/>
      <c r="P187" s="95"/>
      <c r="Q187" s="95"/>
      <c r="R187" s="95"/>
      <c r="S187" s="95"/>
      <c r="T187" s="95"/>
    </row>
    <row r="188" spans="1:20" s="1" customFormat="1" ht="16.95" customHeight="1" x14ac:dyDescent="0.25">
      <c r="A188" s="94"/>
      <c r="B188" s="94"/>
      <c r="C188" s="94"/>
      <c r="D188" s="94"/>
      <c r="E188" s="94"/>
      <c r="F188" s="94"/>
      <c r="G188" s="94"/>
      <c r="H188" s="94"/>
      <c r="I188" s="94"/>
      <c r="J188" s="94"/>
      <c r="K188" s="94"/>
      <c r="L188" s="94"/>
      <c r="M188" s="96" t="s">
        <v>10</v>
      </c>
      <c r="N188" s="96"/>
      <c r="O188" s="96"/>
      <c r="P188" s="96"/>
      <c r="Q188" s="97" t="s">
        <v>11</v>
      </c>
      <c r="R188" s="97"/>
      <c r="S188" s="97"/>
      <c r="T188" s="97"/>
    </row>
    <row r="189" spans="1:20" s="1" customFormat="1" ht="16.95" customHeight="1" x14ac:dyDescent="0.25">
      <c r="A189" s="94"/>
      <c r="B189" s="94"/>
      <c r="C189" s="94"/>
      <c r="D189" s="94"/>
      <c r="E189" s="94"/>
      <c r="F189" s="94"/>
      <c r="G189" s="94"/>
      <c r="H189" s="94"/>
      <c r="I189" s="94"/>
      <c r="J189" s="94"/>
      <c r="K189" s="94"/>
      <c r="L189" s="94"/>
      <c r="M189" s="98" t="s">
        <v>12</v>
      </c>
      <c r="N189" s="98"/>
      <c r="O189" s="98" t="s">
        <v>13</v>
      </c>
      <c r="P189" s="98"/>
      <c r="Q189" s="40" t="s">
        <v>14</v>
      </c>
      <c r="R189" s="99" t="s">
        <v>15</v>
      </c>
      <c r="S189" s="99"/>
      <c r="T189" s="99"/>
    </row>
    <row r="190" spans="1:20" s="1" customFormat="1" ht="13.35" customHeight="1" x14ac:dyDescent="0.25">
      <c r="A190" s="88" t="s">
        <v>618</v>
      </c>
      <c r="B190" s="88"/>
      <c r="C190" s="88"/>
      <c r="D190" s="88"/>
      <c r="E190" s="88"/>
      <c r="F190" s="88"/>
      <c r="G190" s="88"/>
      <c r="H190" s="88"/>
      <c r="I190" s="88"/>
      <c r="J190" s="88"/>
      <c r="K190" s="88"/>
      <c r="L190" s="88"/>
      <c r="M190" s="88" t="s">
        <v>507</v>
      </c>
      <c r="N190" s="88"/>
      <c r="O190" s="88" t="s">
        <v>507</v>
      </c>
      <c r="P190" s="88"/>
      <c r="Q190" s="39" t="s">
        <v>240</v>
      </c>
      <c r="R190" s="88" t="s">
        <v>240</v>
      </c>
      <c r="S190" s="88"/>
      <c r="T190" s="88"/>
    </row>
    <row r="191" spans="1:20" s="1" customFormat="1" ht="14.1" customHeight="1" x14ac:dyDescent="0.25">
      <c r="A191" s="90" t="s">
        <v>32</v>
      </c>
      <c r="B191" s="90"/>
      <c r="C191" s="90"/>
      <c r="D191" s="90"/>
      <c r="E191" s="90"/>
      <c r="F191" s="90"/>
      <c r="G191" s="90"/>
      <c r="H191" s="90"/>
      <c r="I191" s="90"/>
      <c r="J191" s="90"/>
      <c r="K191" s="90"/>
      <c r="L191" s="90"/>
      <c r="M191" s="90"/>
      <c r="N191" s="90"/>
      <c r="O191" s="90"/>
      <c r="P191" s="90"/>
      <c r="Q191" s="90"/>
      <c r="R191" s="90"/>
      <c r="S191" s="90"/>
      <c r="T191" s="90"/>
    </row>
    <row r="192" spans="1:20" s="1" customFormat="1" ht="21.3" customHeight="1" x14ac:dyDescent="0.25"/>
    <row r="193" spans="1:19" s="1" customFormat="1" ht="14.1" customHeight="1" x14ac:dyDescent="0.25">
      <c r="A193" s="91" t="s">
        <v>33</v>
      </c>
      <c r="B193" s="91"/>
      <c r="C193" s="91"/>
      <c r="D193" s="91"/>
      <c r="E193" s="91"/>
      <c r="F193" s="91"/>
      <c r="G193" s="91"/>
      <c r="H193" s="91"/>
      <c r="I193" s="91"/>
      <c r="J193" s="91"/>
      <c r="K193" s="91"/>
      <c r="L193" s="91"/>
      <c r="M193" s="91"/>
      <c r="N193" s="91"/>
    </row>
    <row r="194" spans="1:19" s="1" customFormat="1" ht="13.35" customHeight="1" x14ac:dyDescent="0.25">
      <c r="A194" s="88" t="s">
        <v>34</v>
      </c>
      <c r="B194" s="88"/>
      <c r="C194" s="88"/>
      <c r="D194" s="88"/>
      <c r="E194" s="89">
        <v>1.4</v>
      </c>
      <c r="F194" s="89"/>
      <c r="G194" s="41"/>
      <c r="H194" s="39" t="s">
        <v>35</v>
      </c>
      <c r="I194" s="89">
        <v>0</v>
      </c>
      <c r="J194" s="89"/>
      <c r="K194" s="41"/>
      <c r="L194" s="88" t="s">
        <v>36</v>
      </c>
      <c r="M194" s="88"/>
      <c r="N194" s="89">
        <v>0</v>
      </c>
      <c r="O194" s="89"/>
    </row>
    <row r="195" spans="1:19" s="1" customFormat="1" ht="13.35" customHeight="1" x14ac:dyDescent="0.25">
      <c r="A195" s="88" t="s">
        <v>37</v>
      </c>
      <c r="B195" s="88"/>
      <c r="C195" s="88"/>
      <c r="D195" s="88"/>
      <c r="E195" s="89">
        <v>0.3</v>
      </c>
      <c r="F195" s="89"/>
      <c r="G195" s="41"/>
      <c r="H195" s="39" t="s">
        <v>38</v>
      </c>
      <c r="I195" s="89">
        <v>0</v>
      </c>
      <c r="J195" s="89"/>
      <c r="K195" s="41"/>
      <c r="L195" s="88" t="s">
        <v>39</v>
      </c>
      <c r="M195" s="88"/>
      <c r="N195" s="89">
        <v>0</v>
      </c>
      <c r="O195" s="89"/>
    </row>
    <row r="196" spans="1:19" s="1" customFormat="1" ht="13.35" customHeight="1" x14ac:dyDescent="0.25">
      <c r="A196" s="88" t="s">
        <v>40</v>
      </c>
      <c r="B196" s="88"/>
      <c r="C196" s="88"/>
      <c r="D196" s="88"/>
      <c r="E196" s="89">
        <v>12.2</v>
      </c>
      <c r="F196" s="89"/>
      <c r="G196" s="41"/>
      <c r="H196" s="39" t="s">
        <v>41</v>
      </c>
      <c r="I196" s="89">
        <v>0</v>
      </c>
      <c r="J196" s="89"/>
      <c r="K196" s="41"/>
      <c r="L196" s="88" t="s">
        <v>42</v>
      </c>
      <c r="M196" s="88"/>
      <c r="N196" s="89">
        <v>0</v>
      </c>
      <c r="O196" s="89"/>
    </row>
    <row r="197" spans="1:19" s="1" customFormat="1" ht="13.35" customHeight="1" x14ac:dyDescent="0.25">
      <c r="A197" s="88" t="s">
        <v>43</v>
      </c>
      <c r="B197" s="88"/>
      <c r="C197" s="88"/>
      <c r="D197" s="88"/>
      <c r="E197" s="89">
        <v>64.5</v>
      </c>
      <c r="F197" s="89"/>
      <c r="G197" s="41"/>
      <c r="H197" s="39" t="s">
        <v>44</v>
      </c>
      <c r="I197" s="89">
        <v>0</v>
      </c>
      <c r="J197" s="89"/>
      <c r="K197" s="41"/>
      <c r="L197" s="88" t="s">
        <v>45</v>
      </c>
      <c r="M197" s="88"/>
      <c r="N197" s="89">
        <v>0</v>
      </c>
      <c r="O197" s="89"/>
    </row>
    <row r="198" spans="1:19" s="1" customFormat="1" ht="13.35" customHeight="1" x14ac:dyDescent="0.25">
      <c r="A198" s="87"/>
      <c r="B198" s="87"/>
      <c r="C198" s="87"/>
      <c r="D198" s="87"/>
      <c r="E198" s="87"/>
      <c r="F198" s="87"/>
      <c r="G198" s="41"/>
      <c r="H198" s="39" t="s">
        <v>46</v>
      </c>
      <c r="I198" s="89">
        <v>0</v>
      </c>
      <c r="J198" s="89"/>
      <c r="K198" s="41"/>
      <c r="L198" s="88" t="s">
        <v>47</v>
      </c>
      <c r="M198" s="88"/>
      <c r="N198" s="89">
        <v>0</v>
      </c>
      <c r="O198" s="89"/>
    </row>
    <row r="199" spans="1:19" s="1" customFormat="1" ht="13.35" customHeight="1" x14ac:dyDescent="0.25">
      <c r="A199" s="87"/>
      <c r="B199" s="87"/>
      <c r="C199" s="87"/>
      <c r="D199" s="87"/>
      <c r="E199" s="87"/>
      <c r="F199" s="87"/>
      <c r="G199" s="41"/>
      <c r="H199" s="39" t="s">
        <v>48</v>
      </c>
      <c r="I199" s="89">
        <v>0</v>
      </c>
      <c r="J199" s="89"/>
      <c r="K199" s="41"/>
      <c r="L199" s="88" t="s">
        <v>49</v>
      </c>
      <c r="M199" s="88"/>
      <c r="N199" s="89">
        <v>0</v>
      </c>
      <c r="O199" s="89"/>
    </row>
    <row r="200" spans="1:19" s="1" customFormat="1" ht="13.35" customHeight="1" x14ac:dyDescent="0.25">
      <c r="A200" s="87"/>
      <c r="B200" s="87"/>
      <c r="C200" s="87"/>
      <c r="D200" s="87"/>
      <c r="E200" s="87"/>
      <c r="F200" s="87"/>
      <c r="G200" s="41"/>
      <c r="H200" s="41"/>
      <c r="I200" s="87"/>
      <c r="J200" s="87"/>
      <c r="K200" s="41"/>
      <c r="L200" s="88" t="s">
        <v>50</v>
      </c>
      <c r="M200" s="88"/>
      <c r="N200" s="89">
        <v>0</v>
      </c>
      <c r="O200" s="89"/>
    </row>
    <row r="201" spans="1:19" s="1" customFormat="1" ht="13.35" customHeight="1" x14ac:dyDescent="0.25">
      <c r="A201" s="87"/>
      <c r="B201" s="87"/>
      <c r="C201" s="87"/>
      <c r="D201" s="87"/>
      <c r="E201" s="87"/>
      <c r="F201" s="87"/>
      <c r="G201" s="41"/>
      <c r="H201" s="41"/>
      <c r="I201" s="87"/>
      <c r="J201" s="87"/>
      <c r="K201" s="41"/>
      <c r="L201" s="88" t="s">
        <v>51</v>
      </c>
      <c r="M201" s="88"/>
      <c r="N201" s="89">
        <v>0</v>
      </c>
      <c r="O201" s="89"/>
    </row>
    <row r="202" spans="1:19" s="1" customFormat="1" ht="14.1" customHeight="1" x14ac:dyDescent="0.25">
      <c r="A202" s="86"/>
      <c r="B202" s="86"/>
      <c r="C202" s="86"/>
      <c r="D202" s="86"/>
      <c r="E202" s="86"/>
      <c r="F202" s="86"/>
      <c r="G202" s="86"/>
      <c r="H202" s="86"/>
      <c r="I202" s="86"/>
      <c r="J202" s="86"/>
      <c r="K202" s="86"/>
      <c r="L202" s="86"/>
      <c r="M202" s="86"/>
      <c r="N202" s="86"/>
      <c r="O202" s="86"/>
      <c r="P202" s="86"/>
      <c r="Q202" s="86"/>
      <c r="R202" s="86"/>
      <c r="S202" s="86"/>
    </row>
    <row r="203" spans="1:19" s="1" customFormat="1" ht="14.1" customHeight="1" x14ac:dyDescent="0.25">
      <c r="A203" s="84" t="s">
        <v>52</v>
      </c>
      <c r="B203" s="84"/>
      <c r="C203" s="84"/>
      <c r="D203" s="84"/>
      <c r="E203" s="84"/>
      <c r="F203" s="84"/>
      <c r="G203" s="84"/>
      <c r="H203" s="84"/>
      <c r="I203" s="84"/>
      <c r="J203" s="84"/>
      <c r="K203" s="84"/>
      <c r="L203" s="84"/>
      <c r="M203" s="84"/>
      <c r="N203" s="84"/>
      <c r="O203" s="84"/>
      <c r="P203" s="84"/>
      <c r="Q203" s="84"/>
      <c r="R203" s="84"/>
      <c r="S203" s="84"/>
    </row>
    <row r="204" spans="1:19" s="1" customFormat="1" ht="21.6" customHeight="1" x14ac:dyDescent="0.25">
      <c r="A204" s="85" t="s">
        <v>619</v>
      </c>
      <c r="B204" s="85"/>
      <c r="C204" s="85"/>
      <c r="D204" s="85"/>
      <c r="E204" s="85"/>
      <c r="F204" s="85"/>
      <c r="G204" s="85"/>
      <c r="H204" s="85"/>
      <c r="I204" s="85"/>
      <c r="J204" s="85"/>
      <c r="K204" s="85"/>
      <c r="L204" s="85"/>
      <c r="M204" s="85"/>
      <c r="N204" s="85"/>
      <c r="O204" s="85"/>
      <c r="P204" s="85"/>
      <c r="Q204" s="85"/>
      <c r="R204" s="85"/>
      <c r="S204" s="85"/>
    </row>
    <row r="205" spans="1:19" s="1" customFormat="1" ht="14.1" customHeight="1" x14ac:dyDescent="0.25">
      <c r="A205" s="86"/>
      <c r="B205" s="86"/>
      <c r="C205" s="86"/>
      <c r="D205" s="86"/>
      <c r="E205" s="86"/>
      <c r="F205" s="86"/>
      <c r="G205" s="86"/>
      <c r="H205" s="86"/>
      <c r="I205" s="86"/>
      <c r="J205" s="86"/>
      <c r="K205" s="86"/>
      <c r="L205" s="86"/>
      <c r="M205" s="86"/>
      <c r="N205" s="86"/>
      <c r="O205" s="86"/>
      <c r="P205" s="86"/>
      <c r="Q205" s="86"/>
      <c r="R205" s="86"/>
      <c r="S205" s="86"/>
    </row>
    <row r="206" spans="1:19" s="1" customFormat="1" ht="14.1" customHeight="1" x14ac:dyDescent="0.25">
      <c r="A206" s="84" t="s">
        <v>54</v>
      </c>
      <c r="B206" s="84"/>
      <c r="C206" s="84"/>
      <c r="D206" s="84"/>
      <c r="E206" s="84"/>
      <c r="F206" s="84"/>
      <c r="G206" s="84"/>
      <c r="H206" s="84"/>
      <c r="I206" s="84"/>
      <c r="J206" s="84"/>
      <c r="K206" s="84"/>
      <c r="L206" s="84"/>
      <c r="M206" s="84"/>
      <c r="N206" s="84"/>
      <c r="O206" s="84"/>
      <c r="P206" s="84"/>
      <c r="Q206" s="84"/>
      <c r="R206" s="84"/>
      <c r="S206" s="84"/>
    </row>
    <row r="207" spans="1:19" s="1" customFormat="1" ht="12.15" customHeight="1" x14ac:dyDescent="0.25">
      <c r="A207" s="85" t="s">
        <v>620</v>
      </c>
      <c r="B207" s="85"/>
      <c r="C207" s="85"/>
      <c r="D207" s="85"/>
      <c r="E207" s="85"/>
      <c r="F207" s="85"/>
      <c r="G207" s="85"/>
      <c r="H207" s="85"/>
      <c r="I207" s="85"/>
      <c r="J207" s="85"/>
      <c r="K207" s="85"/>
      <c r="L207" s="85"/>
      <c r="M207" s="85"/>
      <c r="N207" s="85"/>
      <c r="O207" s="85"/>
      <c r="P207" s="85"/>
      <c r="Q207" s="85"/>
      <c r="R207" s="85"/>
      <c r="S207" s="85"/>
    </row>
    <row r="208" spans="1:19" s="1" customFormat="1" ht="14.1" customHeight="1" x14ac:dyDescent="0.25">
      <c r="A208" s="86"/>
      <c r="B208" s="86"/>
      <c r="C208" s="86"/>
      <c r="D208" s="86"/>
      <c r="E208" s="86"/>
      <c r="F208" s="86"/>
      <c r="G208" s="86"/>
      <c r="H208" s="86"/>
      <c r="I208" s="86"/>
      <c r="J208" s="86"/>
      <c r="K208" s="86"/>
      <c r="L208" s="86"/>
      <c r="M208" s="86"/>
      <c r="N208" s="86"/>
      <c r="O208" s="86"/>
      <c r="P208" s="86"/>
      <c r="Q208" s="86"/>
      <c r="R208" s="86"/>
      <c r="S208" s="86"/>
    </row>
    <row r="209" spans="1:20" s="1" customFormat="1" ht="14.1" customHeight="1" x14ac:dyDescent="0.25">
      <c r="A209" s="84" t="s">
        <v>56</v>
      </c>
      <c r="B209" s="84"/>
      <c r="C209" s="84"/>
      <c r="D209" s="84"/>
      <c r="E209" s="84"/>
      <c r="F209" s="84"/>
      <c r="G209" s="84"/>
      <c r="H209" s="84"/>
      <c r="I209" s="84"/>
      <c r="J209" s="84"/>
      <c r="K209" s="84"/>
      <c r="L209" s="84"/>
      <c r="M209" s="84"/>
      <c r="N209" s="84"/>
      <c r="O209" s="84"/>
      <c r="P209" s="84"/>
      <c r="Q209" s="84"/>
      <c r="R209" s="84"/>
      <c r="S209" s="84"/>
    </row>
    <row r="210" spans="1:20" s="1" customFormat="1" ht="49.2" customHeight="1" x14ac:dyDescent="0.25">
      <c r="A210" s="85" t="s">
        <v>621</v>
      </c>
      <c r="B210" s="85"/>
      <c r="C210" s="85"/>
      <c r="D210" s="85"/>
      <c r="E210" s="85"/>
      <c r="F210" s="85"/>
      <c r="G210" s="85"/>
      <c r="H210" s="85"/>
      <c r="I210" s="85"/>
      <c r="J210" s="85"/>
      <c r="K210" s="85"/>
      <c r="L210" s="85"/>
      <c r="M210" s="85"/>
      <c r="N210" s="85"/>
      <c r="O210" s="85"/>
      <c r="P210" s="85"/>
      <c r="Q210" s="85"/>
      <c r="R210" s="85"/>
      <c r="S210" s="85"/>
    </row>
    <row r="211" spans="1:20" s="1" customFormat="1" ht="72.45" customHeight="1" x14ac:dyDescent="0.25">
      <c r="J211" s="100" t="s">
        <v>0</v>
      </c>
      <c r="K211" s="100"/>
      <c r="L211" s="100"/>
      <c r="M211" s="100"/>
      <c r="N211" s="100"/>
      <c r="O211" s="100"/>
      <c r="P211" s="100"/>
      <c r="Q211" s="100"/>
      <c r="R211" s="100"/>
      <c r="S211" s="100"/>
      <c r="T211" s="100"/>
    </row>
    <row r="212" spans="1:20" s="1" customFormat="1" ht="7.05" customHeight="1" x14ac:dyDescent="0.25"/>
    <row r="213" spans="1:20" s="1" customFormat="1" ht="14.1" customHeight="1" x14ac:dyDescent="0.25">
      <c r="B213" s="101" t="s">
        <v>615</v>
      </c>
      <c r="C213" s="101"/>
      <c r="D213" s="101"/>
      <c r="E213" s="101"/>
      <c r="F213" s="101"/>
      <c r="G213" s="101"/>
      <c r="H213" s="101"/>
      <c r="I213" s="101"/>
      <c r="J213" s="101"/>
      <c r="K213" s="101"/>
      <c r="L213" s="101"/>
      <c r="M213" s="101"/>
      <c r="N213" s="101"/>
      <c r="O213" s="101"/>
      <c r="P213" s="101"/>
      <c r="Q213" s="101"/>
      <c r="R213" s="101"/>
    </row>
    <row r="214" spans="1:20" s="1" customFormat="1" ht="14.1" customHeight="1" x14ac:dyDescent="0.25"/>
    <row r="215" spans="1:20" s="1" customFormat="1" ht="14.1" customHeight="1" x14ac:dyDescent="0.25">
      <c r="A215" s="102" t="s">
        <v>2</v>
      </c>
      <c r="B215" s="102"/>
      <c r="C215" s="102"/>
      <c r="D215" s="103" t="s">
        <v>622</v>
      </c>
      <c r="E215" s="103"/>
      <c r="F215" s="103"/>
      <c r="G215" s="103"/>
      <c r="H215" s="103"/>
      <c r="I215" s="103"/>
      <c r="J215" s="103"/>
      <c r="K215" s="103"/>
      <c r="L215" s="103"/>
      <c r="M215" s="103"/>
      <c r="N215" s="103"/>
      <c r="O215" s="103"/>
      <c r="P215" s="103"/>
      <c r="Q215" s="103"/>
      <c r="R215" s="103"/>
      <c r="S215" s="103"/>
      <c r="T215" s="103"/>
    </row>
    <row r="216" spans="1:20" s="1" customFormat="1" ht="14.1" customHeight="1" x14ac:dyDescent="0.25">
      <c r="A216" s="102" t="s">
        <v>4</v>
      </c>
      <c r="B216" s="102"/>
      <c r="C216" s="103" t="s">
        <v>617</v>
      </c>
      <c r="D216" s="103"/>
      <c r="E216" s="103"/>
      <c r="F216" s="103"/>
      <c r="G216" s="103"/>
      <c r="H216" s="103"/>
      <c r="I216" s="103"/>
      <c r="J216" s="103"/>
      <c r="K216" s="103"/>
      <c r="L216" s="103"/>
      <c r="M216" s="103"/>
      <c r="N216" s="103"/>
      <c r="O216" s="103"/>
      <c r="P216" s="103"/>
      <c r="Q216" s="103"/>
      <c r="R216" s="103"/>
      <c r="S216" s="103"/>
      <c r="T216" s="103"/>
    </row>
    <row r="217" spans="1:20" s="1" customFormat="1" ht="14.1" customHeight="1" x14ac:dyDescent="0.25">
      <c r="A217" s="102" t="s">
        <v>6</v>
      </c>
      <c r="B217" s="102"/>
      <c r="C217" s="102"/>
      <c r="D217" s="102"/>
      <c r="E217" s="102"/>
      <c r="F217" s="103" t="s">
        <v>60</v>
      </c>
      <c r="G217" s="103"/>
      <c r="H217" s="103"/>
      <c r="I217" s="103"/>
      <c r="J217" s="103"/>
      <c r="K217" s="103"/>
      <c r="L217" s="103"/>
      <c r="M217" s="103"/>
      <c r="N217" s="103"/>
      <c r="O217" s="103"/>
      <c r="P217" s="103"/>
      <c r="Q217" s="103"/>
      <c r="R217" s="103"/>
      <c r="S217" s="103"/>
      <c r="T217" s="103"/>
    </row>
    <row r="218" spans="1:20" s="1" customFormat="1" ht="22.35" customHeight="1" x14ac:dyDescent="0.25">
      <c r="F218" s="103"/>
      <c r="G218" s="103"/>
      <c r="H218" s="103"/>
      <c r="I218" s="103"/>
      <c r="J218" s="103"/>
      <c r="K218" s="103"/>
      <c r="L218" s="103"/>
      <c r="M218" s="103"/>
      <c r="N218" s="103"/>
      <c r="O218" s="103"/>
      <c r="P218" s="103"/>
      <c r="Q218" s="103"/>
      <c r="R218" s="103"/>
      <c r="S218" s="103"/>
      <c r="T218" s="103"/>
    </row>
    <row r="219" spans="1:20" s="1" customFormat="1" ht="7.05" customHeight="1" x14ac:dyDescent="0.25">
      <c r="A219" s="86"/>
      <c r="B219" s="86"/>
      <c r="C219" s="86"/>
      <c r="D219" s="86"/>
      <c r="E219" s="86"/>
      <c r="F219" s="86"/>
      <c r="G219" s="86"/>
      <c r="H219" s="86"/>
      <c r="I219" s="86"/>
      <c r="J219" s="86"/>
      <c r="K219" s="86"/>
      <c r="L219" s="86"/>
      <c r="M219" s="86"/>
      <c r="N219" s="86"/>
      <c r="O219" s="86"/>
      <c r="P219" s="86"/>
      <c r="Q219" s="42"/>
      <c r="R219" s="86"/>
      <c r="S219" s="86"/>
      <c r="T219" s="86"/>
    </row>
    <row r="220" spans="1:20" s="1" customFormat="1" ht="16.95" customHeight="1" x14ac:dyDescent="0.25">
      <c r="A220" s="94" t="s">
        <v>8</v>
      </c>
      <c r="B220" s="94"/>
      <c r="C220" s="94"/>
      <c r="D220" s="94"/>
      <c r="E220" s="94"/>
      <c r="F220" s="94"/>
      <c r="G220" s="94"/>
      <c r="H220" s="94"/>
      <c r="I220" s="94"/>
      <c r="J220" s="94"/>
      <c r="K220" s="94"/>
      <c r="L220" s="94"/>
      <c r="M220" s="95" t="s">
        <v>9</v>
      </c>
      <c r="N220" s="95"/>
      <c r="O220" s="95"/>
      <c r="P220" s="95"/>
      <c r="Q220" s="95"/>
      <c r="R220" s="95"/>
      <c r="S220" s="95"/>
      <c r="T220" s="95"/>
    </row>
    <row r="221" spans="1:20" s="1" customFormat="1" ht="16.95" customHeight="1" x14ac:dyDescent="0.25">
      <c r="A221" s="94"/>
      <c r="B221" s="94"/>
      <c r="C221" s="94"/>
      <c r="D221" s="94"/>
      <c r="E221" s="94"/>
      <c r="F221" s="94"/>
      <c r="G221" s="94"/>
      <c r="H221" s="94"/>
      <c r="I221" s="94"/>
      <c r="J221" s="94"/>
      <c r="K221" s="94"/>
      <c r="L221" s="94"/>
      <c r="M221" s="96" t="s">
        <v>10</v>
      </c>
      <c r="N221" s="96"/>
      <c r="O221" s="96"/>
      <c r="P221" s="96"/>
      <c r="Q221" s="97" t="s">
        <v>11</v>
      </c>
      <c r="R221" s="97"/>
      <c r="S221" s="97"/>
      <c r="T221" s="97"/>
    </row>
    <row r="222" spans="1:20" s="1" customFormat="1" ht="16.95" customHeight="1" x14ac:dyDescent="0.25">
      <c r="A222" s="94"/>
      <c r="B222" s="94"/>
      <c r="C222" s="94"/>
      <c r="D222" s="94"/>
      <c r="E222" s="94"/>
      <c r="F222" s="94"/>
      <c r="G222" s="94"/>
      <c r="H222" s="94"/>
      <c r="I222" s="94"/>
      <c r="J222" s="94"/>
      <c r="K222" s="94"/>
      <c r="L222" s="94"/>
      <c r="M222" s="98" t="s">
        <v>12</v>
      </c>
      <c r="N222" s="98"/>
      <c r="O222" s="98" t="s">
        <v>13</v>
      </c>
      <c r="P222" s="98"/>
      <c r="Q222" s="40" t="s">
        <v>14</v>
      </c>
      <c r="R222" s="99" t="s">
        <v>15</v>
      </c>
      <c r="S222" s="99"/>
      <c r="T222" s="99"/>
    </row>
    <row r="223" spans="1:20" s="1" customFormat="1" ht="13.35" customHeight="1" x14ac:dyDescent="0.25">
      <c r="A223" s="88" t="s">
        <v>269</v>
      </c>
      <c r="B223" s="88"/>
      <c r="C223" s="88"/>
      <c r="D223" s="88"/>
      <c r="E223" s="88"/>
      <c r="F223" s="88"/>
      <c r="G223" s="88"/>
      <c r="H223" s="88"/>
      <c r="I223" s="88"/>
      <c r="J223" s="88"/>
      <c r="K223" s="88"/>
      <c r="L223" s="88"/>
      <c r="M223" s="88" t="s">
        <v>255</v>
      </c>
      <c r="N223" s="88"/>
      <c r="O223" s="88" t="s">
        <v>255</v>
      </c>
      <c r="P223" s="88"/>
      <c r="Q223" s="39" t="s">
        <v>101</v>
      </c>
      <c r="R223" s="88" t="s">
        <v>101</v>
      </c>
      <c r="S223" s="88"/>
      <c r="T223" s="88"/>
    </row>
    <row r="224" spans="1:20" s="1" customFormat="1" ht="14.1" customHeight="1" x14ac:dyDescent="0.25">
      <c r="A224" s="90" t="s">
        <v>134</v>
      </c>
      <c r="B224" s="90"/>
      <c r="C224" s="90"/>
      <c r="D224" s="90"/>
      <c r="E224" s="90"/>
      <c r="F224" s="90"/>
      <c r="G224" s="90"/>
      <c r="H224" s="90"/>
      <c r="I224" s="90"/>
      <c r="J224" s="90"/>
      <c r="K224" s="90"/>
      <c r="L224" s="90"/>
      <c r="M224" s="90"/>
      <c r="N224" s="90"/>
      <c r="O224" s="90"/>
      <c r="P224" s="90"/>
      <c r="Q224" s="90"/>
      <c r="R224" s="90"/>
      <c r="S224" s="90"/>
      <c r="T224" s="90"/>
    </row>
    <row r="225" spans="1:19" s="1" customFormat="1" ht="21.3" customHeight="1" x14ac:dyDescent="0.25"/>
    <row r="226" spans="1:19" s="1" customFormat="1" ht="14.1" customHeight="1" x14ac:dyDescent="0.25">
      <c r="A226" s="91" t="s">
        <v>33</v>
      </c>
      <c r="B226" s="91"/>
      <c r="C226" s="91"/>
      <c r="D226" s="91"/>
      <c r="E226" s="91"/>
      <c r="F226" s="91"/>
      <c r="G226" s="91"/>
      <c r="H226" s="91"/>
      <c r="I226" s="91"/>
      <c r="J226" s="91"/>
      <c r="K226" s="91"/>
      <c r="L226" s="91"/>
      <c r="M226" s="91"/>
      <c r="N226" s="91"/>
    </row>
    <row r="227" spans="1:19" s="1" customFormat="1" ht="13.35" customHeight="1" x14ac:dyDescent="0.25">
      <c r="A227" s="88" t="s">
        <v>34</v>
      </c>
      <c r="B227" s="88"/>
      <c r="C227" s="88"/>
      <c r="D227" s="88"/>
      <c r="E227" s="89">
        <v>0.4</v>
      </c>
      <c r="F227" s="89"/>
      <c r="G227" s="41"/>
      <c r="H227" s="39" t="s">
        <v>35</v>
      </c>
      <c r="I227" s="89">
        <v>0.03</v>
      </c>
      <c r="J227" s="89"/>
      <c r="K227" s="41"/>
      <c r="L227" s="88" t="s">
        <v>36</v>
      </c>
      <c r="M227" s="88"/>
      <c r="N227" s="89">
        <v>16</v>
      </c>
      <c r="O227" s="89"/>
    </row>
    <row r="228" spans="1:19" s="1" customFormat="1" ht="13.35" customHeight="1" x14ac:dyDescent="0.25">
      <c r="A228" s="88" t="s">
        <v>37</v>
      </c>
      <c r="B228" s="88"/>
      <c r="C228" s="88"/>
      <c r="D228" s="88"/>
      <c r="E228" s="89">
        <v>0.4</v>
      </c>
      <c r="F228" s="89"/>
      <c r="G228" s="41"/>
      <c r="H228" s="39" t="s">
        <v>38</v>
      </c>
      <c r="I228" s="89">
        <v>10</v>
      </c>
      <c r="J228" s="89"/>
      <c r="K228" s="41"/>
      <c r="L228" s="88" t="s">
        <v>39</v>
      </c>
      <c r="M228" s="88"/>
      <c r="N228" s="89">
        <v>8</v>
      </c>
      <c r="O228" s="89"/>
    </row>
    <row r="229" spans="1:19" s="1" customFormat="1" ht="13.35" customHeight="1" x14ac:dyDescent="0.25">
      <c r="A229" s="88" t="s">
        <v>40</v>
      </c>
      <c r="B229" s="88"/>
      <c r="C229" s="88"/>
      <c r="D229" s="88"/>
      <c r="E229" s="89">
        <v>9.8000000000000007</v>
      </c>
      <c r="F229" s="89"/>
      <c r="G229" s="41"/>
      <c r="H229" s="39" t="s">
        <v>41</v>
      </c>
      <c r="I229" s="89">
        <v>0.01</v>
      </c>
      <c r="J229" s="89"/>
      <c r="K229" s="41"/>
      <c r="L229" s="88" t="s">
        <v>42</v>
      </c>
      <c r="M229" s="88"/>
      <c r="N229" s="89">
        <v>11</v>
      </c>
      <c r="O229" s="89"/>
    </row>
    <row r="230" spans="1:19" s="1" customFormat="1" ht="13.35" customHeight="1" x14ac:dyDescent="0.25">
      <c r="A230" s="88" t="s">
        <v>43</v>
      </c>
      <c r="B230" s="88"/>
      <c r="C230" s="88"/>
      <c r="D230" s="88"/>
      <c r="E230" s="89">
        <v>47</v>
      </c>
      <c r="F230" s="89"/>
      <c r="G230" s="41"/>
      <c r="H230" s="39" t="s">
        <v>44</v>
      </c>
      <c r="I230" s="89">
        <v>0.63</v>
      </c>
      <c r="J230" s="89"/>
      <c r="K230" s="41"/>
      <c r="L230" s="88" t="s">
        <v>45</v>
      </c>
      <c r="M230" s="88"/>
      <c r="N230" s="89">
        <v>2.2000000000000002</v>
      </c>
      <c r="O230" s="89"/>
    </row>
    <row r="231" spans="1:19" s="1" customFormat="1" ht="13.35" customHeight="1" x14ac:dyDescent="0.25">
      <c r="A231" s="87"/>
      <c r="B231" s="87"/>
      <c r="C231" s="87"/>
      <c r="D231" s="87"/>
      <c r="E231" s="87"/>
      <c r="F231" s="87"/>
      <c r="G231" s="41"/>
      <c r="H231" s="39" t="s">
        <v>46</v>
      </c>
      <c r="I231" s="89">
        <v>0</v>
      </c>
      <c r="J231" s="89"/>
      <c r="K231" s="41"/>
      <c r="L231" s="88" t="s">
        <v>47</v>
      </c>
      <c r="M231" s="88"/>
      <c r="N231" s="89">
        <v>278</v>
      </c>
      <c r="O231" s="89"/>
    </row>
    <row r="232" spans="1:19" s="1" customFormat="1" ht="13.35" customHeight="1" x14ac:dyDescent="0.25">
      <c r="A232" s="87"/>
      <c r="B232" s="87"/>
      <c r="C232" s="87"/>
      <c r="D232" s="87"/>
      <c r="E232" s="87"/>
      <c r="F232" s="87"/>
      <c r="G232" s="41"/>
      <c r="H232" s="39" t="s">
        <v>48</v>
      </c>
      <c r="I232" s="89">
        <v>0.02</v>
      </c>
      <c r="J232" s="89"/>
      <c r="K232" s="41"/>
      <c r="L232" s="88" t="s">
        <v>49</v>
      </c>
      <c r="M232" s="88"/>
      <c r="N232" s="89">
        <v>2</v>
      </c>
      <c r="O232" s="89"/>
    </row>
    <row r="233" spans="1:19" s="1" customFormat="1" ht="13.35" customHeight="1" x14ac:dyDescent="0.25">
      <c r="A233" s="87"/>
      <c r="B233" s="87"/>
      <c r="C233" s="87"/>
      <c r="D233" s="87"/>
      <c r="E233" s="87"/>
      <c r="F233" s="87"/>
      <c r="G233" s="41"/>
      <c r="H233" s="41"/>
      <c r="I233" s="87"/>
      <c r="J233" s="87"/>
      <c r="K233" s="41"/>
      <c r="L233" s="88" t="s">
        <v>50</v>
      </c>
      <c r="M233" s="88"/>
      <c r="N233" s="89">
        <v>0.01</v>
      </c>
      <c r="O233" s="89"/>
    </row>
    <row r="234" spans="1:19" s="1" customFormat="1" ht="13.35" customHeight="1" x14ac:dyDescent="0.25">
      <c r="A234" s="87"/>
      <c r="B234" s="87"/>
      <c r="C234" s="87"/>
      <c r="D234" s="87"/>
      <c r="E234" s="87"/>
      <c r="F234" s="87"/>
      <c r="G234" s="41"/>
      <c r="H234" s="41"/>
      <c r="I234" s="87"/>
      <c r="J234" s="87"/>
      <c r="K234" s="41"/>
      <c r="L234" s="88" t="s">
        <v>51</v>
      </c>
      <c r="M234" s="88"/>
      <c r="N234" s="89">
        <v>0</v>
      </c>
      <c r="O234" s="89"/>
    </row>
    <row r="235" spans="1:19" s="1" customFormat="1" ht="14.1" customHeight="1" x14ac:dyDescent="0.25">
      <c r="A235" s="86"/>
      <c r="B235" s="86"/>
      <c r="C235" s="86"/>
      <c r="D235" s="86"/>
      <c r="E235" s="86"/>
      <c r="F235" s="86"/>
      <c r="G235" s="86"/>
      <c r="H235" s="86"/>
      <c r="I235" s="86"/>
      <c r="J235" s="86"/>
      <c r="K235" s="86"/>
      <c r="L235" s="86"/>
      <c r="M235" s="86"/>
      <c r="N235" s="86"/>
      <c r="O235" s="86"/>
      <c r="P235" s="86"/>
      <c r="Q235" s="86"/>
      <c r="R235" s="86"/>
      <c r="S235" s="86"/>
    </row>
    <row r="236" spans="1:19" s="1" customFormat="1" ht="14.1" customHeight="1" x14ac:dyDescent="0.25">
      <c r="A236" s="84" t="s">
        <v>52</v>
      </c>
      <c r="B236" s="84"/>
      <c r="C236" s="84"/>
      <c r="D236" s="84"/>
      <c r="E236" s="84"/>
      <c r="F236" s="84"/>
      <c r="G236" s="84"/>
      <c r="H236" s="84"/>
      <c r="I236" s="84"/>
      <c r="J236" s="84"/>
      <c r="K236" s="84"/>
      <c r="L236" s="84"/>
      <c r="M236" s="84"/>
      <c r="N236" s="84"/>
      <c r="O236" s="84"/>
      <c r="P236" s="84"/>
      <c r="Q236" s="84"/>
      <c r="R236" s="84"/>
      <c r="S236" s="84"/>
    </row>
    <row r="237" spans="1:19" s="1" customFormat="1" ht="21.6" customHeight="1" x14ac:dyDescent="0.25">
      <c r="A237" s="85" t="s">
        <v>619</v>
      </c>
      <c r="B237" s="85"/>
      <c r="C237" s="85"/>
      <c r="D237" s="85"/>
      <c r="E237" s="85"/>
      <c r="F237" s="85"/>
      <c r="G237" s="85"/>
      <c r="H237" s="85"/>
      <c r="I237" s="85"/>
      <c r="J237" s="85"/>
      <c r="K237" s="85"/>
      <c r="L237" s="85"/>
      <c r="M237" s="85"/>
      <c r="N237" s="85"/>
      <c r="O237" s="85"/>
      <c r="P237" s="85"/>
      <c r="Q237" s="85"/>
      <c r="R237" s="85"/>
      <c r="S237" s="85"/>
    </row>
    <row r="238" spans="1:19" s="1" customFormat="1" ht="14.1" customHeight="1" x14ac:dyDescent="0.25">
      <c r="A238" s="86"/>
      <c r="B238" s="86"/>
      <c r="C238" s="86"/>
      <c r="D238" s="86"/>
      <c r="E238" s="86"/>
      <c r="F238" s="86"/>
      <c r="G238" s="86"/>
      <c r="H238" s="86"/>
      <c r="I238" s="86"/>
      <c r="J238" s="86"/>
      <c r="K238" s="86"/>
      <c r="L238" s="86"/>
      <c r="M238" s="86"/>
      <c r="N238" s="86"/>
      <c r="O238" s="86"/>
      <c r="P238" s="86"/>
      <c r="Q238" s="86"/>
      <c r="R238" s="86"/>
      <c r="S238" s="86"/>
    </row>
    <row r="239" spans="1:19" s="1" customFormat="1" ht="14.1" customHeight="1" x14ac:dyDescent="0.25">
      <c r="A239" s="84" t="s">
        <v>54</v>
      </c>
      <c r="B239" s="84"/>
      <c r="C239" s="84"/>
      <c r="D239" s="84"/>
      <c r="E239" s="84"/>
      <c r="F239" s="84"/>
      <c r="G239" s="84"/>
      <c r="H239" s="84"/>
      <c r="I239" s="84"/>
      <c r="J239" s="84"/>
      <c r="K239" s="84"/>
      <c r="L239" s="84"/>
      <c r="M239" s="84"/>
      <c r="N239" s="84"/>
      <c r="O239" s="84"/>
      <c r="P239" s="84"/>
      <c r="Q239" s="84"/>
      <c r="R239" s="84"/>
      <c r="S239" s="84"/>
    </row>
    <row r="240" spans="1:19" s="1" customFormat="1" ht="12.15" customHeight="1" x14ac:dyDescent="0.25">
      <c r="A240" s="85" t="s">
        <v>620</v>
      </c>
      <c r="B240" s="85"/>
      <c r="C240" s="85"/>
      <c r="D240" s="85"/>
      <c r="E240" s="85"/>
      <c r="F240" s="85"/>
      <c r="G240" s="85"/>
      <c r="H240" s="85"/>
      <c r="I240" s="85"/>
      <c r="J240" s="85"/>
      <c r="K240" s="85"/>
      <c r="L240" s="85"/>
      <c r="M240" s="85"/>
      <c r="N240" s="85"/>
      <c r="O240" s="85"/>
      <c r="P240" s="85"/>
      <c r="Q240" s="85"/>
      <c r="R240" s="85"/>
      <c r="S240" s="85"/>
    </row>
    <row r="241" spans="1:20" s="1" customFormat="1" ht="14.1" customHeight="1" x14ac:dyDescent="0.25">
      <c r="A241" s="86"/>
      <c r="B241" s="86"/>
      <c r="C241" s="86"/>
      <c r="D241" s="86"/>
      <c r="E241" s="86"/>
      <c r="F241" s="86"/>
      <c r="G241" s="86"/>
      <c r="H241" s="86"/>
      <c r="I241" s="86"/>
      <c r="J241" s="86"/>
      <c r="K241" s="86"/>
      <c r="L241" s="86"/>
      <c r="M241" s="86"/>
      <c r="N241" s="86"/>
      <c r="O241" s="86"/>
      <c r="P241" s="86"/>
      <c r="Q241" s="86"/>
      <c r="R241" s="86"/>
      <c r="S241" s="86"/>
    </row>
    <row r="242" spans="1:20" s="1" customFormat="1" ht="14.1" customHeight="1" x14ac:dyDescent="0.25">
      <c r="A242" s="84" t="s">
        <v>56</v>
      </c>
      <c r="B242" s="84"/>
      <c r="C242" s="84"/>
      <c r="D242" s="84"/>
      <c r="E242" s="84"/>
      <c r="F242" s="84"/>
      <c r="G242" s="84"/>
      <c r="H242" s="84"/>
      <c r="I242" s="84"/>
      <c r="J242" s="84"/>
      <c r="K242" s="84"/>
      <c r="L242" s="84"/>
      <c r="M242" s="84"/>
      <c r="N242" s="84"/>
      <c r="O242" s="84"/>
      <c r="P242" s="84"/>
      <c r="Q242" s="84"/>
      <c r="R242" s="84"/>
      <c r="S242" s="84"/>
    </row>
    <row r="243" spans="1:20" s="1" customFormat="1" ht="49.2" customHeight="1" x14ac:dyDescent="0.25">
      <c r="A243" s="85" t="s">
        <v>621</v>
      </c>
      <c r="B243" s="85"/>
      <c r="C243" s="85"/>
      <c r="D243" s="85"/>
      <c r="E243" s="85"/>
      <c r="F243" s="85"/>
      <c r="G243" s="85"/>
      <c r="H243" s="85"/>
      <c r="I243" s="85"/>
      <c r="J243" s="85"/>
      <c r="K243" s="85"/>
      <c r="L243" s="85"/>
      <c r="M243" s="85"/>
      <c r="N243" s="85"/>
      <c r="O243" s="85"/>
      <c r="P243" s="85"/>
      <c r="Q243" s="85"/>
      <c r="R243" s="85"/>
      <c r="S243" s="85"/>
    </row>
    <row r="246" spans="1:20" s="1" customFormat="1" ht="72.45" customHeight="1" x14ac:dyDescent="0.25">
      <c r="J246" s="100" t="s">
        <v>0</v>
      </c>
      <c r="K246" s="100"/>
      <c r="L246" s="100"/>
      <c r="M246" s="100"/>
      <c r="N246" s="100"/>
      <c r="O246" s="100"/>
      <c r="P246" s="100"/>
      <c r="Q246" s="100"/>
      <c r="R246" s="100"/>
      <c r="S246" s="100"/>
      <c r="T246" s="100"/>
    </row>
    <row r="247" spans="1:20" s="1" customFormat="1" ht="7.05" customHeight="1" x14ac:dyDescent="0.25"/>
    <row r="248" spans="1:20" s="1" customFormat="1" ht="14.1" customHeight="1" x14ac:dyDescent="0.25">
      <c r="B248" s="101" t="s">
        <v>757</v>
      </c>
      <c r="C248" s="101"/>
      <c r="D248" s="101"/>
      <c r="E248" s="101"/>
      <c r="F248" s="101"/>
      <c r="G248" s="101"/>
      <c r="H248" s="101"/>
      <c r="I248" s="101"/>
      <c r="J248" s="101"/>
      <c r="K248" s="101"/>
      <c r="L248" s="101"/>
      <c r="M248" s="101"/>
      <c r="N248" s="101"/>
      <c r="O248" s="101"/>
      <c r="P248" s="101"/>
      <c r="Q248" s="101"/>
      <c r="R248" s="101"/>
    </row>
    <row r="249" spans="1:20" s="1" customFormat="1" ht="14.1" customHeight="1" x14ac:dyDescent="0.25"/>
    <row r="250" spans="1:20" s="1" customFormat="1" ht="14.1" customHeight="1" x14ac:dyDescent="0.25">
      <c r="A250" s="102" t="s">
        <v>2</v>
      </c>
      <c r="B250" s="102"/>
      <c r="C250" s="102"/>
      <c r="D250" s="103" t="s">
        <v>1222</v>
      </c>
      <c r="E250" s="103"/>
      <c r="F250" s="103"/>
      <c r="G250" s="103"/>
      <c r="H250" s="103"/>
      <c r="I250" s="103"/>
      <c r="J250" s="103"/>
      <c r="K250" s="103"/>
      <c r="L250" s="103"/>
      <c r="M250" s="103"/>
      <c r="N250" s="103"/>
      <c r="O250" s="103"/>
      <c r="P250" s="103"/>
      <c r="Q250" s="103"/>
      <c r="R250" s="103"/>
      <c r="S250" s="103"/>
      <c r="T250" s="103"/>
    </row>
    <row r="251" spans="1:20" s="1" customFormat="1" ht="14.1" customHeight="1" x14ac:dyDescent="0.25">
      <c r="A251" s="102" t="s">
        <v>4</v>
      </c>
      <c r="B251" s="102"/>
      <c r="C251" s="103">
        <v>23</v>
      </c>
      <c r="D251" s="103"/>
      <c r="E251" s="103"/>
      <c r="F251" s="103"/>
      <c r="G251" s="103"/>
      <c r="H251" s="103"/>
      <c r="I251" s="103"/>
      <c r="J251" s="103"/>
      <c r="K251" s="103"/>
      <c r="L251" s="103"/>
      <c r="M251" s="103"/>
      <c r="N251" s="103"/>
      <c r="O251" s="103"/>
      <c r="P251" s="103"/>
      <c r="Q251" s="103"/>
      <c r="R251" s="103"/>
      <c r="S251" s="103"/>
      <c r="T251" s="103"/>
    </row>
    <row r="252" spans="1:20" s="1" customFormat="1" ht="14.1" customHeight="1" x14ac:dyDescent="0.25">
      <c r="A252" s="102" t="s">
        <v>6</v>
      </c>
      <c r="B252" s="102"/>
      <c r="C252" s="102"/>
      <c r="D252" s="102"/>
      <c r="E252" s="102"/>
      <c r="F252" s="103" t="s">
        <v>60</v>
      </c>
      <c r="G252" s="103"/>
      <c r="H252" s="103"/>
      <c r="I252" s="103"/>
      <c r="J252" s="103"/>
      <c r="K252" s="103"/>
      <c r="L252" s="103"/>
      <c r="M252" s="103"/>
      <c r="N252" s="103"/>
      <c r="O252" s="103"/>
      <c r="P252" s="103"/>
      <c r="Q252" s="103"/>
      <c r="R252" s="103"/>
      <c r="S252" s="103"/>
      <c r="T252" s="103"/>
    </row>
    <row r="253" spans="1:20" s="1" customFormat="1" ht="22.35" customHeight="1" x14ac:dyDescent="0.25">
      <c r="F253" s="103"/>
      <c r="G253" s="103"/>
      <c r="H253" s="103"/>
      <c r="I253" s="103"/>
      <c r="J253" s="103"/>
      <c r="K253" s="103"/>
      <c r="L253" s="103"/>
      <c r="M253" s="103"/>
      <c r="N253" s="103"/>
      <c r="O253" s="103"/>
      <c r="P253" s="103"/>
      <c r="Q253" s="103"/>
      <c r="R253" s="103"/>
      <c r="S253" s="103"/>
      <c r="T253" s="103"/>
    </row>
    <row r="254" spans="1:20" s="1" customFormat="1" ht="13.2" x14ac:dyDescent="0.25">
      <c r="A254" s="104" t="s">
        <v>754</v>
      </c>
      <c r="B254" s="93"/>
      <c r="C254" s="93"/>
      <c r="D254" s="93"/>
      <c r="E254" s="93"/>
      <c r="F254" s="93"/>
      <c r="G254" s="93"/>
      <c r="H254" s="93"/>
      <c r="I254" s="93"/>
      <c r="J254" s="93"/>
      <c r="K254" s="93"/>
      <c r="L254" s="93"/>
      <c r="M254" s="93"/>
      <c r="N254" s="93"/>
      <c r="O254" s="93"/>
      <c r="P254" s="93"/>
      <c r="Q254" s="93"/>
      <c r="R254" s="93"/>
      <c r="S254" s="93"/>
    </row>
    <row r="255" spans="1:20" s="1" customFormat="1" ht="49.95" customHeight="1" x14ac:dyDescent="0.25">
      <c r="A255" s="92" t="s">
        <v>759</v>
      </c>
      <c r="B255" s="93"/>
      <c r="C255" s="93"/>
      <c r="D255" s="93"/>
      <c r="E255" s="93"/>
      <c r="F255" s="93"/>
      <c r="G255" s="93"/>
      <c r="H255" s="93"/>
      <c r="I255" s="93"/>
      <c r="J255" s="93"/>
      <c r="K255" s="93"/>
      <c r="L255" s="93"/>
      <c r="M255" s="93"/>
      <c r="N255" s="93"/>
      <c r="O255" s="93"/>
      <c r="P255" s="93"/>
      <c r="Q255" s="93"/>
      <c r="R255" s="93"/>
      <c r="S255" s="93"/>
    </row>
    <row r="256" spans="1:20" s="1" customFormat="1" ht="7.05" customHeight="1" x14ac:dyDescent="0.25">
      <c r="A256" s="86"/>
      <c r="B256" s="86"/>
      <c r="C256" s="86"/>
      <c r="D256" s="86"/>
      <c r="E256" s="86"/>
      <c r="F256" s="86"/>
      <c r="G256" s="86"/>
      <c r="H256" s="86"/>
      <c r="I256" s="86"/>
      <c r="J256" s="86"/>
      <c r="K256" s="86"/>
      <c r="L256" s="86"/>
      <c r="M256" s="86"/>
      <c r="N256" s="86"/>
      <c r="O256" s="86"/>
      <c r="P256" s="86"/>
      <c r="Q256" s="80"/>
      <c r="R256" s="86"/>
      <c r="S256" s="86"/>
      <c r="T256" s="86"/>
    </row>
    <row r="257" spans="1:20" s="1" customFormat="1" ht="16.95" customHeight="1" x14ac:dyDescent="0.25">
      <c r="A257" s="94" t="s">
        <v>8</v>
      </c>
      <c r="B257" s="94"/>
      <c r="C257" s="94"/>
      <c r="D257" s="94"/>
      <c r="E257" s="94"/>
      <c r="F257" s="94"/>
      <c r="G257" s="94"/>
      <c r="H257" s="94"/>
      <c r="I257" s="94"/>
      <c r="J257" s="94"/>
      <c r="K257" s="94"/>
      <c r="L257" s="94"/>
      <c r="M257" s="95" t="s">
        <v>9</v>
      </c>
      <c r="N257" s="95"/>
      <c r="O257" s="95"/>
      <c r="P257" s="95"/>
      <c r="Q257" s="95"/>
      <c r="R257" s="95"/>
      <c r="S257" s="95"/>
      <c r="T257" s="95"/>
    </row>
    <row r="258" spans="1:20" s="1" customFormat="1" ht="16.95" customHeight="1" x14ac:dyDescent="0.25">
      <c r="A258" s="94"/>
      <c r="B258" s="94"/>
      <c r="C258" s="94"/>
      <c r="D258" s="94"/>
      <c r="E258" s="94"/>
      <c r="F258" s="94"/>
      <c r="G258" s="94"/>
      <c r="H258" s="94"/>
      <c r="I258" s="94"/>
      <c r="J258" s="94"/>
      <c r="K258" s="94"/>
      <c r="L258" s="94"/>
      <c r="M258" s="96" t="s">
        <v>10</v>
      </c>
      <c r="N258" s="96"/>
      <c r="O258" s="96"/>
      <c r="P258" s="96"/>
      <c r="Q258" s="97" t="s">
        <v>11</v>
      </c>
      <c r="R258" s="97"/>
      <c r="S258" s="97"/>
      <c r="T258" s="97"/>
    </row>
    <row r="259" spans="1:20" s="1" customFormat="1" ht="16.95" customHeight="1" x14ac:dyDescent="0.25">
      <c r="A259" s="94"/>
      <c r="B259" s="94"/>
      <c r="C259" s="94"/>
      <c r="D259" s="94"/>
      <c r="E259" s="94"/>
      <c r="F259" s="94"/>
      <c r="G259" s="94"/>
      <c r="H259" s="94"/>
      <c r="I259" s="94"/>
      <c r="J259" s="94"/>
      <c r="K259" s="94"/>
      <c r="L259" s="94"/>
      <c r="M259" s="98" t="s">
        <v>12</v>
      </c>
      <c r="N259" s="98"/>
      <c r="O259" s="98" t="s">
        <v>13</v>
      </c>
      <c r="P259" s="98"/>
      <c r="Q259" s="82" t="s">
        <v>14</v>
      </c>
      <c r="R259" s="99" t="s">
        <v>15</v>
      </c>
      <c r="S259" s="99"/>
      <c r="T259" s="99"/>
    </row>
    <row r="260" spans="1:20" s="1" customFormat="1" ht="13.35" customHeight="1" x14ac:dyDescent="0.25">
      <c r="A260" s="88" t="s">
        <v>1223</v>
      </c>
      <c r="B260" s="88"/>
      <c r="C260" s="88"/>
      <c r="D260" s="88"/>
      <c r="E260" s="88"/>
      <c r="F260" s="88"/>
      <c r="G260" s="88"/>
      <c r="H260" s="88"/>
      <c r="I260" s="88"/>
      <c r="J260" s="88"/>
      <c r="K260" s="88"/>
      <c r="L260" s="88"/>
      <c r="M260" s="88">
        <v>100</v>
      </c>
      <c r="N260" s="88"/>
      <c r="O260" s="88">
        <v>100</v>
      </c>
      <c r="P260" s="88"/>
      <c r="Q260" s="81">
        <v>10</v>
      </c>
      <c r="R260" s="88">
        <v>10</v>
      </c>
      <c r="S260" s="88"/>
      <c r="T260" s="88"/>
    </row>
    <row r="261" spans="1:20" s="1" customFormat="1" ht="14.1" customHeight="1" x14ac:dyDescent="0.25">
      <c r="A261" s="90" t="s">
        <v>134</v>
      </c>
      <c r="B261" s="90"/>
      <c r="C261" s="90"/>
      <c r="D261" s="90"/>
      <c r="E261" s="90"/>
      <c r="F261" s="90"/>
      <c r="G261" s="90"/>
      <c r="H261" s="90"/>
      <c r="I261" s="90"/>
      <c r="J261" s="90"/>
      <c r="K261" s="90"/>
      <c r="L261" s="90"/>
      <c r="M261" s="90"/>
      <c r="N261" s="90"/>
      <c r="O261" s="90"/>
      <c r="P261" s="90"/>
      <c r="Q261" s="90"/>
      <c r="R261" s="90"/>
      <c r="S261" s="90"/>
      <c r="T261" s="90"/>
    </row>
    <row r="262" spans="1:20" s="1" customFormat="1" ht="21.3" customHeight="1" x14ac:dyDescent="0.25"/>
    <row r="263" spans="1:20" s="1" customFormat="1" ht="14.1" customHeight="1" x14ac:dyDescent="0.25">
      <c r="A263" s="91" t="s">
        <v>33</v>
      </c>
      <c r="B263" s="91"/>
      <c r="C263" s="91"/>
      <c r="D263" s="91"/>
      <c r="E263" s="91"/>
      <c r="F263" s="91"/>
      <c r="G263" s="91"/>
      <c r="H263" s="91"/>
      <c r="I263" s="91"/>
      <c r="J263" s="91"/>
      <c r="K263" s="91"/>
      <c r="L263" s="91"/>
      <c r="M263" s="91"/>
      <c r="N263" s="91"/>
    </row>
    <row r="264" spans="1:20" s="1" customFormat="1" ht="13.35" customHeight="1" x14ac:dyDescent="0.25">
      <c r="A264" s="88" t="s">
        <v>34</v>
      </c>
      <c r="B264" s="88"/>
      <c r="C264" s="88"/>
      <c r="D264" s="88"/>
      <c r="E264" s="89">
        <v>1.32</v>
      </c>
      <c r="F264" s="89"/>
      <c r="G264" s="83"/>
      <c r="H264" s="81" t="s">
        <v>35</v>
      </c>
      <c r="I264" s="89">
        <v>0</v>
      </c>
      <c r="J264" s="89"/>
      <c r="K264" s="83"/>
      <c r="L264" s="88" t="s">
        <v>36</v>
      </c>
      <c r="M264" s="88"/>
      <c r="N264" s="89">
        <v>0</v>
      </c>
      <c r="O264" s="89"/>
    </row>
    <row r="265" spans="1:20" s="1" customFormat="1" ht="13.35" customHeight="1" x14ac:dyDescent="0.25">
      <c r="A265" s="88" t="s">
        <v>37</v>
      </c>
      <c r="B265" s="88"/>
      <c r="C265" s="88"/>
      <c r="D265" s="88"/>
      <c r="E265" s="89">
        <v>1</v>
      </c>
      <c r="F265" s="89"/>
      <c r="G265" s="83"/>
      <c r="H265" s="81" t="s">
        <v>38</v>
      </c>
      <c r="I265" s="89">
        <v>0</v>
      </c>
      <c r="J265" s="89"/>
      <c r="K265" s="83"/>
      <c r="L265" s="88" t="s">
        <v>39</v>
      </c>
      <c r="M265" s="88"/>
      <c r="N265" s="89">
        <v>0</v>
      </c>
      <c r="O265" s="89"/>
    </row>
    <row r="266" spans="1:20" s="1" customFormat="1" ht="13.35" customHeight="1" x14ac:dyDescent="0.25">
      <c r="A266" s="88" t="s">
        <v>40</v>
      </c>
      <c r="B266" s="88"/>
      <c r="C266" s="88"/>
      <c r="D266" s="88"/>
      <c r="E266" s="89">
        <v>8.82</v>
      </c>
      <c r="F266" s="89"/>
      <c r="G266" s="83"/>
      <c r="H266" s="81" t="s">
        <v>41</v>
      </c>
      <c r="I266" s="89">
        <v>0</v>
      </c>
      <c r="J266" s="89"/>
      <c r="K266" s="83"/>
      <c r="L266" s="88" t="s">
        <v>42</v>
      </c>
      <c r="M266" s="88"/>
      <c r="N266" s="89">
        <v>0</v>
      </c>
      <c r="O266" s="89"/>
    </row>
    <row r="267" spans="1:20" s="1" customFormat="1" ht="13.35" customHeight="1" x14ac:dyDescent="0.25">
      <c r="A267" s="88" t="s">
        <v>43</v>
      </c>
      <c r="B267" s="88"/>
      <c r="C267" s="88"/>
      <c r="D267" s="88"/>
      <c r="E267" s="89">
        <v>44.15</v>
      </c>
      <c r="F267" s="89"/>
      <c r="G267" s="83"/>
      <c r="H267" s="81" t="s">
        <v>44</v>
      </c>
      <c r="I267" s="89">
        <v>0</v>
      </c>
      <c r="J267" s="89"/>
      <c r="K267" s="83"/>
      <c r="L267" s="88" t="s">
        <v>45</v>
      </c>
      <c r="M267" s="88"/>
      <c r="N267" s="89">
        <v>0</v>
      </c>
      <c r="O267" s="89"/>
    </row>
    <row r="268" spans="1:20" s="1" customFormat="1" ht="13.35" customHeight="1" x14ac:dyDescent="0.25">
      <c r="A268" s="87"/>
      <c r="B268" s="87"/>
      <c r="C268" s="87"/>
      <c r="D268" s="87"/>
      <c r="E268" s="87"/>
      <c r="F268" s="87"/>
      <c r="G268" s="83"/>
      <c r="H268" s="81" t="s">
        <v>46</v>
      </c>
      <c r="I268" s="89">
        <v>0</v>
      </c>
      <c r="J268" s="89"/>
      <c r="K268" s="83"/>
      <c r="L268" s="88" t="s">
        <v>47</v>
      </c>
      <c r="M268" s="88"/>
      <c r="N268" s="89">
        <v>0</v>
      </c>
      <c r="O268" s="89"/>
    </row>
    <row r="269" spans="1:20" s="1" customFormat="1" ht="13.35" customHeight="1" x14ac:dyDescent="0.25">
      <c r="A269" s="87"/>
      <c r="B269" s="87"/>
      <c r="C269" s="87"/>
      <c r="D269" s="87"/>
      <c r="E269" s="87"/>
      <c r="F269" s="87"/>
      <c r="G269" s="83"/>
      <c r="H269" s="81" t="s">
        <v>48</v>
      </c>
      <c r="I269" s="89">
        <v>0</v>
      </c>
      <c r="J269" s="89"/>
      <c r="K269" s="83"/>
      <c r="L269" s="88" t="s">
        <v>49</v>
      </c>
      <c r="M269" s="88"/>
      <c r="N269" s="89">
        <v>0</v>
      </c>
      <c r="O269" s="89"/>
    </row>
    <row r="270" spans="1:20" s="1" customFormat="1" ht="13.35" customHeight="1" x14ac:dyDescent="0.25">
      <c r="A270" s="87"/>
      <c r="B270" s="87"/>
      <c r="C270" s="87"/>
      <c r="D270" s="87"/>
      <c r="E270" s="87"/>
      <c r="F270" s="87"/>
      <c r="G270" s="83"/>
      <c r="H270" s="83"/>
      <c r="I270" s="87"/>
      <c r="J270" s="87"/>
      <c r="K270" s="83"/>
      <c r="L270" s="88" t="s">
        <v>50</v>
      </c>
      <c r="M270" s="88"/>
      <c r="N270" s="89">
        <v>0</v>
      </c>
      <c r="O270" s="89"/>
    </row>
    <row r="271" spans="1:20" s="1" customFormat="1" ht="13.35" customHeight="1" x14ac:dyDescent="0.25">
      <c r="A271" s="87"/>
      <c r="B271" s="87"/>
      <c r="C271" s="87"/>
      <c r="D271" s="87"/>
      <c r="E271" s="87"/>
      <c r="F271" s="87"/>
      <c r="G271" s="83"/>
      <c r="H271" s="83"/>
      <c r="I271" s="87"/>
      <c r="J271" s="87"/>
      <c r="K271" s="83"/>
      <c r="L271" s="88" t="s">
        <v>51</v>
      </c>
      <c r="M271" s="88"/>
      <c r="N271" s="89">
        <v>0</v>
      </c>
      <c r="O271" s="89"/>
    </row>
    <row r="272" spans="1:20" s="1" customFormat="1" ht="14.1" customHeight="1" x14ac:dyDescent="0.25">
      <c r="A272" s="86"/>
      <c r="B272" s="86"/>
      <c r="C272" s="86"/>
      <c r="D272" s="86"/>
      <c r="E272" s="86"/>
      <c r="F272" s="86"/>
      <c r="G272" s="86"/>
      <c r="H272" s="86"/>
      <c r="I272" s="86"/>
      <c r="J272" s="86"/>
      <c r="K272" s="86"/>
      <c r="L272" s="86"/>
      <c r="M272" s="86"/>
      <c r="N272" s="86"/>
      <c r="O272" s="86"/>
      <c r="P272" s="86"/>
      <c r="Q272" s="86"/>
      <c r="R272" s="86"/>
      <c r="S272" s="86"/>
    </row>
    <row r="273" spans="1:19" s="1" customFormat="1" ht="14.1" customHeight="1" x14ac:dyDescent="0.25">
      <c r="A273" s="84" t="s">
        <v>52</v>
      </c>
      <c r="B273" s="84"/>
      <c r="C273" s="84"/>
      <c r="D273" s="84"/>
      <c r="E273" s="84"/>
      <c r="F273" s="84"/>
      <c r="G273" s="84"/>
      <c r="H273" s="84"/>
      <c r="I273" s="84"/>
      <c r="J273" s="84"/>
      <c r="K273" s="84"/>
      <c r="L273" s="84"/>
      <c r="M273" s="84"/>
      <c r="N273" s="84"/>
      <c r="O273" s="84"/>
      <c r="P273" s="84"/>
      <c r="Q273" s="84"/>
      <c r="R273" s="84"/>
      <c r="S273" s="84"/>
    </row>
    <row r="274" spans="1:19" s="1" customFormat="1" ht="21.6" customHeight="1" x14ac:dyDescent="0.25">
      <c r="A274" s="85" t="s">
        <v>619</v>
      </c>
      <c r="B274" s="85"/>
      <c r="C274" s="85"/>
      <c r="D274" s="85"/>
      <c r="E274" s="85"/>
      <c r="F274" s="85"/>
      <c r="G274" s="85"/>
      <c r="H274" s="85"/>
      <c r="I274" s="85"/>
      <c r="J274" s="85"/>
      <c r="K274" s="85"/>
      <c r="L274" s="85"/>
      <c r="M274" s="85"/>
      <c r="N274" s="85"/>
      <c r="O274" s="85"/>
      <c r="P274" s="85"/>
      <c r="Q274" s="85"/>
      <c r="R274" s="85"/>
      <c r="S274" s="85"/>
    </row>
    <row r="275" spans="1:19" s="1" customFormat="1" ht="14.1" customHeight="1" x14ac:dyDescent="0.25">
      <c r="A275" s="86"/>
      <c r="B275" s="86"/>
      <c r="C275" s="86"/>
      <c r="D275" s="86"/>
      <c r="E275" s="86"/>
      <c r="F275" s="86"/>
      <c r="G275" s="86"/>
      <c r="H275" s="86"/>
      <c r="I275" s="86"/>
      <c r="J275" s="86"/>
      <c r="K275" s="86"/>
      <c r="L275" s="86"/>
      <c r="M275" s="86"/>
      <c r="N275" s="86"/>
      <c r="O275" s="86"/>
      <c r="P275" s="86"/>
      <c r="Q275" s="86"/>
      <c r="R275" s="86"/>
      <c r="S275" s="86"/>
    </row>
    <row r="276" spans="1:19" s="1" customFormat="1" ht="14.1" customHeight="1" x14ac:dyDescent="0.25">
      <c r="A276" s="84" t="s">
        <v>54</v>
      </c>
      <c r="B276" s="84"/>
      <c r="C276" s="84"/>
      <c r="D276" s="84"/>
      <c r="E276" s="84"/>
      <c r="F276" s="84"/>
      <c r="G276" s="84"/>
      <c r="H276" s="84"/>
      <c r="I276" s="84"/>
      <c r="J276" s="84"/>
      <c r="K276" s="84"/>
      <c r="L276" s="84"/>
      <c r="M276" s="84"/>
      <c r="N276" s="84"/>
      <c r="O276" s="84"/>
      <c r="P276" s="84"/>
      <c r="Q276" s="84"/>
      <c r="R276" s="84"/>
      <c r="S276" s="84"/>
    </row>
    <row r="277" spans="1:19" s="1" customFormat="1" ht="12.15" customHeight="1" x14ac:dyDescent="0.25">
      <c r="A277" s="85" t="s">
        <v>620</v>
      </c>
      <c r="B277" s="85"/>
      <c r="C277" s="85"/>
      <c r="D277" s="85"/>
      <c r="E277" s="85"/>
      <c r="F277" s="85"/>
      <c r="G277" s="85"/>
      <c r="H277" s="85"/>
      <c r="I277" s="85"/>
      <c r="J277" s="85"/>
      <c r="K277" s="85"/>
      <c r="L277" s="85"/>
      <c r="M277" s="85"/>
      <c r="N277" s="85"/>
      <c r="O277" s="85"/>
      <c r="P277" s="85"/>
      <c r="Q277" s="85"/>
      <c r="R277" s="85"/>
      <c r="S277" s="85"/>
    </row>
    <row r="278" spans="1:19" s="1" customFormat="1" ht="14.1" customHeight="1" x14ac:dyDescent="0.25">
      <c r="A278" s="86"/>
      <c r="B278" s="86"/>
      <c r="C278" s="86"/>
      <c r="D278" s="86"/>
      <c r="E278" s="86"/>
      <c r="F278" s="86"/>
      <c r="G278" s="86"/>
      <c r="H278" s="86"/>
      <c r="I278" s="86"/>
      <c r="J278" s="86"/>
      <c r="K278" s="86"/>
      <c r="L278" s="86"/>
      <c r="M278" s="86"/>
      <c r="N278" s="86"/>
      <c r="O278" s="86"/>
      <c r="P278" s="86"/>
      <c r="Q278" s="86"/>
      <c r="R278" s="86"/>
      <c r="S278" s="86"/>
    </row>
    <row r="279" spans="1:19" s="1" customFormat="1" ht="14.1" customHeight="1" x14ac:dyDescent="0.25">
      <c r="A279" s="84" t="s">
        <v>56</v>
      </c>
      <c r="B279" s="84"/>
      <c r="C279" s="84"/>
      <c r="D279" s="84"/>
      <c r="E279" s="84"/>
      <c r="F279" s="84"/>
      <c r="G279" s="84"/>
      <c r="H279" s="84"/>
      <c r="I279" s="84"/>
      <c r="J279" s="84"/>
      <c r="K279" s="84"/>
      <c r="L279" s="84"/>
      <c r="M279" s="84"/>
      <c r="N279" s="84"/>
      <c r="O279" s="84"/>
      <c r="P279" s="84"/>
      <c r="Q279" s="84"/>
      <c r="R279" s="84"/>
      <c r="S279" s="84"/>
    </row>
    <row r="280" spans="1:19" s="1" customFormat="1" ht="49.2" customHeight="1" x14ac:dyDescent="0.25">
      <c r="A280" s="85" t="s">
        <v>621</v>
      </c>
      <c r="B280" s="85"/>
      <c r="C280" s="85"/>
      <c r="D280" s="85"/>
      <c r="E280" s="85"/>
      <c r="F280" s="85"/>
      <c r="G280" s="85"/>
      <c r="H280" s="85"/>
      <c r="I280" s="85"/>
      <c r="J280" s="85"/>
      <c r="K280" s="85"/>
      <c r="L280" s="85"/>
      <c r="M280" s="85"/>
      <c r="N280" s="85"/>
      <c r="O280" s="85"/>
      <c r="P280" s="85"/>
      <c r="Q280" s="85"/>
      <c r="R280" s="85"/>
      <c r="S280" s="85"/>
    </row>
  </sheetData>
  <mergeCells count="618">
    <mergeCell ref="A241:S241"/>
    <mergeCell ref="A242:S242"/>
    <mergeCell ref="A243:S243"/>
    <mergeCell ref="A235:S235"/>
    <mergeCell ref="A236:S236"/>
    <mergeCell ref="A237:S237"/>
    <mergeCell ref="A238:S238"/>
    <mergeCell ref="A239:S239"/>
    <mergeCell ref="A240:S240"/>
    <mergeCell ref="A233:D233"/>
    <mergeCell ref="E233:F233"/>
    <mergeCell ref="I233:J233"/>
    <mergeCell ref="L233:M233"/>
    <mergeCell ref="N233:O233"/>
    <mergeCell ref="A234:D234"/>
    <mergeCell ref="E234:F234"/>
    <mergeCell ref="I234:J234"/>
    <mergeCell ref="L234:M234"/>
    <mergeCell ref="N234:O234"/>
    <mergeCell ref="A231:D231"/>
    <mergeCell ref="E231:F231"/>
    <mergeCell ref="I231:J231"/>
    <mergeCell ref="L231:M231"/>
    <mergeCell ref="N231:O231"/>
    <mergeCell ref="A232:D232"/>
    <mergeCell ref="E232:F232"/>
    <mergeCell ref="I232:J232"/>
    <mergeCell ref="L232:M232"/>
    <mergeCell ref="N232:O232"/>
    <mergeCell ref="A229:D229"/>
    <mergeCell ref="E229:F229"/>
    <mergeCell ref="I229:J229"/>
    <mergeCell ref="L229:M229"/>
    <mergeCell ref="N229:O229"/>
    <mergeCell ref="A230:D230"/>
    <mergeCell ref="E230:F230"/>
    <mergeCell ref="I230:J230"/>
    <mergeCell ref="L230:M230"/>
    <mergeCell ref="N230:O230"/>
    <mergeCell ref="A227:D227"/>
    <mergeCell ref="E227:F227"/>
    <mergeCell ref="I227:J227"/>
    <mergeCell ref="L227:M227"/>
    <mergeCell ref="N227:O227"/>
    <mergeCell ref="A228:D228"/>
    <mergeCell ref="E228:F228"/>
    <mergeCell ref="I228:J228"/>
    <mergeCell ref="L228:M228"/>
    <mergeCell ref="N228:O228"/>
    <mergeCell ref="A223:L223"/>
    <mergeCell ref="M223:N223"/>
    <mergeCell ref="O223:P223"/>
    <mergeCell ref="R223:T223"/>
    <mergeCell ref="A224:T224"/>
    <mergeCell ref="A226:N226"/>
    <mergeCell ref="A220:L222"/>
    <mergeCell ref="M220:T220"/>
    <mergeCell ref="M221:P221"/>
    <mergeCell ref="Q221:T221"/>
    <mergeCell ref="M222:N222"/>
    <mergeCell ref="O222:P222"/>
    <mergeCell ref="R222:T222"/>
    <mergeCell ref="A216:B216"/>
    <mergeCell ref="C216:T216"/>
    <mergeCell ref="A217:E217"/>
    <mergeCell ref="F217:T218"/>
    <mergeCell ref="A219:L219"/>
    <mergeCell ref="M219:N219"/>
    <mergeCell ref="O219:P219"/>
    <mergeCell ref="R219:T219"/>
    <mergeCell ref="A208:S208"/>
    <mergeCell ref="A209:S209"/>
    <mergeCell ref="A210:S210"/>
    <mergeCell ref="J211:T211"/>
    <mergeCell ref="B213:R213"/>
    <mergeCell ref="A215:C215"/>
    <mergeCell ref="D215:T215"/>
    <mergeCell ref="A202:S202"/>
    <mergeCell ref="A203:S203"/>
    <mergeCell ref="A204:S204"/>
    <mergeCell ref="A205:S205"/>
    <mergeCell ref="A206:S206"/>
    <mergeCell ref="A207:S207"/>
    <mergeCell ref="A200:D200"/>
    <mergeCell ref="E200:F200"/>
    <mergeCell ref="I200:J200"/>
    <mergeCell ref="L200:M200"/>
    <mergeCell ref="N200:O200"/>
    <mergeCell ref="A201:D201"/>
    <mergeCell ref="E201:F201"/>
    <mergeCell ref="I201:J201"/>
    <mergeCell ref="L201:M201"/>
    <mergeCell ref="N201:O201"/>
    <mergeCell ref="A198:D198"/>
    <mergeCell ref="E198:F198"/>
    <mergeCell ref="I198:J198"/>
    <mergeCell ref="L198:M198"/>
    <mergeCell ref="N198:O198"/>
    <mergeCell ref="A199:D199"/>
    <mergeCell ref="E199:F199"/>
    <mergeCell ref="I199:J199"/>
    <mergeCell ref="L199:M199"/>
    <mergeCell ref="N199:O199"/>
    <mergeCell ref="A196:D196"/>
    <mergeCell ref="E196:F196"/>
    <mergeCell ref="I196:J196"/>
    <mergeCell ref="L196:M196"/>
    <mergeCell ref="N196:O196"/>
    <mergeCell ref="A197:D197"/>
    <mergeCell ref="E197:F197"/>
    <mergeCell ref="I197:J197"/>
    <mergeCell ref="L197:M197"/>
    <mergeCell ref="N197:O197"/>
    <mergeCell ref="A194:D194"/>
    <mergeCell ref="E194:F194"/>
    <mergeCell ref="I194:J194"/>
    <mergeCell ref="L194:M194"/>
    <mergeCell ref="N194:O194"/>
    <mergeCell ref="A195:D195"/>
    <mergeCell ref="E195:F195"/>
    <mergeCell ref="I195:J195"/>
    <mergeCell ref="L195:M195"/>
    <mergeCell ref="N195:O195"/>
    <mergeCell ref="A190:L190"/>
    <mergeCell ref="M190:N190"/>
    <mergeCell ref="O190:P190"/>
    <mergeCell ref="R190:T190"/>
    <mergeCell ref="A191:T191"/>
    <mergeCell ref="A193:N193"/>
    <mergeCell ref="A187:L189"/>
    <mergeCell ref="M187:T187"/>
    <mergeCell ref="M188:P188"/>
    <mergeCell ref="Q188:T188"/>
    <mergeCell ref="M189:N189"/>
    <mergeCell ref="O189:P189"/>
    <mergeCell ref="R189:T189"/>
    <mergeCell ref="A182:E182"/>
    <mergeCell ref="F182:T183"/>
    <mergeCell ref="A184:S184"/>
    <mergeCell ref="A185:S185"/>
    <mergeCell ref="A186:L186"/>
    <mergeCell ref="M186:N186"/>
    <mergeCell ref="O186:P186"/>
    <mergeCell ref="R186:T186"/>
    <mergeCell ref="A70:S70"/>
    <mergeCell ref="J176:T176"/>
    <mergeCell ref="B178:R178"/>
    <mergeCell ref="A180:C180"/>
    <mergeCell ref="D180:T180"/>
    <mergeCell ref="A181:B181"/>
    <mergeCell ref="C181:T181"/>
    <mergeCell ref="A174:S174"/>
    <mergeCell ref="A158:D158"/>
    <mergeCell ref="E158:F158"/>
    <mergeCell ref="I158:J158"/>
    <mergeCell ref="L158:M158"/>
    <mergeCell ref="N158:O158"/>
    <mergeCell ref="A159:D159"/>
    <mergeCell ref="E159:F159"/>
    <mergeCell ref="I159:J159"/>
    <mergeCell ref="A64:S64"/>
    <mergeCell ref="A65:S65"/>
    <mergeCell ref="A66:S66"/>
    <mergeCell ref="A67:S67"/>
    <mergeCell ref="A68:S68"/>
    <mergeCell ref="A69:S69"/>
    <mergeCell ref="A62:D62"/>
    <mergeCell ref="E62:F62"/>
    <mergeCell ref="I62:J62"/>
    <mergeCell ref="L62:M62"/>
    <mergeCell ref="N62:O62"/>
    <mergeCell ref="A63:S63"/>
    <mergeCell ref="A60:D60"/>
    <mergeCell ref="E60:F60"/>
    <mergeCell ref="I60:J60"/>
    <mergeCell ref="L60:M60"/>
    <mergeCell ref="N60:O60"/>
    <mergeCell ref="A61:D61"/>
    <mergeCell ref="E61:F61"/>
    <mergeCell ref="I61:J61"/>
    <mergeCell ref="L61:M61"/>
    <mergeCell ref="N61:O61"/>
    <mergeCell ref="A58:D58"/>
    <mergeCell ref="E58:F58"/>
    <mergeCell ref="I58:J58"/>
    <mergeCell ref="L58:M58"/>
    <mergeCell ref="N58:O58"/>
    <mergeCell ref="A59:D59"/>
    <mergeCell ref="E59:F59"/>
    <mergeCell ref="I59:J59"/>
    <mergeCell ref="L59:M59"/>
    <mergeCell ref="N59:O59"/>
    <mergeCell ref="A56:D56"/>
    <mergeCell ref="E56:F56"/>
    <mergeCell ref="I56:J56"/>
    <mergeCell ref="L56:M56"/>
    <mergeCell ref="N56:O56"/>
    <mergeCell ref="A57:D57"/>
    <mergeCell ref="E57:F57"/>
    <mergeCell ref="I57:J57"/>
    <mergeCell ref="L57:M57"/>
    <mergeCell ref="N57:O57"/>
    <mergeCell ref="A52:T52"/>
    <mergeCell ref="A54:N54"/>
    <mergeCell ref="A55:D55"/>
    <mergeCell ref="E55:F55"/>
    <mergeCell ref="I55:J55"/>
    <mergeCell ref="L55:M55"/>
    <mergeCell ref="N55:O55"/>
    <mergeCell ref="A50:L50"/>
    <mergeCell ref="M50:N50"/>
    <mergeCell ref="O50:P50"/>
    <mergeCell ref="R50:T50"/>
    <mergeCell ref="A51:L51"/>
    <mergeCell ref="M51:N51"/>
    <mergeCell ref="O51:P51"/>
    <mergeCell ref="R51:T51"/>
    <mergeCell ref="A48:L48"/>
    <mergeCell ref="M48:N48"/>
    <mergeCell ref="O48:P48"/>
    <mergeCell ref="R48:T48"/>
    <mergeCell ref="A49:L49"/>
    <mergeCell ref="M49:N49"/>
    <mergeCell ref="O49:P49"/>
    <mergeCell ref="R49:T49"/>
    <mergeCell ref="A45:L47"/>
    <mergeCell ref="M45:T45"/>
    <mergeCell ref="M46:P46"/>
    <mergeCell ref="Q46:T46"/>
    <mergeCell ref="M47:N47"/>
    <mergeCell ref="O47:P47"/>
    <mergeCell ref="R47:T47"/>
    <mergeCell ref="F40:T40"/>
    <mergeCell ref="A42:S42"/>
    <mergeCell ref="A43:S43"/>
    <mergeCell ref="A44:L44"/>
    <mergeCell ref="M44:N44"/>
    <mergeCell ref="O44:P44"/>
    <mergeCell ref="R44:T44"/>
    <mergeCell ref="A172:S172"/>
    <mergeCell ref="A173:S173"/>
    <mergeCell ref="A168:S168"/>
    <mergeCell ref="A169:S169"/>
    <mergeCell ref="A170:S170"/>
    <mergeCell ref="A171:S171"/>
    <mergeCell ref="N163:O163"/>
    <mergeCell ref="A160:D160"/>
    <mergeCell ref="E160:F160"/>
    <mergeCell ref="I160:J160"/>
    <mergeCell ref="L160:M160"/>
    <mergeCell ref="N160:O160"/>
    <mergeCell ref="A161:D161"/>
    <mergeCell ref="E161:F161"/>
    <mergeCell ref="I161:J161"/>
    <mergeCell ref="L161:M161"/>
    <mergeCell ref="N161:O161"/>
    <mergeCell ref="J34:T34"/>
    <mergeCell ref="B36:R36"/>
    <mergeCell ref="A38:C38"/>
    <mergeCell ref="D38:T38"/>
    <mergeCell ref="A39:B39"/>
    <mergeCell ref="C39:T39"/>
    <mergeCell ref="A40:E40"/>
    <mergeCell ref="A166:S166"/>
    <mergeCell ref="A167:S167"/>
    <mergeCell ref="A164:D164"/>
    <mergeCell ref="E164:F164"/>
    <mergeCell ref="I164:J164"/>
    <mergeCell ref="L164:M164"/>
    <mergeCell ref="N164:O164"/>
    <mergeCell ref="A165:S165"/>
    <mergeCell ref="A162:D162"/>
    <mergeCell ref="E162:F162"/>
    <mergeCell ref="I162:J162"/>
    <mergeCell ref="L162:M162"/>
    <mergeCell ref="N162:O162"/>
    <mergeCell ref="A163:D163"/>
    <mergeCell ref="E163:F163"/>
    <mergeCell ref="I163:J163"/>
    <mergeCell ref="L163:M163"/>
    <mergeCell ref="L159:M159"/>
    <mergeCell ref="N159:O159"/>
    <mergeCell ref="A156:N156"/>
    <mergeCell ref="A157:D157"/>
    <mergeCell ref="E157:F157"/>
    <mergeCell ref="I157:J157"/>
    <mergeCell ref="L157:M157"/>
    <mergeCell ref="N157:O157"/>
    <mergeCell ref="R152:T152"/>
    <mergeCell ref="A153:L153"/>
    <mergeCell ref="M153:N153"/>
    <mergeCell ref="O153:P153"/>
    <mergeCell ref="R153:T153"/>
    <mergeCell ref="A154:T154"/>
    <mergeCell ref="A149:L149"/>
    <mergeCell ref="M149:N149"/>
    <mergeCell ref="O149:P149"/>
    <mergeCell ref="R149:T149"/>
    <mergeCell ref="A150:L152"/>
    <mergeCell ref="M150:T150"/>
    <mergeCell ref="M151:P151"/>
    <mergeCell ref="Q151:T151"/>
    <mergeCell ref="M152:N152"/>
    <mergeCell ref="O152:P152"/>
    <mergeCell ref="B143:R143"/>
    <mergeCell ref="A145:C145"/>
    <mergeCell ref="D145:T145"/>
    <mergeCell ref="A146:B146"/>
    <mergeCell ref="C146:T146"/>
    <mergeCell ref="A147:E147"/>
    <mergeCell ref="F147:T148"/>
    <mergeCell ref="A136:S136"/>
    <mergeCell ref="A137:S137"/>
    <mergeCell ref="A138:S138"/>
    <mergeCell ref="A139:S139"/>
    <mergeCell ref="A140:S140"/>
    <mergeCell ref="J141:T141"/>
    <mergeCell ref="A130:S130"/>
    <mergeCell ref="A131:S131"/>
    <mergeCell ref="A132:S132"/>
    <mergeCell ref="A133:S133"/>
    <mergeCell ref="A134:S134"/>
    <mergeCell ref="A135:S135"/>
    <mergeCell ref="A128:D128"/>
    <mergeCell ref="E128:F128"/>
    <mergeCell ref="I128:J128"/>
    <mergeCell ref="L128:M128"/>
    <mergeCell ref="N128:O128"/>
    <mergeCell ref="A129:D129"/>
    <mergeCell ref="E129:F129"/>
    <mergeCell ref="I129:J129"/>
    <mergeCell ref="L129:M129"/>
    <mergeCell ref="N129:O129"/>
    <mergeCell ref="A126:D126"/>
    <mergeCell ref="E126:F126"/>
    <mergeCell ref="I126:J126"/>
    <mergeCell ref="L126:M126"/>
    <mergeCell ref="N126:O126"/>
    <mergeCell ref="A127:D127"/>
    <mergeCell ref="E127:F127"/>
    <mergeCell ref="I127:J127"/>
    <mergeCell ref="L127:M127"/>
    <mergeCell ref="N127:O127"/>
    <mergeCell ref="A124:D124"/>
    <mergeCell ref="E124:F124"/>
    <mergeCell ref="I124:J124"/>
    <mergeCell ref="L124:M124"/>
    <mergeCell ref="N124:O124"/>
    <mergeCell ref="A125:D125"/>
    <mergeCell ref="E125:F125"/>
    <mergeCell ref="I125:J125"/>
    <mergeCell ref="L125:M125"/>
    <mergeCell ref="N125:O125"/>
    <mergeCell ref="A122:D122"/>
    <mergeCell ref="E122:F122"/>
    <mergeCell ref="I122:J122"/>
    <mergeCell ref="L122:M122"/>
    <mergeCell ref="N122:O122"/>
    <mergeCell ref="A123:D123"/>
    <mergeCell ref="E123:F123"/>
    <mergeCell ref="I123:J123"/>
    <mergeCell ref="L123:M123"/>
    <mergeCell ref="N123:O123"/>
    <mergeCell ref="A118:L118"/>
    <mergeCell ref="M118:N118"/>
    <mergeCell ref="O118:P118"/>
    <mergeCell ref="R118:T118"/>
    <mergeCell ref="A119:T119"/>
    <mergeCell ref="A121:N121"/>
    <mergeCell ref="A115:L117"/>
    <mergeCell ref="M115:T115"/>
    <mergeCell ref="M116:P116"/>
    <mergeCell ref="Q116:T116"/>
    <mergeCell ref="M117:N117"/>
    <mergeCell ref="O117:P117"/>
    <mergeCell ref="R117:T117"/>
    <mergeCell ref="A111:B111"/>
    <mergeCell ref="C111:T111"/>
    <mergeCell ref="A112:E112"/>
    <mergeCell ref="F112:T113"/>
    <mergeCell ref="A114:L114"/>
    <mergeCell ref="M114:N114"/>
    <mergeCell ref="O114:P114"/>
    <mergeCell ref="R114:T114"/>
    <mergeCell ref="A104:S104"/>
    <mergeCell ref="A105:S105"/>
    <mergeCell ref="J106:T106"/>
    <mergeCell ref="B108:R108"/>
    <mergeCell ref="A110:C110"/>
    <mergeCell ref="D110:T110"/>
    <mergeCell ref="A98:S98"/>
    <mergeCell ref="A99:S99"/>
    <mergeCell ref="A100:S100"/>
    <mergeCell ref="A101:S101"/>
    <mergeCell ref="A102:S102"/>
    <mergeCell ref="A103:S103"/>
    <mergeCell ref="A96:D96"/>
    <mergeCell ref="E96:F96"/>
    <mergeCell ref="I96:J96"/>
    <mergeCell ref="L96:M96"/>
    <mergeCell ref="N96:O96"/>
    <mergeCell ref="A97:D97"/>
    <mergeCell ref="E97:F97"/>
    <mergeCell ref="I97:J97"/>
    <mergeCell ref="L97:M97"/>
    <mergeCell ref="N97:O97"/>
    <mergeCell ref="A94:D94"/>
    <mergeCell ref="E94:F94"/>
    <mergeCell ref="I94:J94"/>
    <mergeCell ref="L94:M94"/>
    <mergeCell ref="N94:O94"/>
    <mergeCell ref="A95:D95"/>
    <mergeCell ref="E95:F95"/>
    <mergeCell ref="I95:J95"/>
    <mergeCell ref="L95:M95"/>
    <mergeCell ref="N95:O95"/>
    <mergeCell ref="A92:D92"/>
    <mergeCell ref="E92:F92"/>
    <mergeCell ref="I92:J92"/>
    <mergeCell ref="L92:M92"/>
    <mergeCell ref="N92:O92"/>
    <mergeCell ref="A93:D93"/>
    <mergeCell ref="E93:F93"/>
    <mergeCell ref="I93:J93"/>
    <mergeCell ref="L93:M93"/>
    <mergeCell ref="N93:O93"/>
    <mergeCell ref="A90:D90"/>
    <mergeCell ref="E90:F90"/>
    <mergeCell ref="I90:J90"/>
    <mergeCell ref="L90:M90"/>
    <mergeCell ref="N90:O90"/>
    <mergeCell ref="A91:D91"/>
    <mergeCell ref="E91:F91"/>
    <mergeCell ref="I91:J91"/>
    <mergeCell ref="L91:M91"/>
    <mergeCell ref="N91:O91"/>
    <mergeCell ref="A86:L86"/>
    <mergeCell ref="M86:N86"/>
    <mergeCell ref="O86:P86"/>
    <mergeCell ref="R86:T86"/>
    <mergeCell ref="A87:T87"/>
    <mergeCell ref="A89:N89"/>
    <mergeCell ref="A83:L85"/>
    <mergeCell ref="M83:T83"/>
    <mergeCell ref="M84:P84"/>
    <mergeCell ref="Q84:T84"/>
    <mergeCell ref="M85:N85"/>
    <mergeCell ref="O85:P85"/>
    <mergeCell ref="R85:T85"/>
    <mergeCell ref="A78:E78"/>
    <mergeCell ref="F78:T78"/>
    <mergeCell ref="A80:S80"/>
    <mergeCell ref="A81:S81"/>
    <mergeCell ref="A82:L82"/>
    <mergeCell ref="M82:N82"/>
    <mergeCell ref="O82:P82"/>
    <mergeCell ref="R82:T82"/>
    <mergeCell ref="J72:T72"/>
    <mergeCell ref="B74:R74"/>
    <mergeCell ref="A76:C76"/>
    <mergeCell ref="D76:T76"/>
    <mergeCell ref="A77:B77"/>
    <mergeCell ref="C77:T77"/>
    <mergeCell ref="A27:S27"/>
    <mergeCell ref="A28:S28"/>
    <mergeCell ref="A29:S29"/>
    <mergeCell ref="A30:S30"/>
    <mergeCell ref="A31:S31"/>
    <mergeCell ref="A32:S32"/>
    <mergeCell ref="A25:D25"/>
    <mergeCell ref="E25:F25"/>
    <mergeCell ref="I25:J25"/>
    <mergeCell ref="L25:M25"/>
    <mergeCell ref="N25:O25"/>
    <mergeCell ref="A26:D26"/>
    <mergeCell ref="E26:F26"/>
    <mergeCell ref="I26:J26"/>
    <mergeCell ref="L26:M26"/>
    <mergeCell ref="N26:O26"/>
    <mergeCell ref="A23:D23"/>
    <mergeCell ref="E23:F23"/>
    <mergeCell ref="I23:J23"/>
    <mergeCell ref="L23:M23"/>
    <mergeCell ref="N23:O23"/>
    <mergeCell ref="A24:D24"/>
    <mergeCell ref="E24:F24"/>
    <mergeCell ref="I24:J24"/>
    <mergeCell ref="L24:M24"/>
    <mergeCell ref="N24:O24"/>
    <mergeCell ref="A21:D21"/>
    <mergeCell ref="E21:F21"/>
    <mergeCell ref="I21:J21"/>
    <mergeCell ref="L21:M21"/>
    <mergeCell ref="N21:O21"/>
    <mergeCell ref="A22:D22"/>
    <mergeCell ref="E22:F22"/>
    <mergeCell ref="I22:J22"/>
    <mergeCell ref="L22:M22"/>
    <mergeCell ref="N22:O22"/>
    <mergeCell ref="A19:D19"/>
    <mergeCell ref="E19:F19"/>
    <mergeCell ref="I19:J19"/>
    <mergeCell ref="L19:M19"/>
    <mergeCell ref="N19:O19"/>
    <mergeCell ref="A20:D20"/>
    <mergeCell ref="E20:F20"/>
    <mergeCell ref="I20:J20"/>
    <mergeCell ref="L20:M20"/>
    <mergeCell ref="N20:O20"/>
    <mergeCell ref="A15:L15"/>
    <mergeCell ref="M15:N15"/>
    <mergeCell ref="O15:P15"/>
    <mergeCell ref="R15:T15"/>
    <mergeCell ref="A16:T16"/>
    <mergeCell ref="A18:N18"/>
    <mergeCell ref="A13:L13"/>
    <mergeCell ref="M13:N13"/>
    <mergeCell ref="O13:P13"/>
    <mergeCell ref="R13:T13"/>
    <mergeCell ref="A14:L14"/>
    <mergeCell ref="M14:N14"/>
    <mergeCell ref="O14:P14"/>
    <mergeCell ref="R14:T14"/>
    <mergeCell ref="J1:T1"/>
    <mergeCell ref="B3:R3"/>
    <mergeCell ref="A5:C5"/>
    <mergeCell ref="D5:T5"/>
    <mergeCell ref="A6:B6"/>
    <mergeCell ref="C6:T6"/>
    <mergeCell ref="A10:L12"/>
    <mergeCell ref="M10:T10"/>
    <mergeCell ref="M11:P11"/>
    <mergeCell ref="Q11:T11"/>
    <mergeCell ref="M12:N12"/>
    <mergeCell ref="O12:P12"/>
    <mergeCell ref="R12:T12"/>
    <mergeCell ref="A7:E7"/>
    <mergeCell ref="F7:T8"/>
    <mergeCell ref="A9:L9"/>
    <mergeCell ref="M9:N9"/>
    <mergeCell ref="O9:P9"/>
    <mergeCell ref="R9:T9"/>
    <mergeCell ref="J246:T246"/>
    <mergeCell ref="B248:R248"/>
    <mergeCell ref="A250:C250"/>
    <mergeCell ref="D250:T250"/>
    <mergeCell ref="A251:B251"/>
    <mergeCell ref="C251:T251"/>
    <mergeCell ref="A252:E252"/>
    <mergeCell ref="F252:T253"/>
    <mergeCell ref="A254:S254"/>
    <mergeCell ref="A255:S255"/>
    <mergeCell ref="A256:L256"/>
    <mergeCell ref="M256:N256"/>
    <mergeCell ref="O256:P256"/>
    <mergeCell ref="R256:T256"/>
    <mergeCell ref="A257:L259"/>
    <mergeCell ref="M257:T257"/>
    <mergeCell ref="M258:P258"/>
    <mergeCell ref="Q258:T258"/>
    <mergeCell ref="M259:N259"/>
    <mergeCell ref="O259:P259"/>
    <mergeCell ref="R259:T259"/>
    <mergeCell ref="A260:L260"/>
    <mergeCell ref="M260:N260"/>
    <mergeCell ref="O260:P260"/>
    <mergeCell ref="R260:T260"/>
    <mergeCell ref="A261:T261"/>
    <mergeCell ref="A263:N263"/>
    <mergeCell ref="A264:D264"/>
    <mergeCell ref="E264:F264"/>
    <mergeCell ref="I264:J264"/>
    <mergeCell ref="L264:M264"/>
    <mergeCell ref="N264:O264"/>
    <mergeCell ref="A265:D265"/>
    <mergeCell ref="E265:F265"/>
    <mergeCell ref="I265:J265"/>
    <mergeCell ref="L265:M265"/>
    <mergeCell ref="N265:O265"/>
    <mergeCell ref="A266:D266"/>
    <mergeCell ref="E266:F266"/>
    <mergeCell ref="I266:J266"/>
    <mergeCell ref="L266:M266"/>
    <mergeCell ref="N266:O266"/>
    <mergeCell ref="A267:D267"/>
    <mergeCell ref="E267:F267"/>
    <mergeCell ref="I267:J267"/>
    <mergeCell ref="L267:M267"/>
    <mergeCell ref="N267:O267"/>
    <mergeCell ref="A268:D268"/>
    <mergeCell ref="E268:F268"/>
    <mergeCell ref="I268:J268"/>
    <mergeCell ref="L268:M268"/>
    <mergeCell ref="N268:O268"/>
    <mergeCell ref="A269:D269"/>
    <mergeCell ref="E269:F269"/>
    <mergeCell ref="I269:J269"/>
    <mergeCell ref="L269:M269"/>
    <mergeCell ref="N269:O269"/>
    <mergeCell ref="A270:D270"/>
    <mergeCell ref="E270:F270"/>
    <mergeCell ref="I270:J270"/>
    <mergeCell ref="L270:M270"/>
    <mergeCell ref="N270:O270"/>
    <mergeCell ref="A276:S276"/>
    <mergeCell ref="A277:S277"/>
    <mergeCell ref="A278:S278"/>
    <mergeCell ref="A279:S279"/>
    <mergeCell ref="A280:S280"/>
    <mergeCell ref="A271:D271"/>
    <mergeCell ref="E271:F271"/>
    <mergeCell ref="I271:J271"/>
    <mergeCell ref="L271:M271"/>
    <mergeCell ref="N271:O271"/>
    <mergeCell ref="A272:S272"/>
    <mergeCell ref="A273:S273"/>
    <mergeCell ref="A274:S274"/>
    <mergeCell ref="A275:S27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4"/>
  <sheetViews>
    <sheetView topLeftCell="A100" workbookViewId="0">
      <selection activeCell="O68" sqref="O68:P68"/>
    </sheetView>
  </sheetViews>
  <sheetFormatPr defaultRowHeight="10.199999999999999" x14ac:dyDescent="0.2"/>
  <cols>
    <col min="1" max="1" width="9.140625" customWidth="1"/>
    <col min="6" max="6" width="8.85546875" customWidth="1"/>
    <col min="7" max="12" width="9.140625" hidden="1" customWidth="1"/>
    <col min="19" max="19" width="5.5703125" customWidth="1"/>
    <col min="20" max="20" width="9.140625" hidden="1" customWidth="1"/>
  </cols>
  <sheetData>
    <row r="1" spans="1:20" s="1" customFormat="1" ht="72.45" customHeight="1" x14ac:dyDescent="0.25">
      <c r="J1" s="100" t="s">
        <v>0</v>
      </c>
      <c r="K1" s="100"/>
      <c r="L1" s="100"/>
      <c r="M1" s="100"/>
      <c r="N1" s="100"/>
      <c r="O1" s="100"/>
      <c r="P1" s="100"/>
      <c r="Q1" s="100"/>
      <c r="R1" s="100"/>
      <c r="S1" s="100"/>
      <c r="T1" s="100"/>
    </row>
    <row r="2" spans="1:20" s="1" customFormat="1" ht="7.05" customHeight="1" x14ac:dyDescent="0.25"/>
    <row r="3" spans="1:20" s="1" customFormat="1" ht="14.1" customHeight="1" x14ac:dyDescent="0.25">
      <c r="B3" s="101" t="s">
        <v>687</v>
      </c>
      <c r="C3" s="101"/>
      <c r="D3" s="101"/>
      <c r="E3" s="101"/>
      <c r="F3" s="101"/>
      <c r="G3" s="101"/>
      <c r="H3" s="101"/>
      <c r="I3" s="101"/>
      <c r="J3" s="101"/>
      <c r="K3" s="101"/>
      <c r="L3" s="101"/>
      <c r="M3" s="101"/>
      <c r="N3" s="101"/>
      <c r="O3" s="101"/>
      <c r="P3" s="101"/>
      <c r="Q3" s="101"/>
      <c r="R3" s="101"/>
    </row>
    <row r="4" spans="1:20" s="1" customFormat="1" ht="14.1" customHeight="1" x14ac:dyDescent="0.25"/>
    <row r="5" spans="1:20" s="1" customFormat="1" ht="14.1" customHeight="1" x14ac:dyDescent="0.25">
      <c r="A5" s="102" t="s">
        <v>2</v>
      </c>
      <c r="B5" s="102"/>
      <c r="C5" s="102"/>
      <c r="D5" s="103" t="s">
        <v>151</v>
      </c>
      <c r="E5" s="103"/>
      <c r="F5" s="103"/>
      <c r="G5" s="103"/>
      <c r="H5" s="103"/>
      <c r="I5" s="103"/>
      <c r="J5" s="103"/>
      <c r="K5" s="103"/>
      <c r="L5" s="103"/>
      <c r="M5" s="103"/>
      <c r="N5" s="103"/>
      <c r="O5" s="103"/>
      <c r="P5" s="103"/>
      <c r="Q5" s="103"/>
      <c r="R5" s="103"/>
      <c r="S5" s="103"/>
      <c r="T5" s="103"/>
    </row>
    <row r="6" spans="1:20" s="1" customFormat="1" ht="14.1" customHeight="1" x14ac:dyDescent="0.25">
      <c r="A6" s="102" t="s">
        <v>4</v>
      </c>
      <c r="B6" s="102"/>
      <c r="C6" s="103">
        <v>5</v>
      </c>
      <c r="D6" s="103"/>
      <c r="E6" s="103"/>
      <c r="F6" s="103"/>
      <c r="G6" s="103"/>
      <c r="H6" s="103"/>
      <c r="I6" s="103"/>
      <c r="J6" s="103"/>
      <c r="K6" s="103"/>
      <c r="L6" s="103"/>
      <c r="M6" s="103"/>
      <c r="N6" s="103"/>
      <c r="O6" s="103"/>
      <c r="P6" s="103"/>
      <c r="Q6" s="103"/>
      <c r="R6" s="103"/>
      <c r="S6" s="103"/>
      <c r="T6" s="103"/>
    </row>
    <row r="7" spans="1:20" s="1" customFormat="1" ht="14.1" customHeight="1" x14ac:dyDescent="0.25">
      <c r="A7" s="102" t="s">
        <v>6</v>
      </c>
      <c r="B7" s="102"/>
      <c r="C7" s="102"/>
      <c r="D7" s="102"/>
      <c r="E7" s="102"/>
      <c r="F7" s="103" t="s">
        <v>75</v>
      </c>
      <c r="G7" s="103"/>
      <c r="H7" s="103"/>
      <c r="I7" s="103"/>
      <c r="J7" s="103"/>
      <c r="K7" s="103"/>
      <c r="L7" s="103"/>
      <c r="M7" s="103"/>
      <c r="N7" s="103"/>
      <c r="O7" s="103"/>
      <c r="P7" s="103"/>
      <c r="Q7" s="103"/>
      <c r="R7" s="103"/>
      <c r="S7" s="103"/>
      <c r="T7" s="103"/>
    </row>
    <row r="8" spans="1:20" s="1" customFormat="1" ht="1.35" customHeight="1" x14ac:dyDescent="0.25"/>
    <row r="9" spans="1:20" s="1" customFormat="1" ht="13.2" x14ac:dyDescent="0.25">
      <c r="A9" s="145" t="s">
        <v>686</v>
      </c>
      <c r="B9" s="93"/>
      <c r="C9" s="93"/>
      <c r="D9" s="93"/>
      <c r="E9" s="93"/>
      <c r="F9" s="93"/>
      <c r="G9" s="93"/>
      <c r="H9" s="93"/>
      <c r="I9" s="93"/>
      <c r="J9" s="93"/>
      <c r="K9" s="93"/>
      <c r="L9" s="93"/>
      <c r="M9" s="93"/>
      <c r="N9" s="93"/>
      <c r="O9" s="93"/>
      <c r="P9" s="93"/>
      <c r="Q9" s="93"/>
      <c r="R9" s="93"/>
      <c r="S9" s="93"/>
    </row>
    <row r="10" spans="1:20" s="2" customFormat="1" ht="30" customHeight="1" x14ac:dyDescent="0.25">
      <c r="A10" s="115" t="s">
        <v>751</v>
      </c>
      <c r="B10" s="116"/>
      <c r="C10" s="116"/>
      <c r="D10" s="116"/>
      <c r="E10" s="116"/>
      <c r="F10" s="116"/>
      <c r="G10" s="116"/>
      <c r="H10" s="116"/>
      <c r="I10" s="116"/>
      <c r="J10" s="116"/>
      <c r="K10" s="116"/>
      <c r="L10" s="116"/>
      <c r="M10" s="116"/>
      <c r="N10" s="116"/>
      <c r="O10" s="116"/>
      <c r="P10" s="116"/>
      <c r="Q10" s="116"/>
      <c r="R10" s="116"/>
      <c r="S10" s="116"/>
    </row>
    <row r="11" spans="1:20" s="1" customFormat="1" ht="7.05" customHeight="1" x14ac:dyDescent="0.25">
      <c r="A11" s="86"/>
      <c r="B11" s="86"/>
      <c r="C11" s="86"/>
      <c r="D11" s="86"/>
      <c r="E11" s="86"/>
      <c r="F11" s="86"/>
      <c r="G11" s="86"/>
      <c r="H11" s="86"/>
      <c r="I11" s="86"/>
      <c r="J11" s="86"/>
      <c r="K11" s="86"/>
      <c r="L11" s="86"/>
      <c r="M11" s="86"/>
      <c r="N11" s="86"/>
      <c r="O11" s="86"/>
      <c r="P11" s="86"/>
      <c r="Q11" s="16"/>
      <c r="R11" s="86"/>
      <c r="S11" s="86"/>
      <c r="T11" s="86"/>
    </row>
    <row r="12" spans="1:20" s="1" customFormat="1" ht="16.95" customHeight="1" x14ac:dyDescent="0.25">
      <c r="A12" s="94" t="s">
        <v>8</v>
      </c>
      <c r="B12" s="94"/>
      <c r="C12" s="94"/>
      <c r="D12" s="94"/>
      <c r="E12" s="94"/>
      <c r="F12" s="94"/>
      <c r="G12" s="94"/>
      <c r="H12" s="94"/>
      <c r="I12" s="94"/>
      <c r="J12" s="94"/>
      <c r="K12" s="94"/>
      <c r="L12" s="94"/>
      <c r="M12" s="95" t="s">
        <v>9</v>
      </c>
      <c r="N12" s="95"/>
      <c r="O12" s="95"/>
      <c r="P12" s="95"/>
      <c r="Q12" s="95"/>
      <c r="R12" s="95"/>
      <c r="S12" s="95"/>
      <c r="T12" s="95"/>
    </row>
    <row r="13" spans="1:20" s="1" customFormat="1" ht="16.95" customHeight="1" x14ac:dyDescent="0.25">
      <c r="A13" s="94"/>
      <c r="B13" s="94"/>
      <c r="C13" s="94"/>
      <c r="D13" s="94"/>
      <c r="E13" s="94"/>
      <c r="F13" s="94"/>
      <c r="G13" s="94"/>
      <c r="H13" s="94"/>
      <c r="I13" s="94"/>
      <c r="J13" s="94"/>
      <c r="K13" s="94"/>
      <c r="L13" s="94"/>
      <c r="M13" s="96" t="s">
        <v>10</v>
      </c>
      <c r="N13" s="96"/>
      <c r="O13" s="96"/>
      <c r="P13" s="96"/>
      <c r="Q13" s="97" t="s">
        <v>11</v>
      </c>
      <c r="R13" s="97"/>
      <c r="S13" s="97"/>
      <c r="T13" s="97"/>
    </row>
    <row r="14" spans="1:20" s="1" customFormat="1" ht="16.95" customHeight="1" x14ac:dyDescent="0.25">
      <c r="A14" s="94"/>
      <c r="B14" s="94"/>
      <c r="C14" s="94"/>
      <c r="D14" s="94"/>
      <c r="E14" s="94"/>
      <c r="F14" s="94"/>
      <c r="G14" s="94"/>
      <c r="H14" s="94"/>
      <c r="I14" s="94"/>
      <c r="J14" s="94"/>
      <c r="K14" s="94"/>
      <c r="L14" s="94"/>
      <c r="M14" s="98" t="s">
        <v>12</v>
      </c>
      <c r="N14" s="98"/>
      <c r="O14" s="98" t="s">
        <v>13</v>
      </c>
      <c r="P14" s="98"/>
      <c r="Q14" s="13" t="s">
        <v>14</v>
      </c>
      <c r="R14" s="99" t="s">
        <v>15</v>
      </c>
      <c r="S14" s="99"/>
      <c r="T14" s="99"/>
    </row>
    <row r="15" spans="1:20" s="1" customFormat="1" ht="13.35" customHeight="1" x14ac:dyDescent="0.25">
      <c r="A15" s="88" t="s">
        <v>66</v>
      </c>
      <c r="B15" s="88"/>
      <c r="C15" s="88"/>
      <c r="D15" s="88"/>
      <c r="E15" s="88"/>
      <c r="F15" s="88"/>
      <c r="G15" s="88"/>
      <c r="H15" s="88"/>
      <c r="I15" s="88"/>
      <c r="J15" s="88"/>
      <c r="K15" s="88"/>
      <c r="L15" s="88"/>
      <c r="M15" s="88" t="s">
        <v>152</v>
      </c>
      <c r="N15" s="88"/>
      <c r="O15" s="88" t="s">
        <v>152</v>
      </c>
      <c r="P15" s="88"/>
      <c r="Q15" s="6" t="s">
        <v>153</v>
      </c>
      <c r="R15" s="88" t="s">
        <v>153</v>
      </c>
      <c r="S15" s="88"/>
      <c r="T15" s="88"/>
    </row>
    <row r="16" spans="1:20" s="1" customFormat="1" ht="13.35" customHeight="1" x14ac:dyDescent="0.25">
      <c r="A16" s="88" t="s">
        <v>154</v>
      </c>
      <c r="B16" s="88"/>
      <c r="C16" s="88"/>
      <c r="D16" s="88"/>
      <c r="E16" s="88"/>
      <c r="F16" s="88"/>
      <c r="G16" s="88"/>
      <c r="H16" s="88"/>
      <c r="I16" s="88"/>
      <c r="J16" s="88"/>
      <c r="K16" s="88"/>
      <c r="L16" s="88"/>
      <c r="M16" s="88" t="s">
        <v>101</v>
      </c>
      <c r="N16" s="88"/>
      <c r="O16" s="88" t="s">
        <v>107</v>
      </c>
      <c r="P16" s="88"/>
      <c r="Q16" s="6" t="s">
        <v>103</v>
      </c>
      <c r="R16" s="88" t="s">
        <v>108</v>
      </c>
      <c r="S16" s="88"/>
      <c r="T16" s="88"/>
    </row>
    <row r="17" spans="1:20" s="1" customFormat="1" ht="13.35" customHeight="1" x14ac:dyDescent="0.25">
      <c r="A17" s="88" t="s">
        <v>155</v>
      </c>
      <c r="B17" s="88"/>
      <c r="C17" s="88"/>
      <c r="D17" s="88"/>
      <c r="E17" s="88"/>
      <c r="F17" s="88"/>
      <c r="G17" s="88"/>
      <c r="H17" s="88"/>
      <c r="I17" s="88"/>
      <c r="J17" s="88"/>
      <c r="K17" s="88"/>
      <c r="L17" s="88"/>
      <c r="M17" s="88">
        <v>100.5</v>
      </c>
      <c r="N17" s="88"/>
      <c r="O17" s="88">
        <v>96</v>
      </c>
      <c r="P17" s="88"/>
      <c r="Q17" s="6">
        <v>10.050000000000001</v>
      </c>
      <c r="R17" s="88">
        <v>9.6</v>
      </c>
      <c r="S17" s="88"/>
      <c r="T17" s="88"/>
    </row>
    <row r="18" spans="1:20" s="1" customFormat="1" ht="13.35" customHeight="1" x14ac:dyDescent="0.25">
      <c r="A18" s="88" t="s">
        <v>100</v>
      </c>
      <c r="B18" s="88"/>
      <c r="C18" s="88"/>
      <c r="D18" s="88"/>
      <c r="E18" s="88"/>
      <c r="F18" s="88"/>
      <c r="G18" s="88"/>
      <c r="H18" s="88"/>
      <c r="I18" s="88"/>
      <c r="J18" s="88"/>
      <c r="K18" s="88"/>
      <c r="L18" s="88"/>
      <c r="M18" s="88" t="s">
        <v>158</v>
      </c>
      <c r="N18" s="88"/>
      <c r="O18" s="88" t="s">
        <v>156</v>
      </c>
      <c r="P18" s="88"/>
      <c r="Q18" s="38" t="s">
        <v>145</v>
      </c>
      <c r="R18" s="88" t="s">
        <v>157</v>
      </c>
      <c r="S18" s="88"/>
      <c r="T18" s="88"/>
    </row>
    <row r="19" spans="1:20" s="1" customFormat="1" ht="13.35" customHeight="1" x14ac:dyDescent="0.25">
      <c r="A19" s="88" t="s">
        <v>129</v>
      </c>
      <c r="B19" s="88"/>
      <c r="C19" s="88"/>
      <c r="D19" s="88"/>
      <c r="E19" s="88"/>
      <c r="F19" s="88"/>
      <c r="G19" s="88"/>
      <c r="H19" s="88"/>
      <c r="I19" s="88"/>
      <c r="J19" s="88"/>
      <c r="K19" s="88"/>
      <c r="L19" s="88"/>
      <c r="M19" s="88">
        <v>17</v>
      </c>
      <c r="N19" s="88"/>
      <c r="O19" s="88">
        <v>17</v>
      </c>
      <c r="P19" s="88"/>
      <c r="Q19" s="6">
        <v>1.7</v>
      </c>
      <c r="R19" s="88">
        <v>1.7</v>
      </c>
      <c r="S19" s="88"/>
      <c r="T19" s="88"/>
    </row>
    <row r="20" spans="1:20" s="1" customFormat="1" ht="13.35" customHeight="1" x14ac:dyDescent="0.25">
      <c r="A20" s="88" t="s">
        <v>159</v>
      </c>
      <c r="B20" s="88"/>
      <c r="C20" s="88"/>
      <c r="D20" s="88"/>
      <c r="E20" s="88"/>
      <c r="F20" s="88"/>
      <c r="G20" s="88"/>
      <c r="H20" s="88"/>
      <c r="I20" s="88"/>
      <c r="J20" s="88"/>
      <c r="K20" s="88"/>
      <c r="L20" s="88"/>
      <c r="M20" s="88" t="s">
        <v>160</v>
      </c>
      <c r="N20" s="88"/>
      <c r="O20" s="88" t="s">
        <v>160</v>
      </c>
      <c r="P20" s="88"/>
      <c r="Q20" s="6" t="s">
        <v>161</v>
      </c>
      <c r="R20" s="88" t="s">
        <v>161</v>
      </c>
      <c r="S20" s="88"/>
      <c r="T20" s="88"/>
    </row>
    <row r="21" spans="1:20" s="1" customFormat="1" ht="13.35" customHeight="1" x14ac:dyDescent="0.25">
      <c r="A21" s="88" t="s">
        <v>722</v>
      </c>
      <c r="B21" s="88"/>
      <c r="C21" s="88"/>
      <c r="D21" s="88"/>
      <c r="E21" s="88"/>
      <c r="F21" s="88"/>
      <c r="G21" s="88"/>
      <c r="H21" s="88"/>
      <c r="I21" s="88"/>
      <c r="J21" s="88"/>
      <c r="K21" s="88"/>
      <c r="L21" s="88"/>
      <c r="M21" s="88">
        <v>9.4</v>
      </c>
      <c r="N21" s="88"/>
      <c r="O21" s="88">
        <v>9.4</v>
      </c>
      <c r="P21" s="88"/>
      <c r="Q21" s="6">
        <v>0.94</v>
      </c>
      <c r="R21" s="88">
        <v>0.94</v>
      </c>
      <c r="S21" s="88"/>
      <c r="T21" s="88"/>
    </row>
    <row r="22" spans="1:20" s="1" customFormat="1" ht="13.35" customHeight="1" x14ac:dyDescent="0.25">
      <c r="A22" s="88" t="s">
        <v>18</v>
      </c>
      <c r="B22" s="88"/>
      <c r="C22" s="88"/>
      <c r="D22" s="88"/>
      <c r="E22" s="88"/>
      <c r="F22" s="88"/>
      <c r="G22" s="88"/>
      <c r="H22" s="88"/>
      <c r="I22" s="88"/>
      <c r="J22" s="88"/>
      <c r="K22" s="88"/>
      <c r="L22" s="88"/>
      <c r="M22" s="88" t="s">
        <v>162</v>
      </c>
      <c r="N22" s="88"/>
      <c r="O22" s="88" t="s">
        <v>162</v>
      </c>
      <c r="P22" s="88"/>
      <c r="Q22" s="6" t="s">
        <v>128</v>
      </c>
      <c r="R22" s="88" t="s">
        <v>128</v>
      </c>
      <c r="S22" s="88"/>
      <c r="T22" s="88"/>
    </row>
    <row r="23" spans="1:20" s="1" customFormat="1" ht="13.35" customHeight="1" x14ac:dyDescent="0.25">
      <c r="A23" s="88" t="s">
        <v>31</v>
      </c>
      <c r="B23" s="88"/>
      <c r="C23" s="88"/>
      <c r="D23" s="88"/>
      <c r="E23" s="88"/>
      <c r="F23" s="88"/>
      <c r="G23" s="88"/>
      <c r="H23" s="88"/>
      <c r="I23" s="88"/>
      <c r="J23" s="88"/>
      <c r="K23" s="88"/>
      <c r="L23" s="88"/>
      <c r="M23" s="88" t="s">
        <v>166</v>
      </c>
      <c r="N23" s="88"/>
      <c r="O23" s="88" t="s">
        <v>163</v>
      </c>
      <c r="P23" s="88"/>
      <c r="Q23" s="38" t="s">
        <v>167</v>
      </c>
      <c r="R23" s="88" t="s">
        <v>164</v>
      </c>
      <c r="S23" s="88"/>
      <c r="T23" s="88"/>
    </row>
    <row r="24" spans="1:20" s="1" customFormat="1" ht="13.35" customHeight="1" x14ac:dyDescent="0.25">
      <c r="A24" s="88" t="s">
        <v>21</v>
      </c>
      <c r="B24" s="88"/>
      <c r="C24" s="88"/>
      <c r="D24" s="88"/>
      <c r="E24" s="88"/>
      <c r="F24" s="88"/>
      <c r="G24" s="88"/>
      <c r="H24" s="88"/>
      <c r="I24" s="88"/>
      <c r="J24" s="88"/>
      <c r="K24" s="88"/>
      <c r="L24" s="88"/>
      <c r="M24" s="88" t="s">
        <v>168</v>
      </c>
      <c r="N24" s="88"/>
      <c r="O24" s="88" t="s">
        <v>169</v>
      </c>
      <c r="P24" s="88"/>
      <c r="Q24" s="6" t="s">
        <v>170</v>
      </c>
      <c r="R24" s="88" t="s">
        <v>171</v>
      </c>
      <c r="S24" s="88"/>
      <c r="T24" s="88"/>
    </row>
    <row r="25" spans="1:20" s="1" customFormat="1" ht="13.35" customHeight="1" x14ac:dyDescent="0.25">
      <c r="A25" s="88" t="s">
        <v>70</v>
      </c>
      <c r="B25" s="88"/>
      <c r="C25" s="88"/>
      <c r="D25" s="88"/>
      <c r="E25" s="88"/>
      <c r="F25" s="88"/>
      <c r="G25" s="88"/>
      <c r="H25" s="88"/>
      <c r="I25" s="88"/>
      <c r="J25" s="88"/>
      <c r="K25" s="88"/>
      <c r="L25" s="88"/>
      <c r="M25" s="88" t="s">
        <v>77</v>
      </c>
      <c r="N25" s="88"/>
      <c r="O25" s="88" t="s">
        <v>77</v>
      </c>
      <c r="P25" s="88"/>
      <c r="Q25" s="6" t="s">
        <v>79</v>
      </c>
      <c r="R25" s="88" t="s">
        <v>79</v>
      </c>
      <c r="S25" s="88"/>
      <c r="T25" s="88"/>
    </row>
    <row r="26" spans="1:20" s="1" customFormat="1" ht="14.1" customHeight="1" x14ac:dyDescent="0.25">
      <c r="A26" s="90" t="s">
        <v>815</v>
      </c>
      <c r="B26" s="90"/>
      <c r="C26" s="90"/>
      <c r="D26" s="90"/>
      <c r="E26" s="90"/>
      <c r="F26" s="90"/>
      <c r="G26" s="90"/>
      <c r="H26" s="90"/>
      <c r="I26" s="90"/>
      <c r="J26" s="90"/>
      <c r="K26" s="90"/>
      <c r="L26" s="90"/>
      <c r="M26" s="90"/>
      <c r="N26" s="90"/>
      <c r="O26" s="90"/>
      <c r="P26" s="90"/>
      <c r="Q26" s="90"/>
      <c r="R26" s="90"/>
      <c r="S26" s="90"/>
      <c r="T26" s="90"/>
    </row>
    <row r="27" spans="1:20" s="1" customFormat="1" ht="21.3" customHeight="1" x14ac:dyDescent="0.25"/>
    <row r="28" spans="1:20" s="1" customFormat="1" ht="14.1" customHeight="1" x14ac:dyDescent="0.25">
      <c r="A28" s="91" t="s">
        <v>33</v>
      </c>
      <c r="B28" s="91"/>
      <c r="C28" s="91"/>
      <c r="D28" s="91"/>
      <c r="E28" s="91"/>
      <c r="F28" s="91"/>
      <c r="G28" s="91"/>
      <c r="H28" s="91"/>
      <c r="I28" s="91"/>
      <c r="J28" s="91"/>
      <c r="K28" s="91"/>
      <c r="L28" s="91"/>
      <c r="M28" s="91"/>
      <c r="N28" s="91"/>
    </row>
    <row r="29" spans="1:20" s="1" customFormat="1" ht="13.35" customHeight="1" x14ac:dyDescent="0.25">
      <c r="A29" s="88" t="s">
        <v>34</v>
      </c>
      <c r="B29" s="88"/>
      <c r="C29" s="88"/>
      <c r="D29" s="88"/>
      <c r="E29" s="89">
        <v>15.2</v>
      </c>
      <c r="F29" s="89"/>
      <c r="G29" s="17"/>
      <c r="H29" s="6" t="s">
        <v>35</v>
      </c>
      <c r="I29" s="89">
        <v>0.25</v>
      </c>
      <c r="J29" s="89"/>
      <c r="K29" s="17"/>
      <c r="L29" s="88" t="s">
        <v>36</v>
      </c>
      <c r="M29" s="88"/>
      <c r="N29" s="89">
        <v>135.96</v>
      </c>
      <c r="O29" s="89"/>
    </row>
    <row r="30" spans="1:20" s="1" customFormat="1" ht="13.35" customHeight="1" x14ac:dyDescent="0.25">
      <c r="A30" s="88" t="s">
        <v>37</v>
      </c>
      <c r="B30" s="88"/>
      <c r="C30" s="88"/>
      <c r="D30" s="88"/>
      <c r="E30" s="89">
        <v>16.100000000000001</v>
      </c>
      <c r="F30" s="89"/>
      <c r="G30" s="17"/>
      <c r="H30" s="6" t="s">
        <v>38</v>
      </c>
      <c r="I30" s="89">
        <v>16.97</v>
      </c>
      <c r="J30" s="89"/>
      <c r="K30" s="17"/>
      <c r="L30" s="88" t="s">
        <v>39</v>
      </c>
      <c r="M30" s="88"/>
      <c r="N30" s="89">
        <v>46.66</v>
      </c>
      <c r="O30" s="89"/>
    </row>
    <row r="31" spans="1:20" s="1" customFormat="1" ht="13.35" customHeight="1" x14ac:dyDescent="0.25">
      <c r="A31" s="88" t="s">
        <v>40</v>
      </c>
      <c r="B31" s="88"/>
      <c r="C31" s="88"/>
      <c r="D31" s="88"/>
      <c r="E31" s="89">
        <v>23.3</v>
      </c>
      <c r="F31" s="89"/>
      <c r="G31" s="17"/>
      <c r="H31" s="6" t="s">
        <v>41</v>
      </c>
      <c r="I31" s="89">
        <v>4.33</v>
      </c>
      <c r="J31" s="89"/>
      <c r="K31" s="17"/>
      <c r="L31" s="88" t="s">
        <v>42</v>
      </c>
      <c r="M31" s="88"/>
      <c r="N31" s="89">
        <v>287.92</v>
      </c>
      <c r="O31" s="89"/>
    </row>
    <row r="32" spans="1:20" s="1" customFormat="1" ht="13.35" customHeight="1" x14ac:dyDescent="0.25">
      <c r="A32" s="88" t="s">
        <v>43</v>
      </c>
      <c r="B32" s="88"/>
      <c r="C32" s="88"/>
      <c r="D32" s="88"/>
      <c r="E32" s="89">
        <v>307.39999999999998</v>
      </c>
      <c r="F32" s="89"/>
      <c r="G32" s="17"/>
      <c r="H32" s="6" t="s">
        <v>44</v>
      </c>
      <c r="I32" s="89">
        <v>6.32</v>
      </c>
      <c r="J32" s="89"/>
      <c r="K32" s="17"/>
      <c r="L32" s="88" t="s">
        <v>45</v>
      </c>
      <c r="M32" s="88"/>
      <c r="N32" s="89">
        <v>4.8600000000000003</v>
      </c>
      <c r="O32" s="89"/>
    </row>
    <row r="33" spans="1:20" s="1" customFormat="1" ht="13.35" customHeight="1" x14ac:dyDescent="0.25">
      <c r="A33" s="87"/>
      <c r="B33" s="87"/>
      <c r="C33" s="87"/>
      <c r="D33" s="87"/>
      <c r="E33" s="87"/>
      <c r="F33" s="87"/>
      <c r="G33" s="17"/>
      <c r="H33" s="6" t="s">
        <v>46</v>
      </c>
      <c r="I33" s="89">
        <v>0</v>
      </c>
      <c r="J33" s="89"/>
      <c r="K33" s="17"/>
      <c r="L33" s="88" t="s">
        <v>47</v>
      </c>
      <c r="M33" s="88"/>
      <c r="N33" s="89">
        <v>815.1</v>
      </c>
      <c r="O33" s="89"/>
    </row>
    <row r="34" spans="1:20" s="1" customFormat="1" ht="13.35" customHeight="1" x14ac:dyDescent="0.25">
      <c r="A34" s="87"/>
      <c r="B34" s="87"/>
      <c r="C34" s="87"/>
      <c r="D34" s="87"/>
      <c r="E34" s="87"/>
      <c r="F34" s="87"/>
      <c r="G34" s="17"/>
      <c r="H34" s="6" t="s">
        <v>48</v>
      </c>
      <c r="I34" s="89">
        <v>1.05</v>
      </c>
      <c r="J34" s="89"/>
      <c r="K34" s="17"/>
      <c r="L34" s="88" t="s">
        <v>49</v>
      </c>
      <c r="M34" s="88"/>
      <c r="N34" s="89">
        <v>12.11</v>
      </c>
      <c r="O34" s="89"/>
    </row>
    <row r="35" spans="1:20" s="1" customFormat="1" ht="13.35" customHeight="1" x14ac:dyDescent="0.25">
      <c r="A35" s="87"/>
      <c r="B35" s="87"/>
      <c r="C35" s="87"/>
      <c r="D35" s="87"/>
      <c r="E35" s="87"/>
      <c r="F35" s="87"/>
      <c r="G35" s="17"/>
      <c r="H35" s="17"/>
      <c r="I35" s="87"/>
      <c r="J35" s="87"/>
      <c r="K35" s="17"/>
      <c r="L35" s="88" t="s">
        <v>50</v>
      </c>
      <c r="M35" s="88"/>
      <c r="N35" s="89">
        <v>0.16</v>
      </c>
      <c r="O35" s="89"/>
    </row>
    <row r="36" spans="1:20" s="1" customFormat="1" ht="13.35" customHeight="1" x14ac:dyDescent="0.25">
      <c r="A36" s="87"/>
      <c r="B36" s="87"/>
      <c r="C36" s="87"/>
      <c r="D36" s="87"/>
      <c r="E36" s="87"/>
      <c r="F36" s="87"/>
      <c r="G36" s="17"/>
      <c r="H36" s="17"/>
      <c r="I36" s="87"/>
      <c r="J36" s="87"/>
      <c r="K36" s="17"/>
      <c r="L36" s="88" t="s">
        <v>51</v>
      </c>
      <c r="M36" s="88"/>
      <c r="N36" s="89">
        <v>0.02</v>
      </c>
      <c r="O36" s="89"/>
    </row>
    <row r="37" spans="1:20" s="1" customFormat="1" ht="14.1" customHeight="1" x14ac:dyDescent="0.25">
      <c r="A37" s="86"/>
      <c r="B37" s="86"/>
      <c r="C37" s="86"/>
      <c r="D37" s="86"/>
      <c r="E37" s="86"/>
      <c r="F37" s="86"/>
      <c r="G37" s="86"/>
      <c r="H37" s="86"/>
      <c r="I37" s="86"/>
      <c r="J37" s="86"/>
      <c r="K37" s="86"/>
      <c r="L37" s="86"/>
      <c r="M37" s="86"/>
      <c r="N37" s="86"/>
      <c r="O37" s="86"/>
      <c r="P37" s="86"/>
      <c r="Q37" s="86"/>
      <c r="R37" s="86"/>
      <c r="S37" s="86"/>
    </row>
    <row r="38" spans="1:20" s="1" customFormat="1" ht="14.1" customHeight="1" x14ac:dyDescent="0.25">
      <c r="A38" s="84" t="s">
        <v>52</v>
      </c>
      <c r="B38" s="84"/>
      <c r="C38" s="84"/>
      <c r="D38" s="84"/>
      <c r="E38" s="84"/>
      <c r="F38" s="84"/>
      <c r="G38" s="84"/>
      <c r="H38" s="84"/>
      <c r="I38" s="84"/>
      <c r="J38" s="84"/>
      <c r="K38" s="84"/>
      <c r="L38" s="84"/>
      <c r="M38" s="84"/>
      <c r="N38" s="84"/>
      <c r="O38" s="84"/>
      <c r="P38" s="84"/>
      <c r="Q38" s="84"/>
      <c r="R38" s="84"/>
      <c r="S38" s="84"/>
    </row>
    <row r="39" spans="1:20" s="1" customFormat="1" ht="104.4" customHeight="1" x14ac:dyDescent="0.25">
      <c r="A39" s="85" t="s">
        <v>723</v>
      </c>
      <c r="B39" s="85"/>
      <c r="C39" s="85"/>
      <c r="D39" s="85"/>
      <c r="E39" s="85"/>
      <c r="F39" s="85"/>
      <c r="G39" s="85"/>
      <c r="H39" s="85"/>
      <c r="I39" s="85"/>
      <c r="J39" s="85"/>
      <c r="K39" s="85"/>
      <c r="L39" s="85"/>
      <c r="M39" s="85"/>
      <c r="N39" s="85"/>
      <c r="O39" s="85"/>
      <c r="P39" s="85"/>
      <c r="Q39" s="85"/>
      <c r="R39" s="85"/>
      <c r="S39" s="85"/>
    </row>
    <row r="40" spans="1:20" s="2" customFormat="1" ht="12.45" customHeight="1" x14ac:dyDescent="0.25">
      <c r="A40" s="168" t="s">
        <v>688</v>
      </c>
      <c r="B40" s="168"/>
      <c r="C40" s="168"/>
      <c r="D40" s="168"/>
      <c r="E40" s="168"/>
      <c r="F40" s="168"/>
      <c r="G40" s="168"/>
      <c r="H40" s="168"/>
      <c r="I40" s="168"/>
      <c r="J40" s="168"/>
      <c r="K40" s="168"/>
      <c r="L40" s="168"/>
      <c r="M40" s="168"/>
      <c r="N40" s="168"/>
      <c r="O40" s="168"/>
      <c r="P40" s="168"/>
      <c r="Q40" s="168"/>
      <c r="R40" s="168"/>
      <c r="S40" s="168"/>
    </row>
    <row r="41" spans="1:20" s="1" customFormat="1" ht="14.1" customHeight="1" x14ac:dyDescent="0.25">
      <c r="A41" s="86"/>
      <c r="B41" s="86"/>
      <c r="C41" s="86"/>
      <c r="D41" s="86"/>
      <c r="E41" s="86"/>
      <c r="F41" s="86"/>
      <c r="G41" s="86"/>
      <c r="H41" s="86"/>
      <c r="I41" s="86"/>
      <c r="J41" s="86"/>
      <c r="K41" s="86"/>
      <c r="L41" s="86"/>
      <c r="M41" s="86"/>
      <c r="N41" s="86"/>
      <c r="O41" s="86"/>
      <c r="P41" s="86"/>
      <c r="Q41" s="86"/>
      <c r="R41" s="86"/>
      <c r="S41" s="86"/>
    </row>
    <row r="42" spans="1:20" s="1" customFormat="1" ht="14.1" customHeight="1" x14ac:dyDescent="0.25">
      <c r="A42" s="84" t="s">
        <v>56</v>
      </c>
      <c r="B42" s="84"/>
      <c r="C42" s="84"/>
      <c r="D42" s="84"/>
      <c r="E42" s="84"/>
      <c r="F42" s="84"/>
      <c r="G42" s="84"/>
      <c r="H42" s="84"/>
      <c r="I42" s="84"/>
      <c r="J42" s="84"/>
      <c r="K42" s="84"/>
      <c r="L42" s="84"/>
      <c r="M42" s="84"/>
      <c r="N42" s="84"/>
      <c r="O42" s="84"/>
      <c r="P42" s="84"/>
      <c r="Q42" s="84"/>
      <c r="R42" s="84"/>
      <c r="S42" s="84"/>
    </row>
    <row r="43" spans="1:20" s="1" customFormat="1" ht="70.05" customHeight="1" x14ac:dyDescent="0.25">
      <c r="A43" s="85" t="s">
        <v>172</v>
      </c>
      <c r="B43" s="85"/>
      <c r="C43" s="85"/>
      <c r="D43" s="85"/>
      <c r="E43" s="85"/>
      <c r="F43" s="85"/>
      <c r="G43" s="85"/>
      <c r="H43" s="85"/>
      <c r="I43" s="85"/>
      <c r="J43" s="85"/>
      <c r="K43" s="85"/>
      <c r="L43" s="85"/>
      <c r="M43" s="85"/>
      <c r="N43" s="85"/>
      <c r="O43" s="85"/>
      <c r="P43" s="85"/>
      <c r="Q43" s="85"/>
      <c r="R43" s="85"/>
      <c r="S43" s="85"/>
    </row>
    <row r="45" spans="1:20" s="1" customFormat="1" ht="72.45" customHeight="1" x14ac:dyDescent="0.25">
      <c r="J45" s="100" t="s">
        <v>0</v>
      </c>
      <c r="K45" s="100"/>
      <c r="L45" s="100"/>
      <c r="M45" s="100"/>
      <c r="N45" s="100"/>
      <c r="O45" s="100"/>
      <c r="P45" s="100"/>
      <c r="Q45" s="100"/>
      <c r="R45" s="100"/>
      <c r="S45" s="100"/>
      <c r="T45" s="100"/>
    </row>
    <row r="46" spans="1:20" s="1" customFormat="1" ht="7.05" customHeight="1" x14ac:dyDescent="0.25"/>
    <row r="47" spans="1:20" s="1" customFormat="1" ht="14.1" customHeight="1" x14ac:dyDescent="0.25">
      <c r="B47" s="101" t="s">
        <v>689</v>
      </c>
      <c r="C47" s="101"/>
      <c r="D47" s="101"/>
      <c r="E47" s="101"/>
      <c r="F47" s="101"/>
      <c r="G47" s="101"/>
      <c r="H47" s="101"/>
      <c r="I47" s="101"/>
      <c r="J47" s="101"/>
      <c r="K47" s="101"/>
      <c r="L47" s="101"/>
      <c r="M47" s="101"/>
      <c r="N47" s="101"/>
      <c r="O47" s="101"/>
      <c r="P47" s="101"/>
      <c r="Q47" s="101"/>
      <c r="R47" s="101"/>
    </row>
    <row r="48" spans="1:20" s="1" customFormat="1" ht="14.1" customHeight="1" x14ac:dyDescent="0.25"/>
    <row r="49" spans="1:20" s="1" customFormat="1" ht="14.1" customHeight="1" x14ac:dyDescent="0.25">
      <c r="A49" s="102" t="s">
        <v>2</v>
      </c>
      <c r="B49" s="102"/>
      <c r="C49" s="102"/>
      <c r="D49" s="103" t="s">
        <v>182</v>
      </c>
      <c r="E49" s="103"/>
      <c r="F49" s="103"/>
      <c r="G49" s="103"/>
      <c r="H49" s="103"/>
      <c r="I49" s="103"/>
      <c r="J49" s="103"/>
      <c r="K49" s="103"/>
      <c r="L49" s="103"/>
      <c r="M49" s="103"/>
      <c r="N49" s="103"/>
      <c r="O49" s="103"/>
      <c r="P49" s="103"/>
      <c r="Q49" s="103"/>
      <c r="R49" s="103"/>
      <c r="S49" s="103"/>
      <c r="T49" s="103"/>
    </row>
    <row r="50" spans="1:20" s="1" customFormat="1" ht="14.1" customHeight="1" x14ac:dyDescent="0.25">
      <c r="A50" s="102" t="s">
        <v>4</v>
      </c>
      <c r="B50" s="102"/>
      <c r="C50" s="103">
        <v>19</v>
      </c>
      <c r="D50" s="103"/>
      <c r="E50" s="103"/>
      <c r="F50" s="103"/>
      <c r="G50" s="103"/>
      <c r="H50" s="103"/>
      <c r="I50" s="103"/>
      <c r="J50" s="103"/>
      <c r="K50" s="103"/>
      <c r="L50" s="103"/>
      <c r="M50" s="103"/>
      <c r="N50" s="103"/>
      <c r="O50" s="103"/>
      <c r="P50" s="103"/>
      <c r="Q50" s="103"/>
      <c r="R50" s="103"/>
      <c r="S50" s="103"/>
      <c r="T50" s="103"/>
    </row>
    <row r="51" spans="1:20" s="1" customFormat="1" ht="14.1" customHeight="1" x14ac:dyDescent="0.25">
      <c r="A51" s="102" t="s">
        <v>6</v>
      </c>
      <c r="B51" s="102"/>
      <c r="C51" s="102"/>
      <c r="D51" s="102"/>
      <c r="E51" s="102"/>
      <c r="F51" s="103" t="s">
        <v>75</v>
      </c>
      <c r="G51" s="103"/>
      <c r="H51" s="103"/>
      <c r="I51" s="103"/>
      <c r="J51" s="103"/>
      <c r="K51" s="103"/>
      <c r="L51" s="103"/>
      <c r="M51" s="103"/>
      <c r="N51" s="103"/>
      <c r="O51" s="103"/>
      <c r="P51" s="103"/>
      <c r="Q51" s="103"/>
      <c r="R51" s="103"/>
      <c r="S51" s="103"/>
      <c r="T51" s="103"/>
    </row>
    <row r="52" spans="1:20" s="1" customFormat="1" ht="13.2" x14ac:dyDescent="0.25">
      <c r="A52" s="145" t="s">
        <v>686</v>
      </c>
      <c r="B52" s="93"/>
      <c r="C52" s="93"/>
      <c r="D52" s="93"/>
      <c r="E52" s="93"/>
      <c r="F52" s="93"/>
      <c r="G52" s="93"/>
      <c r="H52" s="93"/>
      <c r="I52" s="93"/>
      <c r="J52" s="93"/>
      <c r="K52" s="93"/>
      <c r="L52" s="93"/>
      <c r="M52" s="93"/>
      <c r="N52" s="93"/>
      <c r="O52" s="93"/>
      <c r="P52" s="93"/>
      <c r="Q52" s="93"/>
      <c r="R52" s="93"/>
      <c r="S52" s="93"/>
    </row>
    <row r="53" spans="1:20" s="1" customFormat="1" ht="34.950000000000003" customHeight="1" x14ac:dyDescent="0.25">
      <c r="A53" s="146" t="s">
        <v>726</v>
      </c>
      <c r="B53" s="119"/>
      <c r="C53" s="119"/>
      <c r="D53" s="119"/>
      <c r="E53" s="119"/>
      <c r="F53" s="119"/>
      <c r="G53" s="119"/>
      <c r="H53" s="119"/>
      <c r="I53" s="119"/>
      <c r="J53" s="119"/>
      <c r="K53" s="119"/>
      <c r="L53" s="119"/>
      <c r="M53" s="119"/>
      <c r="N53" s="119"/>
      <c r="O53" s="119"/>
      <c r="P53" s="119"/>
      <c r="Q53" s="119"/>
      <c r="R53" s="119"/>
      <c r="S53" s="119"/>
    </row>
    <row r="54" spans="1:20" s="1" customFormat="1" ht="1.35" customHeight="1" x14ac:dyDescent="0.25"/>
    <row r="55" spans="1:20" s="1" customFormat="1" ht="7.05" customHeight="1" x14ac:dyDescent="0.25">
      <c r="A55" s="86"/>
      <c r="B55" s="86"/>
      <c r="C55" s="86"/>
      <c r="D55" s="86"/>
      <c r="E55" s="86"/>
      <c r="F55" s="86"/>
      <c r="G55" s="86"/>
      <c r="H55" s="86"/>
      <c r="I55" s="86"/>
      <c r="J55" s="86"/>
      <c r="K55" s="86"/>
      <c r="L55" s="86"/>
      <c r="M55" s="86"/>
      <c r="N55" s="86"/>
      <c r="O55" s="86"/>
      <c r="P55" s="86"/>
      <c r="Q55" s="16"/>
      <c r="R55" s="86"/>
      <c r="S55" s="86"/>
      <c r="T55" s="86"/>
    </row>
    <row r="56" spans="1:20" s="1" customFormat="1" ht="16.95" customHeight="1" x14ac:dyDescent="0.25">
      <c r="A56" s="140" t="s">
        <v>8</v>
      </c>
      <c r="B56" s="140"/>
      <c r="C56" s="140"/>
      <c r="D56" s="140"/>
      <c r="E56" s="140"/>
      <c r="F56" s="140"/>
      <c r="G56" s="140"/>
      <c r="H56" s="140"/>
      <c r="I56" s="140"/>
      <c r="J56" s="140"/>
      <c r="K56" s="140"/>
      <c r="L56" s="140"/>
      <c r="M56" s="140" t="s">
        <v>9</v>
      </c>
      <c r="N56" s="140"/>
      <c r="O56" s="140"/>
      <c r="P56" s="140"/>
      <c r="Q56" s="140"/>
      <c r="R56" s="140"/>
      <c r="S56" s="140"/>
      <c r="T56" s="140"/>
    </row>
    <row r="57" spans="1:20" s="1" customFormat="1" ht="16.95" customHeight="1" x14ac:dyDescent="0.25">
      <c r="A57" s="140"/>
      <c r="B57" s="140"/>
      <c r="C57" s="140"/>
      <c r="D57" s="140"/>
      <c r="E57" s="140"/>
      <c r="F57" s="140"/>
      <c r="G57" s="140"/>
      <c r="H57" s="140"/>
      <c r="I57" s="140"/>
      <c r="J57" s="140"/>
      <c r="K57" s="140"/>
      <c r="L57" s="140"/>
      <c r="M57" s="140" t="s">
        <v>10</v>
      </c>
      <c r="N57" s="140"/>
      <c r="O57" s="140"/>
      <c r="P57" s="140"/>
      <c r="Q57" s="140" t="s">
        <v>11</v>
      </c>
      <c r="R57" s="140"/>
      <c r="S57" s="140"/>
      <c r="T57" s="140"/>
    </row>
    <row r="58" spans="1:20" s="1" customFormat="1" ht="16.95" customHeight="1" x14ac:dyDescent="0.25">
      <c r="A58" s="140"/>
      <c r="B58" s="140"/>
      <c r="C58" s="140"/>
      <c r="D58" s="140"/>
      <c r="E58" s="140"/>
      <c r="F58" s="140"/>
      <c r="G58" s="140"/>
      <c r="H58" s="140"/>
      <c r="I58" s="140"/>
      <c r="J58" s="140"/>
      <c r="K58" s="140"/>
      <c r="L58" s="140"/>
      <c r="M58" s="140" t="s">
        <v>12</v>
      </c>
      <c r="N58" s="140"/>
      <c r="O58" s="140" t="s">
        <v>13</v>
      </c>
      <c r="P58" s="140"/>
      <c r="Q58" s="33" t="s">
        <v>14</v>
      </c>
      <c r="R58" s="140" t="s">
        <v>15</v>
      </c>
      <c r="S58" s="140"/>
      <c r="T58" s="140"/>
    </row>
    <row r="59" spans="1:20" s="1" customFormat="1" ht="13.35" customHeight="1" x14ac:dyDescent="0.25">
      <c r="A59" s="139" t="s">
        <v>183</v>
      </c>
      <c r="B59" s="139"/>
      <c r="C59" s="139"/>
      <c r="D59" s="139"/>
      <c r="E59" s="139"/>
      <c r="F59" s="139"/>
      <c r="G59" s="139"/>
      <c r="H59" s="139"/>
      <c r="I59" s="139"/>
      <c r="J59" s="139"/>
      <c r="K59" s="139"/>
      <c r="L59" s="139"/>
      <c r="M59" s="139">
        <v>1.23</v>
      </c>
      <c r="N59" s="139"/>
      <c r="O59" s="139">
        <f>1.23*40</f>
        <v>49.2</v>
      </c>
      <c r="P59" s="139"/>
      <c r="Q59" s="31" t="s">
        <v>823</v>
      </c>
      <c r="R59" s="139">
        <v>1.88</v>
      </c>
      <c r="S59" s="139"/>
      <c r="T59" s="139"/>
    </row>
    <row r="60" spans="1:20" s="1" customFormat="1" ht="13.35" customHeight="1" x14ac:dyDescent="0.25">
      <c r="A60" s="139" t="s">
        <v>155</v>
      </c>
      <c r="B60" s="139"/>
      <c r="C60" s="139"/>
      <c r="D60" s="139"/>
      <c r="E60" s="139"/>
      <c r="F60" s="139"/>
      <c r="G60" s="139"/>
      <c r="H60" s="139"/>
      <c r="I60" s="139"/>
      <c r="J60" s="139"/>
      <c r="K60" s="139"/>
      <c r="L60" s="139"/>
      <c r="M60" s="139">
        <v>158</v>
      </c>
      <c r="N60" s="139"/>
      <c r="O60" s="139">
        <f>126.65+18</f>
        <v>144.65</v>
      </c>
      <c r="P60" s="139"/>
      <c r="Q60" s="31">
        <v>14</v>
      </c>
      <c r="R60" s="139">
        <v>12.66</v>
      </c>
      <c r="S60" s="139"/>
      <c r="T60" s="139"/>
    </row>
    <row r="61" spans="1:20" s="1" customFormat="1" ht="13.35" customHeight="1" x14ac:dyDescent="0.25">
      <c r="A61" s="139" t="s">
        <v>822</v>
      </c>
      <c r="B61" s="139"/>
      <c r="C61" s="139"/>
      <c r="D61" s="139"/>
      <c r="E61" s="139"/>
      <c r="F61" s="139"/>
      <c r="G61" s="139"/>
      <c r="H61" s="139"/>
      <c r="I61" s="139"/>
      <c r="J61" s="139"/>
      <c r="K61" s="139"/>
      <c r="L61" s="139"/>
      <c r="M61" s="139">
        <f>3*200/150</f>
        <v>4</v>
      </c>
      <c r="N61" s="139"/>
      <c r="O61" s="139">
        <v>4</v>
      </c>
      <c r="P61" s="139"/>
      <c r="Q61" s="31">
        <v>0.04</v>
      </c>
      <c r="R61" s="139">
        <v>0.04</v>
      </c>
      <c r="S61" s="139"/>
      <c r="T61" s="139"/>
    </row>
    <row r="62" spans="1:20" s="1" customFormat="1" ht="13.35" customHeight="1" x14ac:dyDescent="0.25">
      <c r="A62" s="139" t="s">
        <v>21</v>
      </c>
      <c r="B62" s="139"/>
      <c r="C62" s="139"/>
      <c r="D62" s="139"/>
      <c r="E62" s="139"/>
      <c r="F62" s="139"/>
      <c r="G62" s="139"/>
      <c r="H62" s="139"/>
      <c r="I62" s="139"/>
      <c r="J62" s="139"/>
      <c r="K62" s="139"/>
      <c r="L62" s="139"/>
      <c r="M62" s="139">
        <f>18*200/150</f>
        <v>24</v>
      </c>
      <c r="N62" s="139"/>
      <c r="O62" s="139">
        <f>16.5*200/150</f>
        <v>22</v>
      </c>
      <c r="P62" s="139"/>
      <c r="Q62" s="31">
        <v>2.4</v>
      </c>
      <c r="R62" s="139">
        <v>2.2000000000000002</v>
      </c>
      <c r="S62" s="139"/>
      <c r="T62" s="139"/>
    </row>
    <row r="63" spans="1:20" s="1" customFormat="1" ht="13.35" customHeight="1" x14ac:dyDescent="0.25">
      <c r="A63" s="139" t="s">
        <v>100</v>
      </c>
      <c r="B63" s="139"/>
      <c r="C63" s="139"/>
      <c r="D63" s="139"/>
      <c r="E63" s="139"/>
      <c r="F63" s="139"/>
      <c r="G63" s="139"/>
      <c r="H63" s="139"/>
      <c r="I63" s="139"/>
      <c r="J63" s="139"/>
      <c r="K63" s="139"/>
      <c r="L63" s="139"/>
      <c r="M63" s="139">
        <v>24</v>
      </c>
      <c r="N63" s="139"/>
      <c r="O63" s="139">
        <f>15*200/150</f>
        <v>20</v>
      </c>
      <c r="P63" s="139"/>
      <c r="Q63" s="31">
        <v>2.4</v>
      </c>
      <c r="R63" s="139">
        <v>2</v>
      </c>
      <c r="S63" s="139"/>
      <c r="T63" s="139"/>
    </row>
    <row r="64" spans="1:20" s="1" customFormat="1" ht="13.35" customHeight="1" x14ac:dyDescent="0.25">
      <c r="A64" s="139" t="s">
        <v>18</v>
      </c>
      <c r="B64" s="139"/>
      <c r="C64" s="139"/>
      <c r="D64" s="139"/>
      <c r="E64" s="139"/>
      <c r="F64" s="139"/>
      <c r="G64" s="139"/>
      <c r="H64" s="139"/>
      <c r="I64" s="139"/>
      <c r="J64" s="139"/>
      <c r="K64" s="139"/>
      <c r="L64" s="139"/>
      <c r="M64" s="139">
        <v>2.65</v>
      </c>
      <c r="N64" s="139"/>
      <c r="O64" s="139">
        <v>2.65</v>
      </c>
      <c r="P64" s="139"/>
      <c r="Q64" s="31">
        <v>0.26500000000000001</v>
      </c>
      <c r="R64" s="139">
        <v>0.26500000000000001</v>
      </c>
      <c r="S64" s="139"/>
      <c r="T64" s="139"/>
    </row>
    <row r="65" spans="1:20" s="1" customFormat="1" ht="13.35" customHeight="1" x14ac:dyDescent="0.25">
      <c r="A65" s="139" t="s">
        <v>61</v>
      </c>
      <c r="B65" s="139"/>
      <c r="C65" s="139"/>
      <c r="D65" s="139"/>
      <c r="E65" s="139"/>
      <c r="F65" s="139"/>
      <c r="G65" s="139"/>
      <c r="H65" s="139"/>
      <c r="I65" s="139"/>
      <c r="J65" s="139"/>
      <c r="K65" s="139"/>
      <c r="L65" s="139"/>
      <c r="M65" s="139">
        <f>6*200/150</f>
        <v>8</v>
      </c>
      <c r="N65" s="139"/>
      <c r="O65" s="139">
        <v>8</v>
      </c>
      <c r="P65" s="139"/>
      <c r="Q65" s="31">
        <v>0.8</v>
      </c>
      <c r="R65" s="139">
        <v>0.8</v>
      </c>
      <c r="S65" s="139"/>
      <c r="T65" s="139"/>
    </row>
    <row r="66" spans="1:20" s="1" customFormat="1" ht="13.35" customHeight="1" x14ac:dyDescent="0.25">
      <c r="A66" s="139" t="s">
        <v>159</v>
      </c>
      <c r="B66" s="139"/>
      <c r="C66" s="139"/>
      <c r="D66" s="139"/>
      <c r="E66" s="139"/>
      <c r="F66" s="139"/>
      <c r="G66" s="139"/>
      <c r="H66" s="139"/>
      <c r="I66" s="139"/>
      <c r="J66" s="139"/>
      <c r="K66" s="139"/>
      <c r="L66" s="139"/>
      <c r="M66" s="139">
        <f>12*200/150</f>
        <v>16</v>
      </c>
      <c r="N66" s="139"/>
      <c r="O66" s="139">
        <v>16</v>
      </c>
      <c r="P66" s="139"/>
      <c r="Q66" s="31">
        <v>1.6</v>
      </c>
      <c r="R66" s="139">
        <v>1.6</v>
      </c>
      <c r="S66" s="139"/>
      <c r="T66" s="139"/>
    </row>
    <row r="67" spans="1:20" s="1" customFormat="1" ht="13.35" customHeight="1" x14ac:dyDescent="0.25">
      <c r="A67" s="139" t="s">
        <v>66</v>
      </c>
      <c r="B67" s="139"/>
      <c r="C67" s="139"/>
      <c r="D67" s="139"/>
      <c r="E67" s="139"/>
      <c r="F67" s="139"/>
      <c r="G67" s="139"/>
      <c r="H67" s="139"/>
      <c r="I67" s="139"/>
      <c r="J67" s="139"/>
      <c r="K67" s="139"/>
      <c r="L67" s="139"/>
      <c r="M67" s="139">
        <v>36</v>
      </c>
      <c r="N67" s="139"/>
      <c r="O67" s="139">
        <v>36</v>
      </c>
      <c r="P67" s="139"/>
      <c r="Q67" s="31">
        <v>2.4</v>
      </c>
      <c r="R67" s="139">
        <v>2.4</v>
      </c>
      <c r="S67" s="139"/>
      <c r="T67" s="139"/>
    </row>
    <row r="68" spans="1:20" s="1" customFormat="1" ht="13.35" customHeight="1" x14ac:dyDescent="0.25">
      <c r="A68" s="139" t="s">
        <v>191</v>
      </c>
      <c r="B68" s="139"/>
      <c r="C68" s="139"/>
      <c r="D68" s="139"/>
      <c r="E68" s="139"/>
      <c r="F68" s="139"/>
      <c r="G68" s="139"/>
      <c r="H68" s="139"/>
      <c r="I68" s="139"/>
      <c r="J68" s="139"/>
      <c r="K68" s="139"/>
      <c r="L68" s="139"/>
      <c r="M68" s="139">
        <f>9*200/150</f>
        <v>12</v>
      </c>
      <c r="N68" s="139"/>
      <c r="O68" s="139">
        <v>12</v>
      </c>
      <c r="P68" s="139"/>
      <c r="Q68" s="31">
        <v>1.2</v>
      </c>
      <c r="R68" s="139">
        <v>1.2</v>
      </c>
      <c r="S68" s="139"/>
      <c r="T68" s="139"/>
    </row>
    <row r="69" spans="1:20" s="1" customFormat="1" ht="14.1" customHeight="1" x14ac:dyDescent="0.25">
      <c r="A69" s="131" t="s">
        <v>116</v>
      </c>
      <c r="B69" s="131"/>
      <c r="C69" s="131"/>
      <c r="D69" s="131"/>
      <c r="E69" s="131"/>
      <c r="F69" s="131"/>
      <c r="G69" s="131"/>
      <c r="H69" s="131"/>
      <c r="I69" s="131"/>
      <c r="J69" s="131"/>
      <c r="K69" s="131"/>
      <c r="L69" s="131"/>
      <c r="M69" s="131"/>
      <c r="N69" s="131"/>
      <c r="O69" s="131"/>
      <c r="P69" s="131"/>
      <c r="Q69" s="131"/>
      <c r="R69" s="131"/>
      <c r="S69" s="131"/>
      <c r="T69" s="131"/>
    </row>
    <row r="70" spans="1:20" s="1" customFormat="1" ht="21.3" customHeight="1" x14ac:dyDescent="0.25"/>
    <row r="71" spans="1:20" s="1" customFormat="1" ht="14.1" customHeight="1" x14ac:dyDescent="0.25">
      <c r="A71" s="142" t="s">
        <v>33</v>
      </c>
      <c r="B71" s="142"/>
      <c r="C71" s="142"/>
      <c r="D71" s="142"/>
      <c r="E71" s="142"/>
      <c r="F71" s="142"/>
      <c r="G71" s="142"/>
      <c r="H71" s="142"/>
      <c r="I71" s="142"/>
      <c r="J71" s="142"/>
      <c r="K71" s="142"/>
      <c r="L71" s="142"/>
      <c r="M71" s="142"/>
      <c r="N71" s="142"/>
    </row>
    <row r="72" spans="1:20" s="1" customFormat="1" ht="13.35" customHeight="1" x14ac:dyDescent="0.25">
      <c r="A72" s="139" t="s">
        <v>34</v>
      </c>
      <c r="B72" s="139"/>
      <c r="C72" s="139"/>
      <c r="D72" s="139"/>
      <c r="E72" s="141">
        <f>10.67*200/150</f>
        <v>14.226666666666667</v>
      </c>
      <c r="F72" s="141"/>
      <c r="G72" s="32"/>
      <c r="H72" s="31" t="s">
        <v>35</v>
      </c>
      <c r="I72" s="141">
        <v>0.25</v>
      </c>
      <c r="J72" s="141"/>
      <c r="K72" s="32"/>
      <c r="L72" s="139" t="s">
        <v>36</v>
      </c>
      <c r="M72" s="139"/>
      <c r="N72" s="141">
        <v>63.67</v>
      </c>
      <c r="O72" s="141"/>
    </row>
    <row r="73" spans="1:20" s="1" customFormat="1" ht="13.35" customHeight="1" x14ac:dyDescent="0.25">
      <c r="A73" s="139" t="s">
        <v>37</v>
      </c>
      <c r="B73" s="139"/>
      <c r="C73" s="139"/>
      <c r="D73" s="139"/>
      <c r="E73" s="141">
        <f>15.83*200/150</f>
        <v>21.106666666666666</v>
      </c>
      <c r="F73" s="141"/>
      <c r="G73" s="32"/>
      <c r="H73" s="31" t="s">
        <v>38</v>
      </c>
      <c r="I73" s="141">
        <v>13.22</v>
      </c>
      <c r="J73" s="141"/>
      <c r="K73" s="32"/>
      <c r="L73" s="139" t="s">
        <v>39</v>
      </c>
      <c r="M73" s="139"/>
      <c r="N73" s="141">
        <v>26.8</v>
      </c>
      <c r="O73" s="141"/>
    </row>
    <row r="74" spans="1:20" s="1" customFormat="1" ht="13.35" customHeight="1" x14ac:dyDescent="0.25">
      <c r="A74" s="139" t="s">
        <v>40</v>
      </c>
      <c r="B74" s="139"/>
      <c r="C74" s="139"/>
      <c r="D74" s="139"/>
      <c r="E74" s="141">
        <f>41.18*200/150</f>
        <v>54.906666666666666</v>
      </c>
      <c r="F74" s="141"/>
      <c r="G74" s="32"/>
      <c r="H74" s="31" t="s">
        <v>41</v>
      </c>
      <c r="I74" s="141">
        <v>6.26</v>
      </c>
      <c r="J74" s="141"/>
      <c r="K74" s="32"/>
      <c r="L74" s="139" t="s">
        <v>42</v>
      </c>
      <c r="M74" s="139"/>
      <c r="N74" s="141">
        <v>351.65</v>
      </c>
      <c r="O74" s="141"/>
    </row>
    <row r="75" spans="1:20" s="1" customFormat="1" ht="13.35" customHeight="1" x14ac:dyDescent="0.25">
      <c r="A75" s="139" t="s">
        <v>43</v>
      </c>
      <c r="B75" s="139"/>
      <c r="C75" s="139"/>
      <c r="D75" s="139"/>
      <c r="E75" s="141">
        <f>296.25*200/150</f>
        <v>395</v>
      </c>
      <c r="F75" s="141"/>
      <c r="G75" s="32"/>
      <c r="H75" s="31" t="s">
        <v>44</v>
      </c>
      <c r="I75" s="141">
        <v>3.32</v>
      </c>
      <c r="J75" s="141"/>
      <c r="K75" s="32"/>
      <c r="L75" s="139" t="s">
        <v>45</v>
      </c>
      <c r="M75" s="139"/>
      <c r="N75" s="141">
        <v>6.64</v>
      </c>
      <c r="O75" s="141"/>
    </row>
    <row r="76" spans="1:20" s="1" customFormat="1" ht="13.35" customHeight="1" x14ac:dyDescent="0.25">
      <c r="A76" s="143"/>
      <c r="B76" s="143"/>
      <c r="C76" s="143"/>
      <c r="D76" s="143"/>
      <c r="E76" s="143"/>
      <c r="F76" s="143"/>
      <c r="G76" s="32"/>
      <c r="H76" s="31" t="s">
        <v>46</v>
      </c>
      <c r="I76" s="141">
        <v>1.07</v>
      </c>
      <c r="J76" s="141"/>
      <c r="K76" s="32"/>
      <c r="L76" s="139" t="s">
        <v>47</v>
      </c>
      <c r="M76" s="139"/>
      <c r="N76" s="141">
        <v>409.5</v>
      </c>
      <c r="O76" s="141"/>
    </row>
    <row r="77" spans="1:20" s="1" customFormat="1" ht="13.35" customHeight="1" x14ac:dyDescent="0.25">
      <c r="A77" s="143"/>
      <c r="B77" s="143"/>
      <c r="C77" s="143"/>
      <c r="D77" s="143"/>
      <c r="E77" s="143"/>
      <c r="F77" s="143"/>
      <c r="G77" s="32"/>
      <c r="H77" s="31" t="s">
        <v>48</v>
      </c>
      <c r="I77" s="141">
        <v>1.67</v>
      </c>
      <c r="J77" s="141"/>
      <c r="K77" s="32"/>
      <c r="L77" s="139" t="s">
        <v>49</v>
      </c>
      <c r="M77" s="139"/>
      <c r="N77" s="141">
        <v>18.43</v>
      </c>
      <c r="O77" s="141"/>
    </row>
    <row r="78" spans="1:20" s="1" customFormat="1" ht="13.35" customHeight="1" x14ac:dyDescent="0.25">
      <c r="A78" s="143"/>
      <c r="B78" s="143"/>
      <c r="C78" s="143"/>
      <c r="D78" s="143"/>
      <c r="E78" s="143"/>
      <c r="F78" s="143"/>
      <c r="G78" s="32"/>
      <c r="H78" s="32"/>
      <c r="I78" s="143"/>
      <c r="J78" s="143"/>
      <c r="K78" s="32"/>
      <c r="L78" s="139" t="s">
        <v>50</v>
      </c>
      <c r="M78" s="139"/>
      <c r="N78" s="141">
        <v>0.21</v>
      </c>
      <c r="O78" s="141"/>
    </row>
    <row r="79" spans="1:20" s="1" customFormat="1" ht="13.35" customHeight="1" x14ac:dyDescent="0.25">
      <c r="A79" s="143"/>
      <c r="B79" s="143"/>
      <c r="C79" s="143"/>
      <c r="D79" s="143"/>
      <c r="E79" s="143"/>
      <c r="F79" s="143"/>
      <c r="G79" s="32"/>
      <c r="H79" s="32"/>
      <c r="I79" s="143"/>
      <c r="J79" s="143"/>
      <c r="K79" s="32"/>
      <c r="L79" s="139" t="s">
        <v>51</v>
      </c>
      <c r="M79" s="139"/>
      <c r="N79" s="141">
        <v>0.04</v>
      </c>
      <c r="O79" s="141"/>
    </row>
    <row r="80" spans="1:20" s="1" customFormat="1" ht="14.1" customHeight="1" x14ac:dyDescent="0.25">
      <c r="A80" s="84" t="s">
        <v>52</v>
      </c>
      <c r="B80" s="84"/>
      <c r="C80" s="84"/>
      <c r="D80" s="84"/>
      <c r="E80" s="84"/>
      <c r="F80" s="84"/>
      <c r="G80" s="84"/>
      <c r="H80" s="84"/>
      <c r="I80" s="84"/>
      <c r="J80" s="84"/>
      <c r="K80" s="84"/>
      <c r="L80" s="84"/>
      <c r="M80" s="84"/>
      <c r="N80" s="84"/>
      <c r="O80" s="84"/>
      <c r="P80" s="84"/>
      <c r="Q80" s="84"/>
      <c r="R80" s="84"/>
      <c r="S80" s="84"/>
    </row>
    <row r="81" spans="1:20" s="1" customFormat="1" ht="180" customHeight="1" x14ac:dyDescent="0.25">
      <c r="A81" s="85" t="s">
        <v>192</v>
      </c>
      <c r="B81" s="85"/>
      <c r="C81" s="85"/>
      <c r="D81" s="85"/>
      <c r="E81" s="85"/>
      <c r="F81" s="85"/>
      <c r="G81" s="85"/>
      <c r="H81" s="85"/>
      <c r="I81" s="85"/>
      <c r="J81" s="85"/>
      <c r="K81" s="85"/>
      <c r="L81" s="85"/>
      <c r="M81" s="85"/>
      <c r="N81" s="85"/>
      <c r="O81" s="85"/>
      <c r="P81" s="85"/>
      <c r="Q81" s="85"/>
      <c r="R81" s="85"/>
      <c r="S81" s="85"/>
    </row>
    <row r="82" spans="1:20" s="1" customFormat="1" ht="14.1" customHeight="1" x14ac:dyDescent="0.25">
      <c r="A82" s="84" t="s">
        <v>54</v>
      </c>
      <c r="B82" s="84"/>
      <c r="C82" s="84"/>
      <c r="D82" s="84"/>
      <c r="E82" s="84"/>
      <c r="F82" s="84"/>
      <c r="G82" s="84"/>
      <c r="H82" s="84"/>
      <c r="I82" s="84"/>
      <c r="J82" s="84"/>
      <c r="K82" s="84"/>
      <c r="L82" s="84"/>
      <c r="M82" s="84"/>
      <c r="N82" s="84"/>
      <c r="O82" s="84"/>
      <c r="P82" s="84"/>
      <c r="Q82" s="84"/>
      <c r="R82" s="84"/>
      <c r="S82" s="84"/>
    </row>
    <row r="83" spans="1:20" s="1" customFormat="1" ht="12.45" customHeight="1" x14ac:dyDescent="0.25">
      <c r="A83" s="85" t="s">
        <v>729</v>
      </c>
      <c r="B83" s="85"/>
      <c r="C83" s="85"/>
      <c r="D83" s="85"/>
      <c r="E83" s="85"/>
      <c r="F83" s="85"/>
      <c r="G83" s="85"/>
      <c r="H83" s="85"/>
      <c r="I83" s="85"/>
      <c r="J83" s="85"/>
      <c r="K83" s="85"/>
      <c r="L83" s="85"/>
      <c r="M83" s="85"/>
      <c r="N83" s="85"/>
      <c r="O83" s="85"/>
      <c r="P83" s="85"/>
      <c r="Q83" s="85"/>
      <c r="R83" s="85"/>
      <c r="S83" s="85"/>
    </row>
    <row r="84" spans="1:20" s="1" customFormat="1" ht="14.1" customHeight="1" x14ac:dyDescent="0.25">
      <c r="A84" s="86"/>
      <c r="B84" s="86"/>
      <c r="C84" s="86"/>
      <c r="D84" s="86"/>
      <c r="E84" s="86"/>
      <c r="F84" s="86"/>
      <c r="G84" s="86"/>
      <c r="H84" s="86"/>
      <c r="I84" s="86"/>
      <c r="J84" s="86"/>
      <c r="K84" s="86"/>
      <c r="L84" s="86"/>
      <c r="M84" s="86"/>
      <c r="N84" s="86"/>
      <c r="O84" s="86"/>
      <c r="P84" s="86"/>
      <c r="Q84" s="86"/>
      <c r="R84" s="86"/>
      <c r="S84" s="86"/>
    </row>
    <row r="85" spans="1:20" s="1" customFormat="1" ht="14.1" customHeight="1" x14ac:dyDescent="0.25">
      <c r="A85" s="84" t="s">
        <v>56</v>
      </c>
      <c r="B85" s="84"/>
      <c r="C85" s="84"/>
      <c r="D85" s="84"/>
      <c r="E85" s="84"/>
      <c r="F85" s="84"/>
      <c r="G85" s="84"/>
      <c r="H85" s="84"/>
      <c r="I85" s="84"/>
      <c r="J85" s="84"/>
      <c r="K85" s="84"/>
      <c r="L85" s="84"/>
      <c r="M85" s="84"/>
      <c r="N85" s="84"/>
      <c r="O85" s="84"/>
      <c r="P85" s="84"/>
      <c r="Q85" s="84"/>
      <c r="R85" s="84"/>
      <c r="S85" s="84"/>
    </row>
    <row r="86" spans="1:20" s="1" customFormat="1" ht="58.5" customHeight="1" x14ac:dyDescent="0.25">
      <c r="A86" s="85" t="s">
        <v>193</v>
      </c>
      <c r="B86" s="85"/>
      <c r="C86" s="85"/>
      <c r="D86" s="85"/>
      <c r="E86" s="85"/>
      <c r="F86" s="85"/>
      <c r="G86" s="85"/>
      <c r="H86" s="85"/>
      <c r="I86" s="85"/>
      <c r="J86" s="85"/>
      <c r="K86" s="85"/>
      <c r="L86" s="85"/>
      <c r="M86" s="85"/>
      <c r="N86" s="85"/>
      <c r="O86" s="85"/>
      <c r="P86" s="85"/>
      <c r="Q86" s="85"/>
      <c r="R86" s="85"/>
      <c r="S86" s="85"/>
    </row>
    <row r="87" spans="1:20" s="1" customFormat="1" ht="72.45" customHeight="1" x14ac:dyDescent="0.25">
      <c r="J87" s="100" t="s">
        <v>0</v>
      </c>
      <c r="K87" s="100"/>
      <c r="L87" s="100"/>
      <c r="M87" s="100"/>
      <c r="N87" s="100"/>
      <c r="O87" s="100"/>
      <c r="P87" s="100"/>
      <c r="Q87" s="100"/>
      <c r="R87" s="100"/>
      <c r="S87" s="100"/>
      <c r="T87" s="100"/>
    </row>
    <row r="88" spans="1:20" s="1" customFormat="1" ht="7.05" customHeight="1" x14ac:dyDescent="0.25"/>
    <row r="89" spans="1:20" s="1" customFormat="1" ht="14.1" customHeight="1" x14ac:dyDescent="0.25">
      <c r="B89" s="101" t="s">
        <v>730</v>
      </c>
      <c r="C89" s="101"/>
      <c r="D89" s="101"/>
      <c r="E89" s="101"/>
      <c r="F89" s="101"/>
      <c r="G89" s="101"/>
      <c r="H89" s="101"/>
      <c r="I89" s="101"/>
      <c r="J89" s="101"/>
      <c r="K89" s="101"/>
      <c r="L89" s="101"/>
      <c r="M89" s="101"/>
      <c r="N89" s="101"/>
      <c r="O89" s="101"/>
      <c r="P89" s="101"/>
      <c r="Q89" s="101"/>
      <c r="R89" s="101"/>
    </row>
    <row r="90" spans="1:20" s="1" customFormat="1" ht="14.1" customHeight="1" x14ac:dyDescent="0.25"/>
    <row r="91" spans="1:20" s="1" customFormat="1" ht="14.1" customHeight="1" x14ac:dyDescent="0.25">
      <c r="A91" s="102" t="s">
        <v>2</v>
      </c>
      <c r="B91" s="102"/>
      <c r="C91" s="102"/>
      <c r="D91" s="103" t="s">
        <v>824</v>
      </c>
      <c r="E91" s="103"/>
      <c r="F91" s="103"/>
      <c r="G91" s="103"/>
      <c r="H91" s="103"/>
      <c r="I91" s="103"/>
      <c r="J91" s="103"/>
      <c r="K91" s="103"/>
      <c r="L91" s="103"/>
      <c r="M91" s="103"/>
      <c r="N91" s="103"/>
      <c r="O91" s="103"/>
      <c r="P91" s="103"/>
      <c r="Q91" s="103"/>
      <c r="R91" s="103"/>
      <c r="S91" s="103"/>
      <c r="T91" s="103"/>
    </row>
    <row r="92" spans="1:20" s="1" customFormat="1" ht="14.1" customHeight="1" x14ac:dyDescent="0.25">
      <c r="A92" s="102" t="s">
        <v>4</v>
      </c>
      <c r="B92" s="102"/>
      <c r="C92" s="103">
        <v>1</v>
      </c>
      <c r="D92" s="103"/>
      <c r="E92" s="103"/>
      <c r="F92" s="103"/>
      <c r="G92" s="103"/>
      <c r="H92" s="103"/>
      <c r="I92" s="103"/>
      <c r="J92" s="103"/>
      <c r="K92" s="103"/>
      <c r="L92" s="103"/>
      <c r="M92" s="103"/>
      <c r="N92" s="103"/>
      <c r="O92" s="103"/>
      <c r="P92" s="103"/>
      <c r="Q92" s="103"/>
      <c r="R92" s="103"/>
      <c r="S92" s="103"/>
      <c r="T92" s="103"/>
    </row>
    <row r="93" spans="1:20" s="1" customFormat="1" ht="14.1" customHeight="1" x14ac:dyDescent="0.25">
      <c r="A93" s="102" t="s">
        <v>6</v>
      </c>
      <c r="B93" s="102"/>
      <c r="C93" s="102"/>
      <c r="D93" s="102"/>
      <c r="E93" s="102"/>
      <c r="F93" s="103" t="s">
        <v>194</v>
      </c>
      <c r="G93" s="103"/>
      <c r="H93" s="103"/>
      <c r="I93" s="103"/>
      <c r="J93" s="103"/>
      <c r="K93" s="103"/>
      <c r="L93" s="103"/>
      <c r="M93" s="103"/>
      <c r="N93" s="103"/>
      <c r="O93" s="103"/>
      <c r="P93" s="103"/>
      <c r="Q93" s="103"/>
      <c r="R93" s="103"/>
      <c r="S93" s="103"/>
      <c r="T93" s="103"/>
    </row>
    <row r="94" spans="1:20" s="1" customFormat="1" ht="1.35" customHeight="1" x14ac:dyDescent="0.25"/>
    <row r="95" spans="1:20" s="1" customFormat="1" ht="13.2" x14ac:dyDescent="0.25">
      <c r="A95" s="145" t="s">
        <v>686</v>
      </c>
      <c r="B95" s="93"/>
      <c r="C95" s="93"/>
      <c r="D95" s="93"/>
      <c r="E95" s="93"/>
      <c r="F95" s="93"/>
      <c r="G95" s="93"/>
      <c r="H95" s="93"/>
      <c r="I95" s="93"/>
      <c r="J95" s="93"/>
      <c r="K95" s="93"/>
      <c r="L95" s="93"/>
      <c r="M95" s="93"/>
      <c r="N95" s="93"/>
      <c r="O95" s="93"/>
      <c r="P95" s="93"/>
      <c r="Q95" s="93"/>
      <c r="R95" s="93"/>
      <c r="S95" s="93"/>
    </row>
    <row r="96" spans="1:20" s="2" customFormat="1" ht="30" customHeight="1" x14ac:dyDescent="0.25">
      <c r="A96" s="115" t="s">
        <v>752</v>
      </c>
      <c r="B96" s="116"/>
      <c r="C96" s="116"/>
      <c r="D96" s="116"/>
      <c r="E96" s="116"/>
      <c r="F96" s="116"/>
      <c r="G96" s="116"/>
      <c r="H96" s="116"/>
      <c r="I96" s="116"/>
      <c r="J96" s="116"/>
      <c r="K96" s="116"/>
      <c r="L96" s="116"/>
      <c r="M96" s="116"/>
      <c r="N96" s="116"/>
      <c r="O96" s="116"/>
      <c r="P96" s="116"/>
      <c r="Q96" s="116"/>
      <c r="R96" s="116"/>
      <c r="S96" s="116"/>
    </row>
    <row r="97" spans="1:20" s="1" customFormat="1" ht="7.05" customHeight="1" x14ac:dyDescent="0.25">
      <c r="A97" s="86"/>
      <c r="B97" s="86"/>
      <c r="C97" s="86"/>
      <c r="D97" s="86"/>
      <c r="E97" s="86"/>
      <c r="F97" s="86"/>
      <c r="G97" s="86"/>
      <c r="H97" s="86"/>
      <c r="I97" s="86"/>
      <c r="J97" s="86"/>
      <c r="K97" s="86"/>
      <c r="L97" s="86"/>
      <c r="M97" s="86"/>
      <c r="N97" s="86"/>
      <c r="O97" s="86"/>
      <c r="P97" s="86"/>
      <c r="Q97" s="16"/>
      <c r="R97" s="86"/>
      <c r="S97" s="86"/>
      <c r="T97" s="86"/>
    </row>
    <row r="98" spans="1:20" s="1" customFormat="1" ht="16.95" customHeight="1" x14ac:dyDescent="0.25">
      <c r="A98" s="94" t="s">
        <v>8</v>
      </c>
      <c r="B98" s="94"/>
      <c r="C98" s="94"/>
      <c r="D98" s="94"/>
      <c r="E98" s="94"/>
      <c r="F98" s="94"/>
      <c r="G98" s="94"/>
      <c r="H98" s="94"/>
      <c r="I98" s="94"/>
      <c r="J98" s="94"/>
      <c r="K98" s="94"/>
      <c r="L98" s="94"/>
      <c r="M98" s="95" t="s">
        <v>9</v>
      </c>
      <c r="N98" s="95"/>
      <c r="O98" s="95"/>
      <c r="P98" s="95"/>
      <c r="Q98" s="95"/>
      <c r="R98" s="95"/>
      <c r="S98" s="95"/>
      <c r="T98" s="95"/>
    </row>
    <row r="99" spans="1:20" s="1" customFormat="1" ht="16.95" customHeight="1" x14ac:dyDescent="0.25">
      <c r="A99" s="94"/>
      <c r="B99" s="94"/>
      <c r="C99" s="94"/>
      <c r="D99" s="94"/>
      <c r="E99" s="94"/>
      <c r="F99" s="94"/>
      <c r="G99" s="94"/>
      <c r="H99" s="94"/>
      <c r="I99" s="94"/>
      <c r="J99" s="94"/>
      <c r="K99" s="94"/>
      <c r="L99" s="94"/>
      <c r="M99" s="96" t="s">
        <v>10</v>
      </c>
      <c r="N99" s="96"/>
      <c r="O99" s="96"/>
      <c r="P99" s="96"/>
      <c r="Q99" s="97" t="s">
        <v>11</v>
      </c>
      <c r="R99" s="97"/>
      <c r="S99" s="97"/>
      <c r="T99" s="97"/>
    </row>
    <row r="100" spans="1:20" s="1" customFormat="1" ht="16.95" customHeight="1" x14ac:dyDescent="0.25">
      <c r="A100" s="94"/>
      <c r="B100" s="94"/>
      <c r="C100" s="94"/>
      <c r="D100" s="94"/>
      <c r="E100" s="94"/>
      <c r="F100" s="94"/>
      <c r="G100" s="94"/>
      <c r="H100" s="94"/>
      <c r="I100" s="94"/>
      <c r="J100" s="94"/>
      <c r="K100" s="94"/>
      <c r="L100" s="94"/>
      <c r="M100" s="98" t="s">
        <v>12</v>
      </c>
      <c r="N100" s="98"/>
      <c r="O100" s="98" t="s">
        <v>13</v>
      </c>
      <c r="P100" s="98"/>
      <c r="Q100" s="13" t="s">
        <v>14</v>
      </c>
      <c r="R100" s="99" t="s">
        <v>15</v>
      </c>
      <c r="S100" s="99"/>
      <c r="T100" s="99"/>
    </row>
    <row r="101" spans="1:20" s="1" customFormat="1" ht="13.35" customHeight="1" x14ac:dyDescent="0.25">
      <c r="A101" s="139" t="s">
        <v>155</v>
      </c>
      <c r="B101" s="139"/>
      <c r="C101" s="139"/>
      <c r="D101" s="139"/>
      <c r="E101" s="139"/>
      <c r="F101" s="139"/>
      <c r="G101" s="139"/>
      <c r="H101" s="139"/>
      <c r="I101" s="139"/>
      <c r="J101" s="139"/>
      <c r="K101" s="139"/>
      <c r="L101" s="139"/>
      <c r="M101" s="139">
        <v>73.349999999999994</v>
      </c>
      <c r="N101" s="139"/>
      <c r="O101" s="139">
        <f>51*200/150</f>
        <v>68</v>
      </c>
      <c r="P101" s="139"/>
      <c r="Q101" s="31">
        <v>7.33</v>
      </c>
      <c r="R101" s="139">
        <v>6.8</v>
      </c>
      <c r="S101" s="139"/>
      <c r="T101" s="139"/>
    </row>
    <row r="102" spans="1:20" s="1" customFormat="1" ht="13.35" customHeight="1" x14ac:dyDescent="0.25">
      <c r="A102" s="139" t="s">
        <v>195</v>
      </c>
      <c r="B102" s="139"/>
      <c r="C102" s="139"/>
      <c r="D102" s="139"/>
      <c r="E102" s="139"/>
      <c r="F102" s="139"/>
      <c r="G102" s="139"/>
      <c r="H102" s="139"/>
      <c r="I102" s="139"/>
      <c r="J102" s="139"/>
      <c r="K102" s="139"/>
      <c r="L102" s="139"/>
      <c r="M102" s="139">
        <f>30*200/150</f>
        <v>40</v>
      </c>
      <c r="N102" s="139"/>
      <c r="O102" s="139">
        <v>39.5</v>
      </c>
      <c r="P102" s="139"/>
      <c r="Q102" s="31">
        <v>4</v>
      </c>
      <c r="R102" s="139">
        <v>3.95</v>
      </c>
      <c r="S102" s="139"/>
      <c r="T102" s="139"/>
    </row>
    <row r="103" spans="1:20" s="1" customFormat="1" ht="13.35" customHeight="1" x14ac:dyDescent="0.25">
      <c r="A103" s="139" t="s">
        <v>21</v>
      </c>
      <c r="B103" s="139"/>
      <c r="C103" s="139"/>
      <c r="D103" s="139"/>
      <c r="E103" s="139"/>
      <c r="F103" s="139"/>
      <c r="G103" s="139"/>
      <c r="H103" s="139"/>
      <c r="I103" s="139"/>
      <c r="J103" s="139"/>
      <c r="K103" s="139"/>
      <c r="L103" s="139"/>
      <c r="M103" s="139">
        <v>57.35</v>
      </c>
      <c r="N103" s="139"/>
      <c r="O103" s="139">
        <v>48.5</v>
      </c>
      <c r="P103" s="139"/>
      <c r="Q103" s="31">
        <v>5.73</v>
      </c>
      <c r="R103" s="139">
        <v>4.8499999999999996</v>
      </c>
      <c r="S103" s="139"/>
      <c r="T103" s="139"/>
    </row>
    <row r="104" spans="1:20" s="1" customFormat="1" ht="13.35" customHeight="1" x14ac:dyDescent="0.25">
      <c r="A104" s="139" t="s">
        <v>61</v>
      </c>
      <c r="B104" s="139"/>
      <c r="C104" s="139"/>
      <c r="D104" s="139"/>
      <c r="E104" s="139"/>
      <c r="F104" s="139"/>
      <c r="G104" s="139"/>
      <c r="H104" s="139"/>
      <c r="I104" s="139"/>
      <c r="J104" s="139"/>
      <c r="K104" s="139"/>
      <c r="L104" s="139"/>
      <c r="M104" s="139">
        <v>5.33</v>
      </c>
      <c r="N104" s="139"/>
      <c r="O104" s="139">
        <v>5.33</v>
      </c>
      <c r="P104" s="139"/>
      <c r="Q104" s="31">
        <v>0.53</v>
      </c>
      <c r="R104" s="139">
        <v>0.53</v>
      </c>
      <c r="S104" s="139"/>
      <c r="T104" s="139"/>
    </row>
    <row r="105" spans="1:20" s="1" customFormat="1" ht="13.35" customHeight="1" x14ac:dyDescent="0.25">
      <c r="A105" s="139" t="s">
        <v>183</v>
      </c>
      <c r="B105" s="139"/>
      <c r="C105" s="139"/>
      <c r="D105" s="139"/>
      <c r="E105" s="139"/>
      <c r="F105" s="139"/>
      <c r="G105" s="139"/>
      <c r="H105" s="139"/>
      <c r="I105" s="139"/>
      <c r="J105" s="139"/>
      <c r="K105" s="139"/>
      <c r="L105" s="139"/>
      <c r="M105" s="139" t="s">
        <v>825</v>
      </c>
      <c r="N105" s="139"/>
      <c r="O105" s="139">
        <f>0.26*40</f>
        <v>10.4</v>
      </c>
      <c r="P105" s="139"/>
      <c r="Q105" s="31" t="s">
        <v>826</v>
      </c>
      <c r="R105" s="139">
        <v>1.17</v>
      </c>
      <c r="S105" s="139"/>
      <c r="T105" s="139"/>
    </row>
    <row r="106" spans="1:20" s="1" customFormat="1" ht="13.35" customHeight="1" x14ac:dyDescent="0.25">
      <c r="A106" s="139" t="s">
        <v>183</v>
      </c>
      <c r="B106" s="139"/>
      <c r="C106" s="139"/>
      <c r="D106" s="139"/>
      <c r="E106" s="139"/>
      <c r="F106" s="139"/>
      <c r="G106" s="139"/>
      <c r="H106" s="139"/>
      <c r="I106" s="139"/>
      <c r="J106" s="139"/>
      <c r="K106" s="139"/>
      <c r="L106" s="139"/>
      <c r="M106" s="139" t="s">
        <v>827</v>
      </c>
      <c r="N106" s="139"/>
      <c r="O106" s="139">
        <f>0.08*40</f>
        <v>3.2</v>
      </c>
      <c r="P106" s="139"/>
      <c r="Q106" s="31" t="s">
        <v>828</v>
      </c>
      <c r="R106" s="139">
        <v>0.36</v>
      </c>
      <c r="S106" s="139"/>
      <c r="T106" s="139"/>
    </row>
    <row r="107" spans="1:20" s="1" customFormat="1" ht="13.35" customHeight="1" x14ac:dyDescent="0.25">
      <c r="A107" s="131" t="s">
        <v>199</v>
      </c>
      <c r="B107" s="131"/>
      <c r="C107" s="131"/>
      <c r="D107" s="131"/>
      <c r="E107" s="131"/>
      <c r="F107" s="131"/>
      <c r="G107" s="131"/>
      <c r="H107" s="131"/>
      <c r="I107" s="131"/>
      <c r="J107" s="131"/>
      <c r="K107" s="131"/>
      <c r="L107" s="131"/>
      <c r="M107" s="131"/>
      <c r="N107" s="131"/>
      <c r="O107" s="131" t="s">
        <v>85</v>
      </c>
      <c r="P107" s="131"/>
      <c r="Q107" s="15"/>
      <c r="R107" s="131" t="s">
        <v>77</v>
      </c>
      <c r="S107" s="131"/>
      <c r="T107" s="131"/>
    </row>
    <row r="108" spans="1:20" s="1" customFormat="1" ht="13.35" customHeight="1" x14ac:dyDescent="0.25">
      <c r="A108" s="88" t="s">
        <v>18</v>
      </c>
      <c r="B108" s="88"/>
      <c r="C108" s="88"/>
      <c r="D108" s="88"/>
      <c r="E108" s="88"/>
      <c r="F108" s="88"/>
      <c r="G108" s="88"/>
      <c r="H108" s="88"/>
      <c r="I108" s="88"/>
      <c r="J108" s="88"/>
      <c r="K108" s="88"/>
      <c r="L108" s="88"/>
      <c r="M108" s="88" t="s">
        <v>200</v>
      </c>
      <c r="N108" s="88"/>
      <c r="O108" s="88" t="s">
        <v>200</v>
      </c>
      <c r="P108" s="88"/>
      <c r="Q108" s="6" t="s">
        <v>201</v>
      </c>
      <c r="R108" s="88" t="s">
        <v>201</v>
      </c>
      <c r="S108" s="88"/>
      <c r="T108" s="88"/>
    </row>
    <row r="109" spans="1:20" s="1" customFormat="1" ht="13.35" customHeight="1" x14ac:dyDescent="0.25">
      <c r="A109" s="88" t="s">
        <v>114</v>
      </c>
      <c r="B109" s="88"/>
      <c r="C109" s="88"/>
      <c r="D109" s="88"/>
      <c r="E109" s="88"/>
      <c r="F109" s="88"/>
      <c r="G109" s="88"/>
      <c r="H109" s="88"/>
      <c r="I109" s="88"/>
      <c r="J109" s="88"/>
      <c r="K109" s="88"/>
      <c r="L109" s="88"/>
      <c r="M109" s="88" t="s">
        <v>202</v>
      </c>
      <c r="N109" s="88"/>
      <c r="O109" s="88" t="s">
        <v>202</v>
      </c>
      <c r="P109" s="88"/>
      <c r="Q109" s="6" t="s">
        <v>203</v>
      </c>
      <c r="R109" s="88" t="s">
        <v>203</v>
      </c>
      <c r="S109" s="88"/>
      <c r="T109" s="88"/>
    </row>
    <row r="110" spans="1:20" s="1" customFormat="1" ht="13.35" customHeight="1" x14ac:dyDescent="0.25">
      <c r="A110" s="88" t="s">
        <v>100</v>
      </c>
      <c r="B110" s="88"/>
      <c r="C110" s="88"/>
      <c r="D110" s="88"/>
      <c r="E110" s="88"/>
      <c r="F110" s="88"/>
      <c r="G110" s="88"/>
      <c r="H110" s="88"/>
      <c r="I110" s="88"/>
      <c r="J110" s="88"/>
      <c r="K110" s="88"/>
      <c r="L110" s="88"/>
      <c r="M110" s="88" t="s">
        <v>204</v>
      </c>
      <c r="N110" s="88"/>
      <c r="O110" s="88" t="s">
        <v>205</v>
      </c>
      <c r="P110" s="88"/>
      <c r="Q110" s="6" t="s">
        <v>206</v>
      </c>
      <c r="R110" s="88" t="s">
        <v>207</v>
      </c>
      <c r="S110" s="88"/>
      <c r="T110" s="88"/>
    </row>
    <row r="111" spans="1:20" s="1" customFormat="1" ht="13.35" customHeight="1" x14ac:dyDescent="0.25">
      <c r="A111" s="88" t="s">
        <v>21</v>
      </c>
      <c r="B111" s="88"/>
      <c r="C111" s="88"/>
      <c r="D111" s="88"/>
      <c r="E111" s="88"/>
      <c r="F111" s="88"/>
      <c r="G111" s="88"/>
      <c r="H111" s="88"/>
      <c r="I111" s="88"/>
      <c r="J111" s="88"/>
      <c r="K111" s="88"/>
      <c r="L111" s="88"/>
      <c r="M111" s="88" t="s">
        <v>208</v>
      </c>
      <c r="N111" s="88"/>
      <c r="O111" s="88" t="s">
        <v>68</v>
      </c>
      <c r="P111" s="88"/>
      <c r="Q111" s="6" t="s">
        <v>209</v>
      </c>
      <c r="R111" s="88" t="s">
        <v>69</v>
      </c>
      <c r="S111" s="88"/>
      <c r="T111" s="88"/>
    </row>
    <row r="112" spans="1:20" s="1" customFormat="1" ht="13.35" customHeight="1" x14ac:dyDescent="0.25">
      <c r="A112" s="88" t="s">
        <v>28</v>
      </c>
      <c r="B112" s="88"/>
      <c r="C112" s="88"/>
      <c r="D112" s="88"/>
      <c r="E112" s="88"/>
      <c r="F112" s="88"/>
      <c r="G112" s="88"/>
      <c r="H112" s="88"/>
      <c r="I112" s="88"/>
      <c r="J112" s="88"/>
      <c r="K112" s="88"/>
      <c r="L112" s="88"/>
      <c r="M112" s="88" t="s">
        <v>63</v>
      </c>
      <c r="N112" s="88"/>
      <c r="O112" s="88" t="s">
        <v>63</v>
      </c>
      <c r="P112" s="88"/>
      <c r="Q112" s="6" t="s">
        <v>210</v>
      </c>
      <c r="R112" s="88" t="s">
        <v>210</v>
      </c>
      <c r="S112" s="88"/>
      <c r="T112" s="88"/>
    </row>
    <row r="113" spans="1:20" s="1" customFormat="1" ht="13.35" customHeight="1" x14ac:dyDescent="0.25">
      <c r="A113" s="88" t="s">
        <v>25</v>
      </c>
      <c r="B113" s="88"/>
      <c r="C113" s="88"/>
      <c r="D113" s="88"/>
      <c r="E113" s="88"/>
      <c r="F113" s="88"/>
      <c r="G113" s="88"/>
      <c r="H113" s="88"/>
      <c r="I113" s="88"/>
      <c r="J113" s="88"/>
      <c r="K113" s="88"/>
      <c r="L113" s="88"/>
      <c r="M113" s="88" t="s">
        <v>77</v>
      </c>
      <c r="N113" s="88"/>
      <c r="O113" s="88" t="s">
        <v>77</v>
      </c>
      <c r="P113" s="88"/>
      <c r="Q113" s="6" t="s">
        <v>79</v>
      </c>
      <c r="R113" s="88" t="s">
        <v>79</v>
      </c>
      <c r="S113" s="88"/>
      <c r="T113" s="88"/>
    </row>
    <row r="114" spans="1:20" s="1" customFormat="1" ht="13.35" customHeight="1" x14ac:dyDescent="0.25">
      <c r="A114" s="88" t="s">
        <v>70</v>
      </c>
      <c r="B114" s="88"/>
      <c r="C114" s="88"/>
      <c r="D114" s="88"/>
      <c r="E114" s="88"/>
      <c r="F114" s="88"/>
      <c r="G114" s="88"/>
      <c r="H114" s="88"/>
      <c r="I114" s="88"/>
      <c r="J114" s="88"/>
      <c r="K114" s="88"/>
      <c r="L114" s="88"/>
      <c r="M114" s="88" t="s">
        <v>63</v>
      </c>
      <c r="N114" s="88"/>
      <c r="O114" s="88" t="s">
        <v>63</v>
      </c>
      <c r="P114" s="88"/>
      <c r="Q114" s="6" t="s">
        <v>210</v>
      </c>
      <c r="R114" s="88" t="s">
        <v>210</v>
      </c>
      <c r="S114" s="88"/>
      <c r="T114" s="88"/>
    </row>
    <row r="115" spans="1:20" s="1" customFormat="1" ht="13.35" customHeight="1" x14ac:dyDescent="0.25">
      <c r="A115" s="88" t="s">
        <v>109</v>
      </c>
      <c r="B115" s="88"/>
      <c r="C115" s="88"/>
      <c r="D115" s="88"/>
      <c r="E115" s="88"/>
      <c r="F115" s="88"/>
      <c r="G115" s="88"/>
      <c r="H115" s="88"/>
      <c r="I115" s="88"/>
      <c r="J115" s="88"/>
      <c r="K115" s="88"/>
      <c r="L115" s="88"/>
      <c r="M115" s="88" t="s">
        <v>63</v>
      </c>
      <c r="N115" s="88"/>
      <c r="O115" s="88" t="s">
        <v>63</v>
      </c>
      <c r="P115" s="88"/>
      <c r="Q115" s="6" t="s">
        <v>210</v>
      </c>
      <c r="R115" s="88" t="s">
        <v>210</v>
      </c>
      <c r="S115" s="88"/>
      <c r="T115" s="88"/>
    </row>
    <row r="116" spans="1:20" s="1" customFormat="1" ht="14.1" customHeight="1" x14ac:dyDescent="0.25">
      <c r="A116" s="90" t="s">
        <v>815</v>
      </c>
      <c r="B116" s="90"/>
      <c r="C116" s="90"/>
      <c r="D116" s="90"/>
      <c r="E116" s="90"/>
      <c r="F116" s="90"/>
      <c r="G116" s="90"/>
      <c r="H116" s="90"/>
      <c r="I116" s="90"/>
      <c r="J116" s="90"/>
      <c r="K116" s="90"/>
      <c r="L116" s="90"/>
      <c r="M116" s="90"/>
      <c r="N116" s="90"/>
      <c r="O116" s="90"/>
      <c r="P116" s="90"/>
      <c r="Q116" s="90"/>
      <c r="R116" s="90"/>
      <c r="S116" s="90"/>
      <c r="T116" s="90"/>
    </row>
    <row r="117" spans="1:20" s="1" customFormat="1" ht="21.3" customHeight="1" x14ac:dyDescent="0.25"/>
    <row r="118" spans="1:20" s="1" customFormat="1" ht="14.1" customHeight="1" x14ac:dyDescent="0.25">
      <c r="A118" s="91" t="s">
        <v>33</v>
      </c>
      <c r="B118" s="91"/>
      <c r="C118" s="91"/>
      <c r="D118" s="91"/>
      <c r="E118" s="91"/>
      <c r="F118" s="91"/>
      <c r="G118" s="91"/>
      <c r="H118" s="91"/>
      <c r="I118" s="91"/>
      <c r="J118" s="91"/>
      <c r="K118" s="91"/>
      <c r="L118" s="91"/>
      <c r="M118" s="91"/>
      <c r="N118" s="91"/>
    </row>
    <row r="119" spans="1:20" s="1" customFormat="1" ht="13.35" customHeight="1" x14ac:dyDescent="0.25">
      <c r="A119" s="88" t="s">
        <v>34</v>
      </c>
      <c r="B119" s="88"/>
      <c r="C119" s="88"/>
      <c r="D119" s="88"/>
      <c r="E119" s="89">
        <f>7.3*220/150</f>
        <v>10.706666666666667</v>
      </c>
      <c r="F119" s="89"/>
      <c r="G119" s="17"/>
      <c r="H119" s="6" t="s">
        <v>35</v>
      </c>
      <c r="I119" s="89">
        <v>0.12</v>
      </c>
      <c r="J119" s="89"/>
      <c r="K119" s="17"/>
      <c r="L119" s="88" t="s">
        <v>36</v>
      </c>
      <c r="M119" s="88"/>
      <c r="N119" s="89">
        <v>24.51</v>
      </c>
      <c r="O119" s="89"/>
    </row>
    <row r="120" spans="1:20" s="1" customFormat="1" ht="13.35" customHeight="1" x14ac:dyDescent="0.25">
      <c r="A120" s="88" t="s">
        <v>37</v>
      </c>
      <c r="B120" s="88"/>
      <c r="C120" s="88"/>
      <c r="D120" s="88"/>
      <c r="E120" s="89">
        <f>6.9*220/150</f>
        <v>10.119999999999999</v>
      </c>
      <c r="F120" s="89"/>
      <c r="G120" s="17"/>
      <c r="H120" s="6" t="s">
        <v>38</v>
      </c>
      <c r="I120" s="89">
        <v>7.7</v>
      </c>
      <c r="J120" s="89"/>
      <c r="K120" s="17"/>
      <c r="L120" s="88" t="s">
        <v>39</v>
      </c>
      <c r="M120" s="88"/>
      <c r="N120" s="89">
        <v>25.84</v>
      </c>
      <c r="O120" s="89"/>
    </row>
    <row r="121" spans="1:20" s="1" customFormat="1" ht="13.35" customHeight="1" x14ac:dyDescent="0.25">
      <c r="A121" s="88" t="s">
        <v>40</v>
      </c>
      <c r="B121" s="88"/>
      <c r="C121" s="88"/>
      <c r="D121" s="88"/>
      <c r="E121" s="89">
        <f>20.8*220/150</f>
        <v>30.506666666666668</v>
      </c>
      <c r="F121" s="89"/>
      <c r="G121" s="17"/>
      <c r="H121" s="6" t="s">
        <v>41</v>
      </c>
      <c r="I121" s="89">
        <v>2.9</v>
      </c>
      <c r="J121" s="89"/>
      <c r="K121" s="17"/>
      <c r="L121" s="88" t="s">
        <v>42</v>
      </c>
      <c r="M121" s="88"/>
      <c r="N121" s="89">
        <v>184.92</v>
      </c>
      <c r="O121" s="89"/>
    </row>
    <row r="122" spans="1:20" s="1" customFormat="1" ht="13.35" customHeight="1" x14ac:dyDescent="0.25">
      <c r="A122" s="88" t="s">
        <v>43</v>
      </c>
      <c r="B122" s="88"/>
      <c r="C122" s="88"/>
      <c r="D122" s="88"/>
      <c r="E122" s="89">
        <f>199.7*220/150</f>
        <v>292.89333333333332</v>
      </c>
      <c r="F122" s="89"/>
      <c r="G122" s="17"/>
      <c r="H122" s="6" t="s">
        <v>44</v>
      </c>
      <c r="I122" s="89">
        <v>2.36</v>
      </c>
      <c r="J122" s="89"/>
      <c r="K122" s="17"/>
      <c r="L122" s="88" t="s">
        <v>45</v>
      </c>
      <c r="M122" s="88"/>
      <c r="N122" s="89">
        <v>3.37</v>
      </c>
      <c r="O122" s="89"/>
    </row>
    <row r="123" spans="1:20" s="1" customFormat="1" ht="13.35" customHeight="1" x14ac:dyDescent="0.25">
      <c r="A123" s="87"/>
      <c r="B123" s="87"/>
      <c r="C123" s="87"/>
      <c r="D123" s="87"/>
      <c r="E123" s="87"/>
      <c r="F123" s="87"/>
      <c r="G123" s="17"/>
      <c r="H123" s="6" t="s">
        <v>46</v>
      </c>
      <c r="I123" s="89">
        <v>0.26</v>
      </c>
      <c r="J123" s="89"/>
      <c r="K123" s="17"/>
      <c r="L123" s="88" t="s">
        <v>47</v>
      </c>
      <c r="M123" s="88"/>
      <c r="N123" s="89">
        <v>249.5</v>
      </c>
      <c r="O123" s="89"/>
    </row>
    <row r="124" spans="1:20" s="1" customFormat="1" ht="13.35" customHeight="1" x14ac:dyDescent="0.25">
      <c r="A124" s="87"/>
      <c r="B124" s="87"/>
      <c r="C124" s="87"/>
      <c r="D124" s="87"/>
      <c r="E124" s="87"/>
      <c r="F124" s="87"/>
      <c r="G124" s="17"/>
      <c r="H124" s="6" t="s">
        <v>48</v>
      </c>
      <c r="I124" s="89">
        <v>0.74</v>
      </c>
      <c r="J124" s="89"/>
      <c r="K124" s="17"/>
      <c r="L124" s="88" t="s">
        <v>49</v>
      </c>
      <c r="M124" s="88"/>
      <c r="N124" s="89">
        <v>6.45</v>
      </c>
      <c r="O124" s="89"/>
    </row>
    <row r="125" spans="1:20" s="1" customFormat="1" ht="13.35" customHeight="1" x14ac:dyDescent="0.25">
      <c r="A125" s="87"/>
      <c r="B125" s="87"/>
      <c r="C125" s="87"/>
      <c r="D125" s="87"/>
      <c r="E125" s="87"/>
      <c r="F125" s="87"/>
      <c r="G125" s="17"/>
      <c r="H125" s="17"/>
      <c r="I125" s="87"/>
      <c r="J125" s="87"/>
      <c r="K125" s="17"/>
      <c r="L125" s="88" t="s">
        <v>50</v>
      </c>
      <c r="M125" s="88"/>
      <c r="N125" s="89">
        <v>0.1</v>
      </c>
      <c r="O125" s="89"/>
    </row>
    <row r="126" spans="1:20" s="1" customFormat="1" ht="13.35" customHeight="1" x14ac:dyDescent="0.25">
      <c r="A126" s="87"/>
      <c r="B126" s="87"/>
      <c r="C126" s="87"/>
      <c r="D126" s="87"/>
      <c r="E126" s="87"/>
      <c r="F126" s="87"/>
      <c r="G126" s="17"/>
      <c r="H126" s="17"/>
      <c r="I126" s="87"/>
      <c r="J126" s="87"/>
      <c r="K126" s="17"/>
      <c r="L126" s="88" t="s">
        <v>51</v>
      </c>
      <c r="M126" s="88"/>
      <c r="N126" s="89">
        <v>0.02</v>
      </c>
      <c r="O126" s="89"/>
    </row>
    <row r="127" spans="1:20" s="1" customFormat="1" ht="14.1" customHeight="1" x14ac:dyDescent="0.25">
      <c r="A127" s="86"/>
      <c r="B127" s="86"/>
      <c r="C127" s="86"/>
      <c r="D127" s="86"/>
      <c r="E127" s="86"/>
      <c r="F127" s="86"/>
      <c r="G127" s="86"/>
      <c r="H127" s="86"/>
      <c r="I127" s="86"/>
      <c r="J127" s="86"/>
      <c r="K127" s="86"/>
      <c r="L127" s="86"/>
      <c r="M127" s="86"/>
      <c r="N127" s="86"/>
      <c r="O127" s="86"/>
      <c r="P127" s="86"/>
      <c r="Q127" s="86"/>
      <c r="R127" s="86"/>
      <c r="S127" s="86"/>
    </row>
    <row r="128" spans="1:20" s="1" customFormat="1" ht="14.1" customHeight="1" x14ac:dyDescent="0.25">
      <c r="A128" s="84" t="s">
        <v>52</v>
      </c>
      <c r="B128" s="84"/>
      <c r="C128" s="84"/>
      <c r="D128" s="84"/>
      <c r="E128" s="84"/>
      <c r="F128" s="84"/>
      <c r="G128" s="84"/>
      <c r="H128" s="84"/>
      <c r="I128" s="84"/>
      <c r="J128" s="84"/>
      <c r="K128" s="84"/>
      <c r="L128" s="84"/>
      <c r="M128" s="84"/>
      <c r="N128" s="84"/>
      <c r="O128" s="84"/>
      <c r="P128" s="84"/>
      <c r="Q128" s="84"/>
      <c r="R128" s="84"/>
      <c r="S128" s="84"/>
    </row>
    <row r="129" spans="1:19" s="1" customFormat="1" ht="150.44999999999999" customHeight="1" x14ac:dyDescent="0.25">
      <c r="A129" s="85" t="s">
        <v>211</v>
      </c>
      <c r="B129" s="85"/>
      <c r="C129" s="85"/>
      <c r="D129" s="85"/>
      <c r="E129" s="85"/>
      <c r="F129" s="85"/>
      <c r="G129" s="85"/>
      <c r="H129" s="85"/>
      <c r="I129" s="85"/>
      <c r="J129" s="85"/>
      <c r="K129" s="85"/>
      <c r="L129" s="85"/>
      <c r="M129" s="85"/>
      <c r="N129" s="85"/>
      <c r="O129" s="85"/>
      <c r="P129" s="85"/>
      <c r="Q129" s="85"/>
      <c r="R129" s="85"/>
      <c r="S129" s="85"/>
    </row>
    <row r="130" spans="1:19" s="1" customFormat="1" ht="14.1" customHeight="1" x14ac:dyDescent="0.25">
      <c r="A130" s="84" t="s">
        <v>54</v>
      </c>
      <c r="B130" s="84"/>
      <c r="C130" s="84"/>
      <c r="D130" s="84"/>
      <c r="E130" s="84"/>
      <c r="F130" s="84"/>
      <c r="G130" s="84"/>
      <c r="H130" s="84"/>
      <c r="I130" s="84"/>
      <c r="J130" s="84"/>
      <c r="K130" s="84"/>
      <c r="L130" s="84"/>
      <c r="M130" s="84"/>
      <c r="N130" s="84"/>
      <c r="O130" s="84"/>
      <c r="P130" s="84"/>
      <c r="Q130" s="84"/>
      <c r="R130" s="84"/>
      <c r="S130" s="84"/>
    </row>
    <row r="131" spans="1:19" s="1" customFormat="1" ht="12.45" customHeight="1" x14ac:dyDescent="0.25">
      <c r="A131" s="85" t="s">
        <v>729</v>
      </c>
      <c r="B131" s="85"/>
      <c r="C131" s="85"/>
      <c r="D131" s="85"/>
      <c r="E131" s="85"/>
      <c r="F131" s="85"/>
      <c r="G131" s="85"/>
      <c r="H131" s="85"/>
      <c r="I131" s="85"/>
      <c r="J131" s="85"/>
      <c r="K131" s="85"/>
      <c r="L131" s="85"/>
      <c r="M131" s="85"/>
      <c r="N131" s="85"/>
      <c r="O131" s="85"/>
      <c r="P131" s="85"/>
      <c r="Q131" s="85"/>
      <c r="R131" s="85"/>
      <c r="S131" s="85"/>
    </row>
    <row r="132" spans="1:19" s="1" customFormat="1" ht="14.1" customHeight="1" x14ac:dyDescent="0.25">
      <c r="A132" s="86"/>
      <c r="B132" s="86"/>
      <c r="C132" s="86"/>
      <c r="D132" s="86"/>
      <c r="E132" s="86"/>
      <c r="F132" s="86"/>
      <c r="G132" s="86"/>
      <c r="H132" s="86"/>
      <c r="I132" s="86"/>
      <c r="J132" s="86"/>
      <c r="K132" s="86"/>
      <c r="L132" s="86"/>
      <c r="M132" s="86"/>
      <c r="N132" s="86"/>
      <c r="O132" s="86"/>
      <c r="P132" s="86"/>
      <c r="Q132" s="86"/>
      <c r="R132" s="86"/>
      <c r="S132" s="86"/>
    </row>
    <row r="133" spans="1:19" s="1" customFormat="1" ht="14.1" customHeight="1" x14ac:dyDescent="0.25">
      <c r="A133" s="84" t="s">
        <v>56</v>
      </c>
      <c r="B133" s="84"/>
      <c r="C133" s="84"/>
      <c r="D133" s="84"/>
      <c r="E133" s="84"/>
      <c r="F133" s="84"/>
      <c r="G133" s="84"/>
      <c r="H133" s="84"/>
      <c r="I133" s="84"/>
      <c r="J133" s="84"/>
      <c r="K133" s="84"/>
      <c r="L133" s="84"/>
      <c r="M133" s="84"/>
      <c r="N133" s="84"/>
      <c r="O133" s="84"/>
      <c r="P133" s="84"/>
      <c r="Q133" s="84"/>
      <c r="R133" s="84"/>
      <c r="S133" s="84"/>
    </row>
    <row r="134" spans="1:19" s="1" customFormat="1" ht="58.5" customHeight="1" x14ac:dyDescent="0.25">
      <c r="A134" s="85" t="s">
        <v>193</v>
      </c>
      <c r="B134" s="85"/>
      <c r="C134" s="85"/>
      <c r="D134" s="85"/>
      <c r="E134" s="85"/>
      <c r="F134" s="85"/>
      <c r="G134" s="85"/>
      <c r="H134" s="85"/>
      <c r="I134" s="85"/>
      <c r="J134" s="85"/>
      <c r="K134" s="85"/>
      <c r="L134" s="85"/>
      <c r="M134" s="85"/>
      <c r="N134" s="85"/>
      <c r="O134" s="85"/>
      <c r="P134" s="85"/>
      <c r="Q134" s="85"/>
      <c r="R134" s="85"/>
      <c r="S134" s="85"/>
    </row>
  </sheetData>
  <mergeCells count="355">
    <mergeCell ref="A133:S133"/>
    <mergeCell ref="A134:S134"/>
    <mergeCell ref="A127:S127"/>
    <mergeCell ref="A128:S128"/>
    <mergeCell ref="A129:S129"/>
    <mergeCell ref="A130:S130"/>
    <mergeCell ref="A131:S131"/>
    <mergeCell ref="A132:S132"/>
    <mergeCell ref="A125:D125"/>
    <mergeCell ref="E125:F125"/>
    <mergeCell ref="I125:J125"/>
    <mergeCell ref="L125:M125"/>
    <mergeCell ref="N125:O125"/>
    <mergeCell ref="A126:D126"/>
    <mergeCell ref="E126:F126"/>
    <mergeCell ref="I126:J126"/>
    <mergeCell ref="L126:M126"/>
    <mergeCell ref="N126:O126"/>
    <mergeCell ref="A123:D123"/>
    <mergeCell ref="E123:F123"/>
    <mergeCell ref="I123:J123"/>
    <mergeCell ref="L123:M123"/>
    <mergeCell ref="N123:O123"/>
    <mergeCell ref="A124:D124"/>
    <mergeCell ref="E124:F124"/>
    <mergeCell ref="I124:J124"/>
    <mergeCell ref="L124:M124"/>
    <mergeCell ref="N124:O124"/>
    <mergeCell ref="A121:D121"/>
    <mergeCell ref="E121:F121"/>
    <mergeCell ref="I121:J121"/>
    <mergeCell ref="L121:M121"/>
    <mergeCell ref="N121:O121"/>
    <mergeCell ref="A122:D122"/>
    <mergeCell ref="E122:F122"/>
    <mergeCell ref="I122:J122"/>
    <mergeCell ref="L122:M122"/>
    <mergeCell ref="N122:O122"/>
    <mergeCell ref="A119:D119"/>
    <mergeCell ref="E119:F119"/>
    <mergeCell ref="I119:J119"/>
    <mergeCell ref="L119:M119"/>
    <mergeCell ref="N119:O119"/>
    <mergeCell ref="A120:D120"/>
    <mergeCell ref="E120:F120"/>
    <mergeCell ref="I120:J120"/>
    <mergeCell ref="L120:M120"/>
    <mergeCell ref="N120:O120"/>
    <mergeCell ref="A115:L115"/>
    <mergeCell ref="M115:N115"/>
    <mergeCell ref="O115:P115"/>
    <mergeCell ref="R115:T115"/>
    <mergeCell ref="A116:T116"/>
    <mergeCell ref="A118:N118"/>
    <mergeCell ref="A113:L113"/>
    <mergeCell ref="M113:N113"/>
    <mergeCell ref="O113:P113"/>
    <mergeCell ref="R113:T113"/>
    <mergeCell ref="A114:L114"/>
    <mergeCell ref="M114:N114"/>
    <mergeCell ref="O114:P114"/>
    <mergeCell ref="R114:T114"/>
    <mergeCell ref="A111:L111"/>
    <mergeCell ref="M111:N111"/>
    <mergeCell ref="O111:P111"/>
    <mergeCell ref="R111:T111"/>
    <mergeCell ref="A112:L112"/>
    <mergeCell ref="M112:N112"/>
    <mergeCell ref="O112:P112"/>
    <mergeCell ref="R112:T112"/>
    <mergeCell ref="A109:L109"/>
    <mergeCell ref="M109:N109"/>
    <mergeCell ref="O109:P109"/>
    <mergeCell ref="R109:T109"/>
    <mergeCell ref="A110:L110"/>
    <mergeCell ref="M110:N110"/>
    <mergeCell ref="O110:P110"/>
    <mergeCell ref="R110:T110"/>
    <mergeCell ref="A107:L107"/>
    <mergeCell ref="M107:N107"/>
    <mergeCell ref="O107:P107"/>
    <mergeCell ref="R107:T107"/>
    <mergeCell ref="A108:L108"/>
    <mergeCell ref="M108:N108"/>
    <mergeCell ref="O108:P108"/>
    <mergeCell ref="R108:T108"/>
    <mergeCell ref="A105:L105"/>
    <mergeCell ref="M105:N105"/>
    <mergeCell ref="O105:P105"/>
    <mergeCell ref="R105:T105"/>
    <mergeCell ref="A106:L106"/>
    <mergeCell ref="M106:N106"/>
    <mergeCell ref="O106:P106"/>
    <mergeCell ref="R106:T106"/>
    <mergeCell ref="A103:L103"/>
    <mergeCell ref="M103:N103"/>
    <mergeCell ref="O103:P103"/>
    <mergeCell ref="R103:T103"/>
    <mergeCell ref="A104:L104"/>
    <mergeCell ref="M104:N104"/>
    <mergeCell ref="O104:P104"/>
    <mergeCell ref="R104:T104"/>
    <mergeCell ref="R100:T100"/>
    <mergeCell ref="A101:L101"/>
    <mergeCell ref="M101:N101"/>
    <mergeCell ref="O101:P101"/>
    <mergeCell ref="R101:T101"/>
    <mergeCell ref="A102:L102"/>
    <mergeCell ref="M102:N102"/>
    <mergeCell ref="O102:P102"/>
    <mergeCell ref="R102:T102"/>
    <mergeCell ref="A97:L97"/>
    <mergeCell ref="M97:N97"/>
    <mergeCell ref="O97:P97"/>
    <mergeCell ref="R97:T97"/>
    <mergeCell ref="A98:L100"/>
    <mergeCell ref="M98:T98"/>
    <mergeCell ref="M99:P99"/>
    <mergeCell ref="Q99:T99"/>
    <mergeCell ref="M100:N100"/>
    <mergeCell ref="O100:P100"/>
    <mergeCell ref="A92:B92"/>
    <mergeCell ref="C92:T92"/>
    <mergeCell ref="A93:E93"/>
    <mergeCell ref="F93:T93"/>
    <mergeCell ref="A95:S95"/>
    <mergeCell ref="A96:S96"/>
    <mergeCell ref="A85:S85"/>
    <mergeCell ref="A86:S86"/>
    <mergeCell ref="J87:T87"/>
    <mergeCell ref="B89:R89"/>
    <mergeCell ref="A91:C91"/>
    <mergeCell ref="D91:T91"/>
    <mergeCell ref="A80:S80"/>
    <mergeCell ref="A81:S81"/>
    <mergeCell ref="A82:S82"/>
    <mergeCell ref="A83:S83"/>
    <mergeCell ref="A84:S84"/>
    <mergeCell ref="A77:D77"/>
    <mergeCell ref="E77:F77"/>
    <mergeCell ref="I77:J77"/>
    <mergeCell ref="L77:M77"/>
    <mergeCell ref="N77:O77"/>
    <mergeCell ref="A78:D78"/>
    <mergeCell ref="E78:F78"/>
    <mergeCell ref="I78:J78"/>
    <mergeCell ref="L78:M78"/>
    <mergeCell ref="N78:O78"/>
    <mergeCell ref="A79:D79"/>
    <mergeCell ref="E79:F79"/>
    <mergeCell ref="I79:J79"/>
    <mergeCell ref="L79:M79"/>
    <mergeCell ref="N79:O79"/>
    <mergeCell ref="A75:D75"/>
    <mergeCell ref="E75:F75"/>
    <mergeCell ref="I75:J75"/>
    <mergeCell ref="L75:M75"/>
    <mergeCell ref="N75:O75"/>
    <mergeCell ref="A76:D76"/>
    <mergeCell ref="E76:F76"/>
    <mergeCell ref="I76:J76"/>
    <mergeCell ref="L76:M76"/>
    <mergeCell ref="N76:O76"/>
    <mergeCell ref="A73:D73"/>
    <mergeCell ref="E73:F73"/>
    <mergeCell ref="I73:J73"/>
    <mergeCell ref="L73:M73"/>
    <mergeCell ref="N73:O73"/>
    <mergeCell ref="A74:D74"/>
    <mergeCell ref="E74:F74"/>
    <mergeCell ref="I74:J74"/>
    <mergeCell ref="L74:M74"/>
    <mergeCell ref="N74:O74"/>
    <mergeCell ref="A68:L68"/>
    <mergeCell ref="M68:N68"/>
    <mergeCell ref="O68:P68"/>
    <mergeCell ref="R68:T68"/>
    <mergeCell ref="A69:T69"/>
    <mergeCell ref="A72:D72"/>
    <mergeCell ref="E72:F72"/>
    <mergeCell ref="I72:J72"/>
    <mergeCell ref="L72:M72"/>
    <mergeCell ref="N72:O72"/>
    <mergeCell ref="A71:N71"/>
    <mergeCell ref="A63:L63"/>
    <mergeCell ref="M63:N63"/>
    <mergeCell ref="O63:P63"/>
    <mergeCell ref="R63:T63"/>
    <mergeCell ref="A64:L64"/>
    <mergeCell ref="M64:N64"/>
    <mergeCell ref="O64:P64"/>
    <mergeCell ref="R64:T64"/>
    <mergeCell ref="A67:L67"/>
    <mergeCell ref="M67:N67"/>
    <mergeCell ref="O67:P67"/>
    <mergeCell ref="R67:T67"/>
    <mergeCell ref="A65:L65"/>
    <mergeCell ref="M65:N65"/>
    <mergeCell ref="O65:P65"/>
    <mergeCell ref="R65:T65"/>
    <mergeCell ref="A66:L66"/>
    <mergeCell ref="M66:N66"/>
    <mergeCell ref="O66:P66"/>
    <mergeCell ref="R66:T66"/>
    <mergeCell ref="A61:L61"/>
    <mergeCell ref="M61:N61"/>
    <mergeCell ref="O61:P61"/>
    <mergeCell ref="R61:T61"/>
    <mergeCell ref="A62:L62"/>
    <mergeCell ref="M62:N62"/>
    <mergeCell ref="O62:P62"/>
    <mergeCell ref="R62:T62"/>
    <mergeCell ref="A59:L59"/>
    <mergeCell ref="M59:N59"/>
    <mergeCell ref="O59:P59"/>
    <mergeCell ref="R59:T59"/>
    <mergeCell ref="A60:L60"/>
    <mergeCell ref="M60:N60"/>
    <mergeCell ref="O60:P60"/>
    <mergeCell ref="R60:T60"/>
    <mergeCell ref="A56:L58"/>
    <mergeCell ref="M56:T56"/>
    <mergeCell ref="M57:P57"/>
    <mergeCell ref="Q57:T57"/>
    <mergeCell ref="M58:N58"/>
    <mergeCell ref="O58:P58"/>
    <mergeCell ref="R58:T58"/>
    <mergeCell ref="A51:E51"/>
    <mergeCell ref="F51:T51"/>
    <mergeCell ref="A52:S52"/>
    <mergeCell ref="A53:S53"/>
    <mergeCell ref="A55:L55"/>
    <mergeCell ref="M55:N55"/>
    <mergeCell ref="O55:P55"/>
    <mergeCell ref="R55:T55"/>
    <mergeCell ref="J45:T45"/>
    <mergeCell ref="B47:R47"/>
    <mergeCell ref="A49:C49"/>
    <mergeCell ref="D49:T49"/>
    <mergeCell ref="A50:B50"/>
    <mergeCell ref="C50:T50"/>
    <mergeCell ref="A38:S38"/>
    <mergeCell ref="A39:S39"/>
    <mergeCell ref="A40:S40"/>
    <mergeCell ref="A41:S41"/>
    <mergeCell ref="A42:S42"/>
    <mergeCell ref="A43:S43"/>
    <mergeCell ref="A36:D36"/>
    <mergeCell ref="E36:F36"/>
    <mergeCell ref="I36:J36"/>
    <mergeCell ref="L36:M36"/>
    <mergeCell ref="N36:O36"/>
    <mergeCell ref="A37:S37"/>
    <mergeCell ref="A34:D34"/>
    <mergeCell ref="E34:F34"/>
    <mergeCell ref="I34:J34"/>
    <mergeCell ref="L34:M34"/>
    <mergeCell ref="N34:O34"/>
    <mergeCell ref="A35:D35"/>
    <mergeCell ref="E35:F35"/>
    <mergeCell ref="I35:J35"/>
    <mergeCell ref="L35:M35"/>
    <mergeCell ref="N35:O35"/>
    <mergeCell ref="A32:D32"/>
    <mergeCell ref="E32:F32"/>
    <mergeCell ref="I32:J32"/>
    <mergeCell ref="L32:M32"/>
    <mergeCell ref="N32:O32"/>
    <mergeCell ref="A33:D33"/>
    <mergeCell ref="E33:F33"/>
    <mergeCell ref="I33:J33"/>
    <mergeCell ref="L33:M33"/>
    <mergeCell ref="N33:O33"/>
    <mergeCell ref="A30:D30"/>
    <mergeCell ref="E30:F30"/>
    <mergeCell ref="I30:J30"/>
    <mergeCell ref="L30:M30"/>
    <mergeCell ref="N30:O30"/>
    <mergeCell ref="A31:D31"/>
    <mergeCell ref="E31:F31"/>
    <mergeCell ref="I31:J31"/>
    <mergeCell ref="L31:M31"/>
    <mergeCell ref="N31:O31"/>
    <mergeCell ref="A26:T26"/>
    <mergeCell ref="A28:N28"/>
    <mergeCell ref="A29:D29"/>
    <mergeCell ref="E29:F29"/>
    <mergeCell ref="I29:J29"/>
    <mergeCell ref="L29:M29"/>
    <mergeCell ref="N29:O29"/>
    <mergeCell ref="A24:L24"/>
    <mergeCell ref="M24:N24"/>
    <mergeCell ref="O24:P24"/>
    <mergeCell ref="R24:T24"/>
    <mergeCell ref="A25:L25"/>
    <mergeCell ref="M25:N25"/>
    <mergeCell ref="O25:P25"/>
    <mergeCell ref="R25:T25"/>
    <mergeCell ref="A19:L19"/>
    <mergeCell ref="M19:N19"/>
    <mergeCell ref="O19:P19"/>
    <mergeCell ref="R19:T19"/>
    <mergeCell ref="A20:L20"/>
    <mergeCell ref="M20:N20"/>
    <mergeCell ref="O20:P20"/>
    <mergeCell ref="R20:T20"/>
    <mergeCell ref="A23:L23"/>
    <mergeCell ref="M23:N23"/>
    <mergeCell ref="O23:P23"/>
    <mergeCell ref="R23:T23"/>
    <mergeCell ref="A21:L21"/>
    <mergeCell ref="M21:N21"/>
    <mergeCell ref="O21:P21"/>
    <mergeCell ref="R21:T21"/>
    <mergeCell ref="A22:L22"/>
    <mergeCell ref="M22:N22"/>
    <mergeCell ref="O22:P22"/>
    <mergeCell ref="R22:T22"/>
    <mergeCell ref="A17:L17"/>
    <mergeCell ref="M17:N17"/>
    <mergeCell ref="O17:P17"/>
    <mergeCell ref="R17:T17"/>
    <mergeCell ref="A18:L18"/>
    <mergeCell ref="M18:N18"/>
    <mergeCell ref="O18:P18"/>
    <mergeCell ref="R18:T18"/>
    <mergeCell ref="A15:L15"/>
    <mergeCell ref="M15:N15"/>
    <mergeCell ref="O15:P15"/>
    <mergeCell ref="R15:T15"/>
    <mergeCell ref="A16:L16"/>
    <mergeCell ref="M16:N16"/>
    <mergeCell ref="O16:P16"/>
    <mergeCell ref="R16:T16"/>
    <mergeCell ref="J1:T1"/>
    <mergeCell ref="B3:R3"/>
    <mergeCell ref="A5:C5"/>
    <mergeCell ref="D5:T5"/>
    <mergeCell ref="A6:B6"/>
    <mergeCell ref="C6:T6"/>
    <mergeCell ref="A12:L14"/>
    <mergeCell ref="M12:T12"/>
    <mergeCell ref="M13:P13"/>
    <mergeCell ref="Q13:T13"/>
    <mergeCell ref="M14:N14"/>
    <mergeCell ref="O14:P14"/>
    <mergeCell ref="R14:T14"/>
    <mergeCell ref="A7:E7"/>
    <mergeCell ref="F7:T7"/>
    <mergeCell ref="A9:S9"/>
    <mergeCell ref="A10:S10"/>
    <mergeCell ref="A11:L11"/>
    <mergeCell ref="M11:N11"/>
    <mergeCell ref="O11:P11"/>
    <mergeCell ref="R11:T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5"/>
  <sheetViews>
    <sheetView topLeftCell="A4" workbookViewId="0">
      <selection activeCell="E24" sqref="E24:F24"/>
    </sheetView>
  </sheetViews>
  <sheetFormatPr defaultRowHeight="10.199999999999999" x14ac:dyDescent="0.2"/>
  <sheetData>
    <row r="1" spans="1:20" s="1" customFormat="1" ht="72.45" customHeight="1" x14ac:dyDescent="0.25">
      <c r="J1" s="100" t="s">
        <v>0</v>
      </c>
      <c r="K1" s="100"/>
      <c r="L1" s="100"/>
      <c r="M1" s="100"/>
      <c r="N1" s="100"/>
      <c r="O1" s="100"/>
      <c r="P1" s="100"/>
      <c r="Q1" s="100"/>
      <c r="R1" s="100"/>
      <c r="S1" s="100"/>
      <c r="T1" s="100"/>
    </row>
    <row r="2" spans="1:20" s="1" customFormat="1" ht="7.05" customHeight="1" x14ac:dyDescent="0.25"/>
    <row r="3" spans="1:20" s="1" customFormat="1" ht="14.1" customHeight="1" x14ac:dyDescent="0.25">
      <c r="B3" s="101" t="s">
        <v>212</v>
      </c>
      <c r="C3" s="101"/>
      <c r="D3" s="101"/>
      <c r="E3" s="101"/>
      <c r="F3" s="101"/>
      <c r="G3" s="101"/>
      <c r="H3" s="101"/>
      <c r="I3" s="101"/>
      <c r="J3" s="101"/>
      <c r="K3" s="101"/>
      <c r="L3" s="101"/>
      <c r="M3" s="101"/>
      <c r="N3" s="101"/>
      <c r="O3" s="101"/>
      <c r="P3" s="101"/>
      <c r="Q3" s="101"/>
      <c r="R3" s="101"/>
    </row>
    <row r="4" spans="1:20" s="1" customFormat="1" ht="14.1" customHeight="1" x14ac:dyDescent="0.25"/>
    <row r="5" spans="1:20" s="1" customFormat="1" ht="14.1" customHeight="1" x14ac:dyDescent="0.25">
      <c r="A5" s="102" t="s">
        <v>2</v>
      </c>
      <c r="B5" s="102"/>
      <c r="C5" s="102"/>
      <c r="D5" s="103" t="s">
        <v>814</v>
      </c>
      <c r="E5" s="103"/>
      <c r="F5" s="103"/>
      <c r="G5" s="103"/>
      <c r="H5" s="103"/>
      <c r="I5" s="103"/>
      <c r="J5" s="103"/>
      <c r="K5" s="103"/>
      <c r="L5" s="103"/>
      <c r="M5" s="103"/>
      <c r="N5" s="103"/>
      <c r="O5" s="103"/>
      <c r="P5" s="103"/>
      <c r="Q5" s="103"/>
      <c r="R5" s="103"/>
      <c r="S5" s="103"/>
      <c r="T5" s="103"/>
    </row>
    <row r="6" spans="1:20" s="1" customFormat="1" ht="14.1" customHeight="1" x14ac:dyDescent="0.25">
      <c r="A6" s="102" t="s">
        <v>4</v>
      </c>
      <c r="B6" s="102"/>
      <c r="C6" s="103" t="s">
        <v>213</v>
      </c>
      <c r="D6" s="103"/>
      <c r="E6" s="103"/>
      <c r="F6" s="103"/>
      <c r="G6" s="103"/>
      <c r="H6" s="103"/>
      <c r="I6" s="103"/>
      <c r="J6" s="103"/>
      <c r="K6" s="103"/>
      <c r="L6" s="103"/>
      <c r="M6" s="103"/>
      <c r="N6" s="103"/>
      <c r="O6" s="103"/>
      <c r="P6" s="103"/>
      <c r="Q6" s="103"/>
      <c r="R6" s="103"/>
      <c r="S6" s="103"/>
      <c r="T6" s="103"/>
    </row>
    <row r="7" spans="1:20" s="1" customFormat="1" ht="14.1" customHeight="1" x14ac:dyDescent="0.25">
      <c r="A7" s="102" t="s">
        <v>6</v>
      </c>
      <c r="B7" s="102"/>
      <c r="C7" s="102"/>
      <c r="D7" s="102"/>
      <c r="E7" s="102"/>
      <c r="F7" s="103" t="s">
        <v>214</v>
      </c>
      <c r="G7" s="103"/>
      <c r="H7" s="103"/>
      <c r="I7" s="103"/>
      <c r="J7" s="103"/>
      <c r="K7" s="103"/>
      <c r="L7" s="103"/>
      <c r="M7" s="103"/>
      <c r="N7" s="103"/>
      <c r="O7" s="103"/>
      <c r="P7" s="103"/>
      <c r="Q7" s="103"/>
      <c r="R7" s="103"/>
      <c r="S7" s="103"/>
      <c r="T7" s="103"/>
    </row>
    <row r="8" spans="1:20" s="1" customFormat="1" ht="22.35" customHeight="1" x14ac:dyDescent="0.25">
      <c r="F8" s="103"/>
      <c r="G8" s="103"/>
      <c r="H8" s="103"/>
      <c r="I8" s="103"/>
      <c r="J8" s="103"/>
      <c r="K8" s="103"/>
      <c r="L8" s="103"/>
      <c r="M8" s="103"/>
      <c r="N8" s="103"/>
      <c r="O8" s="103"/>
      <c r="P8" s="103"/>
      <c r="Q8" s="103"/>
      <c r="R8" s="103"/>
      <c r="S8" s="103"/>
      <c r="T8" s="103"/>
    </row>
    <row r="9" spans="1:20" s="1" customFormat="1" ht="7.05" customHeight="1" x14ac:dyDescent="0.25">
      <c r="A9" s="86"/>
      <c r="B9" s="86"/>
      <c r="C9" s="86"/>
      <c r="D9" s="86"/>
      <c r="E9" s="86"/>
      <c r="F9" s="86"/>
      <c r="G9" s="86"/>
      <c r="H9" s="86"/>
      <c r="I9" s="86"/>
      <c r="J9" s="86"/>
      <c r="K9" s="86"/>
      <c r="L9" s="86"/>
      <c r="M9" s="86"/>
      <c r="N9" s="86"/>
      <c r="O9" s="86"/>
      <c r="P9" s="86"/>
      <c r="Q9" s="16"/>
      <c r="R9" s="86"/>
      <c r="S9" s="86"/>
      <c r="T9" s="86"/>
    </row>
    <row r="10" spans="1:20" s="1" customFormat="1" ht="16.95" customHeight="1" x14ac:dyDescent="0.25">
      <c r="A10" s="94" t="s">
        <v>8</v>
      </c>
      <c r="B10" s="94"/>
      <c r="C10" s="94"/>
      <c r="D10" s="94"/>
      <c r="E10" s="94"/>
      <c r="F10" s="94"/>
      <c r="G10" s="94"/>
      <c r="H10" s="94"/>
      <c r="I10" s="94"/>
      <c r="J10" s="94"/>
      <c r="K10" s="94"/>
      <c r="L10" s="94"/>
      <c r="M10" s="95" t="s">
        <v>9</v>
      </c>
      <c r="N10" s="95"/>
      <c r="O10" s="95"/>
      <c r="P10" s="95"/>
      <c r="Q10" s="95"/>
      <c r="R10" s="95"/>
      <c r="S10" s="95"/>
      <c r="T10" s="95"/>
    </row>
    <row r="11" spans="1:20" s="1" customFormat="1" ht="16.95" customHeight="1" x14ac:dyDescent="0.25">
      <c r="A11" s="94"/>
      <c r="B11" s="94"/>
      <c r="C11" s="94"/>
      <c r="D11" s="94"/>
      <c r="E11" s="94"/>
      <c r="F11" s="94"/>
      <c r="G11" s="94"/>
      <c r="H11" s="94"/>
      <c r="I11" s="94"/>
      <c r="J11" s="94"/>
      <c r="K11" s="94"/>
      <c r="L11" s="94"/>
      <c r="M11" s="96" t="s">
        <v>10</v>
      </c>
      <c r="N11" s="96"/>
      <c r="O11" s="96"/>
      <c r="P11" s="96"/>
      <c r="Q11" s="97" t="s">
        <v>11</v>
      </c>
      <c r="R11" s="97"/>
      <c r="S11" s="97"/>
      <c r="T11" s="97"/>
    </row>
    <row r="12" spans="1:20" s="1" customFormat="1" ht="16.95" customHeight="1" x14ac:dyDescent="0.25">
      <c r="A12" s="94"/>
      <c r="B12" s="94"/>
      <c r="C12" s="94"/>
      <c r="D12" s="94"/>
      <c r="E12" s="94"/>
      <c r="F12" s="94"/>
      <c r="G12" s="94"/>
      <c r="H12" s="94"/>
      <c r="I12" s="94"/>
      <c r="J12" s="94"/>
      <c r="K12" s="94"/>
      <c r="L12" s="94"/>
      <c r="M12" s="98" t="s">
        <v>12</v>
      </c>
      <c r="N12" s="98"/>
      <c r="O12" s="98" t="s">
        <v>13</v>
      </c>
      <c r="P12" s="98"/>
      <c r="Q12" s="13" t="s">
        <v>14</v>
      </c>
      <c r="R12" s="99" t="s">
        <v>15</v>
      </c>
      <c r="S12" s="99"/>
      <c r="T12" s="99"/>
    </row>
    <row r="13" spans="1:20" s="1" customFormat="1" ht="13.35" customHeight="1" x14ac:dyDescent="0.25">
      <c r="A13" s="88" t="s">
        <v>215</v>
      </c>
      <c r="B13" s="88"/>
      <c r="C13" s="88"/>
      <c r="D13" s="88"/>
      <c r="E13" s="88"/>
      <c r="F13" s="88"/>
      <c r="G13" s="88"/>
      <c r="H13" s="88"/>
      <c r="I13" s="88"/>
      <c r="J13" s="88"/>
      <c r="K13" s="88"/>
      <c r="L13" s="88"/>
      <c r="M13" s="88">
        <f>188*230/200</f>
        <v>216.2</v>
      </c>
      <c r="N13" s="88"/>
      <c r="O13" s="88">
        <v>216.2</v>
      </c>
      <c r="P13" s="88"/>
      <c r="Q13" s="6">
        <v>21.62</v>
      </c>
      <c r="R13" s="88">
        <v>21.62</v>
      </c>
      <c r="S13" s="88"/>
      <c r="T13" s="88"/>
    </row>
    <row r="14" spans="1:20" s="1" customFormat="1" ht="13.35" customHeight="1" x14ac:dyDescent="0.25">
      <c r="A14" s="88" t="s">
        <v>216</v>
      </c>
      <c r="B14" s="88"/>
      <c r="C14" s="88"/>
      <c r="D14" s="88"/>
      <c r="E14" s="88"/>
      <c r="F14" s="88"/>
      <c r="G14" s="88"/>
      <c r="H14" s="88"/>
      <c r="I14" s="88"/>
      <c r="J14" s="88"/>
      <c r="K14" s="88"/>
      <c r="L14" s="88"/>
      <c r="M14" s="88">
        <v>23</v>
      </c>
      <c r="N14" s="88"/>
      <c r="O14" s="88">
        <v>23</v>
      </c>
      <c r="P14" s="88"/>
      <c r="Q14" s="6">
        <v>2.2999999999999998</v>
      </c>
      <c r="R14" s="88">
        <v>2.2999999999999998</v>
      </c>
      <c r="S14" s="88"/>
      <c r="T14" s="88"/>
    </row>
    <row r="15" spans="1:20" s="1" customFormat="1" ht="13.35" customHeight="1" x14ac:dyDescent="0.25">
      <c r="A15" s="88" t="s">
        <v>159</v>
      </c>
      <c r="B15" s="88"/>
      <c r="C15" s="88"/>
      <c r="D15" s="88"/>
      <c r="E15" s="88"/>
      <c r="F15" s="88"/>
      <c r="G15" s="88"/>
      <c r="H15" s="88"/>
      <c r="I15" s="88"/>
      <c r="J15" s="88"/>
      <c r="K15" s="88"/>
      <c r="L15" s="88"/>
      <c r="M15" s="88">
        <f>12*230/200</f>
        <v>13.8</v>
      </c>
      <c r="N15" s="88"/>
      <c r="O15" s="88">
        <v>13.8</v>
      </c>
      <c r="P15" s="88"/>
      <c r="Q15" s="6">
        <v>1.38</v>
      </c>
      <c r="R15" s="88">
        <v>1.38</v>
      </c>
      <c r="S15" s="88"/>
      <c r="T15" s="88"/>
    </row>
    <row r="16" spans="1:20" s="1" customFormat="1" ht="13.35" customHeight="1" x14ac:dyDescent="0.25">
      <c r="A16" s="88" t="s">
        <v>109</v>
      </c>
      <c r="B16" s="88"/>
      <c r="C16" s="88"/>
      <c r="D16" s="88"/>
      <c r="E16" s="88"/>
      <c r="F16" s="88"/>
      <c r="G16" s="88"/>
      <c r="H16" s="88"/>
      <c r="I16" s="88"/>
      <c r="J16" s="88"/>
      <c r="K16" s="88"/>
      <c r="L16" s="88"/>
      <c r="M16" s="88">
        <f>16*230/200</f>
        <v>18.399999999999999</v>
      </c>
      <c r="N16" s="88"/>
      <c r="O16" s="88">
        <v>18.399999999999999</v>
      </c>
      <c r="P16" s="88"/>
      <c r="Q16" s="6">
        <v>1.84</v>
      </c>
      <c r="R16" s="88">
        <v>1.84</v>
      </c>
      <c r="S16" s="88"/>
      <c r="T16" s="88"/>
    </row>
    <row r="17" spans="1:20" s="1" customFormat="1" ht="13.35" customHeight="1" x14ac:dyDescent="0.25">
      <c r="A17" s="88" t="s">
        <v>183</v>
      </c>
      <c r="B17" s="88"/>
      <c r="C17" s="88"/>
      <c r="D17" s="88"/>
      <c r="E17" s="88"/>
      <c r="F17" s="88"/>
      <c r="G17" s="88"/>
      <c r="H17" s="88"/>
      <c r="I17" s="88"/>
      <c r="J17" s="88"/>
      <c r="K17" s="88"/>
      <c r="L17" s="88"/>
      <c r="M17" s="88">
        <f>0.2*230/200</f>
        <v>0.23</v>
      </c>
      <c r="N17" s="88"/>
      <c r="O17" s="88">
        <f>0.23*40</f>
        <v>9.2000000000000011</v>
      </c>
      <c r="P17" s="88"/>
      <c r="Q17" s="6">
        <v>23</v>
      </c>
      <c r="R17" s="88">
        <v>0.92</v>
      </c>
      <c r="S17" s="88"/>
      <c r="T17" s="88"/>
    </row>
    <row r="18" spans="1:20" s="1" customFormat="1" ht="13.35" customHeight="1" x14ac:dyDescent="0.25">
      <c r="A18" s="88" t="s">
        <v>61</v>
      </c>
      <c r="B18" s="88"/>
      <c r="C18" s="88"/>
      <c r="D18" s="88"/>
      <c r="E18" s="88"/>
      <c r="F18" s="88"/>
      <c r="G18" s="88"/>
      <c r="H18" s="88"/>
      <c r="I18" s="88"/>
      <c r="J18" s="88"/>
      <c r="K18" s="88"/>
      <c r="L18" s="88"/>
      <c r="M18" s="88">
        <f>8*230/200</f>
        <v>9.1999999999999993</v>
      </c>
      <c r="N18" s="88"/>
      <c r="O18" s="88">
        <v>9.1999999999999993</v>
      </c>
      <c r="P18" s="88"/>
      <c r="Q18" s="6">
        <v>0.92</v>
      </c>
      <c r="R18" s="88">
        <v>0.92</v>
      </c>
      <c r="S18" s="88"/>
      <c r="T18" s="88"/>
    </row>
    <row r="19" spans="1:20" s="1" customFormat="1" ht="13.35" customHeight="1" x14ac:dyDescent="0.25">
      <c r="A19" s="88" t="s">
        <v>67</v>
      </c>
      <c r="B19" s="88"/>
      <c r="C19" s="88"/>
      <c r="D19" s="88"/>
      <c r="E19" s="88"/>
      <c r="F19" s="88"/>
      <c r="G19" s="88"/>
      <c r="H19" s="88"/>
      <c r="I19" s="88"/>
      <c r="J19" s="88"/>
      <c r="K19" s="88"/>
      <c r="L19" s="88"/>
      <c r="M19" s="88">
        <f>8*230/200</f>
        <v>9.1999999999999993</v>
      </c>
      <c r="N19" s="88"/>
      <c r="O19" s="88">
        <v>9.1999999999999993</v>
      </c>
      <c r="P19" s="88"/>
      <c r="Q19" s="38">
        <v>0.92</v>
      </c>
      <c r="R19" s="88">
        <v>0.92</v>
      </c>
      <c r="S19" s="88"/>
      <c r="T19" s="88"/>
    </row>
    <row r="20" spans="1:20" s="1" customFormat="1" ht="13.35" customHeight="1" x14ac:dyDescent="0.25">
      <c r="A20" s="88" t="s">
        <v>129</v>
      </c>
      <c r="B20" s="88"/>
      <c r="C20" s="88"/>
      <c r="D20" s="88"/>
      <c r="E20" s="88"/>
      <c r="F20" s="88"/>
      <c r="G20" s="88"/>
      <c r="H20" s="88"/>
      <c r="I20" s="88"/>
      <c r="J20" s="88"/>
      <c r="K20" s="88"/>
      <c r="L20" s="88"/>
      <c r="M20" s="88">
        <f>8*230/200</f>
        <v>9.1999999999999993</v>
      </c>
      <c r="N20" s="88"/>
      <c r="O20" s="88">
        <v>9.1999999999999993</v>
      </c>
      <c r="P20" s="88"/>
      <c r="Q20" s="38">
        <v>0.92</v>
      </c>
      <c r="R20" s="88">
        <v>0.92</v>
      </c>
      <c r="S20" s="88"/>
      <c r="T20" s="88"/>
    </row>
    <row r="21" spans="1:20" s="1" customFormat="1" ht="14.1" customHeight="1" x14ac:dyDescent="0.25">
      <c r="A21" s="90" t="s">
        <v>815</v>
      </c>
      <c r="B21" s="90"/>
      <c r="C21" s="90"/>
      <c r="D21" s="90"/>
      <c r="E21" s="90"/>
      <c r="F21" s="90"/>
      <c r="G21" s="90"/>
      <c r="H21" s="90"/>
      <c r="I21" s="90"/>
      <c r="J21" s="90"/>
      <c r="K21" s="90"/>
      <c r="L21" s="90"/>
      <c r="M21" s="90"/>
      <c r="N21" s="90"/>
      <c r="O21" s="90"/>
      <c r="P21" s="90"/>
      <c r="Q21" s="90"/>
      <c r="R21" s="90"/>
      <c r="S21" s="90"/>
      <c r="T21" s="90"/>
    </row>
    <row r="22" spans="1:20" s="1" customFormat="1" ht="21.3" customHeight="1" x14ac:dyDescent="0.25"/>
    <row r="23" spans="1:20" s="1" customFormat="1" ht="14.1" customHeight="1" x14ac:dyDescent="0.25">
      <c r="A23" s="91" t="s">
        <v>33</v>
      </c>
      <c r="B23" s="91"/>
      <c r="C23" s="91"/>
      <c r="D23" s="91"/>
      <c r="E23" s="91"/>
      <c r="F23" s="91"/>
      <c r="G23" s="91"/>
      <c r="H23" s="91"/>
      <c r="I23" s="91"/>
      <c r="J23" s="91"/>
      <c r="K23" s="91"/>
      <c r="L23" s="91"/>
      <c r="M23" s="91"/>
      <c r="N23" s="91"/>
    </row>
    <row r="24" spans="1:20" s="1" customFormat="1" ht="13.35" customHeight="1" x14ac:dyDescent="0.25">
      <c r="A24" s="88" t="s">
        <v>34</v>
      </c>
      <c r="B24" s="88"/>
      <c r="C24" s="88"/>
      <c r="D24" s="88"/>
      <c r="E24" s="89">
        <f>15.51*220/180</f>
        <v>18.956666666666667</v>
      </c>
      <c r="F24" s="89"/>
      <c r="G24" s="17"/>
      <c r="H24" s="6" t="s">
        <v>35</v>
      </c>
      <c r="I24" s="89">
        <v>0.08</v>
      </c>
      <c r="J24" s="89"/>
      <c r="K24" s="17"/>
      <c r="L24" s="88" t="s">
        <v>36</v>
      </c>
      <c r="M24" s="88"/>
      <c r="N24" s="89">
        <v>278.16000000000003</v>
      </c>
      <c r="O24" s="89"/>
    </row>
    <row r="25" spans="1:20" s="1" customFormat="1" ht="13.35" customHeight="1" x14ac:dyDescent="0.25">
      <c r="A25" s="88" t="s">
        <v>37</v>
      </c>
      <c r="B25" s="88"/>
      <c r="C25" s="88"/>
      <c r="D25" s="88"/>
      <c r="E25" s="89">
        <f>14.76*220/180</f>
        <v>18.04</v>
      </c>
      <c r="F25" s="89"/>
      <c r="G25" s="17"/>
      <c r="H25" s="6" t="s">
        <v>38</v>
      </c>
      <c r="I25" s="89">
        <v>0.39</v>
      </c>
      <c r="J25" s="89"/>
      <c r="K25" s="17"/>
      <c r="L25" s="88" t="s">
        <v>39</v>
      </c>
      <c r="M25" s="88"/>
      <c r="N25" s="89">
        <v>42.33</v>
      </c>
      <c r="O25" s="89"/>
    </row>
    <row r="26" spans="1:20" s="1" customFormat="1" ht="13.35" customHeight="1" x14ac:dyDescent="0.25">
      <c r="A26" s="88" t="s">
        <v>40</v>
      </c>
      <c r="B26" s="88"/>
      <c r="C26" s="88"/>
      <c r="D26" s="88"/>
      <c r="E26" s="89">
        <f>34.97*220/180</f>
        <v>42.74111111111111</v>
      </c>
      <c r="F26" s="89"/>
      <c r="G26" s="17"/>
      <c r="H26" s="6" t="s">
        <v>41</v>
      </c>
      <c r="I26" s="89">
        <v>0.13</v>
      </c>
      <c r="J26" s="89"/>
      <c r="K26" s="17"/>
      <c r="L26" s="88" t="s">
        <v>42</v>
      </c>
      <c r="M26" s="88"/>
      <c r="N26" s="89">
        <v>347.08</v>
      </c>
      <c r="O26" s="89"/>
    </row>
    <row r="27" spans="1:20" s="1" customFormat="1" ht="13.35" customHeight="1" x14ac:dyDescent="0.25">
      <c r="A27" s="88" t="s">
        <v>43</v>
      </c>
      <c r="B27" s="88"/>
      <c r="C27" s="88"/>
      <c r="D27" s="88"/>
      <c r="E27" s="89">
        <f>331.71*220/180</f>
        <v>405.42333333333329</v>
      </c>
      <c r="F27" s="89"/>
      <c r="G27" s="17"/>
      <c r="H27" s="6" t="s">
        <v>44</v>
      </c>
      <c r="I27" s="89">
        <v>0.56000000000000005</v>
      </c>
      <c r="J27" s="89"/>
      <c r="K27" s="17"/>
      <c r="L27" s="88" t="s">
        <v>45</v>
      </c>
      <c r="M27" s="88"/>
      <c r="N27" s="89">
        <v>1.23</v>
      </c>
      <c r="O27" s="89"/>
    </row>
    <row r="28" spans="1:20" s="1" customFormat="1" ht="13.35" customHeight="1" x14ac:dyDescent="0.25">
      <c r="A28" s="87"/>
      <c r="B28" s="87"/>
      <c r="C28" s="87"/>
      <c r="D28" s="87"/>
      <c r="E28" s="87"/>
      <c r="F28" s="87"/>
      <c r="G28" s="17"/>
      <c r="H28" s="6" t="s">
        <v>46</v>
      </c>
      <c r="I28" s="89">
        <v>0.25</v>
      </c>
      <c r="J28" s="89"/>
      <c r="K28" s="17"/>
      <c r="L28" s="88" t="s">
        <v>47</v>
      </c>
      <c r="M28" s="88"/>
      <c r="N28" s="89">
        <v>292.39</v>
      </c>
      <c r="O28" s="89"/>
    </row>
    <row r="29" spans="1:20" s="1" customFormat="1" ht="13.35" customHeight="1" x14ac:dyDescent="0.25">
      <c r="A29" s="87"/>
      <c r="B29" s="87"/>
      <c r="C29" s="87"/>
      <c r="D29" s="87"/>
      <c r="E29" s="87"/>
      <c r="F29" s="87"/>
      <c r="G29" s="17"/>
      <c r="H29" s="6" t="s">
        <v>48</v>
      </c>
      <c r="I29" s="89">
        <v>0.42</v>
      </c>
      <c r="J29" s="89"/>
      <c r="K29" s="17"/>
      <c r="L29" s="88" t="s">
        <v>49</v>
      </c>
      <c r="M29" s="88"/>
      <c r="N29" s="89">
        <v>3.27</v>
      </c>
      <c r="O29" s="89"/>
    </row>
    <row r="30" spans="1:20" s="1" customFormat="1" ht="13.35" customHeight="1" x14ac:dyDescent="0.25">
      <c r="A30" s="87"/>
      <c r="B30" s="87"/>
      <c r="C30" s="87"/>
      <c r="D30" s="87"/>
      <c r="E30" s="87"/>
      <c r="F30" s="87"/>
      <c r="G30" s="17"/>
      <c r="H30" s="17"/>
      <c r="I30" s="87"/>
      <c r="J30" s="87"/>
      <c r="K30" s="17"/>
      <c r="L30" s="88" t="s">
        <v>50</v>
      </c>
      <c r="M30" s="88"/>
      <c r="N30" s="89">
        <v>0.05</v>
      </c>
      <c r="O30" s="89"/>
    </row>
    <row r="31" spans="1:20" s="1" customFormat="1" ht="13.35" customHeight="1" x14ac:dyDescent="0.25">
      <c r="A31" s="87"/>
      <c r="B31" s="87"/>
      <c r="C31" s="87"/>
      <c r="D31" s="87"/>
      <c r="E31" s="87"/>
      <c r="F31" s="87"/>
      <c r="G31" s="17"/>
      <c r="H31" s="17"/>
      <c r="I31" s="87"/>
      <c r="J31" s="87"/>
      <c r="K31" s="17"/>
      <c r="L31" s="88" t="s">
        <v>51</v>
      </c>
      <c r="M31" s="88"/>
      <c r="N31" s="89">
        <v>0.04</v>
      </c>
      <c r="O31" s="89"/>
    </row>
    <row r="32" spans="1:20" s="1" customFormat="1" ht="14.1" customHeight="1" x14ac:dyDescent="0.25">
      <c r="A32" s="86"/>
      <c r="B32" s="86"/>
      <c r="C32" s="86"/>
      <c r="D32" s="86"/>
      <c r="E32" s="86"/>
      <c r="F32" s="86"/>
      <c r="G32" s="86"/>
      <c r="H32" s="86"/>
      <c r="I32" s="86"/>
      <c r="J32" s="86"/>
      <c r="K32" s="86"/>
      <c r="L32" s="86"/>
      <c r="M32" s="86"/>
      <c r="N32" s="86"/>
      <c r="O32" s="86"/>
      <c r="P32" s="86"/>
      <c r="Q32" s="86"/>
      <c r="R32" s="86"/>
      <c r="S32" s="86"/>
    </row>
    <row r="33" spans="1:20" s="1" customFormat="1" ht="14.1" customHeight="1" x14ac:dyDescent="0.25">
      <c r="A33" s="84" t="s">
        <v>52</v>
      </c>
      <c r="B33" s="84"/>
      <c r="C33" s="84"/>
      <c r="D33" s="84"/>
      <c r="E33" s="84"/>
      <c r="F33" s="84"/>
      <c r="G33" s="84"/>
      <c r="H33" s="84"/>
      <c r="I33" s="84"/>
      <c r="J33" s="84"/>
      <c r="K33" s="84"/>
      <c r="L33" s="84"/>
      <c r="M33" s="84"/>
      <c r="N33" s="84"/>
      <c r="O33" s="84"/>
      <c r="P33" s="84"/>
      <c r="Q33" s="84"/>
      <c r="R33" s="84"/>
      <c r="S33" s="84"/>
    </row>
    <row r="34" spans="1:20" s="1" customFormat="1" ht="90" customHeight="1" x14ac:dyDescent="0.25">
      <c r="A34" s="85" t="s">
        <v>218</v>
      </c>
      <c r="B34" s="85"/>
      <c r="C34" s="85"/>
      <c r="D34" s="85"/>
      <c r="E34" s="85"/>
      <c r="F34" s="85"/>
      <c r="G34" s="85"/>
      <c r="H34" s="85"/>
      <c r="I34" s="85"/>
      <c r="J34" s="85"/>
      <c r="K34" s="85"/>
      <c r="L34" s="85"/>
      <c r="M34" s="85"/>
      <c r="N34" s="85"/>
      <c r="O34" s="85"/>
      <c r="P34" s="85"/>
      <c r="Q34" s="85"/>
      <c r="R34" s="85"/>
      <c r="S34" s="85"/>
    </row>
    <row r="35" spans="1:20" s="1" customFormat="1" ht="14.1" customHeight="1" x14ac:dyDescent="0.25">
      <c r="A35" s="84" t="s">
        <v>54</v>
      </c>
      <c r="B35" s="84"/>
      <c r="C35" s="84"/>
      <c r="D35" s="84"/>
      <c r="E35" s="84"/>
      <c r="F35" s="84"/>
      <c r="G35" s="84"/>
      <c r="H35" s="84"/>
      <c r="I35" s="84"/>
      <c r="J35" s="84"/>
      <c r="K35" s="84"/>
      <c r="L35" s="84"/>
      <c r="M35" s="84"/>
      <c r="N35" s="84"/>
      <c r="O35" s="84"/>
      <c r="P35" s="84"/>
      <c r="Q35" s="84"/>
      <c r="R35" s="84"/>
      <c r="S35" s="84"/>
    </row>
    <row r="36" spans="1:20" s="1" customFormat="1" ht="12.45" customHeight="1" x14ac:dyDescent="0.25">
      <c r="A36" s="85" t="s">
        <v>729</v>
      </c>
      <c r="B36" s="85"/>
      <c r="C36" s="85"/>
      <c r="D36" s="85"/>
      <c r="E36" s="85"/>
      <c r="F36" s="85"/>
      <c r="G36" s="85"/>
      <c r="H36" s="85"/>
      <c r="I36" s="85"/>
      <c r="J36" s="85"/>
      <c r="K36" s="85"/>
      <c r="L36" s="85"/>
      <c r="M36" s="85"/>
      <c r="N36" s="85"/>
      <c r="O36" s="85"/>
      <c r="P36" s="85"/>
      <c r="Q36" s="85"/>
      <c r="R36" s="85"/>
      <c r="S36" s="85"/>
    </row>
    <row r="37" spans="1:20" s="1" customFormat="1" ht="14.1" customHeight="1" x14ac:dyDescent="0.25">
      <c r="A37" s="86"/>
      <c r="B37" s="86"/>
      <c r="C37" s="86"/>
      <c r="D37" s="86"/>
      <c r="E37" s="86"/>
      <c r="F37" s="86"/>
      <c r="G37" s="86"/>
      <c r="H37" s="86"/>
      <c r="I37" s="86"/>
      <c r="J37" s="86"/>
      <c r="K37" s="86"/>
      <c r="L37" s="86"/>
      <c r="M37" s="86"/>
      <c r="N37" s="86"/>
      <c r="O37" s="86"/>
      <c r="P37" s="86"/>
      <c r="Q37" s="86"/>
      <c r="R37" s="86"/>
      <c r="S37" s="86"/>
    </row>
    <row r="38" spans="1:20" s="1" customFormat="1" ht="14.1" customHeight="1" x14ac:dyDescent="0.25">
      <c r="A38" s="84" t="s">
        <v>56</v>
      </c>
      <c r="B38" s="84"/>
      <c r="C38" s="84"/>
      <c r="D38" s="84"/>
      <c r="E38" s="84"/>
      <c r="F38" s="84"/>
      <c r="G38" s="84"/>
      <c r="H38" s="84"/>
      <c r="I38" s="84"/>
      <c r="J38" s="84"/>
      <c r="K38" s="84"/>
      <c r="L38" s="84"/>
      <c r="M38" s="84"/>
      <c r="N38" s="84"/>
      <c r="O38" s="84"/>
      <c r="P38" s="84"/>
      <c r="Q38" s="84"/>
      <c r="R38" s="84"/>
      <c r="S38" s="84"/>
    </row>
    <row r="39" spans="1:20" s="1" customFormat="1" ht="49.2" customHeight="1" x14ac:dyDescent="0.25">
      <c r="A39" s="85" t="s">
        <v>219</v>
      </c>
      <c r="B39" s="85"/>
      <c r="C39" s="85"/>
      <c r="D39" s="85"/>
      <c r="E39" s="85"/>
      <c r="F39" s="85"/>
      <c r="G39" s="85"/>
      <c r="H39" s="85"/>
      <c r="I39" s="85"/>
      <c r="J39" s="85"/>
      <c r="K39" s="85"/>
      <c r="L39" s="85"/>
      <c r="M39" s="85"/>
      <c r="N39" s="85"/>
      <c r="O39" s="85"/>
      <c r="P39" s="85"/>
      <c r="Q39" s="85"/>
      <c r="R39" s="85"/>
      <c r="S39" s="85"/>
    </row>
    <row r="40" spans="1:20" s="1" customFormat="1" ht="72.45" customHeight="1" x14ac:dyDescent="0.25">
      <c r="J40" s="100" t="s">
        <v>0</v>
      </c>
      <c r="K40" s="100"/>
      <c r="L40" s="100"/>
      <c r="M40" s="100"/>
      <c r="N40" s="100"/>
      <c r="O40" s="100"/>
      <c r="P40" s="100"/>
      <c r="Q40" s="100"/>
      <c r="R40" s="100"/>
      <c r="S40" s="100"/>
      <c r="T40" s="100"/>
    </row>
    <row r="41" spans="1:20" s="1" customFormat="1" ht="7.05" customHeight="1" x14ac:dyDescent="0.25"/>
    <row r="42" spans="1:20" s="1" customFormat="1" ht="14.1" customHeight="1" x14ac:dyDescent="0.25">
      <c r="B42" s="101" t="s">
        <v>732</v>
      </c>
      <c r="C42" s="101"/>
      <c r="D42" s="101"/>
      <c r="E42" s="101"/>
      <c r="F42" s="101"/>
      <c r="G42" s="101"/>
      <c r="H42" s="101"/>
      <c r="I42" s="101"/>
      <c r="J42" s="101"/>
      <c r="K42" s="101"/>
      <c r="L42" s="101"/>
      <c r="M42" s="101"/>
      <c r="N42" s="101"/>
      <c r="O42" s="101"/>
      <c r="P42" s="101"/>
      <c r="Q42" s="101"/>
      <c r="R42" s="101"/>
    </row>
    <row r="43" spans="1:20" s="1" customFormat="1" ht="14.1" customHeight="1" x14ac:dyDescent="0.25"/>
    <row r="44" spans="1:20" s="1" customFormat="1" ht="14.1" customHeight="1" x14ac:dyDescent="0.25">
      <c r="A44" s="102" t="s">
        <v>2</v>
      </c>
      <c r="B44" s="102"/>
      <c r="C44" s="102"/>
      <c r="D44" s="103" t="s">
        <v>829</v>
      </c>
      <c r="E44" s="103"/>
      <c r="F44" s="103"/>
      <c r="G44" s="103"/>
      <c r="H44" s="103"/>
      <c r="I44" s="103"/>
      <c r="J44" s="103"/>
      <c r="K44" s="103"/>
      <c r="L44" s="103"/>
      <c r="M44" s="103"/>
      <c r="N44" s="103"/>
      <c r="O44" s="103"/>
      <c r="P44" s="103"/>
      <c r="Q44" s="103"/>
      <c r="R44" s="103"/>
      <c r="S44" s="103"/>
      <c r="T44" s="103"/>
    </row>
    <row r="45" spans="1:20" s="1" customFormat="1" ht="14.1" customHeight="1" x14ac:dyDescent="0.25">
      <c r="A45" s="102" t="s">
        <v>4</v>
      </c>
      <c r="B45" s="102"/>
      <c r="C45" s="103" t="s">
        <v>220</v>
      </c>
      <c r="D45" s="103"/>
      <c r="E45" s="103"/>
      <c r="F45" s="103"/>
      <c r="G45" s="103"/>
      <c r="H45" s="103"/>
      <c r="I45" s="103"/>
      <c r="J45" s="103"/>
      <c r="K45" s="103"/>
      <c r="L45" s="103"/>
      <c r="M45" s="103"/>
      <c r="N45" s="103"/>
      <c r="O45" s="103"/>
      <c r="P45" s="103"/>
      <c r="Q45" s="103"/>
      <c r="R45" s="103"/>
      <c r="S45" s="103"/>
      <c r="T45" s="103"/>
    </row>
    <row r="46" spans="1:20" s="1" customFormat="1" ht="14.1" customHeight="1" x14ac:dyDescent="0.25">
      <c r="A46" s="102" t="s">
        <v>731</v>
      </c>
      <c r="B46" s="102"/>
      <c r="C46" s="102"/>
      <c r="D46" s="102"/>
      <c r="E46" s="102"/>
      <c r="F46" s="93"/>
      <c r="G46" s="93"/>
      <c r="H46" s="93"/>
      <c r="I46" s="93"/>
      <c r="J46" s="93"/>
      <c r="K46" s="93"/>
      <c r="L46" s="93"/>
      <c r="M46" s="93"/>
      <c r="N46" s="93"/>
      <c r="O46" s="93"/>
      <c r="P46" s="93"/>
      <c r="Q46" s="93"/>
      <c r="R46" s="93"/>
      <c r="S46" s="93"/>
      <c r="T46" s="93"/>
    </row>
    <row r="47" spans="1:20" s="14" customFormat="1" ht="13.2" x14ac:dyDescent="0.25">
      <c r="A47" s="134" t="s">
        <v>704</v>
      </c>
      <c r="B47" s="169"/>
      <c r="C47" s="169"/>
      <c r="D47" s="169"/>
      <c r="E47" s="169"/>
      <c r="F47" s="169"/>
      <c r="G47" s="169"/>
      <c r="H47" s="169"/>
      <c r="I47" s="169"/>
      <c r="J47" s="169"/>
      <c r="K47" s="169"/>
      <c r="L47" s="169"/>
      <c r="M47" s="169"/>
      <c r="N47" s="169"/>
      <c r="O47" s="169"/>
      <c r="P47" s="169"/>
      <c r="Q47" s="169"/>
      <c r="R47" s="169"/>
      <c r="S47" s="169"/>
    </row>
    <row r="48" spans="1:20" s="14" customFormat="1" ht="34.950000000000003" customHeight="1" x14ac:dyDescent="0.25">
      <c r="A48" s="134" t="s">
        <v>733</v>
      </c>
      <c r="B48" s="170"/>
      <c r="C48" s="170"/>
      <c r="D48" s="170"/>
      <c r="E48" s="170"/>
      <c r="F48" s="170"/>
      <c r="G48" s="170"/>
      <c r="H48" s="170"/>
      <c r="I48" s="170"/>
      <c r="J48" s="170"/>
      <c r="K48" s="170"/>
      <c r="L48" s="170"/>
      <c r="M48" s="170"/>
      <c r="N48" s="170"/>
      <c r="O48" s="170"/>
      <c r="P48" s="170"/>
      <c r="Q48" s="170"/>
      <c r="R48" s="170"/>
      <c r="S48" s="170"/>
    </row>
    <row r="49" spans="1:20" s="1" customFormat="1" ht="7.05" customHeight="1" x14ac:dyDescent="0.25">
      <c r="A49" s="86"/>
      <c r="B49" s="86"/>
      <c r="C49" s="86"/>
      <c r="D49" s="86"/>
      <c r="E49" s="86"/>
      <c r="F49" s="86"/>
      <c r="G49" s="86"/>
      <c r="H49" s="86"/>
      <c r="I49" s="86"/>
      <c r="J49" s="86"/>
      <c r="K49" s="86"/>
      <c r="L49" s="86"/>
      <c r="M49" s="86"/>
      <c r="N49" s="86"/>
      <c r="O49" s="86"/>
      <c r="P49" s="86"/>
      <c r="Q49" s="16"/>
      <c r="R49" s="86"/>
      <c r="S49" s="86"/>
      <c r="T49" s="86"/>
    </row>
    <row r="50" spans="1:20" s="1" customFormat="1" ht="16.95" customHeight="1" x14ac:dyDescent="0.25">
      <c r="A50" s="94" t="s">
        <v>8</v>
      </c>
      <c r="B50" s="94"/>
      <c r="C50" s="94"/>
      <c r="D50" s="94"/>
      <c r="E50" s="94"/>
      <c r="F50" s="94"/>
      <c r="G50" s="94"/>
      <c r="H50" s="94"/>
      <c r="I50" s="94"/>
      <c r="J50" s="94"/>
      <c r="K50" s="94"/>
      <c r="L50" s="94"/>
      <c r="M50" s="95" t="s">
        <v>9</v>
      </c>
      <c r="N50" s="95"/>
      <c r="O50" s="95"/>
      <c r="P50" s="95"/>
      <c r="Q50" s="95"/>
      <c r="R50" s="95"/>
      <c r="S50" s="95"/>
      <c r="T50" s="95"/>
    </row>
    <row r="51" spans="1:20" s="1" customFormat="1" ht="16.95" customHeight="1" x14ac:dyDescent="0.25">
      <c r="A51" s="94"/>
      <c r="B51" s="94"/>
      <c r="C51" s="94"/>
      <c r="D51" s="94"/>
      <c r="E51" s="94"/>
      <c r="F51" s="94"/>
      <c r="G51" s="94"/>
      <c r="H51" s="94"/>
      <c r="I51" s="94"/>
      <c r="J51" s="94"/>
      <c r="K51" s="94"/>
      <c r="L51" s="94"/>
      <c r="M51" s="96" t="s">
        <v>10</v>
      </c>
      <c r="N51" s="96"/>
      <c r="O51" s="96"/>
      <c r="P51" s="96"/>
      <c r="Q51" s="97" t="s">
        <v>11</v>
      </c>
      <c r="R51" s="97"/>
      <c r="S51" s="97"/>
      <c r="T51" s="97"/>
    </row>
    <row r="52" spans="1:20" s="1" customFormat="1" ht="16.95" customHeight="1" x14ac:dyDescent="0.25">
      <c r="A52" s="94"/>
      <c r="B52" s="94"/>
      <c r="C52" s="94"/>
      <c r="D52" s="94"/>
      <c r="E52" s="94"/>
      <c r="F52" s="94"/>
      <c r="G52" s="94"/>
      <c r="H52" s="94"/>
      <c r="I52" s="94"/>
      <c r="J52" s="94"/>
      <c r="K52" s="94"/>
      <c r="L52" s="94"/>
      <c r="M52" s="98" t="s">
        <v>12</v>
      </c>
      <c r="N52" s="98"/>
      <c r="O52" s="98" t="s">
        <v>13</v>
      </c>
      <c r="P52" s="98"/>
      <c r="Q52" s="13" t="s">
        <v>14</v>
      </c>
      <c r="R52" s="99" t="s">
        <v>15</v>
      </c>
      <c r="S52" s="99"/>
      <c r="T52" s="99"/>
    </row>
    <row r="53" spans="1:20" s="1" customFormat="1" ht="13.35" customHeight="1" x14ac:dyDescent="0.25">
      <c r="A53" s="88" t="s">
        <v>221</v>
      </c>
      <c r="B53" s="88"/>
      <c r="C53" s="88"/>
      <c r="D53" s="88"/>
      <c r="E53" s="88"/>
      <c r="F53" s="88"/>
      <c r="G53" s="88"/>
      <c r="H53" s="88"/>
      <c r="I53" s="88"/>
      <c r="J53" s="88"/>
      <c r="K53" s="88"/>
      <c r="L53" s="88"/>
      <c r="M53" s="88">
        <v>20</v>
      </c>
      <c r="N53" s="88"/>
      <c r="O53" s="88">
        <v>20</v>
      </c>
      <c r="P53" s="88"/>
      <c r="Q53" s="6">
        <v>2</v>
      </c>
      <c r="R53" s="88">
        <v>2</v>
      </c>
      <c r="S53" s="88"/>
      <c r="T53" s="88"/>
    </row>
    <row r="54" spans="1:20" s="1" customFormat="1" ht="13.35" customHeight="1" x14ac:dyDescent="0.25">
      <c r="A54" s="88" t="s">
        <v>215</v>
      </c>
      <c r="B54" s="88"/>
      <c r="C54" s="88"/>
      <c r="D54" s="88"/>
      <c r="E54" s="88"/>
      <c r="F54" s="88"/>
      <c r="G54" s="88"/>
      <c r="H54" s="88"/>
      <c r="I54" s="88"/>
      <c r="J54" s="88"/>
      <c r="K54" s="88"/>
      <c r="L54" s="88"/>
      <c r="M54" s="88">
        <v>92.6</v>
      </c>
      <c r="N54" s="88"/>
      <c r="O54" s="88">
        <v>92.6</v>
      </c>
      <c r="P54" s="88"/>
      <c r="Q54" s="6">
        <v>9.23</v>
      </c>
      <c r="R54" s="88">
        <v>9.26</v>
      </c>
      <c r="S54" s="88"/>
      <c r="T54" s="88"/>
    </row>
    <row r="55" spans="1:20" s="1" customFormat="1" ht="13.35" customHeight="1" x14ac:dyDescent="0.25">
      <c r="A55" s="88" t="s">
        <v>159</v>
      </c>
      <c r="B55" s="88"/>
      <c r="C55" s="88"/>
      <c r="D55" s="88"/>
      <c r="E55" s="88"/>
      <c r="F55" s="88"/>
      <c r="G55" s="88"/>
      <c r="H55" s="88"/>
      <c r="I55" s="88"/>
      <c r="J55" s="88"/>
      <c r="K55" s="88"/>
      <c r="L55" s="88"/>
      <c r="M55" s="88">
        <f>7.8*200/130</f>
        <v>12</v>
      </c>
      <c r="N55" s="88"/>
      <c r="O55" s="88">
        <v>12</v>
      </c>
      <c r="P55" s="88"/>
      <c r="Q55" s="6">
        <v>1.2</v>
      </c>
      <c r="R55" s="88">
        <v>1.2</v>
      </c>
      <c r="S55" s="88"/>
      <c r="T55" s="88"/>
    </row>
    <row r="56" spans="1:20" s="1" customFormat="1" ht="13.35" customHeight="1" x14ac:dyDescent="0.25">
      <c r="A56" s="88" t="s">
        <v>109</v>
      </c>
      <c r="B56" s="88"/>
      <c r="C56" s="88"/>
      <c r="D56" s="88"/>
      <c r="E56" s="88"/>
      <c r="F56" s="88"/>
      <c r="G56" s="88"/>
      <c r="H56" s="88"/>
      <c r="I56" s="88"/>
      <c r="J56" s="88"/>
      <c r="K56" s="88"/>
      <c r="L56" s="88"/>
      <c r="M56" s="88">
        <v>20.3</v>
      </c>
      <c r="N56" s="88"/>
      <c r="O56" s="88">
        <v>20.3</v>
      </c>
      <c r="P56" s="88"/>
      <c r="Q56" s="6">
        <v>2.0299999999999998</v>
      </c>
      <c r="R56" s="88">
        <v>2.0299999999999998</v>
      </c>
      <c r="S56" s="88"/>
      <c r="T56" s="88"/>
    </row>
    <row r="57" spans="1:20" s="1" customFormat="1" ht="13.35" customHeight="1" x14ac:dyDescent="0.25">
      <c r="A57" s="88" t="s">
        <v>222</v>
      </c>
      <c r="B57" s="88"/>
      <c r="C57" s="88"/>
      <c r="D57" s="88"/>
      <c r="E57" s="88"/>
      <c r="F57" s="88"/>
      <c r="G57" s="88"/>
      <c r="H57" s="88"/>
      <c r="I57" s="88"/>
      <c r="J57" s="88"/>
      <c r="K57" s="88"/>
      <c r="L57" s="88"/>
      <c r="M57" s="88">
        <v>73.400000000000006</v>
      </c>
      <c r="N57" s="88"/>
      <c r="O57" s="88">
        <v>51.4</v>
      </c>
      <c r="P57" s="88"/>
      <c r="Q57" s="6">
        <v>7.34</v>
      </c>
      <c r="R57" s="88">
        <v>5.14</v>
      </c>
      <c r="S57" s="88"/>
      <c r="T57" s="88"/>
    </row>
    <row r="58" spans="1:20" s="1" customFormat="1" ht="13.35" customHeight="1" x14ac:dyDescent="0.25">
      <c r="A58" s="88" t="s">
        <v>183</v>
      </c>
      <c r="B58" s="88"/>
      <c r="C58" s="88"/>
      <c r="D58" s="88"/>
      <c r="E58" s="88"/>
      <c r="F58" s="88"/>
      <c r="G58" s="88"/>
      <c r="H58" s="88"/>
      <c r="I58" s="88"/>
      <c r="J58" s="88"/>
      <c r="K58" s="88"/>
      <c r="L58" s="88"/>
      <c r="M58" s="88" t="s">
        <v>816</v>
      </c>
      <c r="N58" s="88"/>
      <c r="O58" s="88">
        <f>0.2*45</f>
        <v>9</v>
      </c>
      <c r="P58" s="88"/>
      <c r="Q58" s="6" t="s">
        <v>817</v>
      </c>
      <c r="R58" s="88">
        <v>0.9</v>
      </c>
      <c r="S58" s="88"/>
      <c r="T58" s="88"/>
    </row>
    <row r="59" spans="1:20" s="1" customFormat="1" ht="13.35" customHeight="1" x14ac:dyDescent="0.25">
      <c r="A59" s="88" t="s">
        <v>66</v>
      </c>
      <c r="B59" s="88"/>
      <c r="C59" s="88"/>
      <c r="D59" s="88"/>
      <c r="E59" s="88"/>
      <c r="F59" s="88"/>
      <c r="G59" s="88"/>
      <c r="H59" s="88"/>
      <c r="I59" s="88"/>
      <c r="J59" s="88"/>
      <c r="K59" s="88"/>
      <c r="L59" s="88"/>
      <c r="M59" s="88">
        <f>23.4*200/130</f>
        <v>36</v>
      </c>
      <c r="N59" s="88"/>
      <c r="O59" s="88">
        <v>36</v>
      </c>
      <c r="P59" s="88"/>
      <c r="Q59" s="6">
        <v>3.6</v>
      </c>
      <c r="R59" s="88">
        <v>3.6</v>
      </c>
      <c r="S59" s="88"/>
      <c r="T59" s="88"/>
    </row>
    <row r="60" spans="1:20" s="1" customFormat="1" ht="13.35" customHeight="1" x14ac:dyDescent="0.25">
      <c r="A60" s="88" t="s">
        <v>18</v>
      </c>
      <c r="B60" s="88"/>
      <c r="C60" s="88"/>
      <c r="D60" s="88"/>
      <c r="E60" s="88"/>
      <c r="F60" s="88"/>
      <c r="G60" s="88"/>
      <c r="H60" s="88"/>
      <c r="I60" s="88"/>
      <c r="J60" s="88"/>
      <c r="K60" s="88"/>
      <c r="L60" s="88"/>
      <c r="M60" s="88">
        <v>3.4</v>
      </c>
      <c r="N60" s="88"/>
      <c r="O60" s="88">
        <v>3.4</v>
      </c>
      <c r="P60" s="88"/>
      <c r="Q60" s="6">
        <v>0.34</v>
      </c>
      <c r="R60" s="88">
        <v>0.34</v>
      </c>
      <c r="S60" s="88"/>
      <c r="T60" s="88"/>
    </row>
    <row r="61" spans="1:20" s="1" customFormat="1" ht="13.35" customHeight="1" x14ac:dyDescent="0.25">
      <c r="A61" s="88" t="s">
        <v>61</v>
      </c>
      <c r="B61" s="88"/>
      <c r="C61" s="88"/>
      <c r="D61" s="88"/>
      <c r="E61" s="88"/>
      <c r="F61" s="88"/>
      <c r="G61" s="88"/>
      <c r="H61" s="88"/>
      <c r="I61" s="88"/>
      <c r="J61" s="88"/>
      <c r="K61" s="88"/>
      <c r="L61" s="88"/>
      <c r="M61" s="88">
        <v>4.5999999999999996</v>
      </c>
      <c r="N61" s="88"/>
      <c r="O61" s="88">
        <v>4.5999999999999996</v>
      </c>
      <c r="P61" s="88"/>
      <c r="Q61" s="6">
        <v>0.46</v>
      </c>
      <c r="R61" s="88">
        <v>0.46</v>
      </c>
      <c r="S61" s="88"/>
      <c r="T61" s="88"/>
    </row>
    <row r="62" spans="1:20" s="1" customFormat="1" ht="13.35" customHeight="1" x14ac:dyDescent="0.25">
      <c r="A62" s="88" t="s">
        <v>67</v>
      </c>
      <c r="B62" s="88"/>
      <c r="C62" s="88"/>
      <c r="D62" s="88"/>
      <c r="E62" s="88"/>
      <c r="F62" s="88"/>
      <c r="G62" s="88"/>
      <c r="H62" s="88"/>
      <c r="I62" s="88"/>
      <c r="J62" s="88"/>
      <c r="K62" s="88"/>
      <c r="L62" s="88"/>
      <c r="M62" s="88">
        <f>5.2*200/130</f>
        <v>8</v>
      </c>
      <c r="N62" s="88"/>
      <c r="O62" s="88">
        <v>8</v>
      </c>
      <c r="P62" s="88"/>
      <c r="Q62" s="6">
        <v>0.8</v>
      </c>
      <c r="R62" s="88">
        <v>0.8</v>
      </c>
      <c r="S62" s="88"/>
      <c r="T62" s="88"/>
    </row>
    <row r="63" spans="1:20" s="1" customFormat="1" ht="13.35" customHeight="1" x14ac:dyDescent="0.25">
      <c r="A63" s="88" t="s">
        <v>70</v>
      </c>
      <c r="B63" s="88"/>
      <c r="C63" s="88"/>
      <c r="D63" s="88"/>
      <c r="E63" s="88"/>
      <c r="F63" s="88"/>
      <c r="G63" s="88"/>
      <c r="H63" s="88"/>
      <c r="I63" s="88"/>
      <c r="J63" s="88"/>
      <c r="K63" s="88"/>
      <c r="L63" s="88"/>
      <c r="M63" s="88">
        <v>1.5</v>
      </c>
      <c r="N63" s="88"/>
      <c r="O63" s="88">
        <v>1.5</v>
      </c>
      <c r="P63" s="88"/>
      <c r="Q63" s="6">
        <v>0.15</v>
      </c>
      <c r="R63" s="88">
        <v>0.15</v>
      </c>
      <c r="S63" s="88"/>
      <c r="T63" s="88"/>
    </row>
    <row r="64" spans="1:20" s="1" customFormat="1" ht="13.35" customHeight="1" x14ac:dyDescent="0.25">
      <c r="A64" s="88" t="s">
        <v>129</v>
      </c>
      <c r="B64" s="88"/>
      <c r="C64" s="88"/>
      <c r="D64" s="88"/>
      <c r="E64" s="88"/>
      <c r="F64" s="88"/>
      <c r="G64" s="88"/>
      <c r="H64" s="88"/>
      <c r="I64" s="88"/>
      <c r="J64" s="88"/>
      <c r="K64" s="88"/>
      <c r="L64" s="88"/>
      <c r="M64" s="88">
        <v>8</v>
      </c>
      <c r="N64" s="88"/>
      <c r="O64" s="88">
        <v>8</v>
      </c>
      <c r="P64" s="88"/>
      <c r="Q64" s="6">
        <v>0.8</v>
      </c>
      <c r="R64" s="88">
        <v>0.8</v>
      </c>
      <c r="S64" s="88"/>
      <c r="T64" s="88"/>
    </row>
    <row r="65" spans="1:20" s="1" customFormat="1" ht="14.1" customHeight="1" x14ac:dyDescent="0.25">
      <c r="A65" s="90" t="s">
        <v>815</v>
      </c>
      <c r="B65" s="90"/>
      <c r="C65" s="90"/>
      <c r="D65" s="90"/>
      <c r="E65" s="90"/>
      <c r="F65" s="90"/>
      <c r="G65" s="90"/>
      <c r="H65" s="90"/>
      <c r="I65" s="90"/>
      <c r="J65" s="90"/>
      <c r="K65" s="90"/>
      <c r="L65" s="90"/>
      <c r="M65" s="90"/>
      <c r="N65" s="90"/>
      <c r="O65" s="90"/>
      <c r="P65" s="90"/>
      <c r="Q65" s="90"/>
      <c r="R65" s="90"/>
      <c r="S65" s="90"/>
      <c r="T65" s="90"/>
    </row>
    <row r="66" spans="1:20" s="1" customFormat="1" ht="21.3" customHeight="1" x14ac:dyDescent="0.25"/>
    <row r="67" spans="1:20" s="1" customFormat="1" ht="14.1" customHeight="1" x14ac:dyDescent="0.25">
      <c r="A67" s="91" t="s">
        <v>33</v>
      </c>
      <c r="B67" s="91"/>
      <c r="C67" s="91"/>
      <c r="D67" s="91"/>
      <c r="E67" s="91"/>
      <c r="F67" s="91"/>
      <c r="G67" s="91"/>
      <c r="H67" s="91"/>
      <c r="I67" s="91"/>
      <c r="J67" s="91"/>
      <c r="K67" s="91"/>
      <c r="L67" s="91"/>
      <c r="M67" s="91"/>
      <c r="N67" s="91"/>
    </row>
    <row r="68" spans="1:20" s="1" customFormat="1" ht="13.35" customHeight="1" x14ac:dyDescent="0.25">
      <c r="A68" s="88" t="s">
        <v>34</v>
      </c>
      <c r="B68" s="88"/>
      <c r="C68" s="88"/>
      <c r="D68" s="88"/>
      <c r="E68" s="89">
        <v>13.22</v>
      </c>
      <c r="F68" s="89"/>
      <c r="G68" s="17"/>
      <c r="H68" s="6" t="s">
        <v>35</v>
      </c>
      <c r="I68" s="89">
        <v>7.0000000000000007E-2</v>
      </c>
      <c r="J68" s="89"/>
      <c r="K68" s="17"/>
      <c r="L68" s="88" t="s">
        <v>36</v>
      </c>
      <c r="M68" s="88"/>
      <c r="N68" s="89">
        <v>128.88</v>
      </c>
      <c r="O68" s="89"/>
    </row>
    <row r="69" spans="1:20" s="1" customFormat="1" ht="13.35" customHeight="1" x14ac:dyDescent="0.25">
      <c r="A69" s="88" t="s">
        <v>37</v>
      </c>
      <c r="B69" s="88"/>
      <c r="C69" s="88"/>
      <c r="D69" s="88"/>
      <c r="E69" s="89">
        <v>13.42</v>
      </c>
      <c r="F69" s="89"/>
      <c r="G69" s="17"/>
      <c r="H69" s="6" t="s">
        <v>38</v>
      </c>
      <c r="I69" s="89">
        <v>1.32</v>
      </c>
      <c r="J69" s="89"/>
      <c r="K69" s="17"/>
      <c r="L69" s="88" t="s">
        <v>39</v>
      </c>
      <c r="M69" s="88"/>
      <c r="N69" s="89">
        <v>25.04</v>
      </c>
      <c r="O69" s="89"/>
    </row>
    <row r="70" spans="1:20" s="1" customFormat="1" ht="13.35" customHeight="1" x14ac:dyDescent="0.25">
      <c r="A70" s="88" t="s">
        <v>40</v>
      </c>
      <c r="B70" s="88"/>
      <c r="C70" s="88"/>
      <c r="D70" s="88"/>
      <c r="E70" s="89">
        <v>29.16</v>
      </c>
      <c r="F70" s="89"/>
      <c r="G70" s="17"/>
      <c r="H70" s="6" t="s">
        <v>41</v>
      </c>
      <c r="I70" s="89">
        <v>7.0000000000000007E-2</v>
      </c>
      <c r="J70" s="89"/>
      <c r="K70" s="17"/>
      <c r="L70" s="88" t="s">
        <v>42</v>
      </c>
      <c r="M70" s="88"/>
      <c r="N70" s="89">
        <v>162.85</v>
      </c>
      <c r="O70" s="89"/>
    </row>
    <row r="71" spans="1:20" s="1" customFormat="1" ht="13.35" customHeight="1" x14ac:dyDescent="0.25">
      <c r="A71" s="88" t="s">
        <v>43</v>
      </c>
      <c r="B71" s="88"/>
      <c r="C71" s="88"/>
      <c r="D71" s="88"/>
      <c r="E71" s="89">
        <v>303.35000000000002</v>
      </c>
      <c r="F71" s="89"/>
      <c r="G71" s="17"/>
      <c r="H71" s="6" t="s">
        <v>44</v>
      </c>
      <c r="I71" s="89">
        <v>1.29</v>
      </c>
      <c r="J71" s="89"/>
      <c r="K71" s="17"/>
      <c r="L71" s="88" t="s">
        <v>45</v>
      </c>
      <c r="M71" s="88"/>
      <c r="N71" s="89">
        <v>1.59</v>
      </c>
      <c r="O71" s="89"/>
    </row>
    <row r="72" spans="1:20" s="1" customFormat="1" ht="13.35" customHeight="1" x14ac:dyDescent="0.25">
      <c r="A72" s="87"/>
      <c r="B72" s="87"/>
      <c r="C72" s="87"/>
      <c r="D72" s="87"/>
      <c r="E72" s="87"/>
      <c r="F72" s="87"/>
      <c r="G72" s="17"/>
      <c r="H72" s="6" t="s">
        <v>46</v>
      </c>
      <c r="I72" s="89">
        <v>0.16</v>
      </c>
      <c r="J72" s="89"/>
      <c r="K72" s="17"/>
      <c r="L72" s="88" t="s">
        <v>47</v>
      </c>
      <c r="M72" s="88"/>
      <c r="N72" s="89">
        <v>216.92</v>
      </c>
      <c r="O72" s="89"/>
    </row>
    <row r="73" spans="1:20" s="1" customFormat="1" ht="13.35" customHeight="1" x14ac:dyDescent="0.25">
      <c r="A73" s="87"/>
      <c r="B73" s="87"/>
      <c r="C73" s="87"/>
      <c r="D73" s="87"/>
      <c r="E73" s="87"/>
      <c r="F73" s="87"/>
      <c r="G73" s="17"/>
      <c r="H73" s="6" t="s">
        <v>48</v>
      </c>
      <c r="I73" s="89">
        <v>0.19</v>
      </c>
      <c r="J73" s="89"/>
      <c r="K73" s="17"/>
      <c r="L73" s="88" t="s">
        <v>49</v>
      </c>
      <c r="M73" s="88"/>
      <c r="N73" s="89">
        <v>3.62</v>
      </c>
      <c r="O73" s="89"/>
    </row>
    <row r="74" spans="1:20" s="1" customFormat="1" ht="13.35" customHeight="1" x14ac:dyDescent="0.25">
      <c r="A74" s="87"/>
      <c r="B74" s="87"/>
      <c r="C74" s="87"/>
      <c r="D74" s="87"/>
      <c r="E74" s="87"/>
      <c r="F74" s="87"/>
      <c r="G74" s="17"/>
      <c r="H74" s="17"/>
      <c r="I74" s="87"/>
      <c r="J74" s="87"/>
      <c r="K74" s="17"/>
      <c r="L74" s="88" t="s">
        <v>50</v>
      </c>
      <c r="M74" s="88"/>
      <c r="N74" s="89">
        <v>0.02</v>
      </c>
      <c r="O74" s="89"/>
    </row>
    <row r="75" spans="1:20" s="1" customFormat="1" ht="13.35" customHeight="1" x14ac:dyDescent="0.25">
      <c r="A75" s="87"/>
      <c r="B75" s="87"/>
      <c r="C75" s="87"/>
      <c r="D75" s="87"/>
      <c r="E75" s="87"/>
      <c r="F75" s="87"/>
      <c r="G75" s="17"/>
      <c r="H75" s="17"/>
      <c r="I75" s="87"/>
      <c r="J75" s="87"/>
      <c r="K75" s="17"/>
      <c r="L75" s="88" t="s">
        <v>51</v>
      </c>
      <c r="M75" s="88"/>
      <c r="N75" s="89">
        <v>0.02</v>
      </c>
      <c r="O75" s="89"/>
    </row>
    <row r="76" spans="1:20" s="1" customFormat="1" ht="14.1" customHeight="1" x14ac:dyDescent="0.25">
      <c r="A76" s="86"/>
      <c r="B76" s="86"/>
      <c r="C76" s="86"/>
      <c r="D76" s="86"/>
      <c r="E76" s="86"/>
      <c r="F76" s="86"/>
      <c r="G76" s="86"/>
      <c r="H76" s="86"/>
      <c r="I76" s="86"/>
      <c r="J76" s="86"/>
      <c r="K76" s="86"/>
      <c r="L76" s="86"/>
      <c r="M76" s="86"/>
      <c r="N76" s="86"/>
      <c r="O76" s="86"/>
      <c r="P76" s="86"/>
      <c r="Q76" s="86"/>
      <c r="R76" s="86"/>
      <c r="S76" s="86"/>
    </row>
    <row r="77" spans="1:20" s="1" customFormat="1" ht="14.1" customHeight="1" x14ac:dyDescent="0.25">
      <c r="A77" s="84" t="s">
        <v>52</v>
      </c>
      <c r="B77" s="84"/>
      <c r="C77" s="84"/>
      <c r="D77" s="84"/>
      <c r="E77" s="84"/>
      <c r="F77" s="84"/>
      <c r="G77" s="84"/>
      <c r="H77" s="84"/>
      <c r="I77" s="84"/>
      <c r="J77" s="84"/>
      <c r="K77" s="84"/>
      <c r="L77" s="84"/>
      <c r="M77" s="84"/>
      <c r="N77" s="84"/>
      <c r="O77" s="84"/>
      <c r="P77" s="84"/>
      <c r="Q77" s="84"/>
      <c r="R77" s="84"/>
      <c r="S77" s="84"/>
    </row>
    <row r="78" spans="1:20" s="1" customFormat="1" ht="58.5" customHeight="1" x14ac:dyDescent="0.25">
      <c r="A78" s="85" t="s">
        <v>223</v>
      </c>
      <c r="B78" s="85"/>
      <c r="C78" s="85"/>
      <c r="D78" s="85"/>
      <c r="E78" s="85"/>
      <c r="F78" s="85"/>
      <c r="G78" s="85"/>
      <c r="H78" s="85"/>
      <c r="I78" s="85"/>
      <c r="J78" s="85"/>
      <c r="K78" s="85"/>
      <c r="L78" s="85"/>
      <c r="M78" s="85"/>
      <c r="N78" s="85"/>
      <c r="O78" s="85"/>
      <c r="P78" s="85"/>
      <c r="Q78" s="85"/>
      <c r="R78" s="85"/>
      <c r="S78" s="85"/>
    </row>
    <row r="79" spans="1:20" s="1" customFormat="1" ht="14.1" customHeight="1" x14ac:dyDescent="0.25">
      <c r="A79" s="86"/>
      <c r="B79" s="86"/>
      <c r="C79" s="86"/>
      <c r="D79" s="86"/>
      <c r="E79" s="86"/>
      <c r="F79" s="86"/>
      <c r="G79" s="86"/>
      <c r="H79" s="86"/>
      <c r="I79" s="86"/>
      <c r="J79" s="86"/>
      <c r="K79" s="86"/>
      <c r="L79" s="86"/>
      <c r="M79" s="86"/>
      <c r="N79" s="86"/>
      <c r="O79" s="86"/>
      <c r="P79" s="86"/>
      <c r="Q79" s="86"/>
      <c r="R79" s="86"/>
      <c r="S79" s="86"/>
    </row>
    <row r="80" spans="1:20" s="1" customFormat="1" ht="14.1" customHeight="1" x14ac:dyDescent="0.25">
      <c r="A80" s="84" t="s">
        <v>54</v>
      </c>
      <c r="B80" s="84"/>
      <c r="C80" s="84"/>
      <c r="D80" s="84"/>
      <c r="E80" s="84"/>
      <c r="F80" s="84"/>
      <c r="G80" s="84"/>
      <c r="H80" s="84"/>
      <c r="I80" s="84"/>
      <c r="J80" s="84"/>
      <c r="K80" s="84"/>
      <c r="L80" s="84"/>
      <c r="M80" s="84"/>
      <c r="N80" s="84"/>
      <c r="O80" s="84"/>
      <c r="P80" s="84"/>
      <c r="Q80" s="84"/>
      <c r="R80" s="84"/>
      <c r="S80" s="84"/>
    </row>
    <row r="81" spans="1:20" s="1" customFormat="1" ht="12.45" customHeight="1" x14ac:dyDescent="0.25">
      <c r="A81" s="85" t="s">
        <v>224</v>
      </c>
      <c r="B81" s="85"/>
      <c r="C81" s="85"/>
      <c r="D81" s="85"/>
      <c r="E81" s="85"/>
      <c r="F81" s="85"/>
      <c r="G81" s="85"/>
      <c r="H81" s="85"/>
      <c r="I81" s="85"/>
      <c r="J81" s="85"/>
      <c r="K81" s="85"/>
      <c r="L81" s="85"/>
      <c r="M81" s="85"/>
      <c r="N81" s="85"/>
      <c r="O81" s="85"/>
      <c r="P81" s="85"/>
      <c r="Q81" s="85"/>
      <c r="R81" s="85"/>
      <c r="S81" s="85"/>
    </row>
    <row r="82" spans="1:20" s="1" customFormat="1" ht="14.1" customHeight="1" x14ac:dyDescent="0.25">
      <c r="A82" s="86"/>
      <c r="B82" s="86"/>
      <c r="C82" s="86"/>
      <c r="D82" s="86"/>
      <c r="E82" s="86"/>
      <c r="F82" s="86"/>
      <c r="G82" s="86"/>
      <c r="H82" s="86"/>
      <c r="I82" s="86"/>
      <c r="J82" s="86"/>
      <c r="K82" s="86"/>
      <c r="L82" s="86"/>
      <c r="M82" s="86"/>
      <c r="N82" s="86"/>
      <c r="O82" s="86"/>
      <c r="P82" s="86"/>
      <c r="Q82" s="86"/>
      <c r="R82" s="86"/>
      <c r="S82" s="86"/>
    </row>
    <row r="83" spans="1:20" s="1" customFormat="1" ht="14.1" customHeight="1" x14ac:dyDescent="0.25">
      <c r="A83" s="84" t="s">
        <v>56</v>
      </c>
      <c r="B83" s="84"/>
      <c r="C83" s="84"/>
      <c r="D83" s="84"/>
      <c r="E83" s="84"/>
      <c r="F83" s="84"/>
      <c r="G83" s="84"/>
      <c r="H83" s="84"/>
      <c r="I83" s="84"/>
      <c r="J83" s="84"/>
      <c r="K83" s="84"/>
      <c r="L83" s="84"/>
      <c r="M83" s="84"/>
      <c r="N83" s="84"/>
      <c r="O83" s="84"/>
      <c r="P83" s="84"/>
      <c r="Q83" s="84"/>
      <c r="R83" s="84"/>
      <c r="S83" s="84"/>
    </row>
    <row r="84" spans="1:20" s="1" customFormat="1" ht="49.2" customHeight="1" x14ac:dyDescent="0.25">
      <c r="A84" s="85" t="s">
        <v>225</v>
      </c>
      <c r="B84" s="85"/>
      <c r="C84" s="85"/>
      <c r="D84" s="85"/>
      <c r="E84" s="85"/>
      <c r="F84" s="85"/>
      <c r="G84" s="85"/>
      <c r="H84" s="85"/>
      <c r="I84" s="85"/>
      <c r="J84" s="85"/>
      <c r="K84" s="85"/>
      <c r="L84" s="85"/>
      <c r="M84" s="85"/>
      <c r="N84" s="85"/>
      <c r="O84" s="85"/>
      <c r="P84" s="85"/>
      <c r="Q84" s="85"/>
      <c r="R84" s="85"/>
      <c r="S84" s="85"/>
    </row>
    <row r="85" spans="1:20" s="1" customFormat="1" ht="72.45" customHeight="1" x14ac:dyDescent="0.25">
      <c r="J85" s="100" t="s">
        <v>0</v>
      </c>
      <c r="K85" s="100"/>
      <c r="L85" s="100"/>
      <c r="M85" s="100"/>
      <c r="N85" s="100"/>
      <c r="O85" s="100"/>
      <c r="P85" s="100"/>
      <c r="Q85" s="100"/>
      <c r="R85" s="100"/>
      <c r="S85" s="100"/>
      <c r="T85" s="100"/>
    </row>
    <row r="86" spans="1:20" s="1" customFormat="1" ht="7.05" customHeight="1" x14ac:dyDescent="0.25"/>
    <row r="87" spans="1:20" s="1" customFormat="1" ht="14.1" customHeight="1" x14ac:dyDescent="0.25">
      <c r="B87" s="101" t="s">
        <v>734</v>
      </c>
      <c r="C87" s="101"/>
      <c r="D87" s="101"/>
      <c r="E87" s="101"/>
      <c r="F87" s="101"/>
      <c r="G87" s="101"/>
      <c r="H87" s="101"/>
      <c r="I87" s="101"/>
      <c r="J87" s="101"/>
      <c r="K87" s="101"/>
      <c r="L87" s="101"/>
      <c r="M87" s="101"/>
      <c r="N87" s="101"/>
      <c r="O87" s="101"/>
      <c r="P87" s="101"/>
      <c r="Q87" s="101"/>
      <c r="R87" s="101"/>
    </row>
    <row r="88" spans="1:20" s="1" customFormat="1" ht="14.1" customHeight="1" x14ac:dyDescent="0.25"/>
    <row r="89" spans="1:20" s="1" customFormat="1" ht="14.1" customHeight="1" x14ac:dyDescent="0.25">
      <c r="A89" s="102" t="s">
        <v>2</v>
      </c>
      <c r="B89" s="102"/>
      <c r="C89" s="102"/>
      <c r="D89" s="103" t="s">
        <v>819</v>
      </c>
      <c r="E89" s="103"/>
      <c r="F89" s="103"/>
      <c r="G89" s="103"/>
      <c r="H89" s="103"/>
      <c r="I89" s="103"/>
      <c r="J89" s="103"/>
      <c r="K89" s="103"/>
      <c r="L89" s="103"/>
      <c r="M89" s="103"/>
      <c r="N89" s="103"/>
      <c r="O89" s="103"/>
      <c r="P89" s="103"/>
      <c r="Q89" s="103"/>
      <c r="R89" s="103"/>
      <c r="S89" s="103"/>
      <c r="T89" s="103"/>
    </row>
    <row r="90" spans="1:20" s="1" customFormat="1" ht="14.1" customHeight="1" x14ac:dyDescent="0.25">
      <c r="A90" s="102" t="s">
        <v>4</v>
      </c>
      <c r="B90" s="102"/>
      <c r="C90" s="103">
        <v>21</v>
      </c>
      <c r="D90" s="103"/>
      <c r="E90" s="103"/>
      <c r="F90" s="103"/>
      <c r="G90" s="103"/>
      <c r="H90" s="103"/>
      <c r="I90" s="103"/>
      <c r="J90" s="103"/>
      <c r="K90" s="103"/>
      <c r="L90" s="103"/>
      <c r="M90" s="103"/>
      <c r="N90" s="103"/>
      <c r="O90" s="103"/>
      <c r="P90" s="103"/>
      <c r="Q90" s="103"/>
      <c r="R90" s="103"/>
      <c r="S90" s="103"/>
      <c r="T90" s="103"/>
    </row>
    <row r="91" spans="1:20" s="1" customFormat="1" ht="14.1" customHeight="1" x14ac:dyDescent="0.25">
      <c r="A91" s="102" t="s">
        <v>6</v>
      </c>
      <c r="B91" s="102"/>
      <c r="C91" s="102"/>
      <c r="D91" s="102"/>
      <c r="E91" s="102"/>
      <c r="F91" s="103" t="s">
        <v>75</v>
      </c>
      <c r="G91" s="103"/>
      <c r="H91" s="103"/>
      <c r="I91" s="103"/>
      <c r="J91" s="103"/>
      <c r="K91" s="103"/>
      <c r="L91" s="103"/>
      <c r="M91" s="103"/>
      <c r="N91" s="103"/>
      <c r="O91" s="103"/>
      <c r="P91" s="103"/>
      <c r="Q91" s="103"/>
      <c r="R91" s="103"/>
      <c r="S91" s="103"/>
      <c r="T91" s="103"/>
    </row>
    <row r="92" spans="1:20" s="1" customFormat="1" ht="13.2" x14ac:dyDescent="0.25">
      <c r="A92" s="146" t="s">
        <v>753</v>
      </c>
      <c r="B92" s="119"/>
      <c r="C92" s="119"/>
      <c r="D92" s="119"/>
      <c r="E92" s="119"/>
      <c r="F92" s="119"/>
      <c r="G92" s="119"/>
      <c r="H92" s="119"/>
      <c r="I92" s="119"/>
      <c r="J92" s="119"/>
      <c r="K92" s="119"/>
      <c r="L92" s="119"/>
      <c r="M92" s="119"/>
      <c r="N92" s="119"/>
      <c r="O92" s="119"/>
      <c r="P92" s="119"/>
      <c r="Q92" s="119"/>
      <c r="R92" s="119"/>
      <c r="S92" s="119"/>
    </row>
    <row r="93" spans="1:20" s="1" customFormat="1" ht="34.950000000000003" customHeight="1" x14ac:dyDescent="0.25">
      <c r="A93" s="134" t="s">
        <v>690</v>
      </c>
      <c r="B93" s="170"/>
      <c r="C93" s="170"/>
      <c r="D93" s="170"/>
      <c r="E93" s="170"/>
      <c r="F93" s="170"/>
      <c r="G93" s="170"/>
      <c r="H93" s="170"/>
      <c r="I93" s="170"/>
      <c r="J93" s="170"/>
      <c r="K93" s="170"/>
      <c r="L93" s="170"/>
      <c r="M93" s="170"/>
      <c r="N93" s="170"/>
      <c r="O93" s="170"/>
      <c r="P93" s="170"/>
      <c r="Q93" s="170"/>
      <c r="R93" s="170"/>
      <c r="S93" s="170"/>
    </row>
    <row r="94" spans="1:20" s="1" customFormat="1" ht="7.05" customHeight="1" x14ac:dyDescent="0.25">
      <c r="A94" s="86"/>
      <c r="B94" s="86"/>
      <c r="C94" s="86"/>
      <c r="D94" s="86"/>
      <c r="E94" s="86"/>
      <c r="F94" s="86"/>
      <c r="G94" s="86"/>
      <c r="H94" s="86"/>
      <c r="I94" s="86"/>
      <c r="J94" s="86"/>
      <c r="K94" s="86"/>
      <c r="L94" s="86"/>
      <c r="M94" s="86"/>
      <c r="N94" s="86"/>
      <c r="O94" s="86"/>
      <c r="P94" s="86"/>
      <c r="Q94" s="16"/>
      <c r="R94" s="86"/>
      <c r="S94" s="86"/>
      <c r="T94" s="86"/>
    </row>
    <row r="95" spans="1:20" s="1" customFormat="1" ht="16.95" customHeight="1" x14ac:dyDescent="0.25">
      <c r="A95" s="94" t="s">
        <v>8</v>
      </c>
      <c r="B95" s="94"/>
      <c r="C95" s="94"/>
      <c r="D95" s="94"/>
      <c r="E95" s="94"/>
      <c r="F95" s="94"/>
      <c r="G95" s="94"/>
      <c r="H95" s="94"/>
      <c r="I95" s="94"/>
      <c r="J95" s="94"/>
      <c r="K95" s="94"/>
      <c r="L95" s="94"/>
      <c r="M95" s="95" t="s">
        <v>9</v>
      </c>
      <c r="N95" s="95"/>
      <c r="O95" s="95"/>
      <c r="P95" s="95"/>
      <c r="Q95" s="95"/>
      <c r="R95" s="95"/>
      <c r="S95" s="95"/>
      <c r="T95" s="95"/>
    </row>
    <row r="96" spans="1:20" s="1" customFormat="1" ht="16.95" customHeight="1" x14ac:dyDescent="0.25">
      <c r="A96" s="94"/>
      <c r="B96" s="94"/>
      <c r="C96" s="94"/>
      <c r="D96" s="94"/>
      <c r="E96" s="94"/>
      <c r="F96" s="94"/>
      <c r="G96" s="94"/>
      <c r="H96" s="94"/>
      <c r="I96" s="94"/>
      <c r="J96" s="94"/>
      <c r="K96" s="94"/>
      <c r="L96" s="94"/>
      <c r="M96" s="96" t="s">
        <v>10</v>
      </c>
      <c r="N96" s="96"/>
      <c r="O96" s="96"/>
      <c r="P96" s="96"/>
      <c r="Q96" s="97" t="s">
        <v>11</v>
      </c>
      <c r="R96" s="97"/>
      <c r="S96" s="97"/>
      <c r="T96" s="97"/>
    </row>
    <row r="97" spans="1:20" s="1" customFormat="1" ht="16.95" customHeight="1" x14ac:dyDescent="0.25">
      <c r="A97" s="94"/>
      <c r="B97" s="94"/>
      <c r="C97" s="94"/>
      <c r="D97" s="94"/>
      <c r="E97" s="94"/>
      <c r="F97" s="94"/>
      <c r="G97" s="94"/>
      <c r="H97" s="94"/>
      <c r="I97" s="94"/>
      <c r="J97" s="94"/>
      <c r="K97" s="94"/>
      <c r="L97" s="94"/>
      <c r="M97" s="98" t="s">
        <v>12</v>
      </c>
      <c r="N97" s="98"/>
      <c r="O97" s="98" t="s">
        <v>13</v>
      </c>
      <c r="P97" s="98"/>
      <c r="Q97" s="13" t="s">
        <v>14</v>
      </c>
      <c r="R97" s="99" t="s">
        <v>15</v>
      </c>
      <c r="S97" s="99"/>
      <c r="T97" s="99"/>
    </row>
    <row r="98" spans="1:20" s="1" customFormat="1" ht="13.35" customHeight="1" x14ac:dyDescent="0.25">
      <c r="A98" s="88" t="s">
        <v>215</v>
      </c>
      <c r="B98" s="88"/>
      <c r="C98" s="88"/>
      <c r="D98" s="88"/>
      <c r="E98" s="88"/>
      <c r="F98" s="88"/>
      <c r="G98" s="88"/>
      <c r="H98" s="88"/>
      <c r="I98" s="88"/>
      <c r="J98" s="88"/>
      <c r="K98" s="88"/>
      <c r="L98" s="88"/>
      <c r="M98" s="88">
        <f>122.2*200/130</f>
        <v>188</v>
      </c>
      <c r="N98" s="88"/>
      <c r="O98" s="88">
        <v>188</v>
      </c>
      <c r="P98" s="88"/>
      <c r="Q98" s="6">
        <v>18.88</v>
      </c>
      <c r="R98" s="88">
        <v>18.88</v>
      </c>
      <c r="S98" s="88"/>
      <c r="T98" s="88"/>
    </row>
    <row r="99" spans="1:20" s="1" customFormat="1" ht="13.35" customHeight="1" x14ac:dyDescent="0.25">
      <c r="A99" s="88" t="s">
        <v>221</v>
      </c>
      <c r="B99" s="88"/>
      <c r="C99" s="88"/>
      <c r="D99" s="88"/>
      <c r="E99" s="88"/>
      <c r="F99" s="88"/>
      <c r="G99" s="88"/>
      <c r="H99" s="88"/>
      <c r="I99" s="88"/>
      <c r="J99" s="88"/>
      <c r="K99" s="88"/>
      <c r="L99" s="88"/>
      <c r="M99" s="88" t="s">
        <v>85</v>
      </c>
      <c r="N99" s="88"/>
      <c r="O99" s="88" t="s">
        <v>85</v>
      </c>
      <c r="P99" s="88"/>
      <c r="Q99" s="6" t="s">
        <v>77</v>
      </c>
      <c r="R99" s="88" t="s">
        <v>77</v>
      </c>
      <c r="S99" s="88"/>
      <c r="T99" s="88"/>
    </row>
    <row r="100" spans="1:20" s="1" customFormat="1" ht="13.35" customHeight="1" x14ac:dyDescent="0.25">
      <c r="A100" s="88" t="s">
        <v>159</v>
      </c>
      <c r="B100" s="88"/>
      <c r="C100" s="88"/>
      <c r="D100" s="88"/>
      <c r="E100" s="88"/>
      <c r="F100" s="88"/>
      <c r="G100" s="88"/>
      <c r="H100" s="88"/>
      <c r="I100" s="88"/>
      <c r="J100" s="88"/>
      <c r="K100" s="88"/>
      <c r="L100" s="88"/>
      <c r="M100" s="88">
        <f>7.8*200/130</f>
        <v>12</v>
      </c>
      <c r="N100" s="88"/>
      <c r="O100" s="88">
        <v>12</v>
      </c>
      <c r="P100" s="88"/>
      <c r="Q100" s="6">
        <v>1.2</v>
      </c>
      <c r="R100" s="88">
        <v>1.2</v>
      </c>
      <c r="S100" s="88"/>
      <c r="T100" s="88"/>
    </row>
    <row r="101" spans="1:20" s="1" customFormat="1" ht="13.35" customHeight="1" x14ac:dyDescent="0.25">
      <c r="A101" s="88" t="s">
        <v>109</v>
      </c>
      <c r="B101" s="88"/>
      <c r="C101" s="88"/>
      <c r="D101" s="88"/>
      <c r="E101" s="88"/>
      <c r="F101" s="88"/>
      <c r="G101" s="88"/>
      <c r="H101" s="88"/>
      <c r="I101" s="88"/>
      <c r="J101" s="88"/>
      <c r="K101" s="88"/>
      <c r="L101" s="88"/>
      <c r="M101" s="88">
        <v>11.39</v>
      </c>
      <c r="N101" s="88"/>
      <c r="O101" s="88">
        <v>11.39</v>
      </c>
      <c r="P101" s="88"/>
      <c r="Q101" s="6">
        <v>1.1299999999999999</v>
      </c>
      <c r="R101" s="88">
        <v>1.1299999999999999</v>
      </c>
      <c r="S101" s="88"/>
      <c r="T101" s="88"/>
    </row>
    <row r="102" spans="1:20" s="1" customFormat="1" ht="13.35" customHeight="1" x14ac:dyDescent="0.25">
      <c r="A102" s="88" t="s">
        <v>183</v>
      </c>
      <c r="B102" s="88"/>
      <c r="C102" s="88"/>
      <c r="D102" s="88"/>
      <c r="E102" s="88"/>
      <c r="F102" s="88"/>
      <c r="G102" s="88"/>
      <c r="H102" s="88"/>
      <c r="I102" s="88"/>
      <c r="J102" s="88"/>
      <c r="K102" s="88"/>
      <c r="L102" s="88"/>
      <c r="M102" s="88" t="s">
        <v>816</v>
      </c>
      <c r="N102" s="88"/>
      <c r="O102" s="88">
        <f>0.2*45</f>
        <v>9</v>
      </c>
      <c r="P102" s="88"/>
      <c r="Q102" s="6" t="s">
        <v>817</v>
      </c>
      <c r="R102" s="88">
        <v>0.9</v>
      </c>
      <c r="S102" s="88"/>
      <c r="T102" s="88"/>
    </row>
    <row r="103" spans="1:20" s="1" customFormat="1" ht="13.35" customHeight="1" x14ac:dyDescent="0.25">
      <c r="A103" s="88" t="s">
        <v>61</v>
      </c>
      <c r="B103" s="88"/>
      <c r="C103" s="88"/>
      <c r="D103" s="88"/>
      <c r="E103" s="88"/>
      <c r="F103" s="88"/>
      <c r="G103" s="88"/>
      <c r="H103" s="88"/>
      <c r="I103" s="88"/>
      <c r="J103" s="88"/>
      <c r="K103" s="88"/>
      <c r="L103" s="88"/>
      <c r="M103" s="88">
        <f>5.2*200/130</f>
        <v>8</v>
      </c>
      <c r="N103" s="88"/>
      <c r="O103" s="88">
        <v>8</v>
      </c>
      <c r="P103" s="88"/>
      <c r="Q103" s="6">
        <v>0.8</v>
      </c>
      <c r="R103" s="88">
        <v>0.8</v>
      </c>
      <c r="S103" s="88"/>
      <c r="T103" s="88"/>
    </row>
    <row r="104" spans="1:20" s="1" customFormat="1" ht="13.35" customHeight="1" x14ac:dyDescent="0.25">
      <c r="A104" s="88" t="s">
        <v>67</v>
      </c>
      <c r="B104" s="88"/>
      <c r="C104" s="88"/>
      <c r="D104" s="88"/>
      <c r="E104" s="88"/>
      <c r="F104" s="88"/>
      <c r="G104" s="88"/>
      <c r="H104" s="88"/>
      <c r="I104" s="88"/>
      <c r="J104" s="88"/>
      <c r="K104" s="88"/>
      <c r="L104" s="88"/>
      <c r="M104" s="88">
        <f>5.2*200/130</f>
        <v>8</v>
      </c>
      <c r="N104" s="88"/>
      <c r="O104" s="88">
        <v>8</v>
      </c>
      <c r="P104" s="88"/>
      <c r="Q104" s="30">
        <v>0.8</v>
      </c>
      <c r="R104" s="88">
        <v>0.8</v>
      </c>
      <c r="S104" s="88"/>
      <c r="T104" s="88"/>
    </row>
    <row r="105" spans="1:20" s="1" customFormat="1" ht="13.35" customHeight="1" x14ac:dyDescent="0.25">
      <c r="A105" s="88" t="s">
        <v>129</v>
      </c>
      <c r="B105" s="88"/>
      <c r="C105" s="88"/>
      <c r="D105" s="88"/>
      <c r="E105" s="88"/>
      <c r="F105" s="88"/>
      <c r="G105" s="88"/>
      <c r="H105" s="88"/>
      <c r="I105" s="88"/>
      <c r="J105" s="88"/>
      <c r="K105" s="88"/>
      <c r="L105" s="88"/>
      <c r="M105" s="88">
        <f>5.2*200/130</f>
        <v>8</v>
      </c>
      <c r="N105" s="88"/>
      <c r="O105" s="88">
        <v>8</v>
      </c>
      <c r="P105" s="88"/>
      <c r="Q105" s="30">
        <v>0.8</v>
      </c>
      <c r="R105" s="88">
        <v>0.8</v>
      </c>
      <c r="S105" s="88"/>
      <c r="T105" s="88"/>
    </row>
    <row r="106" spans="1:20" s="1" customFormat="1" ht="14.1" customHeight="1" x14ac:dyDescent="0.25">
      <c r="A106" s="90" t="s">
        <v>116</v>
      </c>
      <c r="B106" s="90"/>
      <c r="C106" s="90"/>
      <c r="D106" s="90"/>
      <c r="E106" s="90"/>
      <c r="F106" s="90"/>
      <c r="G106" s="90"/>
      <c r="H106" s="90"/>
      <c r="I106" s="90"/>
      <c r="J106" s="90"/>
      <c r="K106" s="90"/>
      <c r="L106" s="90"/>
      <c r="M106" s="90"/>
      <c r="N106" s="90"/>
      <c r="O106" s="90"/>
      <c r="P106" s="90"/>
      <c r="Q106" s="90"/>
      <c r="R106" s="90"/>
      <c r="S106" s="90"/>
      <c r="T106" s="90"/>
    </row>
    <row r="107" spans="1:20" s="1" customFormat="1" ht="21.3" customHeight="1" x14ac:dyDescent="0.25"/>
    <row r="108" spans="1:20" s="1" customFormat="1" ht="14.1" customHeight="1" x14ac:dyDescent="0.25">
      <c r="A108" s="91" t="s">
        <v>33</v>
      </c>
      <c r="B108" s="91"/>
      <c r="C108" s="91"/>
      <c r="D108" s="91"/>
      <c r="E108" s="91"/>
      <c r="F108" s="91"/>
      <c r="G108" s="91"/>
      <c r="H108" s="91"/>
      <c r="I108" s="91"/>
      <c r="J108" s="91"/>
      <c r="K108" s="91"/>
      <c r="L108" s="91"/>
      <c r="M108" s="91"/>
      <c r="N108" s="91"/>
    </row>
    <row r="109" spans="1:20" s="1" customFormat="1" ht="13.35" customHeight="1" x14ac:dyDescent="0.25">
      <c r="A109" s="88" t="s">
        <v>34</v>
      </c>
      <c r="B109" s="88"/>
      <c r="C109" s="88"/>
      <c r="D109" s="88"/>
      <c r="E109" s="89">
        <f>9.15*220/150</f>
        <v>13.42</v>
      </c>
      <c r="F109" s="89"/>
      <c r="G109" s="17"/>
      <c r="H109" s="6" t="s">
        <v>35</v>
      </c>
      <c r="I109" s="89">
        <v>0.06</v>
      </c>
      <c r="J109" s="89"/>
      <c r="K109" s="17"/>
      <c r="L109" s="88" t="s">
        <v>36</v>
      </c>
      <c r="M109" s="88"/>
      <c r="N109" s="89">
        <v>185.9</v>
      </c>
      <c r="O109" s="89"/>
    </row>
    <row r="110" spans="1:20" s="1" customFormat="1" ht="13.35" customHeight="1" x14ac:dyDescent="0.25">
      <c r="A110" s="88" t="s">
        <v>37</v>
      </c>
      <c r="B110" s="88"/>
      <c r="C110" s="88"/>
      <c r="D110" s="88"/>
      <c r="E110" s="89">
        <f>9.83*220/150</f>
        <v>14.417333333333334</v>
      </c>
      <c r="F110" s="89"/>
      <c r="G110" s="17"/>
      <c r="H110" s="6" t="s">
        <v>38</v>
      </c>
      <c r="I110" s="89">
        <v>0.28999999999999998</v>
      </c>
      <c r="J110" s="89"/>
      <c r="K110" s="17"/>
      <c r="L110" s="88" t="s">
        <v>39</v>
      </c>
      <c r="M110" s="88"/>
      <c r="N110" s="89">
        <v>30.83</v>
      </c>
      <c r="O110" s="89"/>
    </row>
    <row r="111" spans="1:20" s="1" customFormat="1" ht="13.35" customHeight="1" x14ac:dyDescent="0.25">
      <c r="A111" s="88" t="s">
        <v>40</v>
      </c>
      <c r="B111" s="88"/>
      <c r="C111" s="88"/>
      <c r="D111" s="88"/>
      <c r="E111" s="89">
        <f>31.73*220/150</f>
        <v>46.537333333333336</v>
      </c>
      <c r="F111" s="89"/>
      <c r="G111" s="17"/>
      <c r="H111" s="6" t="s">
        <v>41</v>
      </c>
      <c r="I111" s="89">
        <v>0.1</v>
      </c>
      <c r="J111" s="89"/>
      <c r="K111" s="17"/>
      <c r="L111" s="88" t="s">
        <v>42</v>
      </c>
      <c r="M111" s="88"/>
      <c r="N111" s="89">
        <v>252.08</v>
      </c>
      <c r="O111" s="89"/>
    </row>
    <row r="112" spans="1:20" s="1" customFormat="1" ht="13.35" customHeight="1" x14ac:dyDescent="0.25">
      <c r="A112" s="88" t="s">
        <v>43</v>
      </c>
      <c r="B112" s="88"/>
      <c r="C112" s="88"/>
      <c r="D112" s="88"/>
      <c r="E112" s="89">
        <f>258.75*220/150</f>
        <v>379.5</v>
      </c>
      <c r="F112" s="89"/>
      <c r="G112" s="17"/>
      <c r="H112" s="6" t="s">
        <v>44</v>
      </c>
      <c r="I112" s="89">
        <v>0.41</v>
      </c>
      <c r="J112" s="89"/>
      <c r="K112" s="17"/>
      <c r="L112" s="88" t="s">
        <v>45</v>
      </c>
      <c r="M112" s="88"/>
      <c r="N112" s="89">
        <v>1.18</v>
      </c>
      <c r="O112" s="89"/>
    </row>
    <row r="113" spans="1:19" s="1" customFormat="1" ht="13.35" customHeight="1" x14ac:dyDescent="0.25">
      <c r="A113" s="87"/>
      <c r="B113" s="87"/>
      <c r="C113" s="87"/>
      <c r="D113" s="87"/>
      <c r="E113" s="87"/>
      <c r="F113" s="87"/>
      <c r="G113" s="17"/>
      <c r="H113" s="6" t="s">
        <v>46</v>
      </c>
      <c r="I113" s="89">
        <v>0.2</v>
      </c>
      <c r="J113" s="89"/>
      <c r="K113" s="17"/>
      <c r="L113" s="88" t="s">
        <v>47</v>
      </c>
      <c r="M113" s="88"/>
      <c r="N113" s="89">
        <v>204.01</v>
      </c>
      <c r="O113" s="89"/>
    </row>
    <row r="114" spans="1:19" s="1" customFormat="1" ht="13.35" customHeight="1" x14ac:dyDescent="0.25">
      <c r="A114" s="87"/>
      <c r="B114" s="87"/>
      <c r="C114" s="87"/>
      <c r="D114" s="87"/>
      <c r="E114" s="87"/>
      <c r="F114" s="87"/>
      <c r="G114" s="17"/>
      <c r="H114" s="6" t="s">
        <v>48</v>
      </c>
      <c r="I114" s="89">
        <v>0.28000000000000003</v>
      </c>
      <c r="J114" s="89"/>
      <c r="K114" s="17"/>
      <c r="L114" s="88" t="s">
        <v>49</v>
      </c>
      <c r="M114" s="88"/>
      <c r="N114" s="89">
        <v>1.52</v>
      </c>
      <c r="O114" s="89"/>
    </row>
    <row r="115" spans="1:19" s="1" customFormat="1" ht="13.35" customHeight="1" x14ac:dyDescent="0.25">
      <c r="A115" s="87"/>
      <c r="B115" s="87"/>
      <c r="C115" s="87"/>
      <c r="D115" s="87"/>
      <c r="E115" s="87"/>
      <c r="F115" s="87"/>
      <c r="G115" s="17"/>
      <c r="H115" s="17"/>
      <c r="I115" s="87"/>
      <c r="J115" s="87"/>
      <c r="K115" s="17"/>
      <c r="L115" s="88" t="s">
        <v>50</v>
      </c>
      <c r="M115" s="88"/>
      <c r="N115" s="89">
        <v>0.03</v>
      </c>
      <c r="O115" s="89"/>
    </row>
    <row r="116" spans="1:19" s="1" customFormat="1" ht="13.35" customHeight="1" x14ac:dyDescent="0.25">
      <c r="A116" s="87"/>
      <c r="B116" s="87"/>
      <c r="C116" s="87"/>
      <c r="D116" s="87"/>
      <c r="E116" s="87"/>
      <c r="F116" s="87"/>
      <c r="G116" s="17"/>
      <c r="H116" s="17"/>
      <c r="I116" s="87"/>
      <c r="J116" s="87"/>
      <c r="K116" s="17"/>
      <c r="L116" s="88" t="s">
        <v>51</v>
      </c>
      <c r="M116" s="88"/>
      <c r="N116" s="89">
        <v>0.03</v>
      </c>
      <c r="O116" s="89"/>
    </row>
    <row r="117" spans="1:19" s="1" customFormat="1" ht="14.1" customHeight="1" x14ac:dyDescent="0.25">
      <c r="A117" s="86"/>
      <c r="B117" s="86"/>
      <c r="C117" s="86"/>
      <c r="D117" s="86"/>
      <c r="E117" s="86"/>
      <c r="F117" s="86"/>
      <c r="G117" s="86"/>
      <c r="H117" s="86"/>
      <c r="I117" s="86"/>
      <c r="J117" s="86"/>
      <c r="K117" s="86"/>
      <c r="L117" s="86"/>
      <c r="M117" s="86"/>
      <c r="N117" s="86"/>
      <c r="O117" s="86"/>
      <c r="P117" s="86"/>
      <c r="Q117" s="86"/>
      <c r="R117" s="86"/>
      <c r="S117" s="86"/>
    </row>
    <row r="118" spans="1:19" s="1" customFormat="1" ht="14.1" customHeight="1" x14ac:dyDescent="0.25">
      <c r="A118" s="84" t="s">
        <v>52</v>
      </c>
      <c r="B118" s="84"/>
      <c r="C118" s="84"/>
      <c r="D118" s="84"/>
      <c r="E118" s="84"/>
      <c r="F118" s="84"/>
      <c r="G118" s="84"/>
      <c r="H118" s="84"/>
      <c r="I118" s="84"/>
      <c r="J118" s="84"/>
      <c r="K118" s="84"/>
      <c r="L118" s="84"/>
      <c r="M118" s="84"/>
      <c r="N118" s="84"/>
      <c r="O118" s="84"/>
      <c r="P118" s="84"/>
      <c r="Q118" s="84"/>
      <c r="R118" s="84"/>
      <c r="S118" s="84"/>
    </row>
    <row r="119" spans="1:19" s="1" customFormat="1" ht="67.650000000000006" customHeight="1" x14ac:dyDescent="0.25">
      <c r="A119" s="85" t="s">
        <v>218</v>
      </c>
      <c r="B119" s="85"/>
      <c r="C119" s="85"/>
      <c r="D119" s="85"/>
      <c r="E119" s="85"/>
      <c r="F119" s="85"/>
      <c r="G119" s="85"/>
      <c r="H119" s="85"/>
      <c r="I119" s="85"/>
      <c r="J119" s="85"/>
      <c r="K119" s="85"/>
      <c r="L119" s="85"/>
      <c r="M119" s="85"/>
      <c r="N119" s="85"/>
      <c r="O119" s="85"/>
      <c r="P119" s="85"/>
      <c r="Q119" s="85"/>
      <c r="R119" s="85"/>
      <c r="S119" s="85"/>
    </row>
    <row r="120" spans="1:19" s="1" customFormat="1" ht="14.1" customHeight="1" x14ac:dyDescent="0.25">
      <c r="A120" s="86"/>
      <c r="B120" s="86"/>
      <c r="C120" s="86"/>
      <c r="D120" s="86"/>
      <c r="E120" s="86"/>
      <c r="F120" s="86"/>
      <c r="G120" s="86"/>
      <c r="H120" s="86"/>
      <c r="I120" s="86"/>
      <c r="J120" s="86"/>
      <c r="K120" s="86"/>
      <c r="L120" s="86"/>
      <c r="M120" s="86"/>
      <c r="N120" s="86"/>
      <c r="O120" s="86"/>
      <c r="P120" s="86"/>
      <c r="Q120" s="86"/>
      <c r="R120" s="86"/>
      <c r="S120" s="86"/>
    </row>
    <row r="121" spans="1:19" s="1" customFormat="1" ht="14.1" customHeight="1" x14ac:dyDescent="0.25">
      <c r="A121" s="84" t="s">
        <v>54</v>
      </c>
      <c r="B121" s="84"/>
      <c r="C121" s="84"/>
      <c r="D121" s="84"/>
      <c r="E121" s="84"/>
      <c r="F121" s="84"/>
      <c r="G121" s="84"/>
      <c r="H121" s="84"/>
      <c r="I121" s="84"/>
      <c r="J121" s="84"/>
      <c r="K121" s="84"/>
      <c r="L121" s="84"/>
      <c r="M121" s="84"/>
      <c r="N121" s="84"/>
      <c r="O121" s="84"/>
      <c r="P121" s="84"/>
      <c r="Q121" s="84"/>
      <c r="R121" s="84"/>
      <c r="S121" s="84"/>
    </row>
    <row r="122" spans="1:19" s="1" customFormat="1" ht="12.15" customHeight="1" x14ac:dyDescent="0.25">
      <c r="A122" s="85" t="s">
        <v>227</v>
      </c>
      <c r="B122" s="85"/>
      <c r="C122" s="85"/>
      <c r="D122" s="85"/>
      <c r="E122" s="85"/>
      <c r="F122" s="85"/>
      <c r="G122" s="85"/>
      <c r="H122" s="85"/>
      <c r="I122" s="85"/>
      <c r="J122" s="85"/>
      <c r="K122" s="85"/>
      <c r="L122" s="85"/>
      <c r="M122" s="85"/>
      <c r="N122" s="85"/>
      <c r="O122" s="85"/>
      <c r="P122" s="85"/>
      <c r="Q122" s="85"/>
      <c r="R122" s="85"/>
      <c r="S122" s="85"/>
    </row>
    <row r="123" spans="1:19" s="1" customFormat="1" ht="14.1" customHeight="1" x14ac:dyDescent="0.25">
      <c r="A123" s="86"/>
      <c r="B123" s="86"/>
      <c r="C123" s="86"/>
      <c r="D123" s="86"/>
      <c r="E123" s="86"/>
      <c r="F123" s="86"/>
      <c r="G123" s="86"/>
      <c r="H123" s="86"/>
      <c r="I123" s="86"/>
      <c r="J123" s="86"/>
      <c r="K123" s="86"/>
      <c r="L123" s="86"/>
      <c r="M123" s="86"/>
      <c r="N123" s="86"/>
      <c r="O123" s="86"/>
      <c r="P123" s="86"/>
      <c r="Q123" s="86"/>
      <c r="R123" s="86"/>
      <c r="S123" s="86"/>
    </row>
    <row r="124" spans="1:19" s="1" customFormat="1" ht="14.1" customHeight="1" x14ac:dyDescent="0.25">
      <c r="A124" s="84" t="s">
        <v>56</v>
      </c>
      <c r="B124" s="84"/>
      <c r="C124" s="84"/>
      <c r="D124" s="84"/>
      <c r="E124" s="84"/>
      <c r="F124" s="84"/>
      <c r="G124" s="84"/>
      <c r="H124" s="84"/>
      <c r="I124" s="84"/>
      <c r="J124" s="84"/>
      <c r="K124" s="84"/>
      <c r="L124" s="84"/>
      <c r="M124" s="84"/>
      <c r="N124" s="84"/>
      <c r="O124" s="84"/>
      <c r="P124" s="84"/>
      <c r="Q124" s="84"/>
      <c r="R124" s="84"/>
      <c r="S124" s="84"/>
    </row>
    <row r="125" spans="1:19" s="1" customFormat="1" ht="49.2" customHeight="1" x14ac:dyDescent="0.25">
      <c r="A125" s="85" t="s">
        <v>219</v>
      </c>
      <c r="B125" s="85"/>
      <c r="C125" s="85"/>
      <c r="D125" s="85"/>
      <c r="E125" s="85"/>
      <c r="F125" s="85"/>
      <c r="G125" s="85"/>
      <c r="H125" s="85"/>
      <c r="I125" s="85"/>
      <c r="J125" s="85"/>
      <c r="K125" s="85"/>
      <c r="L125" s="85"/>
      <c r="M125" s="85"/>
      <c r="N125" s="85"/>
      <c r="O125" s="85"/>
      <c r="P125" s="85"/>
      <c r="Q125" s="85"/>
      <c r="R125" s="85"/>
      <c r="S125" s="85"/>
    </row>
  </sheetData>
  <mergeCells count="324">
    <mergeCell ref="A123:S123"/>
    <mergeCell ref="A124:S124"/>
    <mergeCell ref="A125:S125"/>
    <mergeCell ref="A117:S117"/>
    <mergeCell ref="A118:S118"/>
    <mergeCell ref="A119:S119"/>
    <mergeCell ref="A120:S120"/>
    <mergeCell ref="A121:S121"/>
    <mergeCell ref="A122:S122"/>
    <mergeCell ref="A115:D115"/>
    <mergeCell ref="E115:F115"/>
    <mergeCell ref="I115:J115"/>
    <mergeCell ref="L115:M115"/>
    <mergeCell ref="N115:O115"/>
    <mergeCell ref="A116:D116"/>
    <mergeCell ref="E116:F116"/>
    <mergeCell ref="I116:J116"/>
    <mergeCell ref="L116:M116"/>
    <mergeCell ref="N116:O116"/>
    <mergeCell ref="A113:D113"/>
    <mergeCell ref="E113:F113"/>
    <mergeCell ref="I113:J113"/>
    <mergeCell ref="L113:M113"/>
    <mergeCell ref="N113:O113"/>
    <mergeCell ref="A114:D114"/>
    <mergeCell ref="E114:F114"/>
    <mergeCell ref="I114:J114"/>
    <mergeCell ref="L114:M114"/>
    <mergeCell ref="N114:O114"/>
    <mergeCell ref="A111:D111"/>
    <mergeCell ref="E111:F111"/>
    <mergeCell ref="I111:J111"/>
    <mergeCell ref="L111:M111"/>
    <mergeCell ref="N111:O111"/>
    <mergeCell ref="A112:D112"/>
    <mergeCell ref="E112:F112"/>
    <mergeCell ref="I112:J112"/>
    <mergeCell ref="L112:M112"/>
    <mergeCell ref="N112:O112"/>
    <mergeCell ref="A109:D109"/>
    <mergeCell ref="E109:F109"/>
    <mergeCell ref="I109:J109"/>
    <mergeCell ref="L109:M109"/>
    <mergeCell ref="N109:O109"/>
    <mergeCell ref="A110:D110"/>
    <mergeCell ref="E110:F110"/>
    <mergeCell ref="I110:J110"/>
    <mergeCell ref="L110:M110"/>
    <mergeCell ref="N110:O110"/>
    <mergeCell ref="A105:L105"/>
    <mergeCell ref="M105:N105"/>
    <mergeCell ref="O105:P105"/>
    <mergeCell ref="R105:T105"/>
    <mergeCell ref="A106:T106"/>
    <mergeCell ref="A108:N108"/>
    <mergeCell ref="A104:L104"/>
    <mergeCell ref="M104:N104"/>
    <mergeCell ref="O104:P104"/>
    <mergeCell ref="R104:T104"/>
    <mergeCell ref="A103:L103"/>
    <mergeCell ref="M103:N103"/>
    <mergeCell ref="O103:P103"/>
    <mergeCell ref="R103:T103"/>
    <mergeCell ref="A100:L100"/>
    <mergeCell ref="M100:N100"/>
    <mergeCell ref="O100:P100"/>
    <mergeCell ref="R100:T100"/>
    <mergeCell ref="A101:L101"/>
    <mergeCell ref="M101:N101"/>
    <mergeCell ref="O101:P101"/>
    <mergeCell ref="R101:T101"/>
    <mergeCell ref="A98:L98"/>
    <mergeCell ref="M98:N98"/>
    <mergeCell ref="O98:P98"/>
    <mergeCell ref="R98:T98"/>
    <mergeCell ref="A99:L99"/>
    <mergeCell ref="M99:N99"/>
    <mergeCell ref="O99:P99"/>
    <mergeCell ref="R99:T99"/>
    <mergeCell ref="A102:L102"/>
    <mergeCell ref="M102:N102"/>
    <mergeCell ref="O102:P102"/>
    <mergeCell ref="R102:T102"/>
    <mergeCell ref="A94:L94"/>
    <mergeCell ref="M94:N94"/>
    <mergeCell ref="O94:P94"/>
    <mergeCell ref="R94:T94"/>
    <mergeCell ref="A95:L97"/>
    <mergeCell ref="M95:T95"/>
    <mergeCell ref="M96:P96"/>
    <mergeCell ref="Q96:T96"/>
    <mergeCell ref="M97:N97"/>
    <mergeCell ref="O97:P97"/>
    <mergeCell ref="R97:T97"/>
    <mergeCell ref="A90:B90"/>
    <mergeCell ref="C90:T90"/>
    <mergeCell ref="A91:E91"/>
    <mergeCell ref="F91:T91"/>
    <mergeCell ref="A92:S92"/>
    <mergeCell ref="A93:S93"/>
    <mergeCell ref="A83:S83"/>
    <mergeCell ref="A84:S84"/>
    <mergeCell ref="J85:T85"/>
    <mergeCell ref="B87:R87"/>
    <mergeCell ref="A89:C89"/>
    <mergeCell ref="D89:T89"/>
    <mergeCell ref="A77:S77"/>
    <mergeCell ref="A78:S78"/>
    <mergeCell ref="A79:S79"/>
    <mergeCell ref="A80:S80"/>
    <mergeCell ref="A81:S81"/>
    <mergeCell ref="A82:S82"/>
    <mergeCell ref="A75:D75"/>
    <mergeCell ref="E75:F75"/>
    <mergeCell ref="I75:J75"/>
    <mergeCell ref="L75:M75"/>
    <mergeCell ref="N75:O75"/>
    <mergeCell ref="A76:S76"/>
    <mergeCell ref="A73:D73"/>
    <mergeCell ref="E73:F73"/>
    <mergeCell ref="I73:J73"/>
    <mergeCell ref="L73:M73"/>
    <mergeCell ref="N73:O73"/>
    <mergeCell ref="A74:D74"/>
    <mergeCell ref="E74:F74"/>
    <mergeCell ref="I74:J74"/>
    <mergeCell ref="L74:M74"/>
    <mergeCell ref="N74:O74"/>
    <mergeCell ref="A71:D71"/>
    <mergeCell ref="E71:F71"/>
    <mergeCell ref="I71:J71"/>
    <mergeCell ref="L71:M71"/>
    <mergeCell ref="N71:O71"/>
    <mergeCell ref="A72:D72"/>
    <mergeCell ref="E72:F72"/>
    <mergeCell ref="I72:J72"/>
    <mergeCell ref="L72:M72"/>
    <mergeCell ref="N72:O72"/>
    <mergeCell ref="A69:D69"/>
    <mergeCell ref="E69:F69"/>
    <mergeCell ref="I69:J69"/>
    <mergeCell ref="L69:M69"/>
    <mergeCell ref="N69:O69"/>
    <mergeCell ref="A70:D70"/>
    <mergeCell ref="E70:F70"/>
    <mergeCell ref="I70:J70"/>
    <mergeCell ref="L70:M70"/>
    <mergeCell ref="N70:O70"/>
    <mergeCell ref="A65:T65"/>
    <mergeCell ref="A67:N67"/>
    <mergeCell ref="A68:D68"/>
    <mergeCell ref="E68:F68"/>
    <mergeCell ref="I68:J68"/>
    <mergeCell ref="L68:M68"/>
    <mergeCell ref="N68:O68"/>
    <mergeCell ref="A63:L63"/>
    <mergeCell ref="M63:N63"/>
    <mergeCell ref="O63:P63"/>
    <mergeCell ref="R63:T63"/>
    <mergeCell ref="A64:L64"/>
    <mergeCell ref="M64:N64"/>
    <mergeCell ref="O64:P64"/>
    <mergeCell ref="R64:T64"/>
    <mergeCell ref="A61:L61"/>
    <mergeCell ref="M61:N61"/>
    <mergeCell ref="O61:P61"/>
    <mergeCell ref="R61:T61"/>
    <mergeCell ref="A62:L62"/>
    <mergeCell ref="M62:N62"/>
    <mergeCell ref="O62:P62"/>
    <mergeCell ref="R62:T62"/>
    <mergeCell ref="A59:L59"/>
    <mergeCell ref="M59:N59"/>
    <mergeCell ref="O59:P59"/>
    <mergeCell ref="R59:T59"/>
    <mergeCell ref="A60:L60"/>
    <mergeCell ref="M60:N60"/>
    <mergeCell ref="O60:P60"/>
    <mergeCell ref="R60:T60"/>
    <mergeCell ref="A57:L57"/>
    <mergeCell ref="M57:N57"/>
    <mergeCell ref="O57:P57"/>
    <mergeCell ref="R57:T57"/>
    <mergeCell ref="A58:L58"/>
    <mergeCell ref="M58:N58"/>
    <mergeCell ref="O58:P58"/>
    <mergeCell ref="R58:T58"/>
    <mergeCell ref="A55:L55"/>
    <mergeCell ref="M55:N55"/>
    <mergeCell ref="O55:P55"/>
    <mergeCell ref="R55:T55"/>
    <mergeCell ref="A56:L56"/>
    <mergeCell ref="M56:N56"/>
    <mergeCell ref="O56:P56"/>
    <mergeCell ref="R56:T56"/>
    <mergeCell ref="A53:L53"/>
    <mergeCell ref="M53:N53"/>
    <mergeCell ref="O53:P53"/>
    <mergeCell ref="R53:T53"/>
    <mergeCell ref="A54:L54"/>
    <mergeCell ref="M54:N54"/>
    <mergeCell ref="O54:P54"/>
    <mergeCell ref="R54:T54"/>
    <mergeCell ref="A50:L52"/>
    <mergeCell ref="M50:T50"/>
    <mergeCell ref="M51:P51"/>
    <mergeCell ref="Q51:T51"/>
    <mergeCell ref="M52:N52"/>
    <mergeCell ref="O52:P52"/>
    <mergeCell ref="R52:T52"/>
    <mergeCell ref="A46:T46"/>
    <mergeCell ref="A47:S47"/>
    <mergeCell ref="A48:S48"/>
    <mergeCell ref="A49:L49"/>
    <mergeCell ref="M49:N49"/>
    <mergeCell ref="O49:P49"/>
    <mergeCell ref="R49:T49"/>
    <mergeCell ref="A39:S39"/>
    <mergeCell ref="J40:T40"/>
    <mergeCell ref="B42:R42"/>
    <mergeCell ref="A44:C44"/>
    <mergeCell ref="D44:T44"/>
    <mergeCell ref="A45:B45"/>
    <mergeCell ref="C45:T45"/>
    <mergeCell ref="A33:S33"/>
    <mergeCell ref="A34:S34"/>
    <mergeCell ref="A35:S35"/>
    <mergeCell ref="A36:S36"/>
    <mergeCell ref="A37:S37"/>
    <mergeCell ref="A38:S38"/>
    <mergeCell ref="A31:D31"/>
    <mergeCell ref="E31:F31"/>
    <mergeCell ref="I31:J31"/>
    <mergeCell ref="L31:M31"/>
    <mergeCell ref="N31:O31"/>
    <mergeCell ref="A32:S32"/>
    <mergeCell ref="A29:D29"/>
    <mergeCell ref="E29:F29"/>
    <mergeCell ref="I29:J29"/>
    <mergeCell ref="L29:M29"/>
    <mergeCell ref="N29:O29"/>
    <mergeCell ref="A30:D30"/>
    <mergeCell ref="E30:F30"/>
    <mergeCell ref="I30:J30"/>
    <mergeCell ref="L30:M30"/>
    <mergeCell ref="N30:O30"/>
    <mergeCell ref="A27:D27"/>
    <mergeCell ref="E27:F27"/>
    <mergeCell ref="I27:J27"/>
    <mergeCell ref="L27:M27"/>
    <mergeCell ref="N27:O27"/>
    <mergeCell ref="A28:D28"/>
    <mergeCell ref="E28:F28"/>
    <mergeCell ref="I28:J28"/>
    <mergeCell ref="L28:M28"/>
    <mergeCell ref="N28:O28"/>
    <mergeCell ref="A25:D25"/>
    <mergeCell ref="E25:F25"/>
    <mergeCell ref="I25:J25"/>
    <mergeCell ref="L25:M25"/>
    <mergeCell ref="N25:O25"/>
    <mergeCell ref="A26:D26"/>
    <mergeCell ref="E26:F26"/>
    <mergeCell ref="I26:J26"/>
    <mergeCell ref="L26:M26"/>
    <mergeCell ref="N26:O26"/>
    <mergeCell ref="A21:T21"/>
    <mergeCell ref="A23:N23"/>
    <mergeCell ref="A24:D24"/>
    <mergeCell ref="E24:F24"/>
    <mergeCell ref="I24:J24"/>
    <mergeCell ref="L24:M24"/>
    <mergeCell ref="N24:O24"/>
    <mergeCell ref="A19:L19"/>
    <mergeCell ref="M19:N19"/>
    <mergeCell ref="O19:P19"/>
    <mergeCell ref="R19:T19"/>
    <mergeCell ref="A20:L20"/>
    <mergeCell ref="M20:N20"/>
    <mergeCell ref="O20:P20"/>
    <mergeCell ref="R20:T20"/>
    <mergeCell ref="A17:L17"/>
    <mergeCell ref="M17:N17"/>
    <mergeCell ref="O17:P17"/>
    <mergeCell ref="R17:T17"/>
    <mergeCell ref="A18:L18"/>
    <mergeCell ref="M18:N18"/>
    <mergeCell ref="O18:P18"/>
    <mergeCell ref="R18:T18"/>
    <mergeCell ref="A15:L15"/>
    <mergeCell ref="M15:N15"/>
    <mergeCell ref="O15:P15"/>
    <mergeCell ref="R15:T15"/>
    <mergeCell ref="A16:L16"/>
    <mergeCell ref="M16:N16"/>
    <mergeCell ref="O16:P16"/>
    <mergeCell ref="R16:T16"/>
    <mergeCell ref="A13:L13"/>
    <mergeCell ref="M13:N13"/>
    <mergeCell ref="O13:P13"/>
    <mergeCell ref="R13:T13"/>
    <mergeCell ref="A14:L14"/>
    <mergeCell ref="M14:N14"/>
    <mergeCell ref="O14:P14"/>
    <mergeCell ref="R14:T14"/>
    <mergeCell ref="A10:L12"/>
    <mergeCell ref="M10:T10"/>
    <mergeCell ref="M11:P11"/>
    <mergeCell ref="Q11:T11"/>
    <mergeCell ref="M12:N12"/>
    <mergeCell ref="O12:P12"/>
    <mergeCell ref="R12:T12"/>
    <mergeCell ref="A7:E7"/>
    <mergeCell ref="F7:T8"/>
    <mergeCell ref="A9:L9"/>
    <mergeCell ref="M9:N9"/>
    <mergeCell ref="O9:P9"/>
    <mergeCell ref="R9:T9"/>
    <mergeCell ref="J1:T1"/>
    <mergeCell ref="B3:R3"/>
    <mergeCell ref="A5:C5"/>
    <mergeCell ref="D5:T5"/>
    <mergeCell ref="A6:B6"/>
    <mergeCell ref="C6:T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5"/>
  <sheetViews>
    <sheetView topLeftCell="A312" workbookViewId="0">
      <selection activeCell="I342" sqref="I342"/>
    </sheetView>
  </sheetViews>
  <sheetFormatPr defaultRowHeight="10.199999999999999" x14ac:dyDescent="0.2"/>
  <sheetData>
    <row r="1" spans="1:20" s="1" customFormat="1" ht="72.45" customHeight="1" x14ac:dyDescent="0.25">
      <c r="J1" s="100" t="s">
        <v>0</v>
      </c>
      <c r="K1" s="100"/>
      <c r="L1" s="100"/>
      <c r="M1" s="100"/>
      <c r="N1" s="100"/>
      <c r="O1" s="100"/>
      <c r="P1" s="100"/>
      <c r="Q1" s="100"/>
      <c r="R1" s="100"/>
      <c r="S1" s="100"/>
      <c r="T1" s="100"/>
    </row>
    <row r="2" spans="1:20" s="1" customFormat="1" ht="7.05" customHeight="1" x14ac:dyDescent="0.25"/>
    <row r="3" spans="1:20" s="1" customFormat="1" ht="14.1" customHeight="1" x14ac:dyDescent="0.25">
      <c r="B3" s="101" t="s">
        <v>228</v>
      </c>
      <c r="C3" s="101"/>
      <c r="D3" s="101"/>
      <c r="E3" s="101"/>
      <c r="F3" s="101"/>
      <c r="G3" s="101"/>
      <c r="H3" s="101"/>
      <c r="I3" s="101"/>
      <c r="J3" s="101"/>
      <c r="K3" s="101"/>
      <c r="L3" s="101"/>
      <c r="M3" s="101"/>
      <c r="N3" s="101"/>
      <c r="O3" s="101"/>
      <c r="P3" s="101"/>
      <c r="Q3" s="101"/>
      <c r="R3" s="101"/>
    </row>
    <row r="4" spans="1:20" s="1" customFormat="1" ht="14.1" customHeight="1" x14ac:dyDescent="0.25"/>
    <row r="5" spans="1:20" s="1" customFormat="1" ht="14.1" customHeight="1" x14ac:dyDescent="0.25">
      <c r="A5" s="102" t="s">
        <v>2</v>
      </c>
      <c r="B5" s="102"/>
      <c r="C5" s="102"/>
      <c r="D5" s="103" t="s">
        <v>229</v>
      </c>
      <c r="E5" s="103"/>
      <c r="F5" s="103"/>
      <c r="G5" s="103"/>
      <c r="H5" s="103"/>
      <c r="I5" s="103"/>
      <c r="J5" s="103"/>
      <c r="K5" s="103"/>
      <c r="L5" s="103"/>
      <c r="M5" s="103"/>
      <c r="N5" s="103"/>
      <c r="O5" s="103"/>
      <c r="P5" s="103"/>
      <c r="Q5" s="103"/>
      <c r="R5" s="103"/>
      <c r="S5" s="103"/>
      <c r="T5" s="103"/>
    </row>
    <row r="6" spans="1:20" s="1" customFormat="1" ht="14.1" customHeight="1" x14ac:dyDescent="0.25">
      <c r="A6" s="102" t="s">
        <v>4</v>
      </c>
      <c r="B6" s="102"/>
      <c r="C6" s="103" t="s">
        <v>230</v>
      </c>
      <c r="D6" s="103"/>
      <c r="E6" s="103"/>
      <c r="F6" s="103"/>
      <c r="G6" s="103"/>
      <c r="H6" s="103"/>
      <c r="I6" s="103"/>
      <c r="J6" s="103"/>
      <c r="K6" s="103"/>
      <c r="L6" s="103"/>
      <c r="M6" s="103"/>
      <c r="N6" s="103"/>
      <c r="O6" s="103"/>
      <c r="P6" s="103"/>
      <c r="Q6" s="103"/>
      <c r="R6" s="103"/>
      <c r="S6" s="103"/>
      <c r="T6" s="103"/>
    </row>
    <row r="7" spans="1:20" s="1" customFormat="1" ht="14.1" customHeight="1" x14ac:dyDescent="0.25">
      <c r="A7" s="102" t="s">
        <v>6</v>
      </c>
      <c r="B7" s="102"/>
      <c r="C7" s="102"/>
      <c r="D7" s="102"/>
      <c r="E7" s="102"/>
      <c r="F7" s="103" t="s">
        <v>676</v>
      </c>
      <c r="G7" s="103"/>
      <c r="H7" s="103"/>
      <c r="I7" s="103"/>
      <c r="J7" s="103"/>
      <c r="K7" s="103"/>
      <c r="L7" s="103"/>
      <c r="M7" s="103"/>
      <c r="N7" s="103"/>
      <c r="O7" s="103"/>
      <c r="P7" s="103"/>
      <c r="Q7" s="103"/>
      <c r="R7" s="103"/>
      <c r="S7" s="103"/>
      <c r="T7" s="103"/>
    </row>
    <row r="8" spans="1:20" s="1" customFormat="1" ht="1.35" customHeight="1" x14ac:dyDescent="0.25"/>
    <row r="9" spans="1:20" s="1" customFormat="1" ht="7.05" customHeight="1" x14ac:dyDescent="0.25">
      <c r="A9" s="86"/>
      <c r="B9" s="86"/>
      <c r="C9" s="86"/>
      <c r="D9" s="86"/>
      <c r="E9" s="86"/>
      <c r="F9" s="86"/>
      <c r="G9" s="86"/>
      <c r="H9" s="86"/>
      <c r="I9" s="86"/>
      <c r="J9" s="86"/>
      <c r="K9" s="86"/>
      <c r="L9" s="86"/>
      <c r="M9" s="86"/>
      <c r="N9" s="86"/>
      <c r="O9" s="86"/>
      <c r="P9" s="86"/>
      <c r="Q9" s="16"/>
      <c r="R9" s="86"/>
      <c r="S9" s="86"/>
      <c r="T9" s="86"/>
    </row>
    <row r="10" spans="1:20" s="1" customFormat="1" ht="16.95" customHeight="1" x14ac:dyDescent="0.25">
      <c r="A10" s="94" t="s">
        <v>8</v>
      </c>
      <c r="B10" s="94"/>
      <c r="C10" s="94"/>
      <c r="D10" s="94"/>
      <c r="E10" s="94"/>
      <c r="F10" s="94"/>
      <c r="G10" s="94"/>
      <c r="H10" s="94"/>
      <c r="I10" s="94"/>
      <c r="J10" s="94"/>
      <c r="K10" s="94"/>
      <c r="L10" s="94"/>
      <c r="M10" s="95" t="s">
        <v>9</v>
      </c>
      <c r="N10" s="95"/>
      <c r="O10" s="95"/>
      <c r="P10" s="95"/>
      <c r="Q10" s="95"/>
      <c r="R10" s="95"/>
      <c r="S10" s="95"/>
      <c r="T10" s="95"/>
    </row>
    <row r="11" spans="1:20" s="1" customFormat="1" ht="16.95" customHeight="1" x14ac:dyDescent="0.25">
      <c r="A11" s="94"/>
      <c r="B11" s="94"/>
      <c r="C11" s="94"/>
      <c r="D11" s="94"/>
      <c r="E11" s="94"/>
      <c r="F11" s="94"/>
      <c r="G11" s="94"/>
      <c r="H11" s="94"/>
      <c r="I11" s="94"/>
      <c r="J11" s="94"/>
      <c r="K11" s="94"/>
      <c r="L11" s="94"/>
      <c r="M11" s="96" t="s">
        <v>10</v>
      </c>
      <c r="N11" s="96"/>
      <c r="O11" s="96"/>
      <c r="P11" s="96"/>
      <c r="Q11" s="97" t="s">
        <v>11</v>
      </c>
      <c r="R11" s="97"/>
      <c r="S11" s="97"/>
      <c r="T11" s="97"/>
    </row>
    <row r="12" spans="1:20" s="1" customFormat="1" ht="16.95" customHeight="1" x14ac:dyDescent="0.25">
      <c r="A12" s="94"/>
      <c r="B12" s="94"/>
      <c r="C12" s="94"/>
      <c r="D12" s="94"/>
      <c r="E12" s="94"/>
      <c r="F12" s="94"/>
      <c r="G12" s="94"/>
      <c r="H12" s="94"/>
      <c r="I12" s="94"/>
      <c r="J12" s="94"/>
      <c r="K12" s="94"/>
      <c r="L12" s="94"/>
      <c r="M12" s="98" t="s">
        <v>12</v>
      </c>
      <c r="N12" s="98"/>
      <c r="O12" s="98" t="s">
        <v>13</v>
      </c>
      <c r="P12" s="98"/>
      <c r="Q12" s="13" t="s">
        <v>14</v>
      </c>
      <c r="R12" s="99" t="s">
        <v>15</v>
      </c>
      <c r="S12" s="99"/>
      <c r="T12" s="99"/>
    </row>
    <row r="13" spans="1:20" s="1" customFormat="1" ht="13.35" customHeight="1" x14ac:dyDescent="0.25">
      <c r="A13" s="88" t="s">
        <v>231</v>
      </c>
      <c r="B13" s="88"/>
      <c r="C13" s="88"/>
      <c r="D13" s="88"/>
      <c r="E13" s="88"/>
      <c r="F13" s="88"/>
      <c r="G13" s="88"/>
      <c r="H13" s="88"/>
      <c r="I13" s="88"/>
      <c r="J13" s="88"/>
      <c r="K13" s="88"/>
      <c r="L13" s="88"/>
      <c r="M13" s="88">
        <v>105.3</v>
      </c>
      <c r="N13" s="88"/>
      <c r="O13" s="88">
        <v>100</v>
      </c>
      <c r="P13" s="88"/>
      <c r="Q13" s="6">
        <v>10.53</v>
      </c>
      <c r="R13" s="88">
        <v>10</v>
      </c>
      <c r="S13" s="88"/>
      <c r="T13" s="88"/>
    </row>
    <row r="14" spans="1:20" s="1" customFormat="1" ht="14.1" customHeight="1" x14ac:dyDescent="0.25">
      <c r="A14" s="90" t="s">
        <v>134</v>
      </c>
      <c r="B14" s="90"/>
      <c r="C14" s="90"/>
      <c r="D14" s="90"/>
      <c r="E14" s="90"/>
      <c r="F14" s="90"/>
      <c r="G14" s="90"/>
      <c r="H14" s="90"/>
      <c r="I14" s="90"/>
      <c r="J14" s="90"/>
      <c r="K14" s="90"/>
      <c r="L14" s="90"/>
      <c r="M14" s="90"/>
      <c r="N14" s="90"/>
      <c r="O14" s="90"/>
      <c r="P14" s="90"/>
      <c r="Q14" s="90"/>
      <c r="R14" s="90"/>
      <c r="S14" s="90"/>
      <c r="T14" s="90"/>
    </row>
    <row r="15" spans="1:20" s="1" customFormat="1" ht="21.3" customHeight="1" x14ac:dyDescent="0.25"/>
    <row r="16" spans="1:20" s="1" customFormat="1" ht="14.1" customHeight="1" x14ac:dyDescent="0.25">
      <c r="A16" s="91" t="s">
        <v>33</v>
      </c>
      <c r="B16" s="91"/>
      <c r="C16" s="91"/>
      <c r="D16" s="91"/>
      <c r="E16" s="91"/>
      <c r="F16" s="91"/>
      <c r="G16" s="91"/>
      <c r="H16" s="91"/>
      <c r="I16" s="91"/>
      <c r="J16" s="91"/>
      <c r="K16" s="91"/>
      <c r="L16" s="91"/>
      <c r="M16" s="91"/>
      <c r="N16" s="91"/>
    </row>
    <row r="17" spans="1:20" s="1" customFormat="1" ht="13.35" customHeight="1" x14ac:dyDescent="0.25">
      <c r="A17" s="88" t="s">
        <v>34</v>
      </c>
      <c r="B17" s="88"/>
      <c r="C17" s="88"/>
      <c r="D17" s="88"/>
      <c r="E17" s="89">
        <f>1.5*100/60</f>
        <v>2.5</v>
      </c>
      <c r="F17" s="89"/>
      <c r="G17" s="17"/>
      <c r="H17" s="6" t="s">
        <v>35</v>
      </c>
      <c r="I17" s="89">
        <v>0.01</v>
      </c>
      <c r="J17" s="89"/>
      <c r="K17" s="17"/>
      <c r="L17" s="88" t="s">
        <v>36</v>
      </c>
      <c r="M17" s="88"/>
      <c r="N17" s="89">
        <v>24.6</v>
      </c>
      <c r="O17" s="89"/>
    </row>
    <row r="18" spans="1:20" s="1" customFormat="1" ht="13.35" customHeight="1" x14ac:dyDescent="0.25">
      <c r="A18" s="88" t="s">
        <v>37</v>
      </c>
      <c r="B18" s="88"/>
      <c r="C18" s="88"/>
      <c r="D18" s="88"/>
      <c r="E18" s="89">
        <f>7.3*100/60</f>
        <v>12.166666666666666</v>
      </c>
      <c r="F18" s="89"/>
      <c r="G18" s="17"/>
      <c r="H18" s="6" t="s">
        <v>38</v>
      </c>
      <c r="I18" s="89">
        <v>4.2</v>
      </c>
      <c r="J18" s="89"/>
      <c r="K18" s="17"/>
      <c r="L18" s="88" t="s">
        <v>39</v>
      </c>
      <c r="M18" s="88"/>
      <c r="N18" s="89">
        <v>9</v>
      </c>
      <c r="O18" s="89"/>
    </row>
    <row r="19" spans="1:20" s="1" customFormat="1" ht="13.35" customHeight="1" x14ac:dyDescent="0.25">
      <c r="A19" s="88" t="s">
        <v>40</v>
      </c>
      <c r="B19" s="88"/>
      <c r="C19" s="88"/>
      <c r="D19" s="88"/>
      <c r="E19" s="89">
        <f>4.6*100/60</f>
        <v>7.6666666666666661</v>
      </c>
      <c r="F19" s="89"/>
      <c r="G19" s="17"/>
      <c r="H19" s="6" t="s">
        <v>41</v>
      </c>
      <c r="I19" s="89">
        <v>0.11</v>
      </c>
      <c r="J19" s="89"/>
      <c r="K19" s="17"/>
      <c r="L19" s="88" t="s">
        <v>42</v>
      </c>
      <c r="M19" s="88"/>
      <c r="N19" s="89">
        <v>22.2</v>
      </c>
      <c r="O19" s="89"/>
    </row>
    <row r="20" spans="1:20" s="1" customFormat="1" ht="13.35" customHeight="1" x14ac:dyDescent="0.25">
      <c r="A20" s="88" t="s">
        <v>43</v>
      </c>
      <c r="B20" s="88"/>
      <c r="C20" s="88"/>
      <c r="D20" s="88"/>
      <c r="E20" s="89">
        <f>71.4*100/60</f>
        <v>119.00000000000001</v>
      </c>
      <c r="F20" s="89"/>
      <c r="G20" s="17"/>
      <c r="H20" s="6" t="s">
        <v>44</v>
      </c>
      <c r="I20" s="89">
        <v>0</v>
      </c>
      <c r="J20" s="89"/>
      <c r="K20" s="17"/>
      <c r="L20" s="88" t="s">
        <v>45</v>
      </c>
      <c r="M20" s="88"/>
      <c r="N20" s="89">
        <v>0.42</v>
      </c>
      <c r="O20" s="89"/>
    </row>
    <row r="21" spans="1:20" s="1" customFormat="1" ht="13.35" customHeight="1" x14ac:dyDescent="0.25">
      <c r="A21" s="87"/>
      <c r="B21" s="87"/>
      <c r="C21" s="87"/>
      <c r="D21" s="87"/>
      <c r="E21" s="87"/>
      <c r="F21" s="87"/>
      <c r="G21" s="17"/>
      <c r="H21" s="6" t="s">
        <v>46</v>
      </c>
      <c r="I21" s="89">
        <v>0</v>
      </c>
      <c r="J21" s="89"/>
      <c r="K21" s="17"/>
      <c r="L21" s="88" t="s">
        <v>47</v>
      </c>
      <c r="M21" s="88"/>
      <c r="N21" s="89">
        <v>189</v>
      </c>
      <c r="O21" s="89"/>
    </row>
    <row r="22" spans="1:20" s="1" customFormat="1" ht="13.35" customHeight="1" x14ac:dyDescent="0.25">
      <c r="A22" s="87"/>
      <c r="B22" s="87"/>
      <c r="C22" s="87"/>
      <c r="D22" s="87"/>
      <c r="E22" s="87"/>
      <c r="F22" s="87"/>
      <c r="G22" s="17"/>
      <c r="H22" s="6" t="s">
        <v>48</v>
      </c>
      <c r="I22" s="89">
        <v>0.03</v>
      </c>
      <c r="J22" s="89"/>
      <c r="K22" s="17"/>
      <c r="L22" s="88" t="s">
        <v>49</v>
      </c>
      <c r="M22" s="88"/>
      <c r="N22" s="89">
        <v>0</v>
      </c>
      <c r="O22" s="89"/>
    </row>
    <row r="23" spans="1:20" s="1" customFormat="1" ht="13.35" customHeight="1" x14ac:dyDescent="0.25">
      <c r="A23" s="87"/>
      <c r="B23" s="87"/>
      <c r="C23" s="87"/>
      <c r="D23" s="87"/>
      <c r="E23" s="87"/>
      <c r="F23" s="87"/>
      <c r="G23" s="17"/>
      <c r="H23" s="17"/>
      <c r="I23" s="87"/>
      <c r="J23" s="87"/>
      <c r="K23" s="17"/>
      <c r="L23" s="88" t="s">
        <v>50</v>
      </c>
      <c r="M23" s="88"/>
      <c r="N23" s="89">
        <v>0</v>
      </c>
      <c r="O23" s="89"/>
    </row>
    <row r="24" spans="1:20" s="1" customFormat="1" ht="13.35" customHeight="1" x14ac:dyDescent="0.25">
      <c r="A24" s="87"/>
      <c r="B24" s="87"/>
      <c r="C24" s="87"/>
      <c r="D24" s="87"/>
      <c r="E24" s="87"/>
      <c r="F24" s="87"/>
      <c r="G24" s="17"/>
      <c r="H24" s="17"/>
      <c r="I24" s="87"/>
      <c r="J24" s="87"/>
      <c r="K24" s="17"/>
      <c r="L24" s="88" t="s">
        <v>51</v>
      </c>
      <c r="M24" s="88"/>
      <c r="N24" s="89">
        <v>0</v>
      </c>
      <c r="O24" s="89"/>
    </row>
    <row r="25" spans="1:20" s="1" customFormat="1" ht="14.1" customHeight="1" x14ac:dyDescent="0.25">
      <c r="A25" s="86"/>
      <c r="B25" s="86"/>
      <c r="C25" s="86"/>
      <c r="D25" s="86"/>
      <c r="E25" s="86"/>
      <c r="F25" s="86"/>
      <c r="G25" s="86"/>
      <c r="H25" s="86"/>
      <c r="I25" s="86"/>
      <c r="J25" s="86"/>
      <c r="K25" s="86"/>
      <c r="L25" s="86"/>
      <c r="M25" s="86"/>
      <c r="N25" s="86"/>
      <c r="O25" s="86"/>
      <c r="P25" s="86"/>
      <c r="Q25" s="86"/>
      <c r="R25" s="86"/>
      <c r="S25" s="86"/>
    </row>
    <row r="26" spans="1:20" s="1" customFormat="1" ht="14.1" customHeight="1" x14ac:dyDescent="0.25">
      <c r="A26" s="84" t="s">
        <v>52</v>
      </c>
      <c r="B26" s="84"/>
      <c r="C26" s="84"/>
      <c r="D26" s="84"/>
      <c r="E26" s="84"/>
      <c r="F26" s="84"/>
      <c r="G26" s="84"/>
      <c r="H26" s="84"/>
      <c r="I26" s="84"/>
      <c r="J26" s="84"/>
      <c r="K26" s="84"/>
      <c r="L26" s="84"/>
      <c r="M26" s="84"/>
      <c r="N26" s="84"/>
      <c r="O26" s="84"/>
      <c r="P26" s="84"/>
      <c r="Q26" s="84"/>
      <c r="R26" s="84"/>
      <c r="S26" s="84"/>
    </row>
    <row r="27" spans="1:20" s="1" customFormat="1" ht="21.6" customHeight="1" x14ac:dyDescent="0.25">
      <c r="A27" s="85" t="s">
        <v>234</v>
      </c>
      <c r="B27" s="85"/>
      <c r="C27" s="85"/>
      <c r="D27" s="85"/>
      <c r="E27" s="85"/>
      <c r="F27" s="85"/>
      <c r="G27" s="85"/>
      <c r="H27" s="85"/>
      <c r="I27" s="85"/>
      <c r="J27" s="85"/>
      <c r="K27" s="85"/>
      <c r="L27" s="85"/>
      <c r="M27" s="85"/>
      <c r="N27" s="85"/>
      <c r="O27" s="85"/>
      <c r="P27" s="85"/>
      <c r="Q27" s="85"/>
      <c r="R27" s="85"/>
      <c r="S27" s="85"/>
    </row>
    <row r="28" spans="1:20" s="1" customFormat="1" ht="14.1" customHeight="1" x14ac:dyDescent="0.25">
      <c r="A28" s="86"/>
      <c r="B28" s="86"/>
      <c r="C28" s="86"/>
      <c r="D28" s="86"/>
      <c r="E28" s="86"/>
      <c r="F28" s="86"/>
      <c r="G28" s="86"/>
      <c r="H28" s="86"/>
      <c r="I28" s="86"/>
      <c r="J28" s="86"/>
      <c r="K28" s="86"/>
      <c r="L28" s="86"/>
      <c r="M28" s="86"/>
      <c r="N28" s="86"/>
      <c r="O28" s="86"/>
      <c r="P28" s="86"/>
      <c r="Q28" s="86"/>
      <c r="R28" s="86"/>
      <c r="S28" s="86"/>
    </row>
    <row r="29" spans="1:20" s="1" customFormat="1" ht="14.1" customHeight="1" x14ac:dyDescent="0.25">
      <c r="A29" s="84" t="s">
        <v>54</v>
      </c>
      <c r="B29" s="84"/>
      <c r="C29" s="84"/>
      <c r="D29" s="84"/>
      <c r="E29" s="84"/>
      <c r="F29" s="84"/>
      <c r="G29" s="84"/>
      <c r="H29" s="84"/>
      <c r="I29" s="84"/>
      <c r="J29" s="84"/>
      <c r="K29" s="84"/>
      <c r="L29" s="84"/>
      <c r="M29" s="84"/>
      <c r="N29" s="84"/>
      <c r="O29" s="84"/>
      <c r="P29" s="84"/>
      <c r="Q29" s="84"/>
      <c r="R29" s="84"/>
      <c r="S29" s="84"/>
    </row>
    <row r="30" spans="1:20" s="1" customFormat="1" ht="12.15" customHeight="1" x14ac:dyDescent="0.25">
      <c r="A30" s="85" t="s">
        <v>235</v>
      </c>
      <c r="B30" s="85"/>
      <c r="C30" s="85"/>
      <c r="D30" s="85"/>
      <c r="E30" s="85"/>
      <c r="F30" s="85"/>
      <c r="G30" s="85"/>
      <c r="H30" s="85"/>
      <c r="I30" s="85"/>
      <c r="J30" s="85"/>
      <c r="K30" s="85"/>
      <c r="L30" s="85"/>
      <c r="M30" s="85"/>
      <c r="N30" s="85"/>
      <c r="O30" s="85"/>
      <c r="P30" s="85"/>
      <c r="Q30" s="85"/>
      <c r="R30" s="85"/>
      <c r="S30" s="85"/>
    </row>
    <row r="31" spans="1:20" s="1" customFormat="1" ht="72.45" customHeight="1" x14ac:dyDescent="0.25">
      <c r="J31" s="100" t="s">
        <v>0</v>
      </c>
      <c r="K31" s="100"/>
      <c r="L31" s="100"/>
      <c r="M31" s="100"/>
      <c r="N31" s="100"/>
      <c r="O31" s="100"/>
      <c r="P31" s="100"/>
      <c r="Q31" s="100"/>
      <c r="R31" s="100"/>
      <c r="S31" s="100"/>
      <c r="T31" s="100"/>
    </row>
    <row r="32" spans="1:20" s="1" customFormat="1" ht="7.05" customHeight="1" x14ac:dyDescent="0.25"/>
    <row r="33" spans="1:20" s="1" customFormat="1" ht="14.1" customHeight="1" x14ac:dyDescent="0.25">
      <c r="B33" s="101" t="s">
        <v>236</v>
      </c>
      <c r="C33" s="101"/>
      <c r="D33" s="101"/>
      <c r="E33" s="101"/>
      <c r="F33" s="101"/>
      <c r="G33" s="101"/>
      <c r="H33" s="101"/>
      <c r="I33" s="101"/>
      <c r="J33" s="101"/>
      <c r="K33" s="101"/>
      <c r="L33" s="101"/>
      <c r="M33" s="101"/>
      <c r="N33" s="101"/>
      <c r="O33" s="101"/>
      <c r="P33" s="101"/>
      <c r="Q33" s="101"/>
      <c r="R33" s="101"/>
    </row>
    <row r="34" spans="1:20" s="1" customFormat="1" ht="14.1" customHeight="1" x14ac:dyDescent="0.25"/>
    <row r="35" spans="1:20" s="1" customFormat="1" ht="14.1" customHeight="1" x14ac:dyDescent="0.25">
      <c r="A35" s="102" t="s">
        <v>2</v>
      </c>
      <c r="B35" s="102"/>
      <c r="C35" s="102"/>
      <c r="D35" s="103" t="s">
        <v>237</v>
      </c>
      <c r="E35" s="103"/>
      <c r="F35" s="103"/>
      <c r="G35" s="103"/>
      <c r="H35" s="103"/>
      <c r="I35" s="103"/>
      <c r="J35" s="103"/>
      <c r="K35" s="103"/>
      <c r="L35" s="103"/>
      <c r="M35" s="103"/>
      <c r="N35" s="103"/>
      <c r="O35" s="103"/>
      <c r="P35" s="103"/>
      <c r="Q35" s="103"/>
      <c r="R35" s="103"/>
      <c r="S35" s="103"/>
      <c r="T35" s="103"/>
    </row>
    <row r="36" spans="1:20" s="1" customFormat="1" ht="14.1" customHeight="1" x14ac:dyDescent="0.25">
      <c r="A36" s="102" t="s">
        <v>4</v>
      </c>
      <c r="B36" s="102"/>
      <c r="C36" s="103" t="s">
        <v>238</v>
      </c>
      <c r="D36" s="103"/>
      <c r="E36" s="103"/>
      <c r="F36" s="103"/>
      <c r="G36" s="103"/>
      <c r="H36" s="103"/>
      <c r="I36" s="103"/>
      <c r="J36" s="103"/>
      <c r="K36" s="103"/>
      <c r="L36" s="103"/>
      <c r="M36" s="103"/>
      <c r="N36" s="103"/>
      <c r="O36" s="103"/>
      <c r="P36" s="103"/>
      <c r="Q36" s="103"/>
      <c r="R36" s="103"/>
      <c r="S36" s="103"/>
      <c r="T36" s="103"/>
    </row>
    <row r="37" spans="1:20" s="1" customFormat="1" ht="14.1" customHeight="1" x14ac:dyDescent="0.25">
      <c r="A37" s="102" t="s">
        <v>6</v>
      </c>
      <c r="B37" s="102"/>
      <c r="C37" s="102"/>
      <c r="D37" s="102"/>
      <c r="E37" s="102"/>
      <c r="F37" s="103" t="s">
        <v>60</v>
      </c>
      <c r="G37" s="103"/>
      <c r="H37" s="103"/>
      <c r="I37" s="103"/>
      <c r="J37" s="103"/>
      <c r="K37" s="103"/>
      <c r="L37" s="103"/>
      <c r="M37" s="103"/>
      <c r="N37" s="103"/>
      <c r="O37" s="103"/>
      <c r="P37" s="103"/>
      <c r="Q37" s="103"/>
      <c r="R37" s="103"/>
      <c r="S37" s="103"/>
      <c r="T37" s="103"/>
    </row>
    <row r="38" spans="1:20" s="1" customFormat="1" ht="22.35" customHeight="1" x14ac:dyDescent="0.25">
      <c r="F38" s="103"/>
      <c r="G38" s="103"/>
      <c r="H38" s="103"/>
      <c r="I38" s="103"/>
      <c r="J38" s="103"/>
      <c r="K38" s="103"/>
      <c r="L38" s="103"/>
      <c r="M38" s="103"/>
      <c r="N38" s="103"/>
      <c r="O38" s="103"/>
      <c r="P38" s="103"/>
      <c r="Q38" s="103"/>
      <c r="R38" s="103"/>
      <c r="S38" s="103"/>
      <c r="T38" s="103"/>
    </row>
    <row r="39" spans="1:20" s="1" customFormat="1" ht="7.05" customHeight="1" x14ac:dyDescent="0.25">
      <c r="A39" s="86"/>
      <c r="B39" s="86"/>
      <c r="C39" s="86"/>
      <c r="D39" s="86"/>
      <c r="E39" s="86"/>
      <c r="F39" s="86"/>
      <c r="G39" s="86"/>
      <c r="H39" s="86"/>
      <c r="I39" s="86"/>
      <c r="J39" s="86"/>
      <c r="K39" s="86"/>
      <c r="L39" s="86"/>
      <c r="M39" s="86"/>
      <c r="N39" s="86"/>
      <c r="O39" s="86"/>
      <c r="P39" s="86"/>
      <c r="Q39" s="16"/>
      <c r="R39" s="86"/>
      <c r="S39" s="86"/>
      <c r="T39" s="86"/>
    </row>
    <row r="40" spans="1:20" s="1" customFormat="1" ht="16.95" customHeight="1" x14ac:dyDescent="0.25">
      <c r="A40" s="94" t="s">
        <v>8</v>
      </c>
      <c r="B40" s="94"/>
      <c r="C40" s="94"/>
      <c r="D40" s="94"/>
      <c r="E40" s="94"/>
      <c r="F40" s="94"/>
      <c r="G40" s="94"/>
      <c r="H40" s="94"/>
      <c r="I40" s="94"/>
      <c r="J40" s="94"/>
      <c r="K40" s="94"/>
      <c r="L40" s="94"/>
      <c r="M40" s="95" t="s">
        <v>9</v>
      </c>
      <c r="N40" s="95"/>
      <c r="O40" s="95"/>
      <c r="P40" s="95"/>
      <c r="Q40" s="95"/>
      <c r="R40" s="95"/>
      <c r="S40" s="95"/>
      <c r="T40" s="95"/>
    </row>
    <row r="41" spans="1:20" s="1" customFormat="1" ht="16.95" customHeight="1" x14ac:dyDescent="0.25">
      <c r="A41" s="94"/>
      <c r="B41" s="94"/>
      <c r="C41" s="94"/>
      <c r="D41" s="94"/>
      <c r="E41" s="94"/>
      <c r="F41" s="94"/>
      <c r="G41" s="94"/>
      <c r="H41" s="94"/>
      <c r="I41" s="94"/>
      <c r="J41" s="94"/>
      <c r="K41" s="94"/>
      <c r="L41" s="94"/>
      <c r="M41" s="96" t="s">
        <v>10</v>
      </c>
      <c r="N41" s="96"/>
      <c r="O41" s="96"/>
      <c r="P41" s="96"/>
      <c r="Q41" s="97" t="s">
        <v>11</v>
      </c>
      <c r="R41" s="97"/>
      <c r="S41" s="97"/>
      <c r="T41" s="97"/>
    </row>
    <row r="42" spans="1:20" s="1" customFormat="1" ht="16.95" customHeight="1" x14ac:dyDescent="0.25">
      <c r="A42" s="94"/>
      <c r="B42" s="94"/>
      <c r="C42" s="94"/>
      <c r="D42" s="94"/>
      <c r="E42" s="94"/>
      <c r="F42" s="94"/>
      <c r="G42" s="94"/>
      <c r="H42" s="94"/>
      <c r="I42" s="94"/>
      <c r="J42" s="94"/>
      <c r="K42" s="94"/>
      <c r="L42" s="94"/>
      <c r="M42" s="98" t="s">
        <v>12</v>
      </c>
      <c r="N42" s="98"/>
      <c r="O42" s="98" t="s">
        <v>13</v>
      </c>
      <c r="P42" s="98"/>
      <c r="Q42" s="13" t="s">
        <v>14</v>
      </c>
      <c r="R42" s="99" t="s">
        <v>15</v>
      </c>
      <c r="S42" s="99"/>
      <c r="T42" s="99"/>
    </row>
    <row r="43" spans="1:20" s="1" customFormat="1" ht="13.35" customHeight="1" x14ac:dyDescent="0.25">
      <c r="A43" s="88" t="s">
        <v>90</v>
      </c>
      <c r="B43" s="88"/>
      <c r="C43" s="88"/>
      <c r="D43" s="88"/>
      <c r="E43" s="88"/>
      <c r="F43" s="88"/>
      <c r="G43" s="88"/>
      <c r="H43" s="88"/>
      <c r="I43" s="88"/>
      <c r="J43" s="88"/>
      <c r="K43" s="88"/>
      <c r="L43" s="88"/>
      <c r="M43" s="88">
        <f>57.42*100/60</f>
        <v>95.7</v>
      </c>
      <c r="N43" s="88"/>
      <c r="O43" s="88">
        <f>45*100/60</f>
        <v>75</v>
      </c>
      <c r="P43" s="88"/>
      <c r="Q43" s="24">
        <v>9.57</v>
      </c>
      <c r="R43" s="88">
        <v>7.5</v>
      </c>
      <c r="S43" s="88"/>
      <c r="T43" s="88"/>
    </row>
    <row r="44" spans="1:20" s="1" customFormat="1" ht="13.35" customHeight="1" x14ac:dyDescent="0.25">
      <c r="A44" s="88" t="s">
        <v>21</v>
      </c>
      <c r="B44" s="88"/>
      <c r="C44" s="88"/>
      <c r="D44" s="88"/>
      <c r="E44" s="88"/>
      <c r="F44" s="88"/>
      <c r="G44" s="88"/>
      <c r="H44" s="88"/>
      <c r="I44" s="88"/>
      <c r="J44" s="88"/>
      <c r="K44" s="88"/>
      <c r="L44" s="88"/>
      <c r="M44" s="88">
        <f>12.48*100/60</f>
        <v>20.8</v>
      </c>
      <c r="N44" s="88"/>
      <c r="O44" s="88">
        <f>10.5*100/60</f>
        <v>17.5</v>
      </c>
      <c r="P44" s="88"/>
      <c r="Q44" s="6">
        <v>2.08</v>
      </c>
      <c r="R44" s="88">
        <v>1.75</v>
      </c>
      <c r="S44" s="88"/>
      <c r="T44" s="88"/>
    </row>
    <row r="45" spans="1:20" s="1" customFormat="1" ht="13.35" customHeight="1" x14ac:dyDescent="0.25">
      <c r="A45" s="88" t="s">
        <v>25</v>
      </c>
      <c r="B45" s="88"/>
      <c r="C45" s="88"/>
      <c r="D45" s="88"/>
      <c r="E45" s="88"/>
      <c r="F45" s="88"/>
      <c r="G45" s="88"/>
      <c r="H45" s="88"/>
      <c r="I45" s="88"/>
      <c r="J45" s="88"/>
      <c r="K45" s="88"/>
      <c r="L45" s="88"/>
      <c r="M45" s="88">
        <f>15*100/60</f>
        <v>25</v>
      </c>
      <c r="N45" s="88"/>
      <c r="O45" s="88">
        <v>25</v>
      </c>
      <c r="P45" s="88"/>
      <c r="Q45" s="6">
        <v>2.5</v>
      </c>
      <c r="R45" s="88">
        <v>2.5</v>
      </c>
      <c r="S45" s="88"/>
      <c r="T45" s="88"/>
    </row>
    <row r="46" spans="1:20" s="1" customFormat="1" ht="13.35" customHeight="1" x14ac:dyDescent="0.25">
      <c r="A46" s="88" t="s">
        <v>18</v>
      </c>
      <c r="B46" s="88"/>
      <c r="C46" s="88"/>
      <c r="D46" s="88"/>
      <c r="E46" s="88"/>
      <c r="F46" s="88"/>
      <c r="G46" s="88"/>
      <c r="H46" s="88"/>
      <c r="I46" s="88"/>
      <c r="J46" s="88"/>
      <c r="K46" s="88"/>
      <c r="L46" s="88"/>
      <c r="M46" s="88">
        <f>4.5*100/60</f>
        <v>7.5</v>
      </c>
      <c r="N46" s="88"/>
      <c r="O46" s="88">
        <v>7.5</v>
      </c>
      <c r="P46" s="88"/>
      <c r="Q46" s="6">
        <v>0.75</v>
      </c>
      <c r="R46" s="88">
        <v>0.75</v>
      </c>
      <c r="S46" s="88"/>
      <c r="T46" s="88"/>
    </row>
    <row r="47" spans="1:20" s="1" customFormat="1" ht="13.35" customHeight="1" x14ac:dyDescent="0.25">
      <c r="A47" s="88" t="s">
        <v>109</v>
      </c>
      <c r="B47" s="88"/>
      <c r="C47" s="88"/>
      <c r="D47" s="88"/>
      <c r="E47" s="88"/>
      <c r="F47" s="88"/>
      <c r="G47" s="88"/>
      <c r="H47" s="88"/>
      <c r="I47" s="88"/>
      <c r="J47" s="88"/>
      <c r="K47" s="88"/>
      <c r="L47" s="88"/>
      <c r="M47" s="88">
        <f>0.72*100/60</f>
        <v>1.2</v>
      </c>
      <c r="N47" s="88"/>
      <c r="O47" s="88">
        <v>1.2</v>
      </c>
      <c r="P47" s="88"/>
      <c r="Q47" s="6">
        <v>1.2E-2</v>
      </c>
      <c r="R47" s="88">
        <v>1.2E-2</v>
      </c>
      <c r="S47" s="88"/>
      <c r="T47" s="88"/>
    </row>
    <row r="48" spans="1:20" s="1" customFormat="1" ht="14.1" customHeight="1" x14ac:dyDescent="0.25">
      <c r="A48" s="90" t="s">
        <v>134</v>
      </c>
      <c r="B48" s="90"/>
      <c r="C48" s="90"/>
      <c r="D48" s="90"/>
      <c r="E48" s="90"/>
      <c r="F48" s="90"/>
      <c r="G48" s="90"/>
      <c r="H48" s="90"/>
      <c r="I48" s="90"/>
      <c r="J48" s="90"/>
      <c r="K48" s="90"/>
      <c r="L48" s="90"/>
      <c r="M48" s="90"/>
      <c r="N48" s="90"/>
      <c r="O48" s="90"/>
      <c r="P48" s="90"/>
      <c r="Q48" s="90"/>
      <c r="R48" s="90"/>
      <c r="S48" s="90"/>
      <c r="T48" s="90"/>
    </row>
    <row r="49" spans="1:19" s="1" customFormat="1" ht="21.3" customHeight="1" x14ac:dyDescent="0.25"/>
    <row r="50" spans="1:19" s="1" customFormat="1" ht="14.1" customHeight="1" x14ac:dyDescent="0.25">
      <c r="A50" s="91" t="s">
        <v>33</v>
      </c>
      <c r="B50" s="91"/>
      <c r="C50" s="91"/>
      <c r="D50" s="91"/>
      <c r="E50" s="91"/>
      <c r="F50" s="91"/>
      <c r="G50" s="91"/>
      <c r="H50" s="91"/>
      <c r="I50" s="91"/>
      <c r="J50" s="91"/>
      <c r="K50" s="91"/>
      <c r="L50" s="91"/>
      <c r="M50" s="91"/>
      <c r="N50" s="91"/>
    </row>
    <row r="51" spans="1:19" s="1" customFormat="1" ht="13.35" customHeight="1" x14ac:dyDescent="0.25">
      <c r="A51" s="88" t="s">
        <v>34</v>
      </c>
      <c r="B51" s="88"/>
      <c r="C51" s="88"/>
      <c r="D51" s="88"/>
      <c r="E51" s="89">
        <f>1.42*100/60</f>
        <v>2.3666666666666667</v>
      </c>
      <c r="F51" s="89"/>
      <c r="G51" s="17"/>
      <c r="H51" s="6" t="s">
        <v>35</v>
      </c>
      <c r="I51" s="89">
        <v>0.04</v>
      </c>
      <c r="J51" s="89"/>
      <c r="K51" s="17"/>
      <c r="L51" s="88" t="s">
        <v>36</v>
      </c>
      <c r="M51" s="88"/>
      <c r="N51" s="89">
        <v>19.989999999999998</v>
      </c>
      <c r="O51" s="89"/>
    </row>
    <row r="52" spans="1:19" s="1" customFormat="1" ht="13.35" customHeight="1" x14ac:dyDescent="0.25">
      <c r="A52" s="88" t="s">
        <v>37</v>
      </c>
      <c r="B52" s="88"/>
      <c r="C52" s="88"/>
      <c r="D52" s="88"/>
      <c r="E52" s="89">
        <f>0.06*100/60</f>
        <v>0.1</v>
      </c>
      <c r="F52" s="89"/>
      <c r="G52" s="17"/>
      <c r="H52" s="6" t="s">
        <v>38</v>
      </c>
      <c r="I52" s="89">
        <v>4.84</v>
      </c>
      <c r="J52" s="89"/>
      <c r="K52" s="17"/>
      <c r="L52" s="88" t="s">
        <v>39</v>
      </c>
      <c r="M52" s="88"/>
      <c r="N52" s="89">
        <v>16.600000000000001</v>
      </c>
      <c r="O52" s="89"/>
    </row>
    <row r="53" spans="1:19" s="1" customFormat="1" ht="13.35" customHeight="1" x14ac:dyDescent="0.25">
      <c r="A53" s="88" t="s">
        <v>40</v>
      </c>
      <c r="B53" s="88"/>
      <c r="C53" s="88"/>
      <c r="D53" s="88"/>
      <c r="E53" s="89">
        <f>13.72*100/60</f>
        <v>22.866666666666667</v>
      </c>
      <c r="F53" s="89"/>
      <c r="G53" s="17"/>
      <c r="H53" s="6" t="s">
        <v>41</v>
      </c>
      <c r="I53" s="89">
        <v>0.05</v>
      </c>
      <c r="J53" s="89"/>
      <c r="K53" s="17"/>
      <c r="L53" s="88" t="s">
        <v>42</v>
      </c>
      <c r="M53" s="88"/>
      <c r="N53" s="89">
        <v>31.4</v>
      </c>
      <c r="O53" s="89"/>
    </row>
    <row r="54" spans="1:19" s="1" customFormat="1" ht="13.35" customHeight="1" x14ac:dyDescent="0.25">
      <c r="A54" s="88" t="s">
        <v>43</v>
      </c>
      <c r="B54" s="88"/>
      <c r="C54" s="88"/>
      <c r="D54" s="88"/>
      <c r="E54" s="89">
        <f>111.18*100/60</f>
        <v>185.3</v>
      </c>
      <c r="F54" s="89"/>
      <c r="G54" s="17"/>
      <c r="H54" s="6" t="s">
        <v>44</v>
      </c>
      <c r="I54" s="89">
        <v>2.12</v>
      </c>
      <c r="J54" s="89"/>
      <c r="K54" s="17"/>
      <c r="L54" s="88" t="s">
        <v>45</v>
      </c>
      <c r="M54" s="88"/>
      <c r="N54" s="89">
        <v>0.95</v>
      </c>
      <c r="O54" s="89"/>
    </row>
    <row r="55" spans="1:19" s="1" customFormat="1" ht="13.35" customHeight="1" x14ac:dyDescent="0.25">
      <c r="A55" s="87"/>
      <c r="B55" s="87"/>
      <c r="C55" s="87"/>
      <c r="D55" s="87"/>
      <c r="E55" s="87"/>
      <c r="F55" s="87"/>
      <c r="G55" s="17"/>
      <c r="H55" s="6" t="s">
        <v>46</v>
      </c>
      <c r="I55" s="89">
        <v>0</v>
      </c>
      <c r="J55" s="89"/>
      <c r="K55" s="17"/>
      <c r="L55" s="88" t="s">
        <v>47</v>
      </c>
      <c r="M55" s="88"/>
      <c r="N55" s="89">
        <v>273.64999999999998</v>
      </c>
      <c r="O55" s="89"/>
    </row>
    <row r="56" spans="1:19" s="1" customFormat="1" ht="13.35" customHeight="1" x14ac:dyDescent="0.25">
      <c r="A56" s="87"/>
      <c r="B56" s="87"/>
      <c r="C56" s="87"/>
      <c r="D56" s="87"/>
      <c r="E56" s="87"/>
      <c r="F56" s="87"/>
      <c r="G56" s="17"/>
      <c r="H56" s="6" t="s">
        <v>48</v>
      </c>
      <c r="I56" s="89">
        <v>0.05</v>
      </c>
      <c r="J56" s="89"/>
      <c r="K56" s="17"/>
      <c r="L56" s="88" t="s">
        <v>49</v>
      </c>
      <c r="M56" s="88"/>
      <c r="N56" s="89">
        <v>4.67</v>
      </c>
      <c r="O56" s="89"/>
    </row>
    <row r="57" spans="1:19" s="1" customFormat="1" ht="13.35" customHeight="1" x14ac:dyDescent="0.25">
      <c r="A57" s="87"/>
      <c r="B57" s="87"/>
      <c r="C57" s="87"/>
      <c r="D57" s="87"/>
      <c r="E57" s="87"/>
      <c r="F57" s="87"/>
      <c r="G57" s="17"/>
      <c r="H57" s="17"/>
      <c r="I57" s="87"/>
      <c r="J57" s="87"/>
      <c r="K57" s="17"/>
      <c r="L57" s="88" t="s">
        <v>50</v>
      </c>
      <c r="M57" s="88"/>
      <c r="N57" s="89">
        <v>0.01</v>
      </c>
      <c r="O57" s="89"/>
    </row>
    <row r="58" spans="1:19" s="1" customFormat="1" ht="13.35" customHeight="1" x14ac:dyDescent="0.25">
      <c r="A58" s="87"/>
      <c r="B58" s="87"/>
      <c r="C58" s="87"/>
      <c r="D58" s="87"/>
      <c r="E58" s="87"/>
      <c r="F58" s="87"/>
      <c r="G58" s="17"/>
      <c r="H58" s="17"/>
      <c r="I58" s="87"/>
      <c r="J58" s="87"/>
      <c r="K58" s="17"/>
      <c r="L58" s="88" t="s">
        <v>51</v>
      </c>
      <c r="M58" s="88"/>
      <c r="N58" s="89">
        <v>0</v>
      </c>
      <c r="O58" s="89"/>
    </row>
    <row r="59" spans="1:19" s="1" customFormat="1" ht="14.1" customHeight="1" x14ac:dyDescent="0.25">
      <c r="A59" s="86"/>
      <c r="B59" s="86"/>
      <c r="C59" s="86"/>
      <c r="D59" s="86"/>
      <c r="E59" s="86"/>
      <c r="F59" s="86"/>
      <c r="G59" s="86"/>
      <c r="H59" s="86"/>
      <c r="I59" s="86"/>
      <c r="J59" s="86"/>
      <c r="K59" s="86"/>
      <c r="L59" s="86"/>
      <c r="M59" s="86"/>
      <c r="N59" s="86"/>
      <c r="O59" s="86"/>
      <c r="P59" s="86"/>
      <c r="Q59" s="86"/>
      <c r="R59" s="86"/>
      <c r="S59" s="86"/>
    </row>
    <row r="60" spans="1:19" s="1" customFormat="1" ht="14.1" customHeight="1" x14ac:dyDescent="0.25">
      <c r="A60" s="84" t="s">
        <v>52</v>
      </c>
      <c r="B60" s="84"/>
      <c r="C60" s="84"/>
      <c r="D60" s="84"/>
      <c r="E60" s="84"/>
      <c r="F60" s="84"/>
      <c r="G60" s="84"/>
      <c r="H60" s="84"/>
      <c r="I60" s="84"/>
      <c r="J60" s="84"/>
      <c r="K60" s="84"/>
      <c r="L60" s="84"/>
      <c r="M60" s="84"/>
      <c r="N60" s="84"/>
      <c r="O60" s="84"/>
      <c r="P60" s="84"/>
      <c r="Q60" s="84"/>
      <c r="R60" s="84"/>
      <c r="S60" s="84"/>
    </row>
    <row r="61" spans="1:19" s="1" customFormat="1" ht="30.9" customHeight="1" x14ac:dyDescent="0.25">
      <c r="A61" s="85" t="s">
        <v>242</v>
      </c>
      <c r="B61" s="85"/>
      <c r="C61" s="85"/>
      <c r="D61" s="85"/>
      <c r="E61" s="85"/>
      <c r="F61" s="85"/>
      <c r="G61" s="85"/>
      <c r="H61" s="85"/>
      <c r="I61" s="85"/>
      <c r="J61" s="85"/>
      <c r="K61" s="85"/>
      <c r="L61" s="85"/>
      <c r="M61" s="85"/>
      <c r="N61" s="85"/>
      <c r="O61" s="85"/>
      <c r="P61" s="85"/>
      <c r="Q61" s="85"/>
      <c r="R61" s="85"/>
      <c r="S61" s="85"/>
    </row>
    <row r="62" spans="1:19" s="1" customFormat="1" ht="14.1" customHeight="1" x14ac:dyDescent="0.25">
      <c r="A62" s="86"/>
      <c r="B62" s="86"/>
      <c r="C62" s="86"/>
      <c r="D62" s="86"/>
      <c r="E62" s="86"/>
      <c r="F62" s="86"/>
      <c r="G62" s="86"/>
      <c r="H62" s="86"/>
      <c r="I62" s="86"/>
      <c r="J62" s="86"/>
      <c r="K62" s="86"/>
      <c r="L62" s="86"/>
      <c r="M62" s="86"/>
      <c r="N62" s="86"/>
      <c r="O62" s="86"/>
      <c r="P62" s="86"/>
      <c r="Q62" s="86"/>
      <c r="R62" s="86"/>
      <c r="S62" s="86"/>
    </row>
    <row r="63" spans="1:19" s="1" customFormat="1" ht="14.1" customHeight="1" x14ac:dyDescent="0.25">
      <c r="A63" s="84" t="s">
        <v>54</v>
      </c>
      <c r="B63" s="84"/>
      <c r="C63" s="84"/>
      <c r="D63" s="84"/>
      <c r="E63" s="84"/>
      <c r="F63" s="84"/>
      <c r="G63" s="84"/>
      <c r="H63" s="84"/>
      <c r="I63" s="84"/>
      <c r="J63" s="84"/>
      <c r="K63" s="84"/>
      <c r="L63" s="84"/>
      <c r="M63" s="84"/>
      <c r="N63" s="84"/>
      <c r="O63" s="84"/>
      <c r="P63" s="84"/>
      <c r="Q63" s="84"/>
      <c r="R63" s="84"/>
      <c r="S63" s="84"/>
    </row>
    <row r="64" spans="1:19" s="1" customFormat="1" ht="12.15" customHeight="1" x14ac:dyDescent="0.25">
      <c r="A64" s="85" t="s">
        <v>243</v>
      </c>
      <c r="B64" s="85"/>
      <c r="C64" s="85"/>
      <c r="D64" s="85"/>
      <c r="E64" s="85"/>
      <c r="F64" s="85"/>
      <c r="G64" s="85"/>
      <c r="H64" s="85"/>
      <c r="I64" s="85"/>
      <c r="J64" s="85"/>
      <c r="K64" s="85"/>
      <c r="L64" s="85"/>
      <c r="M64" s="85"/>
      <c r="N64" s="85"/>
      <c r="O64" s="85"/>
      <c r="P64" s="85"/>
      <c r="Q64" s="85"/>
      <c r="R64" s="85"/>
      <c r="S64" s="85"/>
    </row>
    <row r="65" spans="1:20" s="1" customFormat="1" ht="14.1" customHeight="1" x14ac:dyDescent="0.25">
      <c r="A65" s="86"/>
      <c r="B65" s="86"/>
      <c r="C65" s="86"/>
      <c r="D65" s="86"/>
      <c r="E65" s="86"/>
      <c r="F65" s="86"/>
      <c r="G65" s="86"/>
      <c r="H65" s="86"/>
      <c r="I65" s="86"/>
      <c r="J65" s="86"/>
      <c r="K65" s="86"/>
      <c r="L65" s="86"/>
      <c r="M65" s="86"/>
      <c r="N65" s="86"/>
      <c r="O65" s="86"/>
      <c r="P65" s="86"/>
      <c r="Q65" s="86"/>
      <c r="R65" s="86"/>
      <c r="S65" s="86"/>
    </row>
    <row r="66" spans="1:20" s="1" customFormat="1" ht="14.1" customHeight="1" x14ac:dyDescent="0.25">
      <c r="A66" s="84" t="s">
        <v>56</v>
      </c>
      <c r="B66" s="84"/>
      <c r="C66" s="84"/>
      <c r="D66" s="84"/>
      <c r="E66" s="84"/>
      <c r="F66" s="84"/>
      <c r="G66" s="84"/>
      <c r="H66" s="84"/>
      <c r="I66" s="84"/>
      <c r="J66" s="84"/>
      <c r="K66" s="84"/>
      <c r="L66" s="84"/>
      <c r="M66" s="84"/>
      <c r="N66" s="84"/>
      <c r="O66" s="84"/>
      <c r="P66" s="84"/>
      <c r="Q66" s="84"/>
      <c r="R66" s="84"/>
      <c r="S66" s="84"/>
    </row>
    <row r="67" spans="1:20" s="1" customFormat="1" ht="49.2" customHeight="1" x14ac:dyDescent="0.25">
      <c r="A67" s="85" t="s">
        <v>244</v>
      </c>
      <c r="B67" s="85"/>
      <c r="C67" s="85"/>
      <c r="D67" s="85"/>
      <c r="E67" s="85"/>
      <c r="F67" s="85"/>
      <c r="G67" s="85"/>
      <c r="H67" s="85"/>
      <c r="I67" s="85"/>
      <c r="J67" s="85"/>
      <c r="K67" s="85"/>
      <c r="L67" s="85"/>
      <c r="M67" s="85"/>
      <c r="N67" s="85"/>
      <c r="O67" s="85"/>
      <c r="P67" s="85"/>
      <c r="Q67" s="85"/>
      <c r="R67" s="85"/>
      <c r="S67" s="85"/>
    </row>
    <row r="70" spans="1:20" s="1" customFormat="1" ht="72.45" customHeight="1" x14ac:dyDescent="0.25">
      <c r="J70" s="100" t="s">
        <v>0</v>
      </c>
      <c r="K70" s="100"/>
      <c r="L70" s="100"/>
      <c r="M70" s="100"/>
      <c r="N70" s="100"/>
      <c r="O70" s="100"/>
      <c r="P70" s="100"/>
      <c r="Q70" s="100"/>
      <c r="R70" s="100"/>
      <c r="S70" s="100"/>
      <c r="T70" s="100"/>
    </row>
    <row r="71" spans="1:20" s="1" customFormat="1" ht="7.05" customHeight="1" x14ac:dyDescent="0.25"/>
    <row r="72" spans="1:20" s="1" customFormat="1" ht="14.1" customHeight="1" x14ac:dyDescent="0.25">
      <c r="B72" s="101" t="s">
        <v>236</v>
      </c>
      <c r="C72" s="101"/>
      <c r="D72" s="101"/>
      <c r="E72" s="101"/>
      <c r="F72" s="101"/>
      <c r="G72" s="101"/>
      <c r="H72" s="101"/>
      <c r="I72" s="101"/>
      <c r="J72" s="101"/>
      <c r="K72" s="101"/>
      <c r="L72" s="101"/>
      <c r="M72" s="101"/>
      <c r="N72" s="101"/>
      <c r="O72" s="101"/>
      <c r="P72" s="101"/>
      <c r="Q72" s="101"/>
      <c r="R72" s="101"/>
    </row>
    <row r="73" spans="1:20" s="1" customFormat="1" ht="14.1" customHeight="1" x14ac:dyDescent="0.25"/>
    <row r="74" spans="1:20" s="1" customFormat="1" ht="14.1" customHeight="1" x14ac:dyDescent="0.25">
      <c r="A74" s="102" t="s">
        <v>2</v>
      </c>
      <c r="B74" s="102"/>
      <c r="C74" s="102"/>
      <c r="D74" s="103" t="s">
        <v>716</v>
      </c>
      <c r="E74" s="103"/>
      <c r="F74" s="103"/>
      <c r="G74" s="103"/>
      <c r="H74" s="103"/>
      <c r="I74" s="103"/>
      <c r="J74" s="103"/>
      <c r="K74" s="103"/>
      <c r="L74" s="103"/>
      <c r="M74" s="103"/>
      <c r="N74" s="103"/>
      <c r="O74" s="103"/>
      <c r="P74" s="103"/>
      <c r="Q74" s="103"/>
      <c r="R74" s="103"/>
      <c r="S74" s="103"/>
      <c r="T74" s="103"/>
    </row>
    <row r="75" spans="1:20" s="1" customFormat="1" ht="14.1" customHeight="1" x14ac:dyDescent="0.25">
      <c r="A75" s="102" t="s">
        <v>4</v>
      </c>
      <c r="B75" s="102"/>
      <c r="C75" s="103">
        <v>75</v>
      </c>
      <c r="D75" s="103"/>
      <c r="E75" s="103"/>
      <c r="F75" s="103"/>
      <c r="G75" s="103"/>
      <c r="H75" s="103"/>
      <c r="I75" s="103"/>
      <c r="J75" s="103"/>
      <c r="K75" s="103"/>
      <c r="L75" s="103"/>
      <c r="M75" s="103"/>
      <c r="N75" s="103"/>
      <c r="O75" s="103"/>
      <c r="P75" s="103"/>
      <c r="Q75" s="103"/>
      <c r="R75" s="103"/>
      <c r="S75" s="103"/>
      <c r="T75" s="103"/>
    </row>
    <row r="76" spans="1:20" s="1" customFormat="1" ht="14.1" customHeight="1" x14ac:dyDescent="0.25">
      <c r="A76" s="102" t="s">
        <v>6</v>
      </c>
      <c r="B76" s="102"/>
      <c r="C76" s="102"/>
      <c r="D76" s="102"/>
      <c r="E76" s="102"/>
      <c r="F76" s="103" t="s">
        <v>60</v>
      </c>
      <c r="G76" s="103"/>
      <c r="H76" s="103"/>
      <c r="I76" s="103"/>
      <c r="J76" s="103"/>
      <c r="K76" s="103"/>
      <c r="L76" s="103"/>
      <c r="M76" s="103"/>
      <c r="N76" s="103"/>
      <c r="O76" s="103"/>
      <c r="P76" s="103"/>
      <c r="Q76" s="103"/>
      <c r="R76" s="103"/>
      <c r="S76" s="103"/>
      <c r="T76" s="103"/>
    </row>
    <row r="77" spans="1:20" s="1" customFormat="1" ht="22.35" customHeight="1" x14ac:dyDescent="0.25">
      <c r="F77" s="103"/>
      <c r="G77" s="103"/>
      <c r="H77" s="103"/>
      <c r="I77" s="103"/>
      <c r="J77" s="103"/>
      <c r="K77" s="103"/>
      <c r="L77" s="103"/>
      <c r="M77" s="103"/>
      <c r="N77" s="103"/>
      <c r="O77" s="103"/>
      <c r="P77" s="103"/>
      <c r="Q77" s="103"/>
      <c r="R77" s="103"/>
      <c r="S77" s="103"/>
      <c r="T77" s="103"/>
    </row>
    <row r="78" spans="1:20" s="1" customFormat="1" ht="7.05" customHeight="1" x14ac:dyDescent="0.25">
      <c r="A78" s="86"/>
      <c r="B78" s="86"/>
      <c r="C78" s="86"/>
      <c r="D78" s="86"/>
      <c r="E78" s="86"/>
      <c r="F78" s="86"/>
      <c r="G78" s="86"/>
      <c r="H78" s="86"/>
      <c r="I78" s="86"/>
      <c r="J78" s="86"/>
      <c r="K78" s="86"/>
      <c r="L78" s="86"/>
      <c r="M78" s="86"/>
      <c r="N78" s="86"/>
      <c r="O78" s="86"/>
      <c r="P78" s="86"/>
      <c r="Q78" s="16"/>
      <c r="R78" s="86"/>
      <c r="S78" s="86"/>
      <c r="T78" s="86"/>
    </row>
    <row r="79" spans="1:20" s="1" customFormat="1" ht="16.95" customHeight="1" x14ac:dyDescent="0.25">
      <c r="A79" s="94" t="s">
        <v>8</v>
      </c>
      <c r="B79" s="94"/>
      <c r="C79" s="94"/>
      <c r="D79" s="94"/>
      <c r="E79" s="94"/>
      <c r="F79" s="94"/>
      <c r="G79" s="94"/>
      <c r="H79" s="94"/>
      <c r="I79" s="94"/>
      <c r="J79" s="94"/>
      <c r="K79" s="94"/>
      <c r="L79" s="94"/>
      <c r="M79" s="95" t="s">
        <v>9</v>
      </c>
      <c r="N79" s="95"/>
      <c r="O79" s="95"/>
      <c r="P79" s="95"/>
      <c r="Q79" s="95"/>
      <c r="R79" s="95"/>
      <c r="S79" s="95"/>
      <c r="T79" s="95"/>
    </row>
    <row r="80" spans="1:20" s="1" customFormat="1" ht="16.95" customHeight="1" x14ac:dyDescent="0.25">
      <c r="A80" s="94"/>
      <c r="B80" s="94"/>
      <c r="C80" s="94"/>
      <c r="D80" s="94"/>
      <c r="E80" s="94"/>
      <c r="F80" s="94"/>
      <c r="G80" s="94"/>
      <c r="H80" s="94"/>
      <c r="I80" s="94"/>
      <c r="J80" s="94"/>
      <c r="K80" s="94"/>
      <c r="L80" s="94"/>
      <c r="M80" s="96" t="s">
        <v>10</v>
      </c>
      <c r="N80" s="96"/>
      <c r="O80" s="96"/>
      <c r="P80" s="96"/>
      <c r="Q80" s="97" t="s">
        <v>11</v>
      </c>
      <c r="R80" s="97"/>
      <c r="S80" s="97"/>
      <c r="T80" s="97"/>
    </row>
    <row r="81" spans="1:20" s="1" customFormat="1" ht="16.95" customHeight="1" x14ac:dyDescent="0.25">
      <c r="A81" s="94"/>
      <c r="B81" s="94"/>
      <c r="C81" s="94"/>
      <c r="D81" s="94"/>
      <c r="E81" s="94"/>
      <c r="F81" s="94"/>
      <c r="G81" s="94"/>
      <c r="H81" s="94"/>
      <c r="I81" s="94"/>
      <c r="J81" s="94"/>
      <c r="K81" s="94"/>
      <c r="L81" s="94"/>
      <c r="M81" s="98" t="s">
        <v>12</v>
      </c>
      <c r="N81" s="98"/>
      <c r="O81" s="98" t="s">
        <v>13</v>
      </c>
      <c r="P81" s="98"/>
      <c r="Q81" s="13" t="s">
        <v>14</v>
      </c>
      <c r="R81" s="99" t="s">
        <v>15</v>
      </c>
      <c r="S81" s="99"/>
      <c r="T81" s="99"/>
    </row>
    <row r="82" spans="1:20" s="1" customFormat="1" ht="13.35" customHeight="1" x14ac:dyDescent="0.25">
      <c r="A82" s="88" t="s">
        <v>100</v>
      </c>
      <c r="B82" s="88"/>
      <c r="C82" s="88"/>
      <c r="D82" s="88"/>
      <c r="E82" s="88"/>
      <c r="F82" s="88"/>
      <c r="G82" s="88"/>
      <c r="H82" s="88"/>
      <c r="I82" s="88"/>
      <c r="J82" s="88"/>
      <c r="K82" s="88"/>
      <c r="L82" s="88"/>
      <c r="M82" s="88">
        <f>45*100/60</f>
        <v>75</v>
      </c>
      <c r="N82" s="88"/>
      <c r="O82" s="88">
        <f>36*100/60</f>
        <v>60</v>
      </c>
      <c r="P82" s="88"/>
      <c r="Q82" s="24">
        <v>7.5</v>
      </c>
      <c r="R82" s="88">
        <v>6</v>
      </c>
      <c r="S82" s="88"/>
      <c r="T82" s="88"/>
    </row>
    <row r="83" spans="1:20" s="1" customFormat="1" ht="13.35" customHeight="1" x14ac:dyDescent="0.25">
      <c r="A83" s="88" t="s">
        <v>21</v>
      </c>
      <c r="B83" s="88"/>
      <c r="C83" s="88"/>
      <c r="D83" s="88"/>
      <c r="E83" s="88"/>
      <c r="F83" s="88"/>
      <c r="G83" s="88"/>
      <c r="H83" s="88"/>
      <c r="I83" s="88"/>
      <c r="J83" s="88"/>
      <c r="K83" s="88"/>
      <c r="L83" s="88"/>
      <c r="M83" s="88">
        <v>20.82</v>
      </c>
      <c r="N83" s="88"/>
      <c r="O83" s="88">
        <f>10.5*100/60</f>
        <v>17.5</v>
      </c>
      <c r="P83" s="88"/>
      <c r="Q83" s="6">
        <v>2.0819999999999999</v>
      </c>
      <c r="R83" s="88">
        <v>1.75</v>
      </c>
      <c r="S83" s="88"/>
      <c r="T83" s="88"/>
    </row>
    <row r="84" spans="1:20" s="1" customFormat="1" ht="13.35" customHeight="1" x14ac:dyDescent="0.25">
      <c r="A84" s="88" t="s">
        <v>25</v>
      </c>
      <c r="B84" s="88"/>
      <c r="C84" s="88"/>
      <c r="D84" s="88"/>
      <c r="E84" s="88"/>
      <c r="F84" s="88"/>
      <c r="G84" s="88"/>
      <c r="H84" s="88"/>
      <c r="I84" s="88"/>
      <c r="J84" s="88"/>
      <c r="K84" s="88"/>
      <c r="L84" s="88"/>
      <c r="M84" s="88">
        <f>15*100/60</f>
        <v>25</v>
      </c>
      <c r="N84" s="88"/>
      <c r="O84" s="88">
        <v>25</v>
      </c>
      <c r="P84" s="88"/>
      <c r="Q84" s="6">
        <v>2.5</v>
      </c>
      <c r="R84" s="88">
        <v>2.5</v>
      </c>
      <c r="S84" s="88"/>
      <c r="T84" s="88"/>
    </row>
    <row r="85" spans="1:20" s="1" customFormat="1" ht="13.35" customHeight="1" x14ac:dyDescent="0.25">
      <c r="A85" s="88" t="s">
        <v>18</v>
      </c>
      <c r="B85" s="88"/>
      <c r="C85" s="88"/>
      <c r="D85" s="88"/>
      <c r="E85" s="88"/>
      <c r="F85" s="88"/>
      <c r="G85" s="88"/>
      <c r="H85" s="88"/>
      <c r="I85" s="88"/>
      <c r="J85" s="88"/>
      <c r="K85" s="88"/>
      <c r="L85" s="88"/>
      <c r="M85" s="88">
        <f>4.5*100/60</f>
        <v>7.5</v>
      </c>
      <c r="N85" s="88"/>
      <c r="O85" s="88">
        <v>7.5</v>
      </c>
      <c r="P85" s="88"/>
      <c r="Q85" s="6">
        <v>0.75</v>
      </c>
      <c r="R85" s="88">
        <v>0.75</v>
      </c>
      <c r="S85" s="88"/>
      <c r="T85" s="88"/>
    </row>
    <row r="86" spans="1:20" s="1" customFormat="1" ht="13.35" customHeight="1" x14ac:dyDescent="0.25">
      <c r="A86" s="88" t="s">
        <v>109</v>
      </c>
      <c r="B86" s="88"/>
      <c r="C86" s="88"/>
      <c r="D86" s="88"/>
      <c r="E86" s="88"/>
      <c r="F86" s="88"/>
      <c r="G86" s="88"/>
      <c r="H86" s="88"/>
      <c r="I86" s="88"/>
      <c r="J86" s="88"/>
      <c r="K86" s="88"/>
      <c r="L86" s="88"/>
      <c r="M86" s="88">
        <f>0.72*100/60</f>
        <v>1.2</v>
      </c>
      <c r="N86" s="88"/>
      <c r="O86" s="88">
        <v>1.2</v>
      </c>
      <c r="P86" s="88"/>
      <c r="Q86" s="6">
        <v>0.12</v>
      </c>
      <c r="R86" s="88">
        <v>0.12</v>
      </c>
      <c r="S86" s="88"/>
      <c r="T86" s="88"/>
    </row>
    <row r="87" spans="1:20" s="1" customFormat="1" ht="13.35" customHeight="1" x14ac:dyDescent="0.25">
      <c r="A87" s="88" t="s">
        <v>70</v>
      </c>
      <c r="B87" s="88"/>
      <c r="C87" s="88"/>
      <c r="D87" s="88"/>
      <c r="E87" s="88"/>
      <c r="F87" s="88"/>
      <c r="G87" s="88"/>
      <c r="H87" s="88"/>
      <c r="I87" s="88"/>
      <c r="J87" s="88"/>
      <c r="K87" s="88"/>
      <c r="L87" s="88"/>
      <c r="M87" s="88">
        <f>0.6*100/60</f>
        <v>1</v>
      </c>
      <c r="N87" s="88"/>
      <c r="O87" s="88">
        <v>1</v>
      </c>
      <c r="P87" s="88"/>
      <c r="Q87" s="6">
        <v>0.01</v>
      </c>
      <c r="R87" s="88">
        <v>0.01</v>
      </c>
      <c r="S87" s="88"/>
      <c r="T87" s="88"/>
    </row>
    <row r="88" spans="1:20" s="1" customFormat="1" ht="13.35" customHeight="1" x14ac:dyDescent="0.25">
      <c r="A88" s="88" t="s">
        <v>111</v>
      </c>
      <c r="B88" s="88"/>
      <c r="C88" s="88"/>
      <c r="D88" s="88"/>
      <c r="E88" s="88"/>
      <c r="F88" s="88"/>
      <c r="G88" s="88"/>
      <c r="H88" s="88"/>
      <c r="I88" s="88"/>
      <c r="J88" s="88"/>
      <c r="K88" s="88"/>
      <c r="L88" s="88"/>
      <c r="M88" s="88">
        <v>1.6E-2</v>
      </c>
      <c r="N88" s="88"/>
      <c r="O88" s="88">
        <v>1.6E-2</v>
      </c>
      <c r="P88" s="88"/>
      <c r="Q88" s="6">
        <v>1.6000000000000001E-3</v>
      </c>
      <c r="R88" s="88">
        <v>1.6000000000000001E-3</v>
      </c>
      <c r="S88" s="88"/>
      <c r="T88" s="88"/>
    </row>
    <row r="89" spans="1:20" s="1" customFormat="1" ht="14.1" customHeight="1" x14ac:dyDescent="0.25">
      <c r="A89" s="90" t="s">
        <v>793</v>
      </c>
      <c r="B89" s="90"/>
      <c r="C89" s="90"/>
      <c r="D89" s="90"/>
      <c r="E89" s="90"/>
      <c r="F89" s="90"/>
      <c r="G89" s="90"/>
      <c r="H89" s="90"/>
      <c r="I89" s="90"/>
      <c r="J89" s="90"/>
      <c r="K89" s="90"/>
      <c r="L89" s="90"/>
      <c r="M89" s="90"/>
      <c r="N89" s="90"/>
      <c r="O89" s="90"/>
      <c r="P89" s="90"/>
      <c r="Q89" s="90"/>
      <c r="R89" s="90"/>
      <c r="S89" s="90"/>
      <c r="T89" s="90"/>
    </row>
    <row r="90" spans="1:20" s="1" customFormat="1" ht="21.3" customHeight="1" x14ac:dyDescent="0.25"/>
    <row r="91" spans="1:20" s="1" customFormat="1" ht="14.1" customHeight="1" x14ac:dyDescent="0.25">
      <c r="A91" s="91" t="s">
        <v>33</v>
      </c>
      <c r="B91" s="91"/>
      <c r="C91" s="91"/>
      <c r="D91" s="91"/>
      <c r="E91" s="91"/>
      <c r="F91" s="91"/>
      <c r="G91" s="91"/>
      <c r="H91" s="91"/>
      <c r="I91" s="91"/>
      <c r="J91" s="91"/>
      <c r="K91" s="91"/>
      <c r="L91" s="91"/>
      <c r="M91" s="91"/>
      <c r="N91" s="91"/>
    </row>
    <row r="92" spans="1:20" s="1" customFormat="1" ht="13.35" customHeight="1" x14ac:dyDescent="0.25">
      <c r="A92" s="88" t="s">
        <v>34</v>
      </c>
      <c r="B92" s="88"/>
      <c r="C92" s="88"/>
      <c r="D92" s="88"/>
      <c r="E92" s="89">
        <f>1.21*100/60</f>
        <v>2.0166666666666666</v>
      </c>
      <c r="F92" s="89"/>
      <c r="G92" s="17"/>
      <c r="H92" s="6" t="s">
        <v>35</v>
      </c>
      <c r="I92" s="89">
        <v>0.03</v>
      </c>
      <c r="J92" s="89"/>
      <c r="K92" s="17"/>
      <c r="L92" s="88" t="s">
        <v>36</v>
      </c>
      <c r="M92" s="88"/>
      <c r="N92" s="89">
        <v>22.16</v>
      </c>
      <c r="O92" s="89"/>
    </row>
    <row r="93" spans="1:20" s="1" customFormat="1" ht="13.35" customHeight="1" x14ac:dyDescent="0.25">
      <c r="A93" s="88" t="s">
        <v>37</v>
      </c>
      <c r="B93" s="88"/>
      <c r="C93" s="88"/>
      <c r="D93" s="88"/>
      <c r="E93" s="89">
        <f>0.06*100/60</f>
        <v>0.1</v>
      </c>
      <c r="F93" s="89"/>
      <c r="G93" s="17"/>
      <c r="H93" s="6" t="s">
        <v>38</v>
      </c>
      <c r="I93" s="89">
        <v>1.75</v>
      </c>
      <c r="J93" s="89"/>
      <c r="K93" s="17"/>
      <c r="L93" s="88" t="s">
        <v>39</v>
      </c>
      <c r="M93" s="88"/>
      <c r="N93" s="89">
        <v>15.32</v>
      </c>
      <c r="O93" s="89"/>
    </row>
    <row r="94" spans="1:20" s="1" customFormat="1" ht="13.35" customHeight="1" x14ac:dyDescent="0.25">
      <c r="A94" s="88" t="s">
        <v>40</v>
      </c>
      <c r="B94" s="88"/>
      <c r="C94" s="88"/>
      <c r="D94" s="88"/>
      <c r="E94" s="89">
        <f>12.33*100/60</f>
        <v>20.55</v>
      </c>
      <c r="F94" s="89"/>
      <c r="G94" s="17"/>
      <c r="H94" s="6" t="s">
        <v>41</v>
      </c>
      <c r="I94" s="89">
        <v>0.73</v>
      </c>
      <c r="J94" s="89"/>
      <c r="K94" s="17"/>
      <c r="L94" s="88" t="s">
        <v>42</v>
      </c>
      <c r="M94" s="88"/>
      <c r="N94" s="89">
        <v>25.56</v>
      </c>
      <c r="O94" s="89"/>
    </row>
    <row r="95" spans="1:20" s="1" customFormat="1" ht="13.35" customHeight="1" x14ac:dyDescent="0.25">
      <c r="A95" s="88" t="s">
        <v>43</v>
      </c>
      <c r="B95" s="88"/>
      <c r="C95" s="88"/>
      <c r="D95" s="88"/>
      <c r="E95" s="89">
        <f>54.77*100/60</f>
        <v>91.283333333333331</v>
      </c>
      <c r="F95" s="89"/>
      <c r="G95" s="17"/>
      <c r="H95" s="6" t="s">
        <v>44</v>
      </c>
      <c r="I95" s="89">
        <v>2.81</v>
      </c>
      <c r="J95" s="89"/>
      <c r="K95" s="17"/>
      <c r="L95" s="88" t="s">
        <v>45</v>
      </c>
      <c r="M95" s="88"/>
      <c r="N95" s="89">
        <v>0.5</v>
      </c>
      <c r="O95" s="89"/>
    </row>
    <row r="96" spans="1:20" s="1" customFormat="1" ht="13.35" customHeight="1" x14ac:dyDescent="0.25">
      <c r="A96" s="87"/>
      <c r="B96" s="87"/>
      <c r="C96" s="87"/>
      <c r="D96" s="87"/>
      <c r="E96" s="87"/>
      <c r="F96" s="87"/>
      <c r="G96" s="17"/>
      <c r="H96" s="6" t="s">
        <v>46</v>
      </c>
      <c r="I96" s="89">
        <v>0</v>
      </c>
      <c r="J96" s="89"/>
      <c r="K96" s="17"/>
      <c r="L96" s="88" t="s">
        <v>47</v>
      </c>
      <c r="M96" s="88"/>
      <c r="N96" s="89">
        <v>120.42</v>
      </c>
      <c r="O96" s="89"/>
    </row>
    <row r="97" spans="1:20" s="1" customFormat="1" ht="13.35" customHeight="1" x14ac:dyDescent="0.25">
      <c r="A97" s="87"/>
      <c r="B97" s="87"/>
      <c r="C97" s="87"/>
      <c r="D97" s="87"/>
      <c r="E97" s="87"/>
      <c r="F97" s="87"/>
      <c r="G97" s="17"/>
      <c r="H97" s="6" t="s">
        <v>48</v>
      </c>
      <c r="I97" s="89">
        <v>0.04</v>
      </c>
      <c r="J97" s="89"/>
      <c r="K97" s="17"/>
      <c r="L97" s="88" t="s">
        <v>49</v>
      </c>
      <c r="M97" s="88"/>
      <c r="N97" s="89">
        <v>2.41</v>
      </c>
      <c r="O97" s="89"/>
    </row>
    <row r="98" spans="1:20" s="1" customFormat="1" ht="13.35" customHeight="1" x14ac:dyDescent="0.25">
      <c r="A98" s="87"/>
      <c r="B98" s="87"/>
      <c r="C98" s="87"/>
      <c r="D98" s="87"/>
      <c r="E98" s="87"/>
      <c r="F98" s="87"/>
      <c r="G98" s="17"/>
      <c r="H98" s="17"/>
      <c r="I98" s="87"/>
      <c r="J98" s="87"/>
      <c r="K98" s="17"/>
      <c r="L98" s="88" t="s">
        <v>50</v>
      </c>
      <c r="M98" s="88"/>
      <c r="N98" s="89">
        <v>0.02</v>
      </c>
      <c r="O98" s="89"/>
    </row>
    <row r="99" spans="1:20" s="1" customFormat="1" ht="13.35" customHeight="1" x14ac:dyDescent="0.25">
      <c r="A99" s="87"/>
      <c r="B99" s="87"/>
      <c r="C99" s="87"/>
      <c r="D99" s="87"/>
      <c r="E99" s="87"/>
      <c r="F99" s="87"/>
      <c r="G99" s="17"/>
      <c r="H99" s="17"/>
      <c r="I99" s="87"/>
      <c r="J99" s="87"/>
      <c r="K99" s="17"/>
      <c r="L99" s="88" t="s">
        <v>51</v>
      </c>
      <c r="M99" s="88"/>
      <c r="N99" s="89">
        <v>0</v>
      </c>
      <c r="O99" s="89"/>
    </row>
    <row r="100" spans="1:20" s="1" customFormat="1" ht="14.1" customHeight="1" x14ac:dyDescent="0.25">
      <c r="A100" s="86"/>
      <c r="B100" s="86"/>
      <c r="C100" s="86"/>
      <c r="D100" s="86"/>
      <c r="E100" s="86"/>
      <c r="F100" s="86"/>
      <c r="G100" s="86"/>
      <c r="H100" s="86"/>
      <c r="I100" s="86"/>
      <c r="J100" s="86"/>
      <c r="K100" s="86"/>
      <c r="L100" s="86"/>
      <c r="M100" s="86"/>
      <c r="N100" s="86"/>
      <c r="O100" s="86"/>
      <c r="P100" s="86"/>
      <c r="Q100" s="86"/>
      <c r="R100" s="86"/>
      <c r="S100" s="86"/>
    </row>
    <row r="101" spans="1:20" s="1" customFormat="1" ht="14.1" customHeight="1" x14ac:dyDescent="0.25">
      <c r="A101" s="84" t="s">
        <v>52</v>
      </c>
      <c r="B101" s="84"/>
      <c r="C101" s="84"/>
      <c r="D101" s="84"/>
      <c r="E101" s="84"/>
      <c r="F101" s="84"/>
      <c r="G101" s="84"/>
      <c r="H101" s="84"/>
      <c r="I101" s="84"/>
      <c r="J101" s="84"/>
      <c r="K101" s="84"/>
      <c r="L101" s="84"/>
      <c r="M101" s="84"/>
      <c r="N101" s="84"/>
      <c r="O101" s="84"/>
      <c r="P101" s="84"/>
      <c r="Q101" s="84"/>
      <c r="R101" s="84"/>
      <c r="S101" s="84"/>
    </row>
    <row r="102" spans="1:20" s="1" customFormat="1" ht="40.049999999999997" customHeight="1" x14ac:dyDescent="0.25">
      <c r="A102" s="85" t="s">
        <v>438</v>
      </c>
      <c r="B102" s="85"/>
      <c r="C102" s="85"/>
      <c r="D102" s="85"/>
      <c r="E102" s="85"/>
      <c r="F102" s="85"/>
      <c r="G102" s="85"/>
      <c r="H102" s="85"/>
      <c r="I102" s="85"/>
      <c r="J102" s="85"/>
      <c r="K102" s="85"/>
      <c r="L102" s="85"/>
      <c r="M102" s="85"/>
      <c r="N102" s="85"/>
      <c r="O102" s="85"/>
      <c r="P102" s="85"/>
      <c r="Q102" s="85"/>
      <c r="R102" s="85"/>
      <c r="S102" s="85"/>
    </row>
    <row r="103" spans="1:20" s="1" customFormat="1" ht="14.1" customHeight="1" x14ac:dyDescent="0.25">
      <c r="A103" s="86"/>
      <c r="B103" s="86"/>
      <c r="C103" s="86"/>
      <c r="D103" s="86"/>
      <c r="E103" s="86"/>
      <c r="F103" s="86"/>
      <c r="G103" s="86"/>
      <c r="H103" s="86"/>
      <c r="I103" s="86"/>
      <c r="J103" s="86"/>
      <c r="K103" s="86"/>
      <c r="L103" s="86"/>
      <c r="M103" s="86"/>
      <c r="N103" s="86"/>
      <c r="O103" s="86"/>
      <c r="P103" s="86"/>
      <c r="Q103" s="86"/>
      <c r="R103" s="86"/>
      <c r="S103" s="86"/>
    </row>
    <row r="104" spans="1:20" s="1" customFormat="1" ht="14.1" customHeight="1" x14ac:dyDescent="0.25">
      <c r="A104" s="84" t="s">
        <v>54</v>
      </c>
      <c r="B104" s="84"/>
      <c r="C104" s="84"/>
      <c r="D104" s="84"/>
      <c r="E104" s="84"/>
      <c r="F104" s="84"/>
      <c r="G104" s="84"/>
      <c r="H104" s="84"/>
      <c r="I104" s="84"/>
      <c r="J104" s="84"/>
      <c r="K104" s="84"/>
      <c r="L104" s="84"/>
      <c r="M104" s="84"/>
      <c r="N104" s="84"/>
      <c r="O104" s="84"/>
      <c r="P104" s="84"/>
      <c r="Q104" s="84"/>
      <c r="R104" s="84"/>
      <c r="S104" s="84"/>
    </row>
    <row r="105" spans="1:20" s="1" customFormat="1" ht="12.45" customHeight="1" x14ac:dyDescent="0.25">
      <c r="A105" s="85" t="s">
        <v>439</v>
      </c>
      <c r="B105" s="85"/>
      <c r="C105" s="85"/>
      <c r="D105" s="85"/>
      <c r="E105" s="85"/>
      <c r="F105" s="85"/>
      <c r="G105" s="85"/>
      <c r="H105" s="85"/>
      <c r="I105" s="85"/>
      <c r="J105" s="85"/>
      <c r="K105" s="85"/>
      <c r="L105" s="85"/>
      <c r="M105" s="85"/>
      <c r="N105" s="85"/>
      <c r="O105" s="85"/>
      <c r="P105" s="85"/>
      <c r="Q105" s="85"/>
      <c r="R105" s="85"/>
      <c r="S105" s="85"/>
    </row>
    <row r="106" spans="1:20" s="1" customFormat="1" ht="14.1" customHeight="1" x14ac:dyDescent="0.25">
      <c r="A106" s="86"/>
      <c r="B106" s="86"/>
      <c r="C106" s="86"/>
      <c r="D106" s="86"/>
      <c r="E106" s="86"/>
      <c r="F106" s="86"/>
      <c r="G106" s="86"/>
      <c r="H106" s="86"/>
      <c r="I106" s="86"/>
      <c r="J106" s="86"/>
      <c r="K106" s="86"/>
      <c r="L106" s="86"/>
      <c r="M106" s="86"/>
      <c r="N106" s="86"/>
      <c r="O106" s="86"/>
      <c r="P106" s="86"/>
      <c r="Q106" s="86"/>
      <c r="R106" s="86"/>
      <c r="S106" s="86"/>
    </row>
    <row r="107" spans="1:20" s="1" customFormat="1" ht="14.1" customHeight="1" x14ac:dyDescent="0.25">
      <c r="A107" s="84" t="s">
        <v>56</v>
      </c>
      <c r="B107" s="84"/>
      <c r="C107" s="84"/>
      <c r="D107" s="84"/>
      <c r="E107" s="84"/>
      <c r="F107" s="84"/>
      <c r="G107" s="84"/>
      <c r="H107" s="84"/>
      <c r="I107" s="84"/>
      <c r="J107" s="84"/>
      <c r="K107" s="84"/>
      <c r="L107" s="84"/>
      <c r="M107" s="84"/>
      <c r="N107" s="84"/>
      <c r="O107" s="84"/>
      <c r="P107" s="84"/>
      <c r="Q107" s="84"/>
      <c r="R107" s="84"/>
      <c r="S107" s="84"/>
    </row>
    <row r="108" spans="1:20" s="1" customFormat="1" ht="49.2" customHeight="1" x14ac:dyDescent="0.25">
      <c r="A108" s="85" t="s">
        <v>440</v>
      </c>
      <c r="B108" s="85"/>
      <c r="C108" s="85"/>
      <c r="D108" s="85"/>
      <c r="E108" s="85"/>
      <c r="F108" s="85"/>
      <c r="G108" s="85"/>
      <c r="H108" s="85"/>
      <c r="I108" s="85"/>
      <c r="J108" s="85"/>
      <c r="K108" s="85"/>
      <c r="L108" s="85"/>
      <c r="M108" s="85"/>
      <c r="N108" s="85"/>
      <c r="O108" s="85"/>
      <c r="P108" s="85"/>
      <c r="Q108" s="85"/>
      <c r="R108" s="85"/>
      <c r="S108" s="85"/>
    </row>
    <row r="110" spans="1:20" s="1" customFormat="1" ht="72.45" customHeight="1" x14ac:dyDescent="0.25">
      <c r="J110" s="100" t="s">
        <v>0</v>
      </c>
      <c r="K110" s="100"/>
      <c r="L110" s="100"/>
      <c r="M110" s="100"/>
      <c r="N110" s="100"/>
      <c r="O110" s="100"/>
      <c r="P110" s="100"/>
      <c r="Q110" s="100"/>
      <c r="R110" s="100"/>
      <c r="S110" s="100"/>
      <c r="T110" s="100"/>
    </row>
    <row r="111" spans="1:20" s="1" customFormat="1" ht="7.05" customHeight="1" x14ac:dyDescent="0.25"/>
    <row r="112" spans="1:20" s="1" customFormat="1" ht="14.1" customHeight="1" x14ac:dyDescent="0.25">
      <c r="B112" s="101" t="s">
        <v>742</v>
      </c>
      <c r="C112" s="101"/>
      <c r="D112" s="101"/>
      <c r="E112" s="101"/>
      <c r="F112" s="101"/>
      <c r="G112" s="101"/>
      <c r="H112" s="101"/>
      <c r="I112" s="101"/>
      <c r="J112" s="101"/>
      <c r="K112" s="101"/>
      <c r="L112" s="101"/>
      <c r="M112" s="101"/>
      <c r="N112" s="101"/>
      <c r="O112" s="101"/>
      <c r="P112" s="101"/>
      <c r="Q112" s="101"/>
      <c r="R112" s="101"/>
    </row>
    <row r="113" spans="1:20" s="1" customFormat="1" ht="14.1" customHeight="1" x14ac:dyDescent="0.25"/>
    <row r="114" spans="1:20" s="1" customFormat="1" ht="14.1" customHeight="1" x14ac:dyDescent="0.25">
      <c r="A114" s="102" t="s">
        <v>2</v>
      </c>
      <c r="B114" s="102"/>
      <c r="C114" s="102"/>
      <c r="D114" s="103" t="s">
        <v>513</v>
      </c>
      <c r="E114" s="103"/>
      <c r="F114" s="103"/>
      <c r="G114" s="103"/>
      <c r="H114" s="103"/>
      <c r="I114" s="103"/>
      <c r="J114" s="103"/>
      <c r="K114" s="103"/>
      <c r="L114" s="103"/>
      <c r="M114" s="103"/>
      <c r="N114" s="103"/>
      <c r="O114" s="103"/>
      <c r="P114" s="103"/>
      <c r="Q114" s="103"/>
      <c r="R114" s="103"/>
      <c r="S114" s="103"/>
      <c r="T114" s="103"/>
    </row>
    <row r="115" spans="1:20" s="1" customFormat="1" ht="14.1" customHeight="1" x14ac:dyDescent="0.25">
      <c r="A115" s="102" t="s">
        <v>4</v>
      </c>
      <c r="B115" s="102"/>
      <c r="C115" s="103">
        <v>13</v>
      </c>
      <c r="D115" s="103"/>
      <c r="E115" s="103"/>
      <c r="F115" s="103"/>
      <c r="G115" s="103"/>
      <c r="H115" s="103"/>
      <c r="I115" s="103"/>
      <c r="J115" s="103"/>
      <c r="K115" s="103"/>
      <c r="L115" s="103"/>
      <c r="M115" s="103"/>
      <c r="N115" s="103"/>
      <c r="O115" s="103"/>
      <c r="P115" s="103"/>
      <c r="Q115" s="103"/>
      <c r="R115" s="103"/>
      <c r="S115" s="103"/>
      <c r="T115" s="103"/>
    </row>
    <row r="116" spans="1:20" s="1" customFormat="1" ht="14.1" customHeight="1" x14ac:dyDescent="0.25">
      <c r="A116" s="102" t="s">
        <v>6</v>
      </c>
      <c r="B116" s="102"/>
      <c r="C116" s="102"/>
      <c r="D116" s="102"/>
      <c r="E116" s="102"/>
      <c r="F116" s="103" t="s">
        <v>75</v>
      </c>
      <c r="G116" s="103"/>
      <c r="H116" s="103"/>
      <c r="I116" s="103"/>
      <c r="J116" s="103"/>
      <c r="K116" s="103"/>
      <c r="L116" s="103"/>
      <c r="M116" s="103"/>
      <c r="N116" s="103"/>
      <c r="O116" s="103"/>
      <c r="P116" s="103"/>
      <c r="Q116" s="103"/>
      <c r="R116" s="103"/>
      <c r="S116" s="103"/>
      <c r="T116" s="103"/>
    </row>
    <row r="117" spans="1:20" s="1" customFormat="1" ht="1.35" customHeight="1" x14ac:dyDescent="0.25"/>
    <row r="118" spans="1:20" s="1" customFormat="1" ht="13.2" x14ac:dyDescent="0.25">
      <c r="A118" s="104" t="s">
        <v>754</v>
      </c>
      <c r="B118" s="93"/>
      <c r="C118" s="93"/>
      <c r="D118" s="93"/>
      <c r="E118" s="93"/>
      <c r="F118" s="93"/>
      <c r="G118" s="93"/>
      <c r="H118" s="93"/>
      <c r="I118" s="93"/>
      <c r="J118" s="93"/>
      <c r="K118" s="93"/>
      <c r="L118" s="93"/>
      <c r="M118" s="93"/>
      <c r="N118" s="93"/>
      <c r="O118" s="93"/>
      <c r="P118" s="93"/>
      <c r="Q118" s="93"/>
      <c r="R118" s="93"/>
      <c r="S118" s="93"/>
    </row>
    <row r="119" spans="1:20" s="1" customFormat="1" ht="13.2" x14ac:dyDescent="0.25">
      <c r="A119" s="92" t="s">
        <v>743</v>
      </c>
      <c r="B119" s="93"/>
      <c r="C119" s="93"/>
      <c r="D119" s="93"/>
      <c r="E119" s="93"/>
      <c r="F119" s="93"/>
      <c r="G119" s="93"/>
      <c r="H119" s="93"/>
      <c r="I119" s="93"/>
      <c r="J119" s="93"/>
      <c r="K119" s="93"/>
      <c r="L119" s="93"/>
      <c r="M119" s="93"/>
      <c r="N119" s="93"/>
      <c r="O119" s="93"/>
      <c r="P119" s="93"/>
      <c r="Q119" s="93"/>
      <c r="R119" s="93"/>
      <c r="S119" s="93"/>
    </row>
    <row r="120" spans="1:20" s="1" customFormat="1" ht="7.05" customHeight="1" x14ac:dyDescent="0.25">
      <c r="A120" s="86"/>
      <c r="B120" s="86"/>
      <c r="C120" s="86"/>
      <c r="D120" s="86"/>
      <c r="E120" s="86"/>
      <c r="F120" s="86"/>
      <c r="G120" s="86"/>
      <c r="H120" s="86"/>
      <c r="I120" s="86"/>
      <c r="J120" s="86"/>
      <c r="K120" s="86"/>
      <c r="L120" s="86"/>
      <c r="M120" s="86"/>
      <c r="N120" s="86"/>
      <c r="O120" s="86"/>
      <c r="P120" s="86"/>
      <c r="Q120" s="16"/>
      <c r="R120" s="86"/>
      <c r="S120" s="86"/>
      <c r="T120" s="86"/>
    </row>
    <row r="121" spans="1:20" s="1" customFormat="1" ht="16.95" customHeight="1" x14ac:dyDescent="0.25">
      <c r="A121" s="94" t="s">
        <v>8</v>
      </c>
      <c r="B121" s="94"/>
      <c r="C121" s="94"/>
      <c r="D121" s="94"/>
      <c r="E121" s="94"/>
      <c r="F121" s="94"/>
      <c r="G121" s="94"/>
      <c r="H121" s="94"/>
      <c r="I121" s="94"/>
      <c r="J121" s="94"/>
      <c r="K121" s="94"/>
      <c r="L121" s="94"/>
      <c r="M121" s="95" t="s">
        <v>9</v>
      </c>
      <c r="N121" s="95"/>
      <c r="O121" s="95"/>
      <c r="P121" s="95"/>
      <c r="Q121" s="95"/>
      <c r="R121" s="95"/>
      <c r="S121" s="95"/>
      <c r="T121" s="95"/>
    </row>
    <row r="122" spans="1:20" s="1" customFormat="1" ht="16.95" customHeight="1" x14ac:dyDescent="0.25">
      <c r="A122" s="94"/>
      <c r="B122" s="94"/>
      <c r="C122" s="94"/>
      <c r="D122" s="94"/>
      <c r="E122" s="94"/>
      <c r="F122" s="94"/>
      <c r="G122" s="94"/>
      <c r="H122" s="94"/>
      <c r="I122" s="94"/>
      <c r="J122" s="94"/>
      <c r="K122" s="94"/>
      <c r="L122" s="94"/>
      <c r="M122" s="96" t="s">
        <v>10</v>
      </c>
      <c r="N122" s="96"/>
      <c r="O122" s="96"/>
      <c r="P122" s="96"/>
      <c r="Q122" s="97" t="s">
        <v>11</v>
      </c>
      <c r="R122" s="97"/>
      <c r="S122" s="97"/>
      <c r="T122" s="97"/>
    </row>
    <row r="123" spans="1:20" s="1" customFormat="1" ht="16.95" customHeight="1" x14ac:dyDescent="0.25">
      <c r="A123" s="94"/>
      <c r="B123" s="94"/>
      <c r="C123" s="94"/>
      <c r="D123" s="94"/>
      <c r="E123" s="94"/>
      <c r="F123" s="94"/>
      <c r="G123" s="94"/>
      <c r="H123" s="94"/>
      <c r="I123" s="94"/>
      <c r="J123" s="94"/>
      <c r="K123" s="94"/>
      <c r="L123" s="94"/>
      <c r="M123" s="98" t="s">
        <v>12</v>
      </c>
      <c r="N123" s="98"/>
      <c r="O123" s="98" t="s">
        <v>13</v>
      </c>
      <c r="P123" s="98"/>
      <c r="Q123" s="13" t="s">
        <v>14</v>
      </c>
      <c r="R123" s="99" t="s">
        <v>15</v>
      </c>
      <c r="S123" s="99"/>
      <c r="T123" s="99"/>
    </row>
    <row r="124" spans="1:20" s="1" customFormat="1" ht="13.35" customHeight="1" x14ac:dyDescent="0.25">
      <c r="A124" s="88" t="s">
        <v>81</v>
      </c>
      <c r="B124" s="88"/>
      <c r="C124" s="88"/>
      <c r="D124" s="88"/>
      <c r="E124" s="88"/>
      <c r="F124" s="88"/>
      <c r="G124" s="88"/>
      <c r="H124" s="88"/>
      <c r="I124" s="88"/>
      <c r="J124" s="88"/>
      <c r="K124" s="88"/>
      <c r="L124" s="88"/>
      <c r="M124" s="88">
        <f>3*100/60</f>
        <v>5</v>
      </c>
      <c r="N124" s="88"/>
      <c r="O124" s="88">
        <v>4</v>
      </c>
      <c r="P124" s="88"/>
      <c r="Q124" s="6">
        <v>0.5</v>
      </c>
      <c r="R124" s="88">
        <v>0.4</v>
      </c>
      <c r="S124" s="88"/>
      <c r="T124" s="88"/>
    </row>
    <row r="125" spans="1:20" s="1" customFormat="1" ht="13.35" customHeight="1" x14ac:dyDescent="0.25">
      <c r="A125" s="88" t="s">
        <v>76</v>
      </c>
      <c r="B125" s="88"/>
      <c r="C125" s="88"/>
      <c r="D125" s="88"/>
      <c r="E125" s="88"/>
      <c r="F125" s="88"/>
      <c r="G125" s="88"/>
      <c r="H125" s="88"/>
      <c r="I125" s="88"/>
      <c r="J125" s="88"/>
      <c r="K125" s="88"/>
      <c r="L125" s="88"/>
      <c r="M125" s="88">
        <f>1.5*100/60</f>
        <v>2.5</v>
      </c>
      <c r="N125" s="88"/>
      <c r="O125" s="88">
        <v>2.13</v>
      </c>
      <c r="P125" s="88"/>
      <c r="Q125" s="6">
        <v>0.25</v>
      </c>
      <c r="R125" s="88">
        <v>0.21</v>
      </c>
      <c r="S125" s="88"/>
      <c r="T125" s="88"/>
    </row>
    <row r="126" spans="1:20" s="1" customFormat="1" ht="13.35" customHeight="1" x14ac:dyDescent="0.25">
      <c r="A126" s="88" t="s">
        <v>84</v>
      </c>
      <c r="B126" s="88"/>
      <c r="C126" s="88"/>
      <c r="D126" s="88"/>
      <c r="E126" s="88"/>
      <c r="F126" s="88"/>
      <c r="G126" s="88"/>
      <c r="H126" s="88"/>
      <c r="I126" s="88"/>
      <c r="J126" s="88"/>
      <c r="K126" s="88"/>
      <c r="L126" s="88"/>
      <c r="M126" s="88">
        <v>79.2</v>
      </c>
      <c r="N126" s="88"/>
      <c r="O126" s="88">
        <v>63.3</v>
      </c>
      <c r="P126" s="88"/>
      <c r="Q126" s="6">
        <v>7.92</v>
      </c>
      <c r="R126" s="88">
        <v>6.33</v>
      </c>
      <c r="S126" s="88"/>
      <c r="T126" s="88"/>
    </row>
    <row r="127" spans="1:20" s="1" customFormat="1" ht="13.35" customHeight="1" x14ac:dyDescent="0.25">
      <c r="A127" s="88" t="s">
        <v>100</v>
      </c>
      <c r="B127" s="88"/>
      <c r="C127" s="88"/>
      <c r="D127" s="88"/>
      <c r="E127" s="88"/>
      <c r="F127" s="88"/>
      <c r="G127" s="88"/>
      <c r="H127" s="88"/>
      <c r="I127" s="88"/>
      <c r="J127" s="88"/>
      <c r="K127" s="88"/>
      <c r="L127" s="88"/>
      <c r="M127" s="88">
        <v>15.6</v>
      </c>
      <c r="N127" s="88"/>
      <c r="O127" s="88">
        <f>7.5*100/60</f>
        <v>12.5</v>
      </c>
      <c r="P127" s="88"/>
      <c r="Q127" s="30">
        <v>1.56</v>
      </c>
      <c r="R127" s="88">
        <v>1.25</v>
      </c>
      <c r="S127" s="88"/>
      <c r="T127" s="88"/>
    </row>
    <row r="128" spans="1:20" s="1" customFormat="1" ht="13.35" customHeight="1" x14ac:dyDescent="0.25">
      <c r="A128" s="88" t="s">
        <v>29</v>
      </c>
      <c r="B128" s="88"/>
      <c r="C128" s="88"/>
      <c r="D128" s="88"/>
      <c r="E128" s="88"/>
      <c r="F128" s="88"/>
      <c r="G128" s="88"/>
      <c r="H128" s="88"/>
      <c r="I128" s="88"/>
      <c r="J128" s="88"/>
      <c r="K128" s="88"/>
      <c r="L128" s="88"/>
      <c r="M128" s="88">
        <f>13.2*100/60</f>
        <v>22</v>
      </c>
      <c r="N128" s="88"/>
      <c r="O128" s="88">
        <f>12*100/60</f>
        <v>20</v>
      </c>
      <c r="P128" s="88"/>
      <c r="Q128" s="6">
        <v>2.2000000000000002</v>
      </c>
      <c r="R128" s="88">
        <v>2</v>
      </c>
      <c r="S128" s="88"/>
      <c r="T128" s="88"/>
    </row>
    <row r="129" spans="1:20" s="1" customFormat="1" ht="13.35" customHeight="1" x14ac:dyDescent="0.25">
      <c r="A129" s="88" t="s">
        <v>260</v>
      </c>
      <c r="B129" s="88"/>
      <c r="C129" s="88"/>
      <c r="D129" s="88"/>
      <c r="E129" s="88"/>
      <c r="F129" s="88"/>
      <c r="G129" s="88"/>
      <c r="H129" s="88"/>
      <c r="I129" s="88"/>
      <c r="J129" s="88"/>
      <c r="K129" s="88"/>
      <c r="L129" s="88"/>
      <c r="M129" s="88">
        <v>0.3</v>
      </c>
      <c r="N129" s="88"/>
      <c r="O129" s="88">
        <v>0.3</v>
      </c>
      <c r="P129" s="88"/>
      <c r="Q129" s="6">
        <v>0.03</v>
      </c>
      <c r="R129" s="88">
        <v>0.03</v>
      </c>
      <c r="S129" s="88"/>
      <c r="T129" s="88"/>
    </row>
    <row r="130" spans="1:20" s="1" customFormat="1" ht="13.35" customHeight="1" x14ac:dyDescent="0.25">
      <c r="A130" s="88" t="s">
        <v>114</v>
      </c>
      <c r="B130" s="88"/>
      <c r="C130" s="88"/>
      <c r="D130" s="88"/>
      <c r="E130" s="88"/>
      <c r="F130" s="88"/>
      <c r="G130" s="88"/>
      <c r="H130" s="88"/>
      <c r="I130" s="88"/>
      <c r="J130" s="88"/>
      <c r="K130" s="88"/>
      <c r="L130" s="88"/>
      <c r="M130" s="88">
        <f>6*100/60</f>
        <v>10</v>
      </c>
      <c r="N130" s="88"/>
      <c r="O130" s="88">
        <v>10</v>
      </c>
      <c r="P130" s="88"/>
      <c r="Q130" s="6">
        <v>1</v>
      </c>
      <c r="R130" s="88">
        <v>1</v>
      </c>
      <c r="S130" s="88"/>
      <c r="T130" s="88"/>
    </row>
    <row r="131" spans="1:20" s="1" customFormat="1" ht="13.35" customHeight="1" x14ac:dyDescent="0.25">
      <c r="A131" s="88" t="s">
        <v>109</v>
      </c>
      <c r="B131" s="88"/>
      <c r="C131" s="88"/>
      <c r="D131" s="88"/>
      <c r="E131" s="88"/>
      <c r="F131" s="88"/>
      <c r="G131" s="88"/>
      <c r="H131" s="88"/>
      <c r="I131" s="88"/>
      <c r="J131" s="88"/>
      <c r="K131" s="88"/>
      <c r="L131" s="88"/>
      <c r="M131" s="88">
        <f>3*100/60</f>
        <v>5</v>
      </c>
      <c r="N131" s="88"/>
      <c r="O131" s="88">
        <v>5</v>
      </c>
      <c r="P131" s="88"/>
      <c r="Q131" s="6">
        <v>0.5</v>
      </c>
      <c r="R131" s="88">
        <v>0.5</v>
      </c>
      <c r="S131" s="88"/>
      <c r="T131" s="88"/>
    </row>
    <row r="132" spans="1:20" s="1" customFormat="1" ht="13.35" customHeight="1" x14ac:dyDescent="0.25">
      <c r="A132" s="88" t="s">
        <v>18</v>
      </c>
      <c r="B132" s="88"/>
      <c r="C132" s="88"/>
      <c r="D132" s="88"/>
      <c r="E132" s="88"/>
      <c r="F132" s="88"/>
      <c r="G132" s="88"/>
      <c r="H132" s="88"/>
      <c r="I132" s="88"/>
      <c r="J132" s="88"/>
      <c r="K132" s="88"/>
      <c r="L132" s="88"/>
      <c r="M132" s="88">
        <v>5</v>
      </c>
      <c r="N132" s="88"/>
      <c r="O132" s="88">
        <v>5</v>
      </c>
      <c r="P132" s="88"/>
      <c r="Q132" s="6">
        <v>0.5</v>
      </c>
      <c r="R132" s="88">
        <v>0.5</v>
      </c>
      <c r="S132" s="88"/>
      <c r="T132" s="88"/>
    </row>
    <row r="133" spans="1:20" s="1" customFormat="1" ht="14.1" customHeight="1" x14ac:dyDescent="0.25">
      <c r="A133" s="90" t="s">
        <v>134</v>
      </c>
      <c r="B133" s="90"/>
      <c r="C133" s="90"/>
      <c r="D133" s="90"/>
      <c r="E133" s="90"/>
      <c r="F133" s="90"/>
      <c r="G133" s="90"/>
      <c r="H133" s="90"/>
      <c r="I133" s="90"/>
      <c r="J133" s="90"/>
      <c r="K133" s="90"/>
      <c r="L133" s="90"/>
      <c r="M133" s="90"/>
      <c r="N133" s="90"/>
      <c r="O133" s="90"/>
      <c r="P133" s="90"/>
      <c r="Q133" s="90"/>
      <c r="R133" s="90"/>
      <c r="S133" s="90"/>
      <c r="T133" s="90"/>
    </row>
    <row r="134" spans="1:20" s="1" customFormat="1" ht="21.3" customHeight="1" x14ac:dyDescent="0.25"/>
    <row r="135" spans="1:20" s="1" customFormat="1" ht="14.1" customHeight="1" x14ac:dyDescent="0.25">
      <c r="A135" s="91" t="s">
        <v>33</v>
      </c>
      <c r="B135" s="91"/>
      <c r="C135" s="91"/>
      <c r="D135" s="91"/>
      <c r="E135" s="91"/>
      <c r="F135" s="91"/>
      <c r="G135" s="91"/>
      <c r="H135" s="91"/>
      <c r="I135" s="91"/>
      <c r="J135" s="91"/>
      <c r="K135" s="91"/>
      <c r="L135" s="91"/>
      <c r="M135" s="91"/>
      <c r="N135" s="91"/>
    </row>
    <row r="136" spans="1:20" s="1" customFormat="1" ht="13.35" customHeight="1" x14ac:dyDescent="0.25">
      <c r="A136" s="88" t="s">
        <v>34</v>
      </c>
      <c r="B136" s="88"/>
      <c r="C136" s="88"/>
      <c r="D136" s="88"/>
      <c r="E136" s="89">
        <f>0.7*100/60</f>
        <v>1.1666666666666667</v>
      </c>
      <c r="F136" s="89"/>
      <c r="G136" s="17"/>
      <c r="H136" s="6" t="s">
        <v>35</v>
      </c>
      <c r="I136" s="89">
        <v>0.01</v>
      </c>
      <c r="J136" s="89"/>
      <c r="K136" s="17"/>
      <c r="L136" s="88" t="s">
        <v>36</v>
      </c>
      <c r="M136" s="88"/>
      <c r="N136" s="89">
        <v>31.03</v>
      </c>
      <c r="O136" s="89"/>
    </row>
    <row r="137" spans="1:20" s="1" customFormat="1" ht="13.35" customHeight="1" x14ac:dyDescent="0.25">
      <c r="A137" s="88" t="s">
        <v>37</v>
      </c>
      <c r="B137" s="88"/>
      <c r="C137" s="88"/>
      <c r="D137" s="88"/>
      <c r="E137" s="89">
        <f>2.5*100/60</f>
        <v>4.166666666666667</v>
      </c>
      <c r="F137" s="89"/>
      <c r="G137" s="17"/>
      <c r="H137" s="6" t="s">
        <v>38</v>
      </c>
      <c r="I137" s="89">
        <v>8.99</v>
      </c>
      <c r="J137" s="89"/>
      <c r="K137" s="17"/>
      <c r="L137" s="88" t="s">
        <v>39</v>
      </c>
      <c r="M137" s="88"/>
      <c r="N137" s="89">
        <v>12.13</v>
      </c>
      <c r="O137" s="89"/>
    </row>
    <row r="138" spans="1:20" s="1" customFormat="1" ht="13.35" customHeight="1" x14ac:dyDescent="0.25">
      <c r="A138" s="88" t="s">
        <v>40</v>
      </c>
      <c r="B138" s="88"/>
      <c r="C138" s="88"/>
      <c r="D138" s="88"/>
      <c r="E138" s="89">
        <f>7.4*100/60</f>
        <v>12.333333333333334</v>
      </c>
      <c r="F138" s="89"/>
      <c r="G138" s="17"/>
      <c r="H138" s="6" t="s">
        <v>41</v>
      </c>
      <c r="I138" s="89">
        <v>0.17</v>
      </c>
      <c r="J138" s="89"/>
      <c r="K138" s="17"/>
      <c r="L138" s="88" t="s">
        <v>42</v>
      </c>
      <c r="M138" s="88"/>
      <c r="N138" s="89">
        <v>20.56</v>
      </c>
      <c r="O138" s="89"/>
    </row>
    <row r="139" spans="1:20" s="1" customFormat="1" ht="13.35" customHeight="1" x14ac:dyDescent="0.25">
      <c r="A139" s="88" t="s">
        <v>43</v>
      </c>
      <c r="B139" s="88"/>
      <c r="C139" s="88"/>
      <c r="D139" s="88"/>
      <c r="E139" s="89">
        <f>51.9*100/60</f>
        <v>86.5</v>
      </c>
      <c r="F139" s="89"/>
      <c r="G139" s="17"/>
      <c r="H139" s="6" t="s">
        <v>44</v>
      </c>
      <c r="I139" s="89">
        <v>1.38</v>
      </c>
      <c r="J139" s="89"/>
      <c r="K139" s="17"/>
      <c r="L139" s="88" t="s">
        <v>45</v>
      </c>
      <c r="M139" s="88"/>
      <c r="N139" s="89">
        <v>0.54</v>
      </c>
      <c r="O139" s="89"/>
    </row>
    <row r="140" spans="1:20" s="1" customFormat="1" ht="13.35" customHeight="1" x14ac:dyDescent="0.25">
      <c r="A140" s="87"/>
      <c r="B140" s="87"/>
      <c r="C140" s="87"/>
      <c r="D140" s="87"/>
      <c r="E140" s="87"/>
      <c r="F140" s="87"/>
      <c r="G140" s="17"/>
      <c r="H140" s="6" t="s">
        <v>46</v>
      </c>
      <c r="I140" s="89">
        <v>0</v>
      </c>
      <c r="J140" s="89"/>
      <c r="K140" s="17"/>
      <c r="L140" s="88" t="s">
        <v>47</v>
      </c>
      <c r="M140" s="88"/>
      <c r="N140" s="89">
        <v>128.46</v>
      </c>
      <c r="O140" s="89"/>
    </row>
    <row r="141" spans="1:20" s="1" customFormat="1" ht="13.35" customHeight="1" x14ac:dyDescent="0.25">
      <c r="A141" s="87"/>
      <c r="B141" s="87"/>
      <c r="C141" s="87"/>
      <c r="D141" s="87"/>
      <c r="E141" s="87"/>
      <c r="F141" s="87"/>
      <c r="G141" s="17"/>
      <c r="H141" s="6" t="s">
        <v>48</v>
      </c>
      <c r="I141" s="89">
        <v>0.03</v>
      </c>
      <c r="J141" s="89"/>
      <c r="K141" s="17"/>
      <c r="L141" s="88" t="s">
        <v>49</v>
      </c>
      <c r="M141" s="88"/>
      <c r="N141" s="89">
        <v>1.52</v>
      </c>
      <c r="O141" s="89"/>
    </row>
    <row r="142" spans="1:20" s="1" customFormat="1" ht="13.35" customHeight="1" x14ac:dyDescent="0.25">
      <c r="A142" s="87"/>
      <c r="B142" s="87"/>
      <c r="C142" s="87"/>
      <c r="D142" s="87"/>
      <c r="E142" s="87"/>
      <c r="F142" s="87"/>
      <c r="G142" s="17"/>
      <c r="H142" s="17"/>
      <c r="I142" s="87"/>
      <c r="J142" s="87"/>
      <c r="K142" s="17"/>
      <c r="L142" s="88" t="s">
        <v>50</v>
      </c>
      <c r="M142" s="88"/>
      <c r="N142" s="89">
        <v>0.01</v>
      </c>
      <c r="O142" s="89"/>
    </row>
    <row r="143" spans="1:20" s="1" customFormat="1" ht="13.35" customHeight="1" x14ac:dyDescent="0.25">
      <c r="A143" s="87"/>
      <c r="B143" s="87"/>
      <c r="C143" s="87"/>
      <c r="D143" s="87"/>
      <c r="E143" s="87"/>
      <c r="F143" s="87"/>
      <c r="G143" s="17"/>
      <c r="H143" s="17"/>
      <c r="I143" s="87"/>
      <c r="J143" s="87"/>
      <c r="K143" s="17"/>
      <c r="L143" s="88" t="s">
        <v>51</v>
      </c>
      <c r="M143" s="88"/>
      <c r="N143" s="89">
        <v>0</v>
      </c>
      <c r="O143" s="89"/>
    </row>
    <row r="144" spans="1:20" s="1" customFormat="1" ht="14.1" customHeight="1" x14ac:dyDescent="0.25">
      <c r="A144" s="86"/>
      <c r="B144" s="86"/>
      <c r="C144" s="86"/>
      <c r="D144" s="86"/>
      <c r="E144" s="86"/>
      <c r="F144" s="86"/>
      <c r="G144" s="86"/>
      <c r="H144" s="86"/>
      <c r="I144" s="86"/>
      <c r="J144" s="86"/>
      <c r="K144" s="86"/>
      <c r="L144" s="86"/>
      <c r="M144" s="86"/>
      <c r="N144" s="86"/>
      <c r="O144" s="86"/>
      <c r="P144" s="86"/>
      <c r="Q144" s="86"/>
      <c r="R144" s="86"/>
      <c r="S144" s="86"/>
    </row>
    <row r="145" spans="1:20" s="1" customFormat="1" ht="14.1" customHeight="1" x14ac:dyDescent="0.25">
      <c r="A145" s="84" t="s">
        <v>52</v>
      </c>
      <c r="B145" s="84"/>
      <c r="C145" s="84"/>
      <c r="D145" s="84"/>
      <c r="E145" s="84"/>
      <c r="F145" s="84"/>
      <c r="G145" s="84"/>
      <c r="H145" s="84"/>
      <c r="I145" s="84"/>
      <c r="J145" s="84"/>
      <c r="K145" s="84"/>
      <c r="L145" s="84"/>
      <c r="M145" s="84"/>
      <c r="N145" s="84"/>
      <c r="O145" s="84"/>
      <c r="P145" s="84"/>
      <c r="Q145" s="84"/>
      <c r="R145" s="84"/>
      <c r="S145" s="84"/>
    </row>
    <row r="146" spans="1:20" s="1" customFormat="1" ht="40.049999999999997" customHeight="1" x14ac:dyDescent="0.25">
      <c r="A146" s="85" t="s">
        <v>514</v>
      </c>
      <c r="B146" s="85"/>
      <c r="C146" s="85"/>
      <c r="D146" s="85"/>
      <c r="E146" s="85"/>
      <c r="F146" s="85"/>
      <c r="G146" s="85"/>
      <c r="H146" s="85"/>
      <c r="I146" s="85"/>
      <c r="J146" s="85"/>
      <c r="K146" s="85"/>
      <c r="L146" s="85"/>
      <c r="M146" s="85"/>
      <c r="N146" s="85"/>
      <c r="O146" s="85"/>
      <c r="P146" s="85"/>
      <c r="Q146" s="85"/>
      <c r="R146" s="85"/>
      <c r="S146" s="85"/>
    </row>
    <row r="147" spans="1:20" s="1" customFormat="1" ht="14.1" customHeight="1" x14ac:dyDescent="0.25">
      <c r="A147" s="86"/>
      <c r="B147" s="86"/>
      <c r="C147" s="86"/>
      <c r="D147" s="86"/>
      <c r="E147" s="86"/>
      <c r="F147" s="86"/>
      <c r="G147" s="86"/>
      <c r="H147" s="86"/>
      <c r="I147" s="86"/>
      <c r="J147" s="86"/>
      <c r="K147" s="86"/>
      <c r="L147" s="86"/>
      <c r="M147" s="86"/>
      <c r="N147" s="86"/>
      <c r="O147" s="86"/>
      <c r="P147" s="86"/>
      <c r="Q147" s="86"/>
      <c r="R147" s="86"/>
      <c r="S147" s="86"/>
    </row>
    <row r="148" spans="1:20" s="1" customFormat="1" ht="14.1" customHeight="1" x14ac:dyDescent="0.25">
      <c r="A148" s="84" t="s">
        <v>54</v>
      </c>
      <c r="B148" s="84"/>
      <c r="C148" s="84"/>
      <c r="D148" s="84"/>
      <c r="E148" s="84"/>
      <c r="F148" s="84"/>
      <c r="G148" s="84"/>
      <c r="H148" s="84"/>
      <c r="I148" s="84"/>
      <c r="J148" s="84"/>
      <c r="K148" s="84"/>
      <c r="L148" s="84"/>
      <c r="M148" s="84"/>
      <c r="N148" s="84"/>
      <c r="O148" s="84"/>
      <c r="P148" s="84"/>
      <c r="Q148" s="84"/>
      <c r="R148" s="84"/>
      <c r="S148" s="84"/>
    </row>
    <row r="149" spans="1:20" s="1" customFormat="1" ht="12.15" customHeight="1" x14ac:dyDescent="0.25">
      <c r="A149" s="85" t="s">
        <v>515</v>
      </c>
      <c r="B149" s="85"/>
      <c r="C149" s="85"/>
      <c r="D149" s="85"/>
      <c r="E149" s="85"/>
      <c r="F149" s="85"/>
      <c r="G149" s="85"/>
      <c r="H149" s="85"/>
      <c r="I149" s="85"/>
      <c r="J149" s="85"/>
      <c r="K149" s="85"/>
      <c r="L149" s="85"/>
      <c r="M149" s="85"/>
      <c r="N149" s="85"/>
      <c r="O149" s="85"/>
      <c r="P149" s="85"/>
      <c r="Q149" s="85"/>
      <c r="R149" s="85"/>
      <c r="S149" s="85"/>
    </row>
    <row r="150" spans="1:20" s="1" customFormat="1" ht="14.1" customHeight="1" x14ac:dyDescent="0.25">
      <c r="A150" s="86"/>
      <c r="B150" s="86"/>
      <c r="C150" s="86"/>
      <c r="D150" s="86"/>
      <c r="E150" s="86"/>
      <c r="F150" s="86"/>
      <c r="G150" s="86"/>
      <c r="H150" s="86"/>
      <c r="I150" s="86"/>
      <c r="J150" s="86"/>
      <c r="K150" s="86"/>
      <c r="L150" s="86"/>
      <c r="M150" s="86"/>
      <c r="N150" s="86"/>
      <c r="O150" s="86"/>
      <c r="P150" s="86"/>
      <c r="Q150" s="86"/>
      <c r="R150" s="86"/>
      <c r="S150" s="86"/>
    </row>
    <row r="151" spans="1:20" s="1" customFormat="1" ht="14.1" customHeight="1" x14ac:dyDescent="0.25">
      <c r="A151" s="84" t="s">
        <v>56</v>
      </c>
      <c r="B151" s="84"/>
      <c r="C151" s="84"/>
      <c r="D151" s="84"/>
      <c r="E151" s="84"/>
      <c r="F151" s="84"/>
      <c r="G151" s="84"/>
      <c r="H151" s="84"/>
      <c r="I151" s="84"/>
      <c r="J151" s="84"/>
      <c r="K151" s="84"/>
      <c r="L151" s="84"/>
      <c r="M151" s="84"/>
      <c r="N151" s="84"/>
      <c r="O151" s="84"/>
      <c r="P151" s="84"/>
      <c r="Q151" s="84"/>
      <c r="R151" s="84"/>
      <c r="S151" s="84"/>
    </row>
    <row r="152" spans="1:20" s="1" customFormat="1" ht="58.5" customHeight="1" x14ac:dyDescent="0.25">
      <c r="A152" s="85" t="s">
        <v>516</v>
      </c>
      <c r="B152" s="85"/>
      <c r="C152" s="85"/>
      <c r="D152" s="85"/>
      <c r="E152" s="85"/>
      <c r="F152" s="85"/>
      <c r="G152" s="85"/>
      <c r="H152" s="85"/>
      <c r="I152" s="85"/>
      <c r="J152" s="85"/>
      <c r="K152" s="85"/>
      <c r="L152" s="85"/>
      <c r="M152" s="85"/>
      <c r="N152" s="85"/>
      <c r="O152" s="85"/>
      <c r="P152" s="85"/>
      <c r="Q152" s="85"/>
      <c r="R152" s="85"/>
      <c r="S152" s="85"/>
    </row>
    <row r="153" spans="1:20" s="1" customFormat="1" ht="72.45" customHeight="1" x14ac:dyDescent="0.25">
      <c r="J153" s="100" t="s">
        <v>0</v>
      </c>
      <c r="K153" s="100"/>
      <c r="L153" s="100"/>
      <c r="M153" s="100"/>
      <c r="N153" s="100"/>
      <c r="O153" s="100"/>
      <c r="P153" s="100"/>
      <c r="Q153" s="100"/>
      <c r="R153" s="100"/>
      <c r="S153" s="100"/>
      <c r="T153" s="100"/>
    </row>
    <row r="154" spans="1:20" s="1" customFormat="1" ht="7.05" customHeight="1" x14ac:dyDescent="0.25"/>
    <row r="155" spans="1:20" s="1" customFormat="1" ht="14.1" customHeight="1" x14ac:dyDescent="0.25">
      <c r="B155" s="101" t="s">
        <v>746</v>
      </c>
      <c r="C155" s="101"/>
      <c r="D155" s="101"/>
      <c r="E155" s="101"/>
      <c r="F155" s="101"/>
      <c r="G155" s="101"/>
      <c r="H155" s="101"/>
      <c r="I155" s="101"/>
      <c r="J155" s="101"/>
      <c r="K155" s="101"/>
      <c r="L155" s="101"/>
      <c r="M155" s="101"/>
      <c r="N155" s="101"/>
      <c r="O155" s="101"/>
      <c r="P155" s="101"/>
      <c r="Q155" s="101"/>
      <c r="R155" s="101"/>
    </row>
    <row r="156" spans="1:20" s="1" customFormat="1" ht="14.1" customHeight="1" x14ac:dyDescent="0.25"/>
    <row r="157" spans="1:20" s="1" customFormat="1" ht="14.1" customHeight="1" x14ac:dyDescent="0.25">
      <c r="A157" s="102" t="s">
        <v>2</v>
      </c>
      <c r="B157" s="102"/>
      <c r="C157" s="102"/>
      <c r="D157" s="103" t="s">
        <v>517</v>
      </c>
      <c r="E157" s="103"/>
      <c r="F157" s="103"/>
      <c r="G157" s="103"/>
      <c r="H157" s="103"/>
      <c r="I157" s="103"/>
      <c r="J157" s="103"/>
      <c r="K157" s="103"/>
      <c r="L157" s="103"/>
      <c r="M157" s="103"/>
      <c r="N157" s="103"/>
      <c r="O157" s="103"/>
      <c r="P157" s="103"/>
      <c r="Q157" s="103"/>
      <c r="R157" s="103"/>
      <c r="S157" s="103"/>
      <c r="T157" s="103"/>
    </row>
    <row r="158" spans="1:20" s="1" customFormat="1" ht="14.1" customHeight="1" x14ac:dyDescent="0.25">
      <c r="A158" s="102" t="s">
        <v>4</v>
      </c>
      <c r="B158" s="102"/>
      <c r="C158" s="103">
        <v>9</v>
      </c>
      <c r="D158" s="103"/>
      <c r="E158" s="103"/>
      <c r="F158" s="103"/>
      <c r="G158" s="103"/>
      <c r="H158" s="103"/>
      <c r="I158" s="103"/>
      <c r="J158" s="103"/>
      <c r="K158" s="103"/>
      <c r="L158" s="103"/>
      <c r="M158" s="103"/>
      <c r="N158" s="103"/>
      <c r="O158" s="103"/>
      <c r="P158" s="103"/>
      <c r="Q158" s="103"/>
      <c r="R158" s="103"/>
      <c r="S158" s="103"/>
      <c r="T158" s="103"/>
    </row>
    <row r="159" spans="1:20" s="1" customFormat="1" ht="14.1" customHeight="1" x14ac:dyDescent="0.25">
      <c r="A159" s="102" t="s">
        <v>6</v>
      </c>
      <c r="B159" s="102"/>
      <c r="C159" s="102"/>
      <c r="D159" s="102"/>
      <c r="E159" s="102"/>
      <c r="F159" s="103" t="s">
        <v>518</v>
      </c>
      <c r="G159" s="103"/>
      <c r="H159" s="103"/>
      <c r="I159" s="103"/>
      <c r="J159" s="103"/>
      <c r="K159" s="103"/>
      <c r="L159" s="103"/>
      <c r="M159" s="103"/>
      <c r="N159" s="103"/>
      <c r="O159" s="103"/>
      <c r="P159" s="103"/>
      <c r="Q159" s="103"/>
      <c r="R159" s="103"/>
      <c r="S159" s="103"/>
      <c r="T159" s="103"/>
    </row>
    <row r="160" spans="1:20" s="1" customFormat="1" ht="1.35" customHeight="1" x14ac:dyDescent="0.25"/>
    <row r="161" spans="1:20" s="1" customFormat="1" ht="13.2" x14ac:dyDescent="0.25">
      <c r="A161" s="104" t="s">
        <v>754</v>
      </c>
      <c r="B161" s="93"/>
      <c r="C161" s="93"/>
      <c r="D161" s="93"/>
      <c r="E161" s="93"/>
      <c r="F161" s="93"/>
      <c r="G161" s="93"/>
      <c r="H161" s="93"/>
      <c r="I161" s="93"/>
      <c r="J161" s="93"/>
      <c r="K161" s="93"/>
      <c r="L161" s="93"/>
      <c r="M161" s="93"/>
      <c r="N161" s="93"/>
      <c r="O161" s="93"/>
      <c r="P161" s="93"/>
      <c r="Q161" s="93"/>
      <c r="R161" s="93"/>
      <c r="S161" s="93"/>
    </row>
    <row r="162" spans="1:20" s="1" customFormat="1" ht="49.95" customHeight="1" x14ac:dyDescent="0.25">
      <c r="A162" s="92" t="s">
        <v>743</v>
      </c>
      <c r="B162" s="93"/>
      <c r="C162" s="93"/>
      <c r="D162" s="93"/>
      <c r="E162" s="93"/>
      <c r="F162" s="93"/>
      <c r="G162" s="93"/>
      <c r="H162" s="93"/>
      <c r="I162" s="93"/>
      <c r="J162" s="93"/>
      <c r="K162" s="93"/>
      <c r="L162" s="93"/>
      <c r="M162" s="93"/>
      <c r="N162" s="93"/>
      <c r="O162" s="93"/>
      <c r="P162" s="93"/>
      <c r="Q162" s="93"/>
      <c r="R162" s="93"/>
      <c r="S162" s="93"/>
    </row>
    <row r="163" spans="1:20" s="1" customFormat="1" ht="7.05" customHeight="1" x14ac:dyDescent="0.25">
      <c r="A163" s="86"/>
      <c r="B163" s="86"/>
      <c r="C163" s="86"/>
      <c r="D163" s="86"/>
      <c r="E163" s="86"/>
      <c r="F163" s="86"/>
      <c r="G163" s="86"/>
      <c r="H163" s="86"/>
      <c r="I163" s="86"/>
      <c r="J163" s="86"/>
      <c r="K163" s="86"/>
      <c r="L163" s="86"/>
      <c r="M163" s="86"/>
      <c r="N163" s="86"/>
      <c r="O163" s="86"/>
      <c r="P163" s="86"/>
      <c r="Q163" s="16"/>
      <c r="R163" s="86"/>
      <c r="S163" s="86"/>
      <c r="T163" s="86"/>
    </row>
    <row r="164" spans="1:20" s="1" customFormat="1" ht="16.95" customHeight="1" x14ac:dyDescent="0.25">
      <c r="A164" s="94" t="s">
        <v>8</v>
      </c>
      <c r="B164" s="94"/>
      <c r="C164" s="94"/>
      <c r="D164" s="94"/>
      <c r="E164" s="94"/>
      <c r="F164" s="94"/>
      <c r="G164" s="94"/>
      <c r="H164" s="94"/>
      <c r="I164" s="94"/>
      <c r="J164" s="94"/>
      <c r="K164" s="94"/>
      <c r="L164" s="94"/>
      <c r="M164" s="95" t="s">
        <v>9</v>
      </c>
      <c r="N164" s="95"/>
      <c r="O164" s="95"/>
      <c r="P164" s="95"/>
      <c r="Q164" s="95"/>
      <c r="R164" s="95"/>
      <c r="S164" s="95"/>
      <c r="T164" s="95"/>
    </row>
    <row r="165" spans="1:20" s="1" customFormat="1" ht="16.95" customHeight="1" x14ac:dyDescent="0.25">
      <c r="A165" s="94"/>
      <c r="B165" s="94"/>
      <c r="C165" s="94"/>
      <c r="D165" s="94"/>
      <c r="E165" s="94"/>
      <c r="F165" s="94"/>
      <c r="G165" s="94"/>
      <c r="H165" s="94"/>
      <c r="I165" s="94"/>
      <c r="J165" s="94"/>
      <c r="K165" s="94"/>
      <c r="L165" s="94"/>
      <c r="M165" s="96" t="s">
        <v>10</v>
      </c>
      <c r="N165" s="96"/>
      <c r="O165" s="96"/>
      <c r="P165" s="96"/>
      <c r="Q165" s="97" t="s">
        <v>11</v>
      </c>
      <c r="R165" s="97"/>
      <c r="S165" s="97"/>
      <c r="T165" s="97"/>
    </row>
    <row r="166" spans="1:20" s="1" customFormat="1" ht="16.95" customHeight="1" x14ac:dyDescent="0.25">
      <c r="A166" s="94"/>
      <c r="B166" s="94"/>
      <c r="C166" s="94"/>
      <c r="D166" s="94"/>
      <c r="E166" s="94"/>
      <c r="F166" s="94"/>
      <c r="G166" s="94"/>
      <c r="H166" s="94"/>
      <c r="I166" s="94"/>
      <c r="J166" s="94"/>
      <c r="K166" s="94"/>
      <c r="L166" s="94"/>
      <c r="M166" s="98" t="s">
        <v>12</v>
      </c>
      <c r="N166" s="98"/>
      <c r="O166" s="98" t="s">
        <v>13</v>
      </c>
      <c r="P166" s="98"/>
      <c r="Q166" s="13" t="s">
        <v>14</v>
      </c>
      <c r="R166" s="99" t="s">
        <v>15</v>
      </c>
      <c r="S166" s="99"/>
      <c r="T166" s="99"/>
    </row>
    <row r="167" spans="1:20" s="1" customFormat="1" ht="13.35" customHeight="1" x14ac:dyDescent="0.25">
      <c r="A167" s="88" t="s">
        <v>84</v>
      </c>
      <c r="B167" s="88"/>
      <c r="C167" s="88"/>
      <c r="D167" s="88"/>
      <c r="E167" s="88"/>
      <c r="F167" s="88"/>
      <c r="G167" s="88"/>
      <c r="H167" s="88"/>
      <c r="I167" s="88"/>
      <c r="J167" s="88"/>
      <c r="K167" s="88"/>
      <c r="L167" s="88"/>
      <c r="M167" s="88">
        <f>37.8*100/60</f>
        <v>62.999999999999993</v>
      </c>
      <c r="N167" s="88"/>
      <c r="O167" s="88">
        <f>30*100/60</f>
        <v>50</v>
      </c>
      <c r="P167" s="88"/>
      <c r="Q167" s="6">
        <v>6.3</v>
      </c>
      <c r="R167" s="88">
        <v>5</v>
      </c>
      <c r="S167" s="88"/>
      <c r="T167" s="88"/>
    </row>
    <row r="168" spans="1:20" s="1" customFormat="1" ht="13.35" customHeight="1" x14ac:dyDescent="0.25">
      <c r="A168" s="88" t="s">
        <v>269</v>
      </c>
      <c r="B168" s="88"/>
      <c r="C168" s="88"/>
      <c r="D168" s="88"/>
      <c r="E168" s="88"/>
      <c r="F168" s="88"/>
      <c r="G168" s="88"/>
      <c r="H168" s="88"/>
      <c r="I168" s="88"/>
      <c r="J168" s="88"/>
      <c r="K168" s="88"/>
      <c r="L168" s="88"/>
      <c r="M168" s="88">
        <f>16.8*100/60</f>
        <v>28</v>
      </c>
      <c r="N168" s="88"/>
      <c r="O168" s="88">
        <f>15*100/60</f>
        <v>25</v>
      </c>
      <c r="P168" s="88"/>
      <c r="Q168" s="6">
        <v>2.8</v>
      </c>
      <c r="R168" s="88">
        <v>2.5</v>
      </c>
      <c r="S168" s="88"/>
      <c r="T168" s="88"/>
    </row>
    <row r="169" spans="1:20" s="1" customFormat="1" ht="13.35" customHeight="1" x14ac:dyDescent="0.25">
      <c r="A169" s="88" t="s">
        <v>100</v>
      </c>
      <c r="B169" s="88"/>
      <c r="C169" s="88"/>
      <c r="D169" s="88"/>
      <c r="E169" s="88"/>
      <c r="F169" s="88"/>
      <c r="G169" s="88"/>
      <c r="H169" s="88"/>
      <c r="I169" s="88"/>
      <c r="J169" s="88"/>
      <c r="K169" s="88"/>
      <c r="L169" s="88"/>
      <c r="M169" s="88">
        <f>12*100/60</f>
        <v>20</v>
      </c>
      <c r="N169" s="88"/>
      <c r="O169" s="88">
        <f>9.6*100/60</f>
        <v>16</v>
      </c>
      <c r="P169" s="88"/>
      <c r="Q169" s="24">
        <v>2</v>
      </c>
      <c r="R169" s="88">
        <v>1.6</v>
      </c>
      <c r="S169" s="88"/>
      <c r="T169" s="88"/>
    </row>
    <row r="170" spans="1:20" s="1" customFormat="1" ht="13.35" customHeight="1" x14ac:dyDescent="0.25">
      <c r="A170" s="88" t="s">
        <v>18</v>
      </c>
      <c r="B170" s="88"/>
      <c r="C170" s="88"/>
      <c r="D170" s="88"/>
      <c r="E170" s="88"/>
      <c r="F170" s="88"/>
      <c r="G170" s="88"/>
      <c r="H170" s="88"/>
      <c r="I170" s="88"/>
      <c r="J170" s="88"/>
      <c r="K170" s="88"/>
      <c r="L170" s="88"/>
      <c r="M170" s="88">
        <f>3*100/60</f>
        <v>5</v>
      </c>
      <c r="N170" s="88"/>
      <c r="O170" s="88">
        <v>5</v>
      </c>
      <c r="P170" s="88"/>
      <c r="Q170" s="6">
        <v>0.5</v>
      </c>
      <c r="R170" s="88">
        <v>0.5</v>
      </c>
      <c r="S170" s="88"/>
      <c r="T170" s="88"/>
    </row>
    <row r="171" spans="1:20" s="1" customFormat="1" ht="13.35" customHeight="1" x14ac:dyDescent="0.25">
      <c r="A171" s="88" t="s">
        <v>109</v>
      </c>
      <c r="B171" s="88"/>
      <c r="C171" s="88"/>
      <c r="D171" s="88"/>
      <c r="E171" s="88"/>
      <c r="F171" s="88"/>
      <c r="G171" s="88"/>
      <c r="H171" s="88"/>
      <c r="I171" s="88"/>
      <c r="J171" s="88"/>
      <c r="K171" s="88"/>
      <c r="L171" s="88"/>
      <c r="M171" s="88">
        <v>5</v>
      </c>
      <c r="N171" s="88"/>
      <c r="O171" s="88">
        <v>5</v>
      </c>
      <c r="P171" s="88"/>
      <c r="Q171" s="6">
        <v>0.5</v>
      </c>
      <c r="R171" s="88">
        <v>0.5</v>
      </c>
      <c r="S171" s="88"/>
      <c r="T171" s="88"/>
    </row>
    <row r="172" spans="1:20" s="1" customFormat="1" ht="13.35" customHeight="1" x14ac:dyDescent="0.25">
      <c r="A172" s="88" t="s">
        <v>260</v>
      </c>
      <c r="B172" s="88"/>
      <c r="C172" s="88"/>
      <c r="D172" s="88"/>
      <c r="E172" s="88"/>
      <c r="F172" s="88"/>
      <c r="G172" s="88"/>
      <c r="H172" s="88"/>
      <c r="I172" s="88"/>
      <c r="J172" s="88"/>
      <c r="K172" s="88"/>
      <c r="L172" s="88"/>
      <c r="M172" s="88">
        <v>0.16</v>
      </c>
      <c r="N172" s="88"/>
      <c r="O172" s="88">
        <v>0.16</v>
      </c>
      <c r="P172" s="88"/>
      <c r="Q172" s="6">
        <v>1.6E-2</v>
      </c>
      <c r="R172" s="88">
        <v>1.6E-2</v>
      </c>
      <c r="S172" s="88"/>
      <c r="T172" s="88"/>
    </row>
    <row r="173" spans="1:20" s="1" customFormat="1" ht="13.35" customHeight="1" x14ac:dyDescent="0.25">
      <c r="A173" s="88" t="s">
        <v>70</v>
      </c>
      <c r="B173" s="88"/>
      <c r="C173" s="88"/>
      <c r="D173" s="88"/>
      <c r="E173" s="88"/>
      <c r="F173" s="88"/>
      <c r="G173" s="88"/>
      <c r="H173" s="88"/>
      <c r="I173" s="88"/>
      <c r="J173" s="88"/>
      <c r="K173" s="88"/>
      <c r="L173" s="88"/>
      <c r="M173" s="88">
        <f>0.6*100/60</f>
        <v>1</v>
      </c>
      <c r="N173" s="88"/>
      <c r="O173" s="88">
        <v>1</v>
      </c>
      <c r="P173" s="88"/>
      <c r="Q173" s="6">
        <v>0.1</v>
      </c>
      <c r="R173" s="88">
        <v>0.1</v>
      </c>
      <c r="S173" s="88"/>
      <c r="T173" s="88"/>
    </row>
    <row r="174" spans="1:20" s="1" customFormat="1" ht="14.1" customHeight="1" x14ac:dyDescent="0.25">
      <c r="A174" s="90" t="s">
        <v>134</v>
      </c>
      <c r="B174" s="90"/>
      <c r="C174" s="90"/>
      <c r="D174" s="90"/>
      <c r="E174" s="90"/>
      <c r="F174" s="90"/>
      <c r="G174" s="90"/>
      <c r="H174" s="90"/>
      <c r="I174" s="90"/>
      <c r="J174" s="90"/>
      <c r="K174" s="90"/>
      <c r="L174" s="90"/>
      <c r="M174" s="90"/>
      <c r="N174" s="90"/>
      <c r="O174" s="90"/>
      <c r="P174" s="90"/>
      <c r="Q174" s="90"/>
      <c r="R174" s="90"/>
      <c r="S174" s="90"/>
      <c r="T174" s="90"/>
    </row>
    <row r="175" spans="1:20" s="1" customFormat="1" ht="21.3" customHeight="1" x14ac:dyDescent="0.25"/>
    <row r="176" spans="1:20" s="1" customFormat="1" ht="14.1" customHeight="1" x14ac:dyDescent="0.25">
      <c r="A176" s="91" t="s">
        <v>33</v>
      </c>
      <c r="B176" s="91"/>
      <c r="C176" s="91"/>
      <c r="D176" s="91"/>
      <c r="E176" s="91"/>
      <c r="F176" s="91"/>
      <c r="G176" s="91"/>
      <c r="H176" s="91"/>
      <c r="I176" s="91"/>
      <c r="J176" s="91"/>
      <c r="K176" s="91"/>
      <c r="L176" s="91"/>
      <c r="M176" s="91"/>
      <c r="N176" s="91"/>
    </row>
    <row r="177" spans="1:19" s="1" customFormat="1" ht="13.35" customHeight="1" x14ac:dyDescent="0.25">
      <c r="A177" s="88" t="s">
        <v>34</v>
      </c>
      <c r="B177" s="88"/>
      <c r="C177" s="88"/>
      <c r="D177" s="88"/>
      <c r="E177" s="89">
        <f>0.7*100/60</f>
        <v>1.1666666666666667</v>
      </c>
      <c r="F177" s="89"/>
      <c r="G177" s="17"/>
      <c r="H177" s="6" t="s">
        <v>35</v>
      </c>
      <c r="I177" s="89">
        <v>0.02</v>
      </c>
      <c r="J177" s="89"/>
      <c r="K177" s="17"/>
      <c r="L177" s="88" t="s">
        <v>36</v>
      </c>
      <c r="M177" s="88"/>
      <c r="N177" s="89">
        <v>21.61</v>
      </c>
      <c r="O177" s="89"/>
    </row>
    <row r="178" spans="1:19" s="1" customFormat="1" ht="13.35" customHeight="1" x14ac:dyDescent="0.25">
      <c r="A178" s="88" t="s">
        <v>37</v>
      </c>
      <c r="B178" s="88"/>
      <c r="C178" s="88"/>
      <c r="D178" s="88"/>
      <c r="E178" s="89">
        <f>3.1*100/60</f>
        <v>5.166666666666667</v>
      </c>
      <c r="F178" s="89"/>
      <c r="G178" s="17"/>
      <c r="H178" s="6" t="s">
        <v>38</v>
      </c>
      <c r="I178" s="89">
        <v>15.61</v>
      </c>
      <c r="J178" s="89"/>
      <c r="K178" s="17"/>
      <c r="L178" s="88" t="s">
        <v>39</v>
      </c>
      <c r="M178" s="88"/>
      <c r="N178" s="89">
        <v>10.210000000000001</v>
      </c>
      <c r="O178" s="89"/>
    </row>
    <row r="179" spans="1:19" s="1" customFormat="1" ht="13.35" customHeight="1" x14ac:dyDescent="0.25">
      <c r="A179" s="88" t="s">
        <v>40</v>
      </c>
      <c r="B179" s="88"/>
      <c r="C179" s="88"/>
      <c r="D179" s="88"/>
      <c r="E179" s="89">
        <f>5.7*100/60</f>
        <v>9.5</v>
      </c>
      <c r="F179" s="89"/>
      <c r="G179" s="17"/>
      <c r="H179" s="6" t="s">
        <v>41</v>
      </c>
      <c r="I179" s="89">
        <v>0.19</v>
      </c>
      <c r="J179" s="89"/>
      <c r="K179" s="17"/>
      <c r="L179" s="88" t="s">
        <v>42</v>
      </c>
      <c r="M179" s="88"/>
      <c r="N179" s="89">
        <v>16.21</v>
      </c>
      <c r="O179" s="89"/>
    </row>
    <row r="180" spans="1:19" s="1" customFormat="1" ht="13.35" customHeight="1" x14ac:dyDescent="0.25">
      <c r="A180" s="88" t="s">
        <v>43</v>
      </c>
      <c r="B180" s="88"/>
      <c r="C180" s="88"/>
      <c r="D180" s="88"/>
      <c r="E180" s="89">
        <f>44*100/60</f>
        <v>73.333333333333329</v>
      </c>
      <c r="F180" s="89"/>
      <c r="G180" s="17"/>
      <c r="H180" s="6" t="s">
        <v>44</v>
      </c>
      <c r="I180" s="89">
        <v>1.44</v>
      </c>
      <c r="J180" s="89"/>
      <c r="K180" s="17"/>
      <c r="L180" s="88" t="s">
        <v>45</v>
      </c>
      <c r="M180" s="88"/>
      <c r="N180" s="89">
        <v>0.66</v>
      </c>
      <c r="O180" s="89"/>
    </row>
    <row r="181" spans="1:19" s="1" customFormat="1" ht="13.35" customHeight="1" x14ac:dyDescent="0.25">
      <c r="A181" s="87"/>
      <c r="B181" s="87"/>
      <c r="C181" s="87"/>
      <c r="D181" s="87"/>
      <c r="E181" s="87"/>
      <c r="F181" s="87"/>
      <c r="G181" s="17"/>
      <c r="H181" s="6" t="s">
        <v>46</v>
      </c>
      <c r="I181" s="89">
        <v>0</v>
      </c>
      <c r="J181" s="89"/>
      <c r="K181" s="17"/>
      <c r="L181" s="88" t="s">
        <v>47</v>
      </c>
      <c r="M181" s="88"/>
      <c r="N181" s="89">
        <v>0</v>
      </c>
      <c r="O181" s="89"/>
    </row>
    <row r="182" spans="1:19" s="1" customFormat="1" ht="13.35" customHeight="1" x14ac:dyDescent="0.25">
      <c r="A182" s="87"/>
      <c r="B182" s="87"/>
      <c r="C182" s="87"/>
      <c r="D182" s="87"/>
      <c r="E182" s="87"/>
      <c r="F182" s="87"/>
      <c r="G182" s="17"/>
      <c r="H182" s="6" t="s">
        <v>48</v>
      </c>
      <c r="I182" s="89">
        <v>0</v>
      </c>
      <c r="J182" s="89"/>
      <c r="K182" s="17"/>
      <c r="L182" s="88" t="s">
        <v>49</v>
      </c>
      <c r="M182" s="88"/>
      <c r="N182" s="89">
        <v>0</v>
      </c>
      <c r="O182" s="89"/>
    </row>
    <row r="183" spans="1:19" s="1" customFormat="1" ht="13.35" customHeight="1" x14ac:dyDescent="0.25">
      <c r="A183" s="87"/>
      <c r="B183" s="87"/>
      <c r="C183" s="87"/>
      <c r="D183" s="87"/>
      <c r="E183" s="87"/>
      <c r="F183" s="87"/>
      <c r="G183" s="17"/>
      <c r="H183" s="17"/>
      <c r="I183" s="87"/>
      <c r="J183" s="87"/>
      <c r="K183" s="17"/>
      <c r="L183" s="88" t="s">
        <v>50</v>
      </c>
      <c r="M183" s="88"/>
      <c r="N183" s="89">
        <v>0</v>
      </c>
      <c r="O183" s="89"/>
    </row>
    <row r="184" spans="1:19" s="1" customFormat="1" ht="13.35" customHeight="1" x14ac:dyDescent="0.25">
      <c r="A184" s="87"/>
      <c r="B184" s="87"/>
      <c r="C184" s="87"/>
      <c r="D184" s="87"/>
      <c r="E184" s="87"/>
      <c r="F184" s="87"/>
      <c r="G184" s="17"/>
      <c r="H184" s="17"/>
      <c r="I184" s="87"/>
      <c r="J184" s="87"/>
      <c r="K184" s="17"/>
      <c r="L184" s="88" t="s">
        <v>51</v>
      </c>
      <c r="M184" s="88"/>
      <c r="N184" s="89">
        <v>0</v>
      </c>
      <c r="O184" s="89"/>
    </row>
    <row r="185" spans="1:19" s="1" customFormat="1" ht="14.1" customHeight="1" x14ac:dyDescent="0.25">
      <c r="A185" s="86"/>
      <c r="B185" s="86"/>
      <c r="C185" s="86"/>
      <c r="D185" s="86"/>
      <c r="E185" s="86"/>
      <c r="F185" s="86"/>
      <c r="G185" s="86"/>
      <c r="H185" s="86"/>
      <c r="I185" s="86"/>
      <c r="J185" s="86"/>
      <c r="K185" s="86"/>
      <c r="L185" s="86"/>
      <c r="M185" s="86"/>
      <c r="N185" s="86"/>
      <c r="O185" s="86"/>
      <c r="P185" s="86"/>
      <c r="Q185" s="86"/>
      <c r="R185" s="86"/>
      <c r="S185" s="86"/>
    </row>
    <row r="186" spans="1:19" s="1" customFormat="1" ht="14.1" customHeight="1" x14ac:dyDescent="0.25">
      <c r="A186" s="84" t="s">
        <v>52</v>
      </c>
      <c r="B186" s="84"/>
      <c r="C186" s="84"/>
      <c r="D186" s="84"/>
      <c r="E186" s="84"/>
      <c r="F186" s="84"/>
      <c r="G186" s="84"/>
      <c r="H186" s="84"/>
      <c r="I186" s="84"/>
      <c r="J186" s="84"/>
      <c r="K186" s="84"/>
      <c r="L186" s="84"/>
      <c r="M186" s="84"/>
      <c r="N186" s="84"/>
      <c r="O186" s="84"/>
      <c r="P186" s="84"/>
      <c r="Q186" s="84"/>
      <c r="R186" s="84"/>
      <c r="S186" s="84"/>
    </row>
    <row r="187" spans="1:19" s="1" customFormat="1" ht="67.650000000000006" customHeight="1" x14ac:dyDescent="0.25">
      <c r="A187" s="85" t="s">
        <v>519</v>
      </c>
      <c r="B187" s="85"/>
      <c r="C187" s="85"/>
      <c r="D187" s="85"/>
      <c r="E187" s="85"/>
      <c r="F187" s="85"/>
      <c r="G187" s="85"/>
      <c r="H187" s="85"/>
      <c r="I187" s="85"/>
      <c r="J187" s="85"/>
      <c r="K187" s="85"/>
      <c r="L187" s="85"/>
      <c r="M187" s="85"/>
      <c r="N187" s="85"/>
      <c r="O187" s="85"/>
      <c r="P187" s="85"/>
      <c r="Q187" s="85"/>
      <c r="R187" s="85"/>
      <c r="S187" s="85"/>
    </row>
    <row r="188" spans="1:19" s="1" customFormat="1" ht="14.1" customHeight="1" x14ac:dyDescent="0.25">
      <c r="A188" s="86"/>
      <c r="B188" s="86"/>
      <c r="C188" s="86"/>
      <c r="D188" s="86"/>
      <c r="E188" s="86"/>
      <c r="F188" s="86"/>
      <c r="G188" s="86"/>
      <c r="H188" s="86"/>
      <c r="I188" s="86"/>
      <c r="J188" s="86"/>
      <c r="K188" s="86"/>
      <c r="L188" s="86"/>
      <c r="M188" s="86"/>
      <c r="N188" s="86"/>
      <c r="O188" s="86"/>
      <c r="P188" s="86"/>
      <c r="Q188" s="86"/>
      <c r="R188" s="86"/>
      <c r="S188" s="86"/>
    </row>
    <row r="189" spans="1:19" s="1" customFormat="1" ht="14.1" customHeight="1" x14ac:dyDescent="0.25">
      <c r="A189" s="84" t="s">
        <v>54</v>
      </c>
      <c r="B189" s="84"/>
      <c r="C189" s="84"/>
      <c r="D189" s="84"/>
      <c r="E189" s="84"/>
      <c r="F189" s="84"/>
      <c r="G189" s="84"/>
      <c r="H189" s="84"/>
      <c r="I189" s="84"/>
      <c r="J189" s="84"/>
      <c r="K189" s="84"/>
      <c r="L189" s="84"/>
      <c r="M189" s="84"/>
      <c r="N189" s="84"/>
      <c r="O189" s="84"/>
      <c r="P189" s="84"/>
      <c r="Q189" s="84"/>
      <c r="R189" s="84"/>
      <c r="S189" s="84"/>
    </row>
    <row r="190" spans="1:19" s="1" customFormat="1" ht="12.15" customHeight="1" x14ac:dyDescent="0.25">
      <c r="A190" s="85" t="s">
        <v>515</v>
      </c>
      <c r="B190" s="85"/>
      <c r="C190" s="85"/>
      <c r="D190" s="85"/>
      <c r="E190" s="85"/>
      <c r="F190" s="85"/>
      <c r="G190" s="85"/>
      <c r="H190" s="85"/>
      <c r="I190" s="85"/>
      <c r="J190" s="85"/>
      <c r="K190" s="85"/>
      <c r="L190" s="85"/>
      <c r="M190" s="85"/>
      <c r="N190" s="85"/>
      <c r="O190" s="85"/>
      <c r="P190" s="85"/>
      <c r="Q190" s="85"/>
      <c r="R190" s="85"/>
      <c r="S190" s="85"/>
    </row>
    <row r="191" spans="1:19" s="1" customFormat="1" ht="14.1" customHeight="1" x14ac:dyDescent="0.25">
      <c r="A191" s="86"/>
      <c r="B191" s="86"/>
      <c r="C191" s="86"/>
      <c r="D191" s="86"/>
      <c r="E191" s="86"/>
      <c r="F191" s="86"/>
      <c r="G191" s="86"/>
      <c r="H191" s="86"/>
      <c r="I191" s="86"/>
      <c r="J191" s="86"/>
      <c r="K191" s="86"/>
      <c r="L191" s="86"/>
      <c r="M191" s="86"/>
      <c r="N191" s="86"/>
      <c r="O191" s="86"/>
      <c r="P191" s="86"/>
      <c r="Q191" s="86"/>
      <c r="R191" s="86"/>
      <c r="S191" s="86"/>
    </row>
    <row r="192" spans="1:19" s="1" customFormat="1" ht="14.1" customHeight="1" x14ac:dyDescent="0.25">
      <c r="A192" s="84" t="s">
        <v>56</v>
      </c>
      <c r="B192" s="84"/>
      <c r="C192" s="84"/>
      <c r="D192" s="84"/>
      <c r="E192" s="84"/>
      <c r="F192" s="84"/>
      <c r="G192" s="84"/>
      <c r="H192" s="84"/>
      <c r="I192" s="84"/>
      <c r="J192" s="84"/>
      <c r="K192" s="84"/>
      <c r="L192" s="84"/>
      <c r="M192" s="84"/>
      <c r="N192" s="84"/>
      <c r="O192" s="84"/>
      <c r="P192" s="84"/>
      <c r="Q192" s="84"/>
      <c r="R192" s="84"/>
      <c r="S192" s="84"/>
    </row>
    <row r="193" spans="1:20" s="1" customFormat="1" ht="58.5" customHeight="1" x14ac:dyDescent="0.25">
      <c r="A193" s="85" t="s">
        <v>520</v>
      </c>
      <c r="B193" s="85"/>
      <c r="C193" s="85"/>
      <c r="D193" s="85"/>
      <c r="E193" s="85"/>
      <c r="F193" s="85"/>
      <c r="G193" s="85"/>
      <c r="H193" s="85"/>
      <c r="I193" s="85"/>
      <c r="J193" s="85"/>
      <c r="K193" s="85"/>
      <c r="L193" s="85"/>
      <c r="M193" s="85"/>
      <c r="N193" s="85"/>
      <c r="O193" s="85"/>
      <c r="P193" s="85"/>
      <c r="Q193" s="85"/>
      <c r="R193" s="85"/>
      <c r="S193" s="85"/>
    </row>
    <row r="194" spans="1:20" ht="72.45" customHeight="1" x14ac:dyDescent="0.2">
      <c r="J194" s="174" t="s">
        <v>0</v>
      </c>
      <c r="K194" s="174"/>
      <c r="L194" s="174"/>
      <c r="M194" s="174"/>
      <c r="N194" s="174"/>
      <c r="O194" s="174"/>
      <c r="P194" s="174"/>
      <c r="Q194" s="174"/>
      <c r="R194" s="174"/>
      <c r="S194" s="174"/>
      <c r="T194" s="174"/>
    </row>
    <row r="195" spans="1:20" ht="7.05" customHeight="1" x14ac:dyDescent="0.2"/>
    <row r="196" spans="1:20" ht="14.1" customHeight="1" x14ac:dyDescent="0.2">
      <c r="B196" s="175" t="s">
        <v>797</v>
      </c>
      <c r="C196" s="175"/>
      <c r="D196" s="175"/>
      <c r="E196" s="175"/>
      <c r="F196" s="175"/>
      <c r="G196" s="175"/>
      <c r="H196" s="175"/>
      <c r="I196" s="175"/>
      <c r="J196" s="175"/>
      <c r="K196" s="175"/>
      <c r="L196" s="175"/>
      <c r="M196" s="175"/>
      <c r="N196" s="175"/>
      <c r="O196" s="175"/>
      <c r="P196" s="175"/>
      <c r="Q196" s="175"/>
      <c r="R196" s="175"/>
    </row>
    <row r="197" spans="1:20" ht="14.1" customHeight="1" x14ac:dyDescent="0.2"/>
    <row r="198" spans="1:20" ht="14.1" customHeight="1" x14ac:dyDescent="0.2">
      <c r="A198" s="176" t="s">
        <v>2</v>
      </c>
      <c r="B198" s="176"/>
      <c r="C198" s="176"/>
      <c r="D198" s="152" t="s">
        <v>798</v>
      </c>
      <c r="E198" s="152"/>
      <c r="F198" s="152"/>
      <c r="G198" s="152"/>
      <c r="H198" s="152"/>
      <c r="I198" s="152"/>
      <c r="J198" s="152"/>
      <c r="K198" s="152"/>
      <c r="L198" s="152"/>
      <c r="M198" s="152"/>
      <c r="N198" s="152"/>
      <c r="O198" s="152"/>
      <c r="P198" s="152"/>
      <c r="Q198" s="152"/>
      <c r="R198" s="152"/>
      <c r="S198" s="152"/>
      <c r="T198" s="152"/>
    </row>
    <row r="199" spans="1:20" ht="14.1" customHeight="1" x14ac:dyDescent="0.2">
      <c r="A199" s="176" t="s">
        <v>4</v>
      </c>
      <c r="B199" s="176"/>
      <c r="C199" s="152" t="s">
        <v>437</v>
      </c>
      <c r="D199" s="152"/>
      <c r="E199" s="152"/>
      <c r="F199" s="152"/>
      <c r="G199" s="152"/>
      <c r="H199" s="152"/>
      <c r="I199" s="152"/>
      <c r="J199" s="152"/>
      <c r="K199" s="152"/>
      <c r="L199" s="152"/>
      <c r="M199" s="152"/>
      <c r="N199" s="152"/>
      <c r="O199" s="152"/>
      <c r="P199" s="152"/>
      <c r="Q199" s="152"/>
      <c r="R199" s="152"/>
      <c r="S199" s="152"/>
      <c r="T199" s="152"/>
    </row>
    <row r="200" spans="1:20" ht="14.1" customHeight="1" x14ac:dyDescent="0.2">
      <c r="A200" s="176" t="s">
        <v>6</v>
      </c>
      <c r="B200" s="176"/>
      <c r="C200" s="176"/>
      <c r="D200" s="176"/>
      <c r="E200" s="176"/>
      <c r="F200" s="103" t="s">
        <v>60</v>
      </c>
      <c r="G200" s="103"/>
      <c r="H200" s="103"/>
      <c r="I200" s="103"/>
      <c r="J200" s="103"/>
      <c r="K200" s="103"/>
      <c r="L200" s="103"/>
      <c r="M200" s="103"/>
      <c r="N200" s="103"/>
      <c r="O200" s="103"/>
      <c r="P200" s="103"/>
      <c r="Q200" s="103"/>
      <c r="R200" s="103"/>
      <c r="S200" s="103"/>
      <c r="T200" s="103"/>
    </row>
    <row r="201" spans="1:20" ht="22.35" customHeight="1" x14ac:dyDescent="0.2">
      <c r="F201" s="103"/>
      <c r="G201" s="103"/>
      <c r="H201" s="103"/>
      <c r="I201" s="103"/>
      <c r="J201" s="103"/>
      <c r="K201" s="103"/>
      <c r="L201" s="103"/>
      <c r="M201" s="103"/>
      <c r="N201" s="103"/>
      <c r="O201" s="103"/>
      <c r="P201" s="103"/>
      <c r="Q201" s="103"/>
      <c r="R201" s="103"/>
      <c r="S201" s="103"/>
      <c r="T201" s="103"/>
    </row>
    <row r="202" spans="1:20" ht="7.05" customHeight="1" x14ac:dyDescent="0.2">
      <c r="A202" s="176"/>
      <c r="B202" s="176"/>
      <c r="C202" s="176"/>
      <c r="D202" s="176"/>
      <c r="E202" s="176"/>
      <c r="F202" s="176"/>
      <c r="G202" s="176"/>
      <c r="H202" s="176"/>
      <c r="I202" s="176"/>
      <c r="J202" s="176"/>
      <c r="K202" s="176"/>
      <c r="L202" s="176"/>
      <c r="M202" s="176"/>
      <c r="N202" s="176"/>
      <c r="O202" s="176"/>
      <c r="P202" s="176"/>
      <c r="Q202" s="26"/>
      <c r="R202" s="176"/>
      <c r="S202" s="176"/>
      <c r="T202" s="176"/>
    </row>
    <row r="203" spans="1:20" ht="16.95" customHeight="1" x14ac:dyDescent="0.2">
      <c r="A203" s="177" t="s">
        <v>8</v>
      </c>
      <c r="B203" s="177"/>
      <c r="C203" s="177"/>
      <c r="D203" s="177"/>
      <c r="E203" s="177"/>
      <c r="F203" s="177"/>
      <c r="G203" s="177"/>
      <c r="H203" s="177"/>
      <c r="I203" s="177"/>
      <c r="J203" s="177"/>
      <c r="K203" s="177"/>
      <c r="L203" s="177"/>
      <c r="M203" s="177" t="s">
        <v>9</v>
      </c>
      <c r="N203" s="177"/>
      <c r="O203" s="177"/>
      <c r="P203" s="177"/>
      <c r="Q203" s="177"/>
      <c r="R203" s="177"/>
      <c r="S203" s="177"/>
      <c r="T203" s="177"/>
    </row>
    <row r="204" spans="1:20" ht="16.95" customHeight="1" x14ac:dyDescent="0.2">
      <c r="A204" s="177"/>
      <c r="B204" s="177"/>
      <c r="C204" s="177"/>
      <c r="D204" s="177"/>
      <c r="E204" s="177"/>
      <c r="F204" s="177"/>
      <c r="G204" s="177"/>
      <c r="H204" s="177"/>
      <c r="I204" s="177"/>
      <c r="J204" s="177"/>
      <c r="K204" s="177"/>
      <c r="L204" s="177"/>
      <c r="M204" s="177" t="s">
        <v>10</v>
      </c>
      <c r="N204" s="177"/>
      <c r="O204" s="177"/>
      <c r="P204" s="177"/>
      <c r="Q204" s="177" t="s">
        <v>11</v>
      </c>
      <c r="R204" s="177"/>
      <c r="S204" s="177"/>
      <c r="T204" s="177"/>
    </row>
    <row r="205" spans="1:20" ht="16.95" customHeight="1" x14ac:dyDescent="0.2">
      <c r="A205" s="177"/>
      <c r="B205" s="177"/>
      <c r="C205" s="177"/>
      <c r="D205" s="177"/>
      <c r="E205" s="177"/>
      <c r="F205" s="177"/>
      <c r="G205" s="177"/>
      <c r="H205" s="177"/>
      <c r="I205" s="177"/>
      <c r="J205" s="177"/>
      <c r="K205" s="177"/>
      <c r="L205" s="177"/>
      <c r="M205" s="177" t="s">
        <v>12</v>
      </c>
      <c r="N205" s="177"/>
      <c r="O205" s="177" t="s">
        <v>13</v>
      </c>
      <c r="P205" s="177"/>
      <c r="Q205" s="27" t="s">
        <v>14</v>
      </c>
      <c r="R205" s="177" t="s">
        <v>15</v>
      </c>
      <c r="S205" s="177"/>
      <c r="T205" s="177"/>
    </row>
    <row r="206" spans="1:20" ht="13.35" customHeight="1" x14ac:dyDescent="0.2">
      <c r="A206" s="173" t="s">
        <v>84</v>
      </c>
      <c r="B206" s="173"/>
      <c r="C206" s="173"/>
      <c r="D206" s="173"/>
      <c r="E206" s="173"/>
      <c r="F206" s="173"/>
      <c r="G206" s="173"/>
      <c r="H206" s="173"/>
      <c r="I206" s="173"/>
      <c r="J206" s="173"/>
      <c r="K206" s="173"/>
      <c r="L206" s="173"/>
      <c r="M206" s="173">
        <f>986*0.1</f>
        <v>98.600000000000009</v>
      </c>
      <c r="N206" s="173"/>
      <c r="O206" s="173" t="s">
        <v>799</v>
      </c>
      <c r="P206" s="173"/>
      <c r="Q206" s="28" t="s">
        <v>800</v>
      </c>
      <c r="R206" s="173" t="s">
        <v>801</v>
      </c>
      <c r="S206" s="173"/>
      <c r="T206" s="173"/>
    </row>
    <row r="207" spans="1:20" ht="13.35" customHeight="1" x14ac:dyDescent="0.2">
      <c r="A207" s="173" t="s">
        <v>100</v>
      </c>
      <c r="B207" s="173"/>
      <c r="C207" s="173"/>
      <c r="D207" s="173"/>
      <c r="E207" s="173"/>
      <c r="F207" s="173"/>
      <c r="G207" s="173"/>
      <c r="H207" s="173"/>
      <c r="I207" s="173"/>
      <c r="J207" s="173"/>
      <c r="K207" s="173"/>
      <c r="L207" s="173"/>
      <c r="M207" s="173" t="s">
        <v>391</v>
      </c>
      <c r="N207" s="173"/>
      <c r="O207" s="173" t="s">
        <v>101</v>
      </c>
      <c r="P207" s="173"/>
      <c r="Q207" s="28" t="s">
        <v>239</v>
      </c>
      <c r="R207" s="173" t="s">
        <v>103</v>
      </c>
      <c r="S207" s="173"/>
      <c r="T207" s="173"/>
    </row>
    <row r="208" spans="1:20" ht="13.35" customHeight="1" x14ac:dyDescent="0.2">
      <c r="A208" s="173" t="s">
        <v>260</v>
      </c>
      <c r="B208" s="173"/>
      <c r="C208" s="173"/>
      <c r="D208" s="173"/>
      <c r="E208" s="173"/>
      <c r="F208" s="173"/>
      <c r="G208" s="173"/>
      <c r="H208" s="173"/>
      <c r="I208" s="173"/>
      <c r="J208" s="173"/>
      <c r="K208" s="173"/>
      <c r="L208" s="173"/>
      <c r="M208" s="173" t="s">
        <v>176</v>
      </c>
      <c r="N208" s="173"/>
      <c r="O208" s="173" t="s">
        <v>176</v>
      </c>
      <c r="P208" s="173"/>
      <c r="Q208" s="28" t="s">
        <v>783</v>
      </c>
      <c r="R208" s="173" t="s">
        <v>783</v>
      </c>
      <c r="S208" s="173"/>
      <c r="T208" s="173"/>
    </row>
    <row r="209" spans="1:20" ht="13.35" customHeight="1" x14ac:dyDescent="0.2">
      <c r="A209" s="173" t="s">
        <v>114</v>
      </c>
      <c r="B209" s="173"/>
      <c r="C209" s="173"/>
      <c r="D209" s="173"/>
      <c r="E209" s="173"/>
      <c r="F209" s="173"/>
      <c r="G209" s="173"/>
      <c r="H209" s="173"/>
      <c r="I209" s="173"/>
      <c r="J209" s="173"/>
      <c r="K209" s="173"/>
      <c r="L209" s="173"/>
      <c r="M209" s="173" t="s">
        <v>435</v>
      </c>
      <c r="N209" s="173"/>
      <c r="O209" s="173" t="s">
        <v>435</v>
      </c>
      <c r="P209" s="173"/>
      <c r="Q209" s="28" t="s">
        <v>802</v>
      </c>
      <c r="R209" s="173" t="s">
        <v>802</v>
      </c>
      <c r="S209" s="173"/>
      <c r="T209" s="173"/>
    </row>
    <row r="210" spans="1:20" ht="13.35" customHeight="1" x14ac:dyDescent="0.2">
      <c r="A210" s="173" t="s">
        <v>109</v>
      </c>
      <c r="B210" s="173"/>
      <c r="C210" s="173"/>
      <c r="D210" s="173"/>
      <c r="E210" s="173"/>
      <c r="F210" s="173"/>
      <c r="G210" s="173"/>
      <c r="H210" s="173"/>
      <c r="I210" s="173"/>
      <c r="J210" s="173"/>
      <c r="K210" s="173"/>
      <c r="L210" s="173"/>
      <c r="M210" s="173" t="s">
        <v>62</v>
      </c>
      <c r="N210" s="173"/>
      <c r="O210" s="173" t="s">
        <v>62</v>
      </c>
      <c r="P210" s="173"/>
      <c r="Q210" s="28" t="s">
        <v>63</v>
      </c>
      <c r="R210" s="173" t="s">
        <v>63</v>
      </c>
      <c r="S210" s="173"/>
      <c r="T210" s="173"/>
    </row>
    <row r="211" spans="1:20" ht="13.35" customHeight="1" x14ac:dyDescent="0.2">
      <c r="A211" s="173" t="s">
        <v>18</v>
      </c>
      <c r="B211" s="173"/>
      <c r="C211" s="173"/>
      <c r="D211" s="173"/>
      <c r="E211" s="173"/>
      <c r="F211" s="173"/>
      <c r="G211" s="173"/>
      <c r="H211" s="173"/>
      <c r="I211" s="173"/>
      <c r="J211" s="173"/>
      <c r="K211" s="173"/>
      <c r="L211" s="173"/>
      <c r="M211" s="173" t="s">
        <v>62</v>
      </c>
      <c r="N211" s="173"/>
      <c r="O211" s="173" t="s">
        <v>62</v>
      </c>
      <c r="P211" s="173"/>
      <c r="Q211" s="28" t="s">
        <v>63</v>
      </c>
      <c r="R211" s="173" t="s">
        <v>63</v>
      </c>
      <c r="S211" s="173"/>
      <c r="T211" s="173"/>
    </row>
    <row r="212" spans="1:20" ht="14.1" customHeight="1" x14ac:dyDescent="0.2">
      <c r="A212" s="153" t="s">
        <v>134</v>
      </c>
      <c r="B212" s="153"/>
      <c r="C212" s="153"/>
      <c r="D212" s="153"/>
      <c r="E212" s="153"/>
      <c r="F212" s="153"/>
      <c r="G212" s="153"/>
      <c r="H212" s="153"/>
      <c r="I212" s="153"/>
      <c r="J212" s="153"/>
      <c r="K212" s="153"/>
      <c r="L212" s="153"/>
      <c r="M212" s="153"/>
      <c r="N212" s="153"/>
      <c r="O212" s="153"/>
      <c r="P212" s="153"/>
      <c r="Q212" s="153"/>
      <c r="R212" s="153"/>
      <c r="S212" s="153"/>
      <c r="T212" s="153"/>
    </row>
    <row r="213" spans="1:20" ht="14.1" customHeight="1" x14ac:dyDescent="0.2"/>
    <row r="214" spans="1:20" ht="14.1" customHeight="1" x14ac:dyDescent="0.2">
      <c r="A214" s="178" t="s">
        <v>33</v>
      </c>
      <c r="B214" s="178"/>
      <c r="C214" s="178"/>
      <c r="D214" s="178"/>
      <c r="E214" s="178"/>
      <c r="F214" s="178"/>
      <c r="G214" s="178"/>
      <c r="H214" s="178"/>
      <c r="I214" s="178"/>
      <c r="J214" s="178"/>
      <c r="K214" s="178"/>
      <c r="L214" s="178"/>
      <c r="M214" s="178"/>
      <c r="N214" s="178"/>
    </row>
    <row r="215" spans="1:20" ht="13.35" customHeight="1" x14ac:dyDescent="0.2">
      <c r="A215" s="173" t="s">
        <v>34</v>
      </c>
      <c r="B215" s="173"/>
      <c r="C215" s="173"/>
      <c r="D215" s="173"/>
      <c r="E215" s="179">
        <f>0.9*100/60</f>
        <v>1.5</v>
      </c>
      <c r="F215" s="179"/>
      <c r="G215" s="29"/>
      <c r="H215" s="28" t="s">
        <v>35</v>
      </c>
      <c r="I215" s="179">
        <v>0.03</v>
      </c>
      <c r="J215" s="179"/>
      <c r="K215" s="29"/>
      <c r="L215" s="173" t="s">
        <v>36</v>
      </c>
      <c r="M215" s="173"/>
      <c r="N215" s="179">
        <v>39.64</v>
      </c>
      <c r="O215" s="179"/>
    </row>
    <row r="216" spans="1:20" ht="13.35" customHeight="1" x14ac:dyDescent="0.2">
      <c r="A216" s="173" t="s">
        <v>37</v>
      </c>
      <c r="B216" s="173"/>
      <c r="C216" s="173"/>
      <c r="D216" s="173"/>
      <c r="E216" s="179">
        <f>3.06*100/60</f>
        <v>5.0999999999999996</v>
      </c>
      <c r="F216" s="179"/>
      <c r="G216" s="29"/>
      <c r="H216" s="28" t="s">
        <v>38</v>
      </c>
      <c r="I216" s="179">
        <v>14.68</v>
      </c>
      <c r="J216" s="179"/>
      <c r="K216" s="29"/>
      <c r="L216" s="173" t="s">
        <v>39</v>
      </c>
      <c r="M216" s="173"/>
      <c r="N216" s="179">
        <v>15.24</v>
      </c>
      <c r="O216" s="179"/>
    </row>
    <row r="217" spans="1:20" ht="13.35" customHeight="1" x14ac:dyDescent="0.2">
      <c r="A217" s="173" t="s">
        <v>40</v>
      </c>
      <c r="B217" s="173"/>
      <c r="C217" s="173"/>
      <c r="D217" s="173"/>
      <c r="E217" s="179">
        <f>5.55*100/60</f>
        <v>9.25</v>
      </c>
      <c r="F217" s="179"/>
      <c r="G217" s="29"/>
      <c r="H217" s="28" t="s">
        <v>41</v>
      </c>
      <c r="I217" s="179">
        <v>0.25</v>
      </c>
      <c r="J217" s="179"/>
      <c r="K217" s="29"/>
      <c r="L217" s="173" t="s">
        <v>42</v>
      </c>
      <c r="M217" s="173"/>
      <c r="N217" s="179">
        <v>27.59</v>
      </c>
      <c r="O217" s="179"/>
    </row>
    <row r="218" spans="1:20" ht="13.35" customHeight="1" x14ac:dyDescent="0.2">
      <c r="A218" s="173" t="s">
        <v>43</v>
      </c>
      <c r="B218" s="173"/>
      <c r="C218" s="173"/>
      <c r="D218" s="173"/>
      <c r="E218" s="179">
        <f>53.88*100/60</f>
        <v>89.8</v>
      </c>
      <c r="F218" s="179"/>
      <c r="G218" s="29"/>
      <c r="H218" s="28" t="s">
        <v>44</v>
      </c>
      <c r="I218" s="179">
        <v>2.21</v>
      </c>
      <c r="J218" s="179"/>
      <c r="K218" s="29"/>
      <c r="L218" s="173" t="s">
        <v>45</v>
      </c>
      <c r="M218" s="173"/>
      <c r="N218" s="179">
        <v>0.81</v>
      </c>
      <c r="O218" s="179"/>
    </row>
    <row r="219" spans="1:20" ht="13.35" customHeight="1" x14ac:dyDescent="0.2">
      <c r="A219" s="181"/>
      <c r="B219" s="181"/>
      <c r="C219" s="181"/>
      <c r="D219" s="181"/>
      <c r="E219" s="181"/>
      <c r="F219" s="181"/>
      <c r="G219" s="29"/>
      <c r="H219" s="28" t="s">
        <v>46</v>
      </c>
      <c r="I219" s="179">
        <v>0</v>
      </c>
      <c r="J219" s="179"/>
      <c r="K219" s="29"/>
      <c r="L219" s="173" t="s">
        <v>47</v>
      </c>
      <c r="M219" s="173"/>
      <c r="N219" s="179">
        <v>165.96</v>
      </c>
      <c r="O219" s="179"/>
    </row>
    <row r="220" spans="1:20" ht="13.35" customHeight="1" x14ac:dyDescent="0.2">
      <c r="A220" s="181"/>
      <c r="B220" s="181"/>
      <c r="C220" s="181"/>
      <c r="D220" s="181"/>
      <c r="E220" s="181"/>
      <c r="F220" s="181"/>
      <c r="G220" s="29"/>
      <c r="H220" s="28" t="s">
        <v>48</v>
      </c>
      <c r="I220" s="179">
        <v>0.04</v>
      </c>
      <c r="J220" s="179"/>
      <c r="K220" s="29"/>
      <c r="L220" s="173" t="s">
        <v>49</v>
      </c>
      <c r="M220" s="173"/>
      <c r="N220" s="179">
        <v>2.86</v>
      </c>
      <c r="O220" s="179"/>
    </row>
    <row r="221" spans="1:20" ht="13.35" customHeight="1" x14ac:dyDescent="0.2">
      <c r="A221" s="181"/>
      <c r="B221" s="181"/>
      <c r="C221" s="181"/>
      <c r="D221" s="181"/>
      <c r="E221" s="181"/>
      <c r="F221" s="181"/>
      <c r="G221" s="29"/>
      <c r="H221" s="29"/>
      <c r="I221" s="181"/>
      <c r="J221" s="181"/>
      <c r="K221" s="29"/>
      <c r="L221" s="173" t="s">
        <v>50</v>
      </c>
      <c r="M221" s="173"/>
      <c r="N221" s="179">
        <v>0.02</v>
      </c>
      <c r="O221" s="179"/>
    </row>
    <row r="222" spans="1:20" ht="13.35" customHeight="1" x14ac:dyDescent="0.2">
      <c r="A222" s="181"/>
      <c r="B222" s="181"/>
      <c r="C222" s="181"/>
      <c r="D222" s="181"/>
      <c r="E222" s="181"/>
      <c r="F222" s="181"/>
      <c r="G222" s="29"/>
      <c r="H222" s="29"/>
      <c r="I222" s="181"/>
      <c r="J222" s="181"/>
      <c r="K222" s="29"/>
      <c r="L222" s="173" t="s">
        <v>51</v>
      </c>
      <c r="M222" s="173"/>
      <c r="N222" s="179">
        <v>0</v>
      </c>
      <c r="O222" s="179"/>
    </row>
    <row r="223" spans="1:20" ht="14.1" customHeight="1" x14ac:dyDescent="0.2">
      <c r="A223" s="176"/>
      <c r="B223" s="176"/>
      <c r="C223" s="176"/>
      <c r="D223" s="176"/>
      <c r="E223" s="176"/>
      <c r="F223" s="176"/>
      <c r="G223" s="176"/>
      <c r="H223" s="176"/>
      <c r="I223" s="176"/>
      <c r="J223" s="176"/>
      <c r="K223" s="176"/>
      <c r="L223" s="176"/>
      <c r="M223" s="176"/>
      <c r="N223" s="176"/>
      <c r="O223" s="176"/>
      <c r="P223" s="176"/>
      <c r="Q223" s="176"/>
      <c r="R223" s="176"/>
      <c r="S223" s="176"/>
    </row>
    <row r="224" spans="1:20" ht="14.1" customHeight="1" x14ac:dyDescent="0.2">
      <c r="A224" s="178" t="s">
        <v>52</v>
      </c>
      <c r="B224" s="178"/>
      <c r="C224" s="178"/>
      <c r="D224" s="178"/>
      <c r="E224" s="178"/>
      <c r="F224" s="178"/>
      <c r="G224" s="178"/>
      <c r="H224" s="178"/>
      <c r="I224" s="178"/>
      <c r="J224" s="178"/>
      <c r="K224" s="178"/>
      <c r="L224" s="178"/>
      <c r="M224" s="178"/>
      <c r="N224" s="178"/>
      <c r="O224" s="178"/>
      <c r="P224" s="178"/>
      <c r="Q224" s="178"/>
      <c r="R224" s="178"/>
      <c r="S224" s="178"/>
    </row>
    <row r="225" spans="1:20" ht="76.8" customHeight="1" x14ac:dyDescent="0.2">
      <c r="A225" s="180" t="s">
        <v>803</v>
      </c>
      <c r="B225" s="180"/>
      <c r="C225" s="180"/>
      <c r="D225" s="180"/>
      <c r="E225" s="180"/>
      <c r="F225" s="180"/>
      <c r="G225" s="180"/>
      <c r="H225" s="180"/>
      <c r="I225" s="180"/>
      <c r="J225" s="180"/>
      <c r="K225" s="180"/>
      <c r="L225" s="180"/>
      <c r="M225" s="180"/>
      <c r="N225" s="180"/>
      <c r="O225" s="180"/>
      <c r="P225" s="180"/>
      <c r="Q225" s="180"/>
      <c r="R225" s="180"/>
      <c r="S225" s="180"/>
    </row>
    <row r="226" spans="1:20" ht="14.1" customHeight="1" x14ac:dyDescent="0.2">
      <c r="A226" s="176"/>
      <c r="B226" s="176"/>
      <c r="C226" s="176"/>
      <c r="D226" s="176"/>
      <c r="E226" s="176"/>
      <c r="F226" s="176"/>
      <c r="G226" s="176"/>
      <c r="H226" s="176"/>
      <c r="I226" s="176"/>
      <c r="J226" s="176"/>
      <c r="K226" s="176"/>
      <c r="L226" s="176"/>
      <c r="M226" s="176"/>
      <c r="N226" s="176"/>
      <c r="O226" s="176"/>
      <c r="P226" s="176"/>
      <c r="Q226" s="176"/>
      <c r="R226" s="176"/>
      <c r="S226" s="176"/>
    </row>
    <row r="227" spans="1:20" ht="14.1" customHeight="1" x14ac:dyDescent="0.2">
      <c r="A227" s="178" t="s">
        <v>54</v>
      </c>
      <c r="B227" s="178"/>
      <c r="C227" s="178"/>
      <c r="D227" s="178"/>
      <c r="E227" s="178"/>
      <c r="F227" s="178"/>
      <c r="G227" s="178"/>
      <c r="H227" s="178"/>
      <c r="I227" s="178"/>
      <c r="J227" s="178"/>
      <c r="K227" s="178"/>
      <c r="L227" s="178"/>
      <c r="M227" s="178"/>
      <c r="N227" s="178"/>
      <c r="O227" s="178"/>
      <c r="P227" s="178"/>
      <c r="Q227" s="178"/>
      <c r="R227" s="178"/>
      <c r="S227" s="178"/>
    </row>
    <row r="228" spans="1:20" ht="12.15" customHeight="1" x14ac:dyDescent="0.2">
      <c r="A228" s="180" t="s">
        <v>281</v>
      </c>
      <c r="B228" s="180"/>
      <c r="C228" s="180"/>
      <c r="D228" s="180"/>
      <c r="E228" s="180"/>
      <c r="F228" s="180"/>
      <c r="G228" s="180"/>
      <c r="H228" s="180"/>
      <c r="I228" s="180"/>
      <c r="J228" s="180"/>
      <c r="K228" s="180"/>
      <c r="L228" s="180"/>
      <c r="M228" s="180"/>
      <c r="N228" s="180"/>
      <c r="O228" s="180"/>
      <c r="P228" s="180"/>
      <c r="Q228" s="180"/>
      <c r="R228" s="180"/>
      <c r="S228" s="180"/>
    </row>
    <row r="229" spans="1:20" ht="14.1" customHeight="1" x14ac:dyDescent="0.2">
      <c r="A229" s="176"/>
      <c r="B229" s="176"/>
      <c r="C229" s="176"/>
      <c r="D229" s="176"/>
      <c r="E229" s="176"/>
      <c r="F229" s="176"/>
      <c r="G229" s="176"/>
      <c r="H229" s="176"/>
      <c r="I229" s="176"/>
      <c r="J229" s="176"/>
      <c r="K229" s="176"/>
      <c r="L229" s="176"/>
      <c r="M229" s="176"/>
      <c r="N229" s="176"/>
      <c r="O229" s="176"/>
      <c r="P229" s="176"/>
      <c r="Q229" s="176"/>
      <c r="R229" s="176"/>
      <c r="S229" s="176"/>
    </row>
    <row r="230" spans="1:20" ht="14.1" customHeight="1" x14ac:dyDescent="0.2">
      <c r="A230" s="178" t="s">
        <v>56</v>
      </c>
      <c r="B230" s="178"/>
      <c r="C230" s="178"/>
      <c r="D230" s="178"/>
      <c r="E230" s="178"/>
      <c r="F230" s="178"/>
      <c r="G230" s="178"/>
      <c r="H230" s="178"/>
      <c r="I230" s="178"/>
      <c r="J230" s="178"/>
      <c r="K230" s="178"/>
      <c r="L230" s="178"/>
      <c r="M230" s="178"/>
      <c r="N230" s="178"/>
      <c r="O230" s="178"/>
      <c r="P230" s="178"/>
      <c r="Q230" s="178"/>
      <c r="R230" s="178"/>
      <c r="S230" s="178"/>
    </row>
    <row r="231" spans="1:20" ht="40.049999999999997" customHeight="1" x14ac:dyDescent="0.2">
      <c r="A231" s="180" t="s">
        <v>804</v>
      </c>
      <c r="B231" s="180"/>
      <c r="C231" s="180"/>
      <c r="D231" s="180"/>
      <c r="E231" s="180"/>
      <c r="F231" s="180"/>
      <c r="G231" s="180"/>
      <c r="H231" s="180"/>
      <c r="I231" s="180"/>
      <c r="J231" s="180"/>
      <c r="K231" s="180"/>
      <c r="L231" s="180"/>
      <c r="M231" s="180"/>
      <c r="N231" s="180"/>
      <c r="O231" s="180"/>
      <c r="P231" s="180"/>
      <c r="Q231" s="180"/>
      <c r="R231" s="180"/>
      <c r="S231" s="180"/>
    </row>
    <row r="232" spans="1:20" s="1" customFormat="1" ht="72.45" customHeight="1" x14ac:dyDescent="0.25">
      <c r="J232" s="100" t="s">
        <v>0</v>
      </c>
      <c r="K232" s="100"/>
      <c r="L232" s="100"/>
      <c r="M232" s="100"/>
      <c r="N232" s="100"/>
      <c r="O232" s="100"/>
      <c r="P232" s="100"/>
      <c r="Q232" s="100"/>
      <c r="R232" s="100"/>
      <c r="S232" s="100"/>
      <c r="T232" s="100"/>
    </row>
    <row r="233" spans="1:20" s="1" customFormat="1" ht="7.05" customHeight="1" x14ac:dyDescent="0.25"/>
    <row r="234" spans="1:20" s="1" customFormat="1" ht="14.1" customHeight="1" x14ac:dyDescent="0.25">
      <c r="B234" s="101" t="s">
        <v>521</v>
      </c>
      <c r="C234" s="101"/>
      <c r="D234" s="101"/>
      <c r="E234" s="101"/>
      <c r="F234" s="101"/>
      <c r="G234" s="101"/>
      <c r="H234" s="101"/>
      <c r="I234" s="101"/>
      <c r="J234" s="101"/>
      <c r="K234" s="101"/>
      <c r="L234" s="101"/>
      <c r="M234" s="101"/>
      <c r="N234" s="101"/>
      <c r="O234" s="101"/>
      <c r="P234" s="101"/>
      <c r="Q234" s="101"/>
      <c r="R234" s="101"/>
    </row>
    <row r="235" spans="1:20" s="1" customFormat="1" ht="14.1" customHeight="1" x14ac:dyDescent="0.25"/>
    <row r="236" spans="1:20" s="1" customFormat="1" ht="14.1" customHeight="1" x14ac:dyDescent="0.25">
      <c r="A236" s="102" t="s">
        <v>2</v>
      </c>
      <c r="B236" s="102"/>
      <c r="C236" s="102"/>
      <c r="D236" s="103" t="s">
        <v>522</v>
      </c>
      <c r="E236" s="103"/>
      <c r="F236" s="103"/>
      <c r="G236" s="103"/>
      <c r="H236" s="103"/>
      <c r="I236" s="103"/>
      <c r="J236" s="103"/>
      <c r="K236" s="103"/>
      <c r="L236" s="103"/>
      <c r="M236" s="103"/>
      <c r="N236" s="103"/>
      <c r="O236" s="103"/>
      <c r="P236" s="103"/>
      <c r="Q236" s="103"/>
      <c r="R236" s="103"/>
      <c r="S236" s="103"/>
      <c r="T236" s="103"/>
    </row>
    <row r="237" spans="1:20" s="1" customFormat="1" ht="14.1" customHeight="1" x14ac:dyDescent="0.25">
      <c r="A237" s="102" t="s">
        <v>4</v>
      </c>
      <c r="B237" s="102"/>
      <c r="C237" s="103" t="s">
        <v>523</v>
      </c>
      <c r="D237" s="103"/>
      <c r="E237" s="103"/>
      <c r="F237" s="103"/>
      <c r="G237" s="103"/>
      <c r="H237" s="103"/>
      <c r="I237" s="103"/>
      <c r="J237" s="103"/>
      <c r="K237" s="103"/>
      <c r="L237" s="103"/>
      <c r="M237" s="103"/>
      <c r="N237" s="103"/>
      <c r="O237" s="103"/>
      <c r="P237" s="103"/>
      <c r="Q237" s="103"/>
      <c r="R237" s="103"/>
      <c r="S237" s="103"/>
      <c r="T237" s="103"/>
    </row>
    <row r="238" spans="1:20" s="1" customFormat="1" ht="14.1" customHeight="1" x14ac:dyDescent="0.25">
      <c r="A238" s="102" t="s">
        <v>6</v>
      </c>
      <c r="B238" s="102"/>
      <c r="C238" s="102"/>
      <c r="D238" s="102"/>
      <c r="E238" s="102"/>
      <c r="F238" s="103" t="s">
        <v>60</v>
      </c>
      <c r="G238" s="103"/>
      <c r="H238" s="103"/>
      <c r="I238" s="103"/>
      <c r="J238" s="103"/>
      <c r="K238" s="103"/>
      <c r="L238" s="103"/>
      <c r="M238" s="103"/>
      <c r="N238" s="103"/>
      <c r="O238" s="103"/>
      <c r="P238" s="103"/>
      <c r="Q238" s="103"/>
      <c r="R238" s="103"/>
      <c r="S238" s="103"/>
      <c r="T238" s="103"/>
    </row>
    <row r="239" spans="1:20" s="1" customFormat="1" ht="22.35" customHeight="1" x14ac:dyDescent="0.25">
      <c r="F239" s="103"/>
      <c r="G239" s="103"/>
      <c r="H239" s="103"/>
      <c r="I239" s="103"/>
      <c r="J239" s="103"/>
      <c r="K239" s="103"/>
      <c r="L239" s="103"/>
      <c r="M239" s="103"/>
      <c r="N239" s="103"/>
      <c r="O239" s="103"/>
      <c r="P239" s="103"/>
      <c r="Q239" s="103"/>
      <c r="R239" s="103"/>
      <c r="S239" s="103"/>
      <c r="T239" s="103"/>
    </row>
    <row r="240" spans="1:20" s="1" customFormat="1" ht="7.05" customHeight="1" x14ac:dyDescent="0.25">
      <c r="A240" s="86"/>
      <c r="B240" s="86"/>
      <c r="C240" s="86"/>
      <c r="D240" s="86"/>
      <c r="E240" s="86"/>
      <c r="F240" s="86"/>
      <c r="G240" s="86"/>
      <c r="H240" s="86"/>
      <c r="I240" s="86"/>
      <c r="J240" s="86"/>
      <c r="K240" s="86"/>
      <c r="L240" s="86"/>
      <c r="M240" s="86"/>
      <c r="N240" s="86"/>
      <c r="O240" s="86"/>
      <c r="P240" s="86"/>
      <c r="Q240" s="16"/>
      <c r="R240" s="86"/>
      <c r="S240" s="86"/>
      <c r="T240" s="86"/>
    </row>
    <row r="241" spans="1:20" s="1" customFormat="1" ht="16.95" customHeight="1" x14ac:dyDescent="0.25">
      <c r="A241" s="94" t="s">
        <v>8</v>
      </c>
      <c r="B241" s="94"/>
      <c r="C241" s="94"/>
      <c r="D241" s="94"/>
      <c r="E241" s="94"/>
      <c r="F241" s="94"/>
      <c r="G241" s="94"/>
      <c r="H241" s="94"/>
      <c r="I241" s="94"/>
      <c r="J241" s="94"/>
      <c r="K241" s="94"/>
      <c r="L241" s="94"/>
      <c r="M241" s="95" t="s">
        <v>9</v>
      </c>
      <c r="N241" s="95"/>
      <c r="O241" s="95"/>
      <c r="P241" s="95"/>
      <c r="Q241" s="95"/>
      <c r="R241" s="95"/>
      <c r="S241" s="95"/>
      <c r="T241" s="95"/>
    </row>
    <row r="242" spans="1:20" s="1" customFormat="1" ht="16.95" customHeight="1" x14ac:dyDescent="0.25">
      <c r="A242" s="94"/>
      <c r="B242" s="94"/>
      <c r="C242" s="94"/>
      <c r="D242" s="94"/>
      <c r="E242" s="94"/>
      <c r="F242" s="94"/>
      <c r="G242" s="94"/>
      <c r="H242" s="94"/>
      <c r="I242" s="94"/>
      <c r="J242" s="94"/>
      <c r="K242" s="94"/>
      <c r="L242" s="94"/>
      <c r="M242" s="96" t="s">
        <v>10</v>
      </c>
      <c r="N242" s="96"/>
      <c r="O242" s="96"/>
      <c r="P242" s="96"/>
      <c r="Q242" s="97" t="s">
        <v>11</v>
      </c>
      <c r="R242" s="97"/>
      <c r="S242" s="97"/>
      <c r="T242" s="97"/>
    </row>
    <row r="243" spans="1:20" s="1" customFormat="1" ht="16.95" customHeight="1" x14ac:dyDescent="0.25">
      <c r="A243" s="94"/>
      <c r="B243" s="94"/>
      <c r="C243" s="94"/>
      <c r="D243" s="94"/>
      <c r="E243" s="94"/>
      <c r="F243" s="94"/>
      <c r="G243" s="94"/>
      <c r="H243" s="94"/>
      <c r="I243" s="94"/>
      <c r="J243" s="94"/>
      <c r="K243" s="94"/>
      <c r="L243" s="94"/>
      <c r="M243" s="98" t="s">
        <v>12</v>
      </c>
      <c r="N243" s="98"/>
      <c r="O243" s="98" t="s">
        <v>13</v>
      </c>
      <c r="P243" s="98"/>
      <c r="Q243" s="13" t="s">
        <v>14</v>
      </c>
      <c r="R243" s="99" t="s">
        <v>15</v>
      </c>
      <c r="S243" s="99"/>
      <c r="T243" s="99"/>
    </row>
    <row r="244" spans="1:20" s="1" customFormat="1" ht="13.35" customHeight="1" x14ac:dyDescent="0.25">
      <c r="A244" s="88" t="s">
        <v>84</v>
      </c>
      <c r="B244" s="88"/>
      <c r="C244" s="88"/>
      <c r="D244" s="88"/>
      <c r="E244" s="88"/>
      <c r="F244" s="88"/>
      <c r="G244" s="88"/>
      <c r="H244" s="88"/>
      <c r="I244" s="88"/>
      <c r="J244" s="88"/>
      <c r="K244" s="88"/>
      <c r="L244" s="88"/>
      <c r="M244" s="88">
        <f>33.78*100/60</f>
        <v>56.3</v>
      </c>
      <c r="N244" s="88"/>
      <c r="O244" s="88">
        <f>27*100/60</f>
        <v>45</v>
      </c>
      <c r="P244" s="88"/>
      <c r="Q244" s="6">
        <v>5.63</v>
      </c>
      <c r="R244" s="88">
        <v>4.5</v>
      </c>
      <c r="S244" s="88"/>
      <c r="T244" s="88"/>
    </row>
    <row r="245" spans="1:20" s="1" customFormat="1" ht="13.35" customHeight="1" x14ac:dyDescent="0.25">
      <c r="A245" s="88" t="s">
        <v>100</v>
      </c>
      <c r="B245" s="88"/>
      <c r="C245" s="88"/>
      <c r="D245" s="88"/>
      <c r="E245" s="88"/>
      <c r="F245" s="88"/>
      <c r="G245" s="88"/>
      <c r="H245" s="88"/>
      <c r="I245" s="88"/>
      <c r="J245" s="88"/>
      <c r="K245" s="88"/>
      <c r="L245" s="88"/>
      <c r="M245" s="88">
        <f>10.5*100/60</f>
        <v>17.5</v>
      </c>
      <c r="N245" s="88"/>
      <c r="O245" s="88">
        <f>8.4*100/60</f>
        <v>14</v>
      </c>
      <c r="P245" s="88"/>
      <c r="Q245" s="23">
        <v>1.75</v>
      </c>
      <c r="R245" s="88">
        <v>1.4</v>
      </c>
      <c r="S245" s="88"/>
      <c r="T245" s="88"/>
    </row>
    <row r="246" spans="1:20" s="1" customFormat="1" ht="13.35" customHeight="1" x14ac:dyDescent="0.25">
      <c r="A246" s="88" t="s">
        <v>269</v>
      </c>
      <c r="B246" s="88"/>
      <c r="C246" s="88"/>
      <c r="D246" s="88"/>
      <c r="E246" s="88"/>
      <c r="F246" s="88"/>
      <c r="G246" s="88"/>
      <c r="H246" s="88"/>
      <c r="I246" s="88"/>
      <c r="J246" s="88"/>
      <c r="K246" s="88"/>
      <c r="L246" s="88"/>
      <c r="M246" s="88">
        <f>21.42*100/60</f>
        <v>35.700000000000003</v>
      </c>
      <c r="N246" s="88"/>
      <c r="O246" s="88">
        <f>15*100/60</f>
        <v>25</v>
      </c>
      <c r="P246" s="88"/>
      <c r="Q246" s="6">
        <v>3.57</v>
      </c>
      <c r="R246" s="88">
        <v>2.5</v>
      </c>
      <c r="S246" s="88"/>
      <c r="T246" s="88"/>
    </row>
    <row r="247" spans="1:20" s="1" customFormat="1" ht="13.35" customHeight="1" x14ac:dyDescent="0.25">
      <c r="A247" s="88" t="s">
        <v>21</v>
      </c>
      <c r="B247" s="88"/>
      <c r="C247" s="88"/>
      <c r="D247" s="88"/>
      <c r="E247" s="88"/>
      <c r="F247" s="88"/>
      <c r="G247" s="88"/>
      <c r="H247" s="88"/>
      <c r="I247" s="88"/>
      <c r="J247" s="88"/>
      <c r="K247" s="88"/>
      <c r="L247" s="88"/>
      <c r="M247" s="88">
        <f>3.6*100/60</f>
        <v>6</v>
      </c>
      <c r="N247" s="88"/>
      <c r="O247" s="88">
        <f>3*100/60</f>
        <v>5</v>
      </c>
      <c r="P247" s="88"/>
      <c r="Q247" s="6">
        <v>0.6</v>
      </c>
      <c r="R247" s="88">
        <v>0.5</v>
      </c>
      <c r="S247" s="88"/>
      <c r="T247" s="88"/>
    </row>
    <row r="248" spans="1:20" s="1" customFormat="1" ht="13.35" customHeight="1" x14ac:dyDescent="0.25">
      <c r="A248" s="88" t="s">
        <v>76</v>
      </c>
      <c r="B248" s="88"/>
      <c r="C248" s="88"/>
      <c r="D248" s="88"/>
      <c r="E248" s="88"/>
      <c r="F248" s="88"/>
      <c r="G248" s="88"/>
      <c r="H248" s="88"/>
      <c r="I248" s="88"/>
      <c r="J248" s="88"/>
      <c r="K248" s="88"/>
      <c r="L248" s="88"/>
      <c r="M248" s="88">
        <f>0.72*100/60</f>
        <v>1.2</v>
      </c>
      <c r="N248" s="88"/>
      <c r="O248" s="88">
        <v>1.02</v>
      </c>
      <c r="P248" s="88"/>
      <c r="Q248" s="6">
        <v>0.12</v>
      </c>
      <c r="R248" s="88">
        <v>0.1</v>
      </c>
      <c r="S248" s="88"/>
      <c r="T248" s="88"/>
    </row>
    <row r="249" spans="1:20" s="1" customFormat="1" ht="13.35" customHeight="1" x14ac:dyDescent="0.25">
      <c r="A249" s="88" t="s">
        <v>109</v>
      </c>
      <c r="B249" s="88"/>
      <c r="C249" s="88"/>
      <c r="D249" s="88"/>
      <c r="E249" s="88"/>
      <c r="F249" s="88"/>
      <c r="G249" s="88"/>
      <c r="H249" s="88"/>
      <c r="I249" s="88"/>
      <c r="J249" s="88"/>
      <c r="K249" s="88"/>
      <c r="L249" s="88"/>
      <c r="M249" s="88">
        <f>3*100/60</f>
        <v>5</v>
      </c>
      <c r="N249" s="88"/>
      <c r="O249" s="88">
        <v>5</v>
      </c>
      <c r="P249" s="88"/>
      <c r="Q249" s="6">
        <v>0.5</v>
      </c>
      <c r="R249" s="88">
        <v>0.5</v>
      </c>
      <c r="S249" s="88"/>
      <c r="T249" s="88"/>
    </row>
    <row r="250" spans="1:20" s="1" customFormat="1" ht="13.35" customHeight="1" x14ac:dyDescent="0.25">
      <c r="A250" s="88" t="s">
        <v>18</v>
      </c>
      <c r="B250" s="88"/>
      <c r="C250" s="88"/>
      <c r="D250" s="88"/>
      <c r="E250" s="88"/>
      <c r="F250" s="88"/>
      <c r="G250" s="88"/>
      <c r="H250" s="88"/>
      <c r="I250" s="88"/>
      <c r="J250" s="88"/>
      <c r="K250" s="88"/>
      <c r="L250" s="88"/>
      <c r="M250" s="88">
        <v>5</v>
      </c>
      <c r="N250" s="88"/>
      <c r="O250" s="88">
        <v>5</v>
      </c>
      <c r="P250" s="88"/>
      <c r="Q250" s="6">
        <v>0.5</v>
      </c>
      <c r="R250" s="88">
        <v>0.5</v>
      </c>
      <c r="S250" s="88"/>
      <c r="T250" s="88"/>
    </row>
    <row r="251" spans="1:20" s="1" customFormat="1" ht="14.1" customHeight="1" x14ac:dyDescent="0.25">
      <c r="A251" s="90" t="s">
        <v>134</v>
      </c>
      <c r="B251" s="90"/>
      <c r="C251" s="90"/>
      <c r="D251" s="90"/>
      <c r="E251" s="90"/>
      <c r="F251" s="90"/>
      <c r="G251" s="90"/>
      <c r="H251" s="90"/>
      <c r="I251" s="90"/>
      <c r="J251" s="90"/>
      <c r="K251" s="90"/>
      <c r="L251" s="90"/>
      <c r="M251" s="90"/>
      <c r="N251" s="90"/>
      <c r="O251" s="90"/>
      <c r="P251" s="90"/>
      <c r="Q251" s="90"/>
      <c r="R251" s="90"/>
      <c r="S251" s="90"/>
      <c r="T251" s="90"/>
    </row>
    <row r="252" spans="1:20" s="1" customFormat="1" ht="21.3" customHeight="1" x14ac:dyDescent="0.25"/>
    <row r="253" spans="1:20" s="1" customFormat="1" ht="14.1" customHeight="1" x14ac:dyDescent="0.25">
      <c r="A253" s="91" t="s">
        <v>33</v>
      </c>
      <c r="B253" s="91"/>
      <c r="C253" s="91"/>
      <c r="D253" s="91"/>
      <c r="E253" s="91"/>
      <c r="F253" s="91"/>
      <c r="G253" s="91"/>
      <c r="H253" s="91"/>
      <c r="I253" s="91"/>
      <c r="J253" s="91"/>
      <c r="K253" s="91"/>
      <c r="L253" s="91"/>
      <c r="M253" s="91"/>
      <c r="N253" s="91"/>
    </row>
    <row r="254" spans="1:20" s="1" customFormat="1" ht="13.35" customHeight="1" x14ac:dyDescent="0.25">
      <c r="A254" s="88" t="s">
        <v>34</v>
      </c>
      <c r="B254" s="88"/>
      <c r="C254" s="88"/>
      <c r="D254" s="88"/>
      <c r="E254" s="89">
        <f>0.07*100/60</f>
        <v>0.11666666666666668</v>
      </c>
      <c r="F254" s="89"/>
      <c r="G254" s="17"/>
      <c r="H254" s="6" t="s">
        <v>35</v>
      </c>
      <c r="I254" s="89">
        <v>0.03</v>
      </c>
      <c r="J254" s="89"/>
      <c r="K254" s="17"/>
      <c r="L254" s="88" t="s">
        <v>36</v>
      </c>
      <c r="M254" s="88"/>
      <c r="N254" s="89">
        <v>22.36</v>
      </c>
      <c r="O254" s="89"/>
    </row>
    <row r="255" spans="1:20" s="1" customFormat="1" ht="13.35" customHeight="1" x14ac:dyDescent="0.25">
      <c r="A255" s="88" t="s">
        <v>37</v>
      </c>
      <c r="B255" s="88"/>
      <c r="C255" s="88"/>
      <c r="D255" s="88"/>
      <c r="E255" s="89">
        <f>3.06*100/60</f>
        <v>5.0999999999999996</v>
      </c>
      <c r="F255" s="89"/>
      <c r="G255" s="17"/>
      <c r="H255" s="6" t="s">
        <v>38</v>
      </c>
      <c r="I255" s="89">
        <v>14.83</v>
      </c>
      <c r="J255" s="89"/>
      <c r="K255" s="17"/>
      <c r="L255" s="88" t="s">
        <v>39</v>
      </c>
      <c r="M255" s="88"/>
      <c r="N255" s="89">
        <v>9.6199999999999992</v>
      </c>
      <c r="O255" s="89"/>
    </row>
    <row r="256" spans="1:20" s="1" customFormat="1" ht="13.35" customHeight="1" x14ac:dyDescent="0.25">
      <c r="A256" s="88" t="s">
        <v>40</v>
      </c>
      <c r="B256" s="88"/>
      <c r="C256" s="88"/>
      <c r="D256" s="88"/>
      <c r="E256" s="89">
        <f>6.7*100/60</f>
        <v>11.166666666666666</v>
      </c>
      <c r="F256" s="89"/>
      <c r="G256" s="17"/>
      <c r="H256" s="6" t="s">
        <v>41</v>
      </c>
      <c r="I256" s="89">
        <v>0.21</v>
      </c>
      <c r="J256" s="89"/>
      <c r="K256" s="17"/>
      <c r="L256" s="88" t="s">
        <v>42</v>
      </c>
      <c r="M256" s="88"/>
      <c r="N256" s="89">
        <v>17.48</v>
      </c>
      <c r="O256" s="89"/>
    </row>
    <row r="257" spans="1:20" s="1" customFormat="1" ht="13.35" customHeight="1" x14ac:dyDescent="0.25">
      <c r="A257" s="88" t="s">
        <v>43</v>
      </c>
      <c r="B257" s="88"/>
      <c r="C257" s="88"/>
      <c r="D257" s="88"/>
      <c r="E257" s="89">
        <f>54.06*100/60</f>
        <v>90.1</v>
      </c>
      <c r="F257" s="89"/>
      <c r="G257" s="17"/>
      <c r="H257" s="6" t="s">
        <v>44</v>
      </c>
      <c r="I257" s="89">
        <v>1.46</v>
      </c>
      <c r="J257" s="89"/>
      <c r="K257" s="17"/>
      <c r="L257" s="88" t="s">
        <v>45</v>
      </c>
      <c r="M257" s="88"/>
      <c r="N257" s="89">
        <v>0.8</v>
      </c>
      <c r="O257" s="89"/>
    </row>
    <row r="258" spans="1:20" s="1" customFormat="1" ht="13.35" customHeight="1" x14ac:dyDescent="0.25">
      <c r="A258" s="87"/>
      <c r="B258" s="87"/>
      <c r="C258" s="87"/>
      <c r="D258" s="87"/>
      <c r="E258" s="87"/>
      <c r="F258" s="87"/>
      <c r="G258" s="17"/>
      <c r="H258" s="6" t="s">
        <v>46</v>
      </c>
      <c r="I258" s="89">
        <v>0</v>
      </c>
      <c r="J258" s="89"/>
      <c r="K258" s="17"/>
      <c r="L258" s="88" t="s">
        <v>47</v>
      </c>
      <c r="M258" s="88"/>
      <c r="N258" s="89">
        <v>126.12</v>
      </c>
      <c r="O258" s="89"/>
    </row>
    <row r="259" spans="1:20" s="1" customFormat="1" ht="13.35" customHeight="1" x14ac:dyDescent="0.25">
      <c r="A259" s="87"/>
      <c r="B259" s="87"/>
      <c r="C259" s="87"/>
      <c r="D259" s="87"/>
      <c r="E259" s="87"/>
      <c r="F259" s="87"/>
      <c r="G259" s="17"/>
      <c r="H259" s="6" t="s">
        <v>48</v>
      </c>
      <c r="I259" s="89">
        <v>0.02</v>
      </c>
      <c r="J259" s="89"/>
      <c r="K259" s="17"/>
      <c r="L259" s="88" t="s">
        <v>49</v>
      </c>
      <c r="M259" s="88"/>
      <c r="N259" s="89">
        <v>1.7</v>
      </c>
      <c r="O259" s="89"/>
    </row>
    <row r="260" spans="1:20" s="1" customFormat="1" ht="13.35" customHeight="1" x14ac:dyDescent="0.25">
      <c r="A260" s="87"/>
      <c r="B260" s="87"/>
      <c r="C260" s="87"/>
      <c r="D260" s="87"/>
      <c r="E260" s="87"/>
      <c r="F260" s="87"/>
      <c r="G260" s="17"/>
      <c r="H260" s="17"/>
      <c r="I260" s="87"/>
      <c r="J260" s="87"/>
      <c r="K260" s="17"/>
      <c r="L260" s="88" t="s">
        <v>50</v>
      </c>
      <c r="M260" s="88"/>
      <c r="N260" s="89">
        <v>0</v>
      </c>
      <c r="O260" s="89"/>
    </row>
    <row r="261" spans="1:20" s="1" customFormat="1" ht="13.35" customHeight="1" x14ac:dyDescent="0.25">
      <c r="A261" s="87"/>
      <c r="B261" s="87"/>
      <c r="C261" s="87"/>
      <c r="D261" s="87"/>
      <c r="E261" s="87"/>
      <c r="F261" s="87"/>
      <c r="G261" s="17"/>
      <c r="H261" s="17"/>
      <c r="I261" s="87"/>
      <c r="J261" s="87"/>
      <c r="K261" s="17"/>
      <c r="L261" s="88" t="s">
        <v>51</v>
      </c>
      <c r="M261" s="88"/>
      <c r="N261" s="89">
        <v>0</v>
      </c>
      <c r="O261" s="89"/>
    </row>
    <row r="262" spans="1:20" s="1" customFormat="1" ht="14.1" customHeight="1" x14ac:dyDescent="0.25">
      <c r="A262" s="86"/>
      <c r="B262" s="86"/>
      <c r="C262" s="86"/>
      <c r="D262" s="86"/>
      <c r="E262" s="86"/>
      <c r="F262" s="86"/>
      <c r="G262" s="86"/>
      <c r="H262" s="86"/>
      <c r="I262" s="86"/>
      <c r="J262" s="86"/>
      <c r="K262" s="86"/>
      <c r="L262" s="86"/>
      <c r="M262" s="86"/>
      <c r="N262" s="86"/>
      <c r="O262" s="86"/>
      <c r="P262" s="86"/>
      <c r="Q262" s="86"/>
      <c r="R262" s="86"/>
      <c r="S262" s="86"/>
    </row>
    <row r="263" spans="1:20" s="1" customFormat="1" ht="14.1" customHeight="1" x14ac:dyDescent="0.25">
      <c r="A263" s="84" t="s">
        <v>52</v>
      </c>
      <c r="B263" s="84"/>
      <c r="C263" s="84"/>
      <c r="D263" s="84"/>
      <c r="E263" s="84"/>
      <c r="F263" s="84"/>
      <c r="G263" s="84"/>
      <c r="H263" s="84"/>
      <c r="I263" s="84"/>
      <c r="J263" s="84"/>
      <c r="K263" s="84"/>
      <c r="L263" s="84"/>
      <c r="M263" s="84"/>
      <c r="N263" s="84"/>
      <c r="O263" s="84"/>
      <c r="P263" s="84"/>
      <c r="Q263" s="84"/>
      <c r="R263" s="84"/>
      <c r="S263" s="84"/>
    </row>
    <row r="264" spans="1:20" s="1" customFormat="1" ht="21.6" customHeight="1" x14ac:dyDescent="0.25">
      <c r="A264" s="85" t="s">
        <v>524</v>
      </c>
      <c r="B264" s="85"/>
      <c r="C264" s="85"/>
      <c r="D264" s="85"/>
      <c r="E264" s="85"/>
      <c r="F264" s="85"/>
      <c r="G264" s="85"/>
      <c r="H264" s="85"/>
      <c r="I264" s="85"/>
      <c r="J264" s="85"/>
      <c r="K264" s="85"/>
      <c r="L264" s="85"/>
      <c r="M264" s="85"/>
      <c r="N264" s="85"/>
      <c r="O264" s="85"/>
      <c r="P264" s="85"/>
      <c r="Q264" s="85"/>
      <c r="R264" s="85"/>
      <c r="S264" s="85"/>
    </row>
    <row r="265" spans="1:20" s="1" customFormat="1" ht="14.1" customHeight="1" x14ac:dyDescent="0.25">
      <c r="A265" s="84" t="s">
        <v>54</v>
      </c>
      <c r="B265" s="84"/>
      <c r="C265" s="84"/>
      <c r="D265" s="84"/>
      <c r="E265" s="84"/>
      <c r="F265" s="84"/>
      <c r="G265" s="84"/>
      <c r="H265" s="84"/>
      <c r="I265" s="84"/>
      <c r="J265" s="84"/>
      <c r="K265" s="84"/>
      <c r="L265" s="84"/>
      <c r="M265" s="84"/>
      <c r="N265" s="84"/>
      <c r="O265" s="84"/>
      <c r="P265" s="84"/>
      <c r="Q265" s="84"/>
      <c r="R265" s="84"/>
      <c r="S265" s="84"/>
    </row>
    <row r="266" spans="1:20" s="1" customFormat="1" ht="12.15" customHeight="1" x14ac:dyDescent="0.25">
      <c r="A266" s="85" t="s">
        <v>685</v>
      </c>
      <c r="B266" s="85"/>
      <c r="C266" s="85"/>
      <c r="D266" s="85"/>
      <c r="E266" s="85"/>
      <c r="F266" s="85"/>
      <c r="G266" s="85"/>
      <c r="H266" s="85"/>
      <c r="I266" s="85"/>
      <c r="J266" s="85"/>
      <c r="K266" s="85"/>
      <c r="L266" s="85"/>
      <c r="M266" s="85"/>
      <c r="N266" s="85"/>
      <c r="O266" s="85"/>
      <c r="P266" s="85"/>
      <c r="Q266" s="85"/>
      <c r="R266" s="85"/>
      <c r="S266" s="85"/>
    </row>
    <row r="267" spans="1:20" s="1" customFormat="1" ht="14.1" customHeight="1" x14ac:dyDescent="0.25">
      <c r="A267" s="86"/>
      <c r="B267" s="86"/>
      <c r="C267" s="86"/>
      <c r="D267" s="86"/>
      <c r="E267" s="86"/>
      <c r="F267" s="86"/>
      <c r="G267" s="86"/>
      <c r="H267" s="86"/>
      <c r="I267" s="86"/>
      <c r="J267" s="86"/>
      <c r="K267" s="86"/>
      <c r="L267" s="86"/>
      <c r="M267" s="86"/>
      <c r="N267" s="86"/>
      <c r="O267" s="86"/>
      <c r="P267" s="86"/>
      <c r="Q267" s="86"/>
      <c r="R267" s="86"/>
      <c r="S267" s="86"/>
    </row>
    <row r="268" spans="1:20" s="1" customFormat="1" ht="14.1" customHeight="1" x14ac:dyDescent="0.25">
      <c r="A268" s="84" t="s">
        <v>56</v>
      </c>
      <c r="B268" s="84"/>
      <c r="C268" s="84"/>
      <c r="D268" s="84"/>
      <c r="E268" s="84"/>
      <c r="F268" s="84"/>
      <c r="G268" s="84"/>
      <c r="H268" s="84"/>
      <c r="I268" s="84"/>
      <c r="J268" s="84"/>
      <c r="K268" s="84"/>
      <c r="L268" s="84"/>
      <c r="M268" s="84"/>
      <c r="N268" s="84"/>
      <c r="O268" s="84"/>
      <c r="P268" s="84"/>
      <c r="Q268" s="84"/>
      <c r="R268" s="84"/>
      <c r="S268" s="84"/>
    </row>
    <row r="269" spans="1:20" s="1" customFormat="1" ht="49.2" customHeight="1" x14ac:dyDescent="0.25">
      <c r="A269" s="85" t="s">
        <v>525</v>
      </c>
      <c r="B269" s="85"/>
      <c r="C269" s="85"/>
      <c r="D269" s="85"/>
      <c r="E269" s="85"/>
      <c r="F269" s="85"/>
      <c r="G269" s="85"/>
      <c r="H269" s="85"/>
      <c r="I269" s="85"/>
      <c r="J269" s="85"/>
      <c r="K269" s="85"/>
      <c r="L269" s="85"/>
      <c r="M269" s="85"/>
      <c r="N269" s="85"/>
      <c r="O269" s="85"/>
      <c r="P269" s="85"/>
      <c r="Q269" s="85"/>
      <c r="R269" s="85"/>
      <c r="S269" s="85"/>
    </row>
    <row r="270" spans="1:20" s="1" customFormat="1" ht="72.45" customHeight="1" x14ac:dyDescent="0.25">
      <c r="J270" s="100" t="s">
        <v>0</v>
      </c>
      <c r="K270" s="100"/>
      <c r="L270" s="100"/>
      <c r="M270" s="100"/>
      <c r="N270" s="100"/>
      <c r="O270" s="100"/>
      <c r="P270" s="100"/>
      <c r="Q270" s="100"/>
      <c r="R270" s="100"/>
      <c r="S270" s="100"/>
      <c r="T270" s="100"/>
    </row>
    <row r="271" spans="1:20" s="1" customFormat="1" ht="7.05" customHeight="1" x14ac:dyDescent="0.25"/>
    <row r="272" spans="1:20" s="1" customFormat="1" ht="14.1" customHeight="1" x14ac:dyDescent="0.25">
      <c r="B272" s="101" t="s">
        <v>744</v>
      </c>
      <c r="C272" s="101"/>
      <c r="D272" s="101"/>
      <c r="E272" s="101"/>
      <c r="F272" s="101"/>
      <c r="G272" s="101"/>
      <c r="H272" s="101"/>
      <c r="I272" s="101"/>
      <c r="J272" s="101"/>
      <c r="K272" s="101"/>
      <c r="L272" s="101"/>
      <c r="M272" s="101"/>
      <c r="N272" s="101"/>
      <c r="O272" s="101"/>
      <c r="P272" s="101"/>
      <c r="Q272" s="101"/>
      <c r="R272" s="101"/>
    </row>
    <row r="273" spans="1:20" s="1" customFormat="1" ht="14.1" customHeight="1" x14ac:dyDescent="0.25"/>
    <row r="274" spans="1:20" s="1" customFormat="1" ht="14.1" customHeight="1" x14ac:dyDescent="0.25">
      <c r="A274" s="102" t="s">
        <v>2</v>
      </c>
      <c r="B274" s="102"/>
      <c r="C274" s="102"/>
      <c r="D274" s="103" t="s">
        <v>526</v>
      </c>
      <c r="E274" s="103"/>
      <c r="F274" s="103"/>
      <c r="G274" s="103"/>
      <c r="H274" s="103"/>
      <c r="I274" s="103"/>
      <c r="J274" s="103"/>
      <c r="K274" s="103"/>
      <c r="L274" s="103"/>
      <c r="M274" s="103"/>
      <c r="N274" s="103"/>
      <c r="O274" s="103"/>
      <c r="P274" s="103"/>
      <c r="Q274" s="103"/>
      <c r="R274" s="103"/>
      <c r="S274" s="103"/>
      <c r="T274" s="103"/>
    </row>
    <row r="275" spans="1:20" s="1" customFormat="1" ht="14.1" customHeight="1" x14ac:dyDescent="0.25">
      <c r="A275" s="102" t="s">
        <v>4</v>
      </c>
      <c r="B275" s="102"/>
      <c r="C275" s="103">
        <v>3</v>
      </c>
      <c r="D275" s="103"/>
      <c r="E275" s="103"/>
      <c r="F275" s="103"/>
      <c r="G275" s="103"/>
      <c r="H275" s="103"/>
      <c r="I275" s="103"/>
      <c r="J275" s="103"/>
      <c r="K275" s="103"/>
      <c r="L275" s="103"/>
      <c r="M275" s="103"/>
      <c r="N275" s="103"/>
      <c r="O275" s="103"/>
      <c r="P275" s="103"/>
      <c r="Q275" s="103"/>
      <c r="R275" s="103"/>
      <c r="S275" s="103"/>
      <c r="T275" s="103"/>
    </row>
    <row r="276" spans="1:20" s="1" customFormat="1" ht="14.1" customHeight="1" x14ac:dyDescent="0.25">
      <c r="A276" s="102" t="s">
        <v>6</v>
      </c>
      <c r="B276" s="102"/>
      <c r="C276" s="102"/>
      <c r="D276" s="102"/>
      <c r="E276" s="102"/>
      <c r="F276" s="103" t="s">
        <v>75</v>
      </c>
      <c r="G276" s="103"/>
      <c r="H276" s="103"/>
      <c r="I276" s="103"/>
      <c r="J276" s="103"/>
      <c r="K276" s="103"/>
      <c r="L276" s="103"/>
      <c r="M276" s="103"/>
      <c r="N276" s="103"/>
      <c r="O276" s="103"/>
      <c r="P276" s="103"/>
      <c r="Q276" s="103"/>
      <c r="R276" s="103"/>
      <c r="S276" s="103"/>
      <c r="T276" s="103"/>
    </row>
    <row r="277" spans="1:20" s="1" customFormat="1" ht="22.35" customHeight="1" x14ac:dyDescent="0.25">
      <c r="F277" s="103"/>
      <c r="G277" s="103"/>
      <c r="H277" s="103"/>
      <c r="I277" s="103"/>
      <c r="J277" s="103"/>
      <c r="K277" s="103"/>
      <c r="L277" s="103"/>
      <c r="M277" s="103"/>
      <c r="N277" s="103"/>
      <c r="O277" s="103"/>
      <c r="P277" s="103"/>
      <c r="Q277" s="103"/>
      <c r="R277" s="103"/>
      <c r="S277" s="103"/>
      <c r="T277" s="103"/>
    </row>
    <row r="278" spans="1:20" s="1" customFormat="1" ht="13.2" x14ac:dyDescent="0.25">
      <c r="A278" s="104" t="s">
        <v>754</v>
      </c>
      <c r="B278" s="93"/>
      <c r="C278" s="93"/>
      <c r="D278" s="93"/>
      <c r="E278" s="93"/>
      <c r="F278" s="93"/>
      <c r="G278" s="93"/>
      <c r="H278" s="93"/>
      <c r="I278" s="93"/>
      <c r="J278" s="93"/>
      <c r="K278" s="93"/>
      <c r="L278" s="93"/>
      <c r="M278" s="93"/>
      <c r="N278" s="93"/>
      <c r="O278" s="93"/>
      <c r="P278" s="93"/>
      <c r="Q278" s="93"/>
      <c r="R278" s="93"/>
      <c r="S278" s="93"/>
    </row>
    <row r="279" spans="1:20" s="1" customFormat="1" ht="49.95" customHeight="1" x14ac:dyDescent="0.25">
      <c r="A279" s="92" t="s">
        <v>745</v>
      </c>
      <c r="B279" s="93"/>
      <c r="C279" s="93"/>
      <c r="D279" s="93"/>
      <c r="E279" s="93"/>
      <c r="F279" s="93"/>
      <c r="G279" s="93"/>
      <c r="H279" s="93"/>
      <c r="I279" s="93"/>
      <c r="J279" s="93"/>
      <c r="K279" s="93"/>
      <c r="L279" s="93"/>
      <c r="M279" s="93"/>
      <c r="N279" s="93"/>
      <c r="O279" s="93"/>
      <c r="P279" s="93"/>
      <c r="Q279" s="93"/>
      <c r="R279" s="93"/>
      <c r="S279" s="93"/>
    </row>
    <row r="280" spans="1:20" s="1" customFormat="1" ht="7.05" customHeight="1" x14ac:dyDescent="0.25">
      <c r="A280" s="86"/>
      <c r="B280" s="86"/>
      <c r="C280" s="86"/>
      <c r="D280" s="86"/>
      <c r="E280" s="86"/>
      <c r="F280" s="86"/>
      <c r="G280" s="86"/>
      <c r="H280" s="86"/>
      <c r="I280" s="86"/>
      <c r="J280" s="86"/>
      <c r="K280" s="86"/>
      <c r="L280" s="86"/>
      <c r="M280" s="86"/>
      <c r="N280" s="86"/>
      <c r="O280" s="86"/>
      <c r="P280" s="86"/>
      <c r="Q280" s="16"/>
      <c r="R280" s="86"/>
      <c r="S280" s="86"/>
      <c r="T280" s="86"/>
    </row>
    <row r="281" spans="1:20" s="1" customFormat="1" ht="16.95" customHeight="1" x14ac:dyDescent="0.25">
      <c r="A281" s="94" t="s">
        <v>8</v>
      </c>
      <c r="B281" s="94"/>
      <c r="C281" s="94"/>
      <c r="D281" s="94"/>
      <c r="E281" s="94"/>
      <c r="F281" s="94"/>
      <c r="G281" s="94"/>
      <c r="H281" s="94"/>
      <c r="I281" s="94"/>
      <c r="J281" s="94"/>
      <c r="K281" s="94"/>
      <c r="L281" s="94"/>
      <c r="M281" s="95" t="s">
        <v>9</v>
      </c>
      <c r="N281" s="95"/>
      <c r="O281" s="95"/>
      <c r="P281" s="95"/>
      <c r="Q281" s="95"/>
      <c r="R281" s="95"/>
      <c r="S281" s="95"/>
      <c r="T281" s="95"/>
    </row>
    <row r="282" spans="1:20" s="1" customFormat="1" ht="16.95" customHeight="1" x14ac:dyDescent="0.25">
      <c r="A282" s="94"/>
      <c r="B282" s="94"/>
      <c r="C282" s="94"/>
      <c r="D282" s="94"/>
      <c r="E282" s="94"/>
      <c r="F282" s="94"/>
      <c r="G282" s="94"/>
      <c r="H282" s="94"/>
      <c r="I282" s="94"/>
      <c r="J282" s="94"/>
      <c r="K282" s="94"/>
      <c r="L282" s="94"/>
      <c r="M282" s="96" t="s">
        <v>10</v>
      </c>
      <c r="N282" s="96"/>
      <c r="O282" s="96"/>
      <c r="P282" s="96"/>
      <c r="Q282" s="97" t="s">
        <v>11</v>
      </c>
      <c r="R282" s="97"/>
      <c r="S282" s="97"/>
      <c r="T282" s="97"/>
    </row>
    <row r="283" spans="1:20" s="1" customFormat="1" ht="16.95" customHeight="1" x14ac:dyDescent="0.25">
      <c r="A283" s="94"/>
      <c r="B283" s="94"/>
      <c r="C283" s="94"/>
      <c r="D283" s="94"/>
      <c r="E283" s="94"/>
      <c r="F283" s="94"/>
      <c r="G283" s="94"/>
      <c r="H283" s="94"/>
      <c r="I283" s="94"/>
      <c r="J283" s="94"/>
      <c r="K283" s="94"/>
      <c r="L283" s="94"/>
      <c r="M283" s="98" t="s">
        <v>12</v>
      </c>
      <c r="N283" s="98"/>
      <c r="O283" s="98" t="s">
        <v>13</v>
      </c>
      <c r="P283" s="98"/>
      <c r="Q283" s="13" t="s">
        <v>14</v>
      </c>
      <c r="R283" s="99" t="s">
        <v>15</v>
      </c>
      <c r="S283" s="99"/>
      <c r="T283" s="99"/>
    </row>
    <row r="284" spans="1:20" s="1" customFormat="1" ht="13.35" customHeight="1" x14ac:dyDescent="0.25">
      <c r="A284" s="88" t="s">
        <v>90</v>
      </c>
      <c r="B284" s="88"/>
      <c r="C284" s="88"/>
      <c r="D284" s="88"/>
      <c r="E284" s="88"/>
      <c r="F284" s="88"/>
      <c r="G284" s="88"/>
      <c r="H284" s="88"/>
      <c r="I284" s="88"/>
      <c r="J284" s="88"/>
      <c r="K284" s="88"/>
      <c r="L284" s="88"/>
      <c r="M284" s="88">
        <v>104.16</v>
      </c>
      <c r="N284" s="88"/>
      <c r="O284" s="88">
        <v>83.33</v>
      </c>
      <c r="P284" s="88"/>
      <c r="Q284" s="23">
        <v>10.41</v>
      </c>
      <c r="R284" s="88">
        <v>8.33</v>
      </c>
      <c r="S284" s="88"/>
      <c r="T284" s="88"/>
    </row>
    <row r="285" spans="1:20" s="1" customFormat="1" ht="13.35" customHeight="1" x14ac:dyDescent="0.25">
      <c r="A285" s="88" t="s">
        <v>529</v>
      </c>
      <c r="B285" s="88"/>
      <c r="C285" s="88"/>
      <c r="D285" s="88"/>
      <c r="E285" s="88"/>
      <c r="F285" s="88"/>
      <c r="G285" s="88"/>
      <c r="H285" s="88"/>
      <c r="I285" s="88"/>
      <c r="J285" s="88"/>
      <c r="K285" s="88"/>
      <c r="L285" s="88"/>
      <c r="M285" s="88">
        <v>13.33</v>
      </c>
      <c r="N285" s="88"/>
      <c r="O285" s="88">
        <v>13.33</v>
      </c>
      <c r="P285" s="88"/>
      <c r="Q285" s="6">
        <v>1.33</v>
      </c>
      <c r="R285" s="88">
        <v>1.33</v>
      </c>
      <c r="S285" s="88"/>
      <c r="T285" s="88"/>
    </row>
    <row r="286" spans="1:20" s="1" customFormat="1" ht="13.35" customHeight="1" x14ac:dyDescent="0.25">
      <c r="A286" s="88" t="s">
        <v>18</v>
      </c>
      <c r="B286" s="88"/>
      <c r="C286" s="88"/>
      <c r="D286" s="88"/>
      <c r="E286" s="88"/>
      <c r="F286" s="88"/>
      <c r="G286" s="88"/>
      <c r="H286" s="88"/>
      <c r="I286" s="88"/>
      <c r="J286" s="88"/>
      <c r="K286" s="88"/>
      <c r="L286" s="88"/>
      <c r="M286" s="88">
        <f>3.6*100/60</f>
        <v>6</v>
      </c>
      <c r="N286" s="88"/>
      <c r="O286" s="88">
        <v>6</v>
      </c>
      <c r="P286" s="88"/>
      <c r="Q286" s="6">
        <v>0.6</v>
      </c>
      <c r="R286" s="88">
        <v>0.6</v>
      </c>
      <c r="S286" s="88"/>
      <c r="T286" s="88"/>
    </row>
    <row r="287" spans="1:20" s="1" customFormat="1" ht="14.1" customHeight="1" x14ac:dyDescent="0.25">
      <c r="A287" s="90" t="s">
        <v>134</v>
      </c>
      <c r="B287" s="90"/>
      <c r="C287" s="90"/>
      <c r="D287" s="90"/>
      <c r="E287" s="90"/>
      <c r="F287" s="90"/>
      <c r="G287" s="90"/>
      <c r="H287" s="90"/>
      <c r="I287" s="90"/>
      <c r="J287" s="90"/>
      <c r="K287" s="90"/>
      <c r="L287" s="90"/>
      <c r="M287" s="90"/>
      <c r="N287" s="90"/>
      <c r="O287" s="90"/>
      <c r="P287" s="90"/>
      <c r="Q287" s="90"/>
      <c r="R287" s="90"/>
      <c r="S287" s="90"/>
      <c r="T287" s="90"/>
    </row>
    <row r="288" spans="1:20" s="1" customFormat="1" ht="21.3" customHeight="1" x14ac:dyDescent="0.25"/>
    <row r="289" spans="1:19" s="1" customFormat="1" ht="14.1" customHeight="1" x14ac:dyDescent="0.25">
      <c r="A289" s="91" t="s">
        <v>33</v>
      </c>
      <c r="B289" s="91"/>
      <c r="C289" s="91"/>
      <c r="D289" s="91"/>
      <c r="E289" s="91"/>
      <c r="F289" s="91"/>
      <c r="G289" s="91"/>
      <c r="H289" s="91"/>
      <c r="I289" s="91"/>
      <c r="J289" s="91"/>
      <c r="K289" s="91"/>
      <c r="L289" s="91"/>
      <c r="M289" s="91"/>
      <c r="N289" s="91"/>
    </row>
    <row r="290" spans="1:19" s="1" customFormat="1" ht="13.35" customHeight="1" x14ac:dyDescent="0.25">
      <c r="A290" s="88" t="s">
        <v>34</v>
      </c>
      <c r="B290" s="88"/>
      <c r="C290" s="88"/>
      <c r="D290" s="88"/>
      <c r="E290" s="89">
        <f>0.9*100/60</f>
        <v>1.5</v>
      </c>
      <c r="F290" s="89"/>
      <c r="G290" s="17"/>
      <c r="H290" s="6" t="s">
        <v>35</v>
      </c>
      <c r="I290" s="89">
        <v>0.02</v>
      </c>
      <c r="J290" s="89"/>
      <c r="K290" s="17"/>
      <c r="L290" s="88" t="s">
        <v>36</v>
      </c>
      <c r="M290" s="88"/>
      <c r="N290" s="89">
        <v>22.41</v>
      </c>
      <c r="O290" s="89"/>
    </row>
    <row r="291" spans="1:19" s="1" customFormat="1" ht="13.35" customHeight="1" x14ac:dyDescent="0.25">
      <c r="A291" s="88" t="s">
        <v>37</v>
      </c>
      <c r="B291" s="88"/>
      <c r="C291" s="88"/>
      <c r="D291" s="88"/>
      <c r="E291" s="89">
        <f>4.7*100/60</f>
        <v>7.833333333333333</v>
      </c>
      <c r="F291" s="89"/>
      <c r="G291" s="17"/>
      <c r="H291" s="6" t="s">
        <v>38</v>
      </c>
      <c r="I291" s="89">
        <v>2</v>
      </c>
      <c r="J291" s="89"/>
      <c r="K291" s="17"/>
      <c r="L291" s="88" t="s">
        <v>39</v>
      </c>
      <c r="M291" s="88"/>
      <c r="N291" s="89">
        <v>12.92</v>
      </c>
      <c r="O291" s="89"/>
    </row>
    <row r="292" spans="1:19" s="1" customFormat="1" ht="13.35" customHeight="1" x14ac:dyDescent="0.25">
      <c r="A292" s="88" t="s">
        <v>40</v>
      </c>
      <c r="B292" s="88"/>
      <c r="C292" s="88"/>
      <c r="D292" s="88"/>
      <c r="E292" s="89">
        <f>11.4*100/60</f>
        <v>19</v>
      </c>
      <c r="F292" s="89"/>
      <c r="G292" s="17"/>
      <c r="H292" s="6" t="s">
        <v>41</v>
      </c>
      <c r="I292" s="89">
        <v>0</v>
      </c>
      <c r="J292" s="89"/>
      <c r="K292" s="17"/>
      <c r="L292" s="88" t="s">
        <v>42</v>
      </c>
      <c r="M292" s="88"/>
      <c r="N292" s="89">
        <v>28.71</v>
      </c>
      <c r="O292" s="89"/>
    </row>
    <row r="293" spans="1:19" s="1" customFormat="1" ht="13.35" customHeight="1" x14ac:dyDescent="0.25">
      <c r="A293" s="88" t="s">
        <v>43</v>
      </c>
      <c r="B293" s="88"/>
      <c r="C293" s="88"/>
      <c r="D293" s="88"/>
      <c r="E293" s="89">
        <f>74.5*100/60</f>
        <v>124.16666666666667</v>
      </c>
      <c r="F293" s="89"/>
      <c r="G293" s="17"/>
      <c r="H293" s="6" t="s">
        <v>44</v>
      </c>
      <c r="I293" s="89">
        <v>1.58</v>
      </c>
      <c r="J293" s="89"/>
      <c r="K293" s="17"/>
      <c r="L293" s="88" t="s">
        <v>45</v>
      </c>
      <c r="M293" s="88"/>
      <c r="N293" s="89">
        <v>0.85</v>
      </c>
      <c r="O293" s="89"/>
    </row>
    <row r="294" spans="1:19" s="1" customFormat="1" ht="13.35" customHeight="1" x14ac:dyDescent="0.25">
      <c r="A294" s="87"/>
      <c r="B294" s="87"/>
      <c r="C294" s="87"/>
      <c r="D294" s="87"/>
      <c r="E294" s="87"/>
      <c r="F294" s="87"/>
      <c r="G294" s="17"/>
      <c r="H294" s="6" t="s">
        <v>46</v>
      </c>
      <c r="I294" s="89">
        <v>0</v>
      </c>
      <c r="J294" s="89"/>
      <c r="K294" s="17"/>
      <c r="L294" s="88" t="s">
        <v>47</v>
      </c>
      <c r="M294" s="88"/>
      <c r="N294" s="89">
        <v>210.4</v>
      </c>
      <c r="O294" s="89"/>
    </row>
    <row r="295" spans="1:19" s="1" customFormat="1" ht="13.35" customHeight="1" x14ac:dyDescent="0.25">
      <c r="A295" s="87"/>
      <c r="B295" s="87"/>
      <c r="C295" s="87"/>
      <c r="D295" s="87"/>
      <c r="E295" s="87"/>
      <c r="F295" s="87"/>
      <c r="G295" s="17"/>
      <c r="H295" s="6" t="s">
        <v>48</v>
      </c>
      <c r="I295" s="89">
        <v>0.03</v>
      </c>
      <c r="J295" s="89"/>
      <c r="K295" s="17"/>
      <c r="L295" s="88" t="s">
        <v>49</v>
      </c>
      <c r="M295" s="88"/>
      <c r="N295" s="89">
        <v>3.5</v>
      </c>
      <c r="O295" s="89"/>
    </row>
    <row r="296" spans="1:19" s="1" customFormat="1" ht="13.35" customHeight="1" x14ac:dyDescent="0.25">
      <c r="A296" s="87"/>
      <c r="B296" s="87"/>
      <c r="C296" s="87"/>
      <c r="D296" s="87"/>
      <c r="E296" s="87"/>
      <c r="F296" s="87"/>
      <c r="G296" s="17"/>
      <c r="H296" s="17"/>
      <c r="I296" s="87"/>
      <c r="J296" s="87"/>
      <c r="K296" s="17"/>
      <c r="L296" s="88" t="s">
        <v>50</v>
      </c>
      <c r="M296" s="88"/>
      <c r="N296" s="89">
        <v>0.01</v>
      </c>
      <c r="O296" s="89"/>
    </row>
    <row r="297" spans="1:19" s="1" customFormat="1" ht="13.35" customHeight="1" x14ac:dyDescent="0.25">
      <c r="A297" s="87"/>
      <c r="B297" s="87"/>
      <c r="C297" s="87"/>
      <c r="D297" s="87"/>
      <c r="E297" s="87"/>
      <c r="F297" s="87"/>
      <c r="G297" s="17"/>
      <c r="H297" s="17"/>
      <c r="I297" s="87"/>
      <c r="J297" s="87"/>
      <c r="K297" s="17"/>
      <c r="L297" s="88" t="s">
        <v>51</v>
      </c>
      <c r="M297" s="88"/>
      <c r="N297" s="89">
        <v>0</v>
      </c>
      <c r="O297" s="89"/>
    </row>
    <row r="298" spans="1:19" s="1" customFormat="1" ht="14.1" customHeight="1" x14ac:dyDescent="0.25">
      <c r="A298" s="86"/>
      <c r="B298" s="86"/>
      <c r="C298" s="86"/>
      <c r="D298" s="86"/>
      <c r="E298" s="86"/>
      <c r="F298" s="86"/>
      <c r="G298" s="86"/>
      <c r="H298" s="86"/>
      <c r="I298" s="86"/>
      <c r="J298" s="86"/>
      <c r="K298" s="86"/>
      <c r="L298" s="86"/>
      <c r="M298" s="86"/>
      <c r="N298" s="86"/>
      <c r="O298" s="86"/>
      <c r="P298" s="86"/>
      <c r="Q298" s="86"/>
      <c r="R298" s="86"/>
      <c r="S298" s="86"/>
    </row>
    <row r="299" spans="1:19" s="1" customFormat="1" ht="14.1" customHeight="1" x14ac:dyDescent="0.25">
      <c r="A299" s="84" t="s">
        <v>52</v>
      </c>
      <c r="B299" s="84"/>
      <c r="C299" s="84"/>
      <c r="D299" s="84"/>
      <c r="E299" s="84"/>
      <c r="F299" s="84"/>
      <c r="G299" s="84"/>
      <c r="H299" s="84"/>
      <c r="I299" s="84"/>
      <c r="J299" s="84"/>
      <c r="K299" s="84"/>
      <c r="L299" s="84"/>
      <c r="M299" s="84"/>
      <c r="N299" s="84"/>
      <c r="O299" s="84"/>
      <c r="P299" s="84"/>
      <c r="Q299" s="84"/>
      <c r="R299" s="84"/>
      <c r="S299" s="84"/>
    </row>
    <row r="300" spans="1:19" s="1" customFormat="1" ht="40.049999999999997" customHeight="1" x14ac:dyDescent="0.25">
      <c r="A300" s="85" t="s">
        <v>530</v>
      </c>
      <c r="B300" s="85"/>
      <c r="C300" s="85"/>
      <c r="D300" s="85"/>
      <c r="E300" s="85"/>
      <c r="F300" s="85"/>
      <c r="G300" s="85"/>
      <c r="H300" s="85"/>
      <c r="I300" s="85"/>
      <c r="J300" s="85"/>
      <c r="K300" s="85"/>
      <c r="L300" s="85"/>
      <c r="M300" s="85"/>
      <c r="N300" s="85"/>
      <c r="O300" s="85"/>
      <c r="P300" s="85"/>
      <c r="Q300" s="85"/>
      <c r="R300" s="85"/>
      <c r="S300" s="85"/>
    </row>
    <row r="301" spans="1:19" s="1" customFormat="1" ht="14.1" customHeight="1" x14ac:dyDescent="0.25">
      <c r="A301" s="84" t="s">
        <v>54</v>
      </c>
      <c r="B301" s="84"/>
      <c r="C301" s="84"/>
      <c r="D301" s="84"/>
      <c r="E301" s="84"/>
      <c r="F301" s="84"/>
      <c r="G301" s="84"/>
      <c r="H301" s="84"/>
      <c r="I301" s="84"/>
      <c r="J301" s="84"/>
      <c r="K301" s="84"/>
      <c r="L301" s="84"/>
      <c r="M301" s="84"/>
      <c r="N301" s="84"/>
      <c r="O301" s="84"/>
      <c r="P301" s="84"/>
      <c r="Q301" s="84"/>
      <c r="R301" s="84"/>
      <c r="S301" s="84"/>
    </row>
    <row r="302" spans="1:19" s="1" customFormat="1" ht="12.15" customHeight="1" x14ac:dyDescent="0.25">
      <c r="A302" s="85" t="s">
        <v>685</v>
      </c>
      <c r="B302" s="85"/>
      <c r="C302" s="85"/>
      <c r="D302" s="85"/>
      <c r="E302" s="85"/>
      <c r="F302" s="85"/>
      <c r="G302" s="85"/>
      <c r="H302" s="85"/>
      <c r="I302" s="85"/>
      <c r="J302" s="85"/>
      <c r="K302" s="85"/>
      <c r="L302" s="85"/>
      <c r="M302" s="85"/>
      <c r="N302" s="85"/>
      <c r="O302" s="85"/>
      <c r="P302" s="85"/>
      <c r="Q302" s="85"/>
      <c r="R302" s="85"/>
      <c r="S302" s="85"/>
    </row>
    <row r="303" spans="1:19" s="1" customFormat="1" ht="14.1" customHeight="1" x14ac:dyDescent="0.25">
      <c r="A303" s="86"/>
      <c r="B303" s="86"/>
      <c r="C303" s="86"/>
      <c r="D303" s="86"/>
      <c r="E303" s="86"/>
      <c r="F303" s="86"/>
      <c r="G303" s="86"/>
      <c r="H303" s="86"/>
      <c r="I303" s="86"/>
      <c r="J303" s="86"/>
      <c r="K303" s="86"/>
      <c r="L303" s="86"/>
      <c r="M303" s="86"/>
      <c r="N303" s="86"/>
      <c r="O303" s="86"/>
      <c r="P303" s="86"/>
      <c r="Q303" s="86"/>
      <c r="R303" s="86"/>
      <c r="S303" s="86"/>
    </row>
    <row r="304" spans="1:19" s="1" customFormat="1" ht="14.1" customHeight="1" x14ac:dyDescent="0.25">
      <c r="A304" s="84" t="s">
        <v>56</v>
      </c>
      <c r="B304" s="84"/>
      <c r="C304" s="84"/>
      <c r="D304" s="84"/>
      <c r="E304" s="84"/>
      <c r="F304" s="84"/>
      <c r="G304" s="84"/>
      <c r="H304" s="84"/>
      <c r="I304" s="84"/>
      <c r="J304" s="84"/>
      <c r="K304" s="84"/>
      <c r="L304" s="84"/>
      <c r="M304" s="84"/>
      <c r="N304" s="84"/>
      <c r="O304" s="84"/>
      <c r="P304" s="84"/>
      <c r="Q304" s="84"/>
      <c r="R304" s="84"/>
      <c r="S304" s="84"/>
    </row>
    <row r="305" spans="1:19" s="1" customFormat="1" ht="49.2" customHeight="1" x14ac:dyDescent="0.25">
      <c r="A305" s="85" t="s">
        <v>531</v>
      </c>
      <c r="B305" s="85"/>
      <c r="C305" s="85"/>
      <c r="D305" s="85"/>
      <c r="E305" s="85"/>
      <c r="F305" s="85"/>
      <c r="G305" s="85"/>
      <c r="H305" s="85"/>
      <c r="I305" s="85"/>
      <c r="J305" s="85"/>
      <c r="K305" s="85"/>
      <c r="L305" s="85"/>
      <c r="M305" s="85"/>
      <c r="N305" s="85"/>
      <c r="O305" s="85"/>
      <c r="P305" s="85"/>
      <c r="Q305" s="85"/>
      <c r="R305" s="85"/>
      <c r="S305" s="85"/>
    </row>
  </sheetData>
  <mergeCells count="741">
    <mergeCell ref="A304:S304"/>
    <mergeCell ref="A305:S305"/>
    <mergeCell ref="A300:S300"/>
    <mergeCell ref="A301:S301"/>
    <mergeCell ref="A302:S302"/>
    <mergeCell ref="A303:S303"/>
    <mergeCell ref="A296:D296"/>
    <mergeCell ref="E296:F296"/>
    <mergeCell ref="I296:J296"/>
    <mergeCell ref="L296:M296"/>
    <mergeCell ref="N296:O296"/>
    <mergeCell ref="A297:D297"/>
    <mergeCell ref="E297:F297"/>
    <mergeCell ref="I297:J297"/>
    <mergeCell ref="L297:M297"/>
    <mergeCell ref="N297:O297"/>
    <mergeCell ref="A298:S298"/>
    <mergeCell ref="A299:S299"/>
    <mergeCell ref="A294:D294"/>
    <mergeCell ref="E294:F294"/>
    <mergeCell ref="I294:J294"/>
    <mergeCell ref="L294:M294"/>
    <mergeCell ref="N294:O294"/>
    <mergeCell ref="A295:D295"/>
    <mergeCell ref="E295:F295"/>
    <mergeCell ref="I295:J295"/>
    <mergeCell ref="L295:M295"/>
    <mergeCell ref="N295:O295"/>
    <mergeCell ref="A293:D293"/>
    <mergeCell ref="E293:F293"/>
    <mergeCell ref="I293:J293"/>
    <mergeCell ref="L293:M293"/>
    <mergeCell ref="N293:O293"/>
    <mergeCell ref="A290:D290"/>
    <mergeCell ref="E290:F290"/>
    <mergeCell ref="I290:J290"/>
    <mergeCell ref="L290:M290"/>
    <mergeCell ref="N290:O290"/>
    <mergeCell ref="A291:D291"/>
    <mergeCell ref="E291:F291"/>
    <mergeCell ref="I291:J291"/>
    <mergeCell ref="L291:M291"/>
    <mergeCell ref="N291:O291"/>
    <mergeCell ref="A284:L284"/>
    <mergeCell ref="M284:N284"/>
    <mergeCell ref="O284:P284"/>
    <mergeCell ref="R284:T284"/>
    <mergeCell ref="A292:D292"/>
    <mergeCell ref="E292:F292"/>
    <mergeCell ref="I292:J292"/>
    <mergeCell ref="L292:M292"/>
    <mergeCell ref="N292:O292"/>
    <mergeCell ref="A286:L286"/>
    <mergeCell ref="M286:N286"/>
    <mergeCell ref="O286:P286"/>
    <mergeCell ref="R286:T286"/>
    <mergeCell ref="A287:T287"/>
    <mergeCell ref="A289:N289"/>
    <mergeCell ref="A285:L285"/>
    <mergeCell ref="M285:N285"/>
    <mergeCell ref="O285:P285"/>
    <mergeCell ref="R285:T285"/>
    <mergeCell ref="A280:L280"/>
    <mergeCell ref="M280:N280"/>
    <mergeCell ref="O280:P280"/>
    <mergeCell ref="R280:T280"/>
    <mergeCell ref="A281:L283"/>
    <mergeCell ref="M281:T281"/>
    <mergeCell ref="M282:P282"/>
    <mergeCell ref="Q282:T282"/>
    <mergeCell ref="M283:N283"/>
    <mergeCell ref="O283:P283"/>
    <mergeCell ref="R283:T283"/>
    <mergeCell ref="A275:B275"/>
    <mergeCell ref="C275:T275"/>
    <mergeCell ref="A276:E276"/>
    <mergeCell ref="F276:T277"/>
    <mergeCell ref="A278:S278"/>
    <mergeCell ref="A279:S279"/>
    <mergeCell ref="A268:S268"/>
    <mergeCell ref="A269:S269"/>
    <mergeCell ref="J270:T270"/>
    <mergeCell ref="B272:R272"/>
    <mergeCell ref="A274:C274"/>
    <mergeCell ref="D274:T274"/>
    <mergeCell ref="A262:S262"/>
    <mergeCell ref="A263:S263"/>
    <mergeCell ref="A264:S264"/>
    <mergeCell ref="A265:S265"/>
    <mergeCell ref="A266:S266"/>
    <mergeCell ref="A267:S267"/>
    <mergeCell ref="A260:D260"/>
    <mergeCell ref="E260:F260"/>
    <mergeCell ref="I260:J260"/>
    <mergeCell ref="L260:M260"/>
    <mergeCell ref="N260:O260"/>
    <mergeCell ref="A261:D261"/>
    <mergeCell ref="E261:F261"/>
    <mergeCell ref="I261:J261"/>
    <mergeCell ref="L261:M261"/>
    <mergeCell ref="N261:O261"/>
    <mergeCell ref="A258:D258"/>
    <mergeCell ref="E258:F258"/>
    <mergeCell ref="I258:J258"/>
    <mergeCell ref="L258:M258"/>
    <mergeCell ref="N258:O258"/>
    <mergeCell ref="A259:D259"/>
    <mergeCell ref="E259:F259"/>
    <mergeCell ref="I259:J259"/>
    <mergeCell ref="L259:M259"/>
    <mergeCell ref="N259:O259"/>
    <mergeCell ref="A256:D256"/>
    <mergeCell ref="E256:F256"/>
    <mergeCell ref="I256:J256"/>
    <mergeCell ref="L256:M256"/>
    <mergeCell ref="N256:O256"/>
    <mergeCell ref="A257:D257"/>
    <mergeCell ref="E257:F257"/>
    <mergeCell ref="I257:J257"/>
    <mergeCell ref="L257:M257"/>
    <mergeCell ref="N257:O257"/>
    <mergeCell ref="A254:D254"/>
    <mergeCell ref="E254:F254"/>
    <mergeCell ref="I254:J254"/>
    <mergeCell ref="L254:M254"/>
    <mergeCell ref="N254:O254"/>
    <mergeCell ref="A255:D255"/>
    <mergeCell ref="E255:F255"/>
    <mergeCell ref="I255:J255"/>
    <mergeCell ref="L255:M255"/>
    <mergeCell ref="N255:O255"/>
    <mergeCell ref="A250:L250"/>
    <mergeCell ref="M250:N250"/>
    <mergeCell ref="O250:P250"/>
    <mergeCell ref="R250:T250"/>
    <mergeCell ref="A251:T251"/>
    <mergeCell ref="A253:N253"/>
    <mergeCell ref="A248:L248"/>
    <mergeCell ref="M248:N248"/>
    <mergeCell ref="O248:P248"/>
    <mergeCell ref="R248:T248"/>
    <mergeCell ref="A249:L249"/>
    <mergeCell ref="M249:N249"/>
    <mergeCell ref="O249:P249"/>
    <mergeCell ref="R249:T249"/>
    <mergeCell ref="A246:L246"/>
    <mergeCell ref="M246:N246"/>
    <mergeCell ref="O246:P246"/>
    <mergeCell ref="R246:T246"/>
    <mergeCell ref="A247:L247"/>
    <mergeCell ref="M247:N247"/>
    <mergeCell ref="O247:P247"/>
    <mergeCell ref="R247:T247"/>
    <mergeCell ref="A244:L244"/>
    <mergeCell ref="M244:N244"/>
    <mergeCell ref="O244:P244"/>
    <mergeCell ref="R244:T244"/>
    <mergeCell ref="A245:L245"/>
    <mergeCell ref="M245:N245"/>
    <mergeCell ref="O245:P245"/>
    <mergeCell ref="R245:T245"/>
    <mergeCell ref="A241:L243"/>
    <mergeCell ref="M241:T241"/>
    <mergeCell ref="M242:P242"/>
    <mergeCell ref="Q242:T242"/>
    <mergeCell ref="M243:N243"/>
    <mergeCell ref="O243:P243"/>
    <mergeCell ref="R243:T243"/>
    <mergeCell ref="M207:N207"/>
    <mergeCell ref="O207:P207"/>
    <mergeCell ref="R207:T207"/>
    <mergeCell ref="A208:L208"/>
    <mergeCell ref="M208:N208"/>
    <mergeCell ref="O208:P208"/>
    <mergeCell ref="R208:T208"/>
    <mergeCell ref="A209:L209"/>
    <mergeCell ref="M209:N209"/>
    <mergeCell ref="A237:B237"/>
    <mergeCell ref="C237:T237"/>
    <mergeCell ref="A238:E238"/>
    <mergeCell ref="F238:T239"/>
    <mergeCell ref="A240:L240"/>
    <mergeCell ref="M240:N240"/>
    <mergeCell ref="O240:P240"/>
    <mergeCell ref="R240:T240"/>
    <mergeCell ref="J232:T232"/>
    <mergeCell ref="B234:R234"/>
    <mergeCell ref="A236:C236"/>
    <mergeCell ref="D236:T236"/>
    <mergeCell ref="A186:S186"/>
    <mergeCell ref="A187:S187"/>
    <mergeCell ref="A188:S188"/>
    <mergeCell ref="A189:S189"/>
    <mergeCell ref="A190:S190"/>
    <mergeCell ref="A191:S191"/>
    <mergeCell ref="A203:L205"/>
    <mergeCell ref="M203:T203"/>
    <mergeCell ref="M204:P204"/>
    <mergeCell ref="Q204:T204"/>
    <mergeCell ref="M205:N205"/>
    <mergeCell ref="O205:P205"/>
    <mergeCell ref="R205:T205"/>
    <mergeCell ref="A206:L206"/>
    <mergeCell ref="M206:N206"/>
    <mergeCell ref="O206:P206"/>
    <mergeCell ref="R206:T206"/>
    <mergeCell ref="A207:L207"/>
    <mergeCell ref="O209:P209"/>
    <mergeCell ref="R209:T209"/>
    <mergeCell ref="A210:L210"/>
    <mergeCell ref="M210:N210"/>
    <mergeCell ref="O210:P210"/>
    <mergeCell ref="R210:T210"/>
    <mergeCell ref="A211:L211"/>
    <mergeCell ref="M211:N211"/>
    <mergeCell ref="A184:D184"/>
    <mergeCell ref="E184:F184"/>
    <mergeCell ref="I184:J184"/>
    <mergeCell ref="L184:M184"/>
    <mergeCell ref="N184:O184"/>
    <mergeCell ref="A185:S185"/>
    <mergeCell ref="A199:B199"/>
    <mergeCell ref="C199:T199"/>
    <mergeCell ref="A200:E200"/>
    <mergeCell ref="F200:T201"/>
    <mergeCell ref="A202:L202"/>
    <mergeCell ref="M202:N202"/>
    <mergeCell ref="O202:P202"/>
    <mergeCell ref="R202:T202"/>
    <mergeCell ref="A192:S192"/>
    <mergeCell ref="A193:S193"/>
    <mergeCell ref="O211:P211"/>
    <mergeCell ref="R211:T211"/>
    <mergeCell ref="A182:D182"/>
    <mergeCell ref="E182:F182"/>
    <mergeCell ref="I182:J182"/>
    <mergeCell ref="L182:M182"/>
    <mergeCell ref="N182:O182"/>
    <mergeCell ref="A183:D183"/>
    <mergeCell ref="E183:F183"/>
    <mergeCell ref="I183:J183"/>
    <mergeCell ref="L183:M183"/>
    <mergeCell ref="N183:O183"/>
    <mergeCell ref="A180:D180"/>
    <mergeCell ref="E180:F180"/>
    <mergeCell ref="I180:J180"/>
    <mergeCell ref="L180:M180"/>
    <mergeCell ref="N180:O180"/>
    <mergeCell ref="A181:D181"/>
    <mergeCell ref="E181:F181"/>
    <mergeCell ref="I181:J181"/>
    <mergeCell ref="L181:M181"/>
    <mergeCell ref="N181:O181"/>
    <mergeCell ref="A178:D178"/>
    <mergeCell ref="E178:F178"/>
    <mergeCell ref="I178:J178"/>
    <mergeCell ref="L178:M178"/>
    <mergeCell ref="N178:O178"/>
    <mergeCell ref="A179:D179"/>
    <mergeCell ref="E179:F179"/>
    <mergeCell ref="I179:J179"/>
    <mergeCell ref="L179:M179"/>
    <mergeCell ref="N179:O179"/>
    <mergeCell ref="A176:N176"/>
    <mergeCell ref="A177:D177"/>
    <mergeCell ref="E177:F177"/>
    <mergeCell ref="I177:J177"/>
    <mergeCell ref="L177:M177"/>
    <mergeCell ref="N177:O177"/>
    <mergeCell ref="A172:L172"/>
    <mergeCell ref="M172:N172"/>
    <mergeCell ref="O172:P172"/>
    <mergeCell ref="A173:L173"/>
    <mergeCell ref="M173:N173"/>
    <mergeCell ref="O173:P173"/>
    <mergeCell ref="A171:L171"/>
    <mergeCell ref="M171:N171"/>
    <mergeCell ref="O171:P171"/>
    <mergeCell ref="R171:T171"/>
    <mergeCell ref="A169:L169"/>
    <mergeCell ref="M169:N169"/>
    <mergeCell ref="O169:P169"/>
    <mergeCell ref="R169:T169"/>
    <mergeCell ref="A174:T174"/>
    <mergeCell ref="R172:T172"/>
    <mergeCell ref="R173:T173"/>
    <mergeCell ref="A167:L167"/>
    <mergeCell ref="M167:N167"/>
    <mergeCell ref="O167:P167"/>
    <mergeCell ref="R167:T167"/>
    <mergeCell ref="A168:L168"/>
    <mergeCell ref="M168:N168"/>
    <mergeCell ref="O168:P168"/>
    <mergeCell ref="R168:T168"/>
    <mergeCell ref="A170:L170"/>
    <mergeCell ref="M170:N170"/>
    <mergeCell ref="O170:P170"/>
    <mergeCell ref="R170:T170"/>
    <mergeCell ref="A163:L163"/>
    <mergeCell ref="M163:N163"/>
    <mergeCell ref="O163:P163"/>
    <mergeCell ref="R163:T163"/>
    <mergeCell ref="A164:L166"/>
    <mergeCell ref="M164:T164"/>
    <mergeCell ref="M165:P165"/>
    <mergeCell ref="Q165:T165"/>
    <mergeCell ref="M166:N166"/>
    <mergeCell ref="O166:P166"/>
    <mergeCell ref="R166:T166"/>
    <mergeCell ref="A158:B158"/>
    <mergeCell ref="C158:T158"/>
    <mergeCell ref="A159:E159"/>
    <mergeCell ref="F159:T159"/>
    <mergeCell ref="A161:S161"/>
    <mergeCell ref="A162:S162"/>
    <mergeCell ref="A150:S150"/>
    <mergeCell ref="A151:S151"/>
    <mergeCell ref="A152:S152"/>
    <mergeCell ref="J153:T153"/>
    <mergeCell ref="B155:R155"/>
    <mergeCell ref="A157:C157"/>
    <mergeCell ref="D157:T157"/>
    <mergeCell ref="A144:S144"/>
    <mergeCell ref="A145:S145"/>
    <mergeCell ref="A146:S146"/>
    <mergeCell ref="A147:S147"/>
    <mergeCell ref="A148:S148"/>
    <mergeCell ref="A149:S149"/>
    <mergeCell ref="A142:D142"/>
    <mergeCell ref="E142:F142"/>
    <mergeCell ref="I142:J142"/>
    <mergeCell ref="L142:M142"/>
    <mergeCell ref="N142:O142"/>
    <mergeCell ref="A143:D143"/>
    <mergeCell ref="E143:F143"/>
    <mergeCell ref="I143:J143"/>
    <mergeCell ref="L143:M143"/>
    <mergeCell ref="N143:O143"/>
    <mergeCell ref="A140:D140"/>
    <mergeCell ref="E140:F140"/>
    <mergeCell ref="I140:J140"/>
    <mergeCell ref="L140:M140"/>
    <mergeCell ref="N140:O140"/>
    <mergeCell ref="A141:D141"/>
    <mergeCell ref="E141:F141"/>
    <mergeCell ref="I141:J141"/>
    <mergeCell ref="L141:M141"/>
    <mergeCell ref="N141:O141"/>
    <mergeCell ref="A138:D138"/>
    <mergeCell ref="E138:F138"/>
    <mergeCell ref="I138:J138"/>
    <mergeCell ref="L138:M138"/>
    <mergeCell ref="N138:O138"/>
    <mergeCell ref="A139:D139"/>
    <mergeCell ref="E139:F139"/>
    <mergeCell ref="I139:J139"/>
    <mergeCell ref="L139:M139"/>
    <mergeCell ref="N139:O139"/>
    <mergeCell ref="A136:D136"/>
    <mergeCell ref="E136:F136"/>
    <mergeCell ref="I136:J136"/>
    <mergeCell ref="L136:M136"/>
    <mergeCell ref="N136:O136"/>
    <mergeCell ref="A137:D137"/>
    <mergeCell ref="E137:F137"/>
    <mergeCell ref="I137:J137"/>
    <mergeCell ref="L137:M137"/>
    <mergeCell ref="N137:O137"/>
    <mergeCell ref="A132:L132"/>
    <mergeCell ref="M132:N132"/>
    <mergeCell ref="O132:P132"/>
    <mergeCell ref="R132:T132"/>
    <mergeCell ref="A133:T133"/>
    <mergeCell ref="A135:N135"/>
    <mergeCell ref="A130:L130"/>
    <mergeCell ref="M130:N130"/>
    <mergeCell ref="O130:P130"/>
    <mergeCell ref="R130:T130"/>
    <mergeCell ref="A131:L131"/>
    <mergeCell ref="M131:N131"/>
    <mergeCell ref="O131:P131"/>
    <mergeCell ref="R131:T131"/>
    <mergeCell ref="A129:L129"/>
    <mergeCell ref="M129:N129"/>
    <mergeCell ref="O129:P129"/>
    <mergeCell ref="R129:T129"/>
    <mergeCell ref="A126:L126"/>
    <mergeCell ref="M126:N126"/>
    <mergeCell ref="O126:P126"/>
    <mergeCell ref="R126:T126"/>
    <mergeCell ref="A127:L127"/>
    <mergeCell ref="M127:N127"/>
    <mergeCell ref="O127:P127"/>
    <mergeCell ref="R127:T127"/>
    <mergeCell ref="A124:L124"/>
    <mergeCell ref="M124:N124"/>
    <mergeCell ref="O124:P124"/>
    <mergeCell ref="R124:T124"/>
    <mergeCell ref="A125:L125"/>
    <mergeCell ref="M125:N125"/>
    <mergeCell ref="O125:P125"/>
    <mergeCell ref="R125:T125"/>
    <mergeCell ref="A128:L128"/>
    <mergeCell ref="M128:N128"/>
    <mergeCell ref="O128:P128"/>
    <mergeCell ref="R128:T128"/>
    <mergeCell ref="A120:L120"/>
    <mergeCell ref="M120:N120"/>
    <mergeCell ref="O120:P120"/>
    <mergeCell ref="R120:T120"/>
    <mergeCell ref="A121:L123"/>
    <mergeCell ref="M121:T121"/>
    <mergeCell ref="M122:P122"/>
    <mergeCell ref="Q122:T122"/>
    <mergeCell ref="M123:N123"/>
    <mergeCell ref="O123:P123"/>
    <mergeCell ref="R123:T123"/>
    <mergeCell ref="A115:B115"/>
    <mergeCell ref="C115:T115"/>
    <mergeCell ref="A116:E116"/>
    <mergeCell ref="F116:T116"/>
    <mergeCell ref="A118:S118"/>
    <mergeCell ref="A119:S119"/>
    <mergeCell ref="J110:T110"/>
    <mergeCell ref="B112:R112"/>
    <mergeCell ref="A114:C114"/>
    <mergeCell ref="D114:T114"/>
    <mergeCell ref="A106:S106"/>
    <mergeCell ref="A107:S107"/>
    <mergeCell ref="A108:S108"/>
    <mergeCell ref="A100:S100"/>
    <mergeCell ref="A101:S101"/>
    <mergeCell ref="A102:S102"/>
    <mergeCell ref="A103:S103"/>
    <mergeCell ref="A104:S104"/>
    <mergeCell ref="A105:S105"/>
    <mergeCell ref="A98:D98"/>
    <mergeCell ref="E98:F98"/>
    <mergeCell ref="I98:J98"/>
    <mergeCell ref="L98:M98"/>
    <mergeCell ref="N98:O98"/>
    <mergeCell ref="A99:D99"/>
    <mergeCell ref="E99:F99"/>
    <mergeCell ref="I99:J99"/>
    <mergeCell ref="L99:M99"/>
    <mergeCell ref="N99:O99"/>
    <mergeCell ref="A96:D96"/>
    <mergeCell ref="E96:F96"/>
    <mergeCell ref="I96:J96"/>
    <mergeCell ref="L96:M96"/>
    <mergeCell ref="N96:O96"/>
    <mergeCell ref="A97:D97"/>
    <mergeCell ref="E97:F97"/>
    <mergeCell ref="I97:J97"/>
    <mergeCell ref="L97:M97"/>
    <mergeCell ref="N97:O97"/>
    <mergeCell ref="A94:D94"/>
    <mergeCell ref="E94:F94"/>
    <mergeCell ref="I94:J94"/>
    <mergeCell ref="L94:M94"/>
    <mergeCell ref="N94:O94"/>
    <mergeCell ref="A95:D95"/>
    <mergeCell ref="E95:F95"/>
    <mergeCell ref="I95:J95"/>
    <mergeCell ref="L95:M95"/>
    <mergeCell ref="N95:O95"/>
    <mergeCell ref="A92:D92"/>
    <mergeCell ref="E92:F92"/>
    <mergeCell ref="I92:J92"/>
    <mergeCell ref="L92:M92"/>
    <mergeCell ref="N92:O92"/>
    <mergeCell ref="A93:D93"/>
    <mergeCell ref="E93:F93"/>
    <mergeCell ref="I93:J93"/>
    <mergeCell ref="L93:M93"/>
    <mergeCell ref="N93:O93"/>
    <mergeCell ref="A88:L88"/>
    <mergeCell ref="M88:N88"/>
    <mergeCell ref="O88:P88"/>
    <mergeCell ref="R88:T88"/>
    <mergeCell ref="A89:T89"/>
    <mergeCell ref="A91:N91"/>
    <mergeCell ref="A86:L86"/>
    <mergeCell ref="M86:N86"/>
    <mergeCell ref="O86:P86"/>
    <mergeCell ref="R86:T86"/>
    <mergeCell ref="A87:L87"/>
    <mergeCell ref="M87:N87"/>
    <mergeCell ref="O87:P87"/>
    <mergeCell ref="R87:T87"/>
    <mergeCell ref="A84:L84"/>
    <mergeCell ref="M84:N84"/>
    <mergeCell ref="O84:P84"/>
    <mergeCell ref="R84:T84"/>
    <mergeCell ref="A85:L85"/>
    <mergeCell ref="M85:N85"/>
    <mergeCell ref="O85:P85"/>
    <mergeCell ref="R85:T85"/>
    <mergeCell ref="A83:L83"/>
    <mergeCell ref="M83:N83"/>
    <mergeCell ref="O83:P83"/>
    <mergeCell ref="R83:T83"/>
    <mergeCell ref="A82:L82"/>
    <mergeCell ref="M82:N82"/>
    <mergeCell ref="O82:P82"/>
    <mergeCell ref="R82:T82"/>
    <mergeCell ref="A79:L81"/>
    <mergeCell ref="M79:T79"/>
    <mergeCell ref="M80:P80"/>
    <mergeCell ref="Q80:T80"/>
    <mergeCell ref="M81:N81"/>
    <mergeCell ref="O81:P81"/>
    <mergeCell ref="R81:T81"/>
    <mergeCell ref="A75:B75"/>
    <mergeCell ref="C75:T75"/>
    <mergeCell ref="A76:E76"/>
    <mergeCell ref="F76:T77"/>
    <mergeCell ref="A78:L78"/>
    <mergeCell ref="M78:N78"/>
    <mergeCell ref="O78:P78"/>
    <mergeCell ref="R78:T78"/>
    <mergeCell ref="A66:S66"/>
    <mergeCell ref="A67:S67"/>
    <mergeCell ref="J70:T70"/>
    <mergeCell ref="B72:R72"/>
    <mergeCell ref="A74:C74"/>
    <mergeCell ref="D74:T74"/>
    <mergeCell ref="A60:S60"/>
    <mergeCell ref="A61:S61"/>
    <mergeCell ref="A62:S62"/>
    <mergeCell ref="A63:S63"/>
    <mergeCell ref="A64:S64"/>
    <mergeCell ref="A65:S65"/>
    <mergeCell ref="A58:D58"/>
    <mergeCell ref="E58:F58"/>
    <mergeCell ref="I58:J58"/>
    <mergeCell ref="L58:M58"/>
    <mergeCell ref="N58:O58"/>
    <mergeCell ref="A59:S59"/>
    <mergeCell ref="A56:D56"/>
    <mergeCell ref="E56:F56"/>
    <mergeCell ref="I56:J56"/>
    <mergeCell ref="L56:M56"/>
    <mergeCell ref="N56:O56"/>
    <mergeCell ref="A57:D57"/>
    <mergeCell ref="E57:F57"/>
    <mergeCell ref="I57:J57"/>
    <mergeCell ref="L57:M57"/>
    <mergeCell ref="N57:O57"/>
    <mergeCell ref="A54:D54"/>
    <mergeCell ref="E54:F54"/>
    <mergeCell ref="I54:J54"/>
    <mergeCell ref="L54:M54"/>
    <mergeCell ref="N54:O54"/>
    <mergeCell ref="A55:D55"/>
    <mergeCell ref="E55:F55"/>
    <mergeCell ref="I55:J55"/>
    <mergeCell ref="L55:M55"/>
    <mergeCell ref="N55:O55"/>
    <mergeCell ref="A52:D52"/>
    <mergeCell ref="E52:F52"/>
    <mergeCell ref="I52:J52"/>
    <mergeCell ref="L52:M52"/>
    <mergeCell ref="N52:O52"/>
    <mergeCell ref="A53:D53"/>
    <mergeCell ref="E53:F53"/>
    <mergeCell ref="I53:J53"/>
    <mergeCell ref="L53:M53"/>
    <mergeCell ref="N53:O53"/>
    <mergeCell ref="A48:T48"/>
    <mergeCell ref="A50:N50"/>
    <mergeCell ref="A51:D51"/>
    <mergeCell ref="E51:F51"/>
    <mergeCell ref="I51:J51"/>
    <mergeCell ref="L51:M51"/>
    <mergeCell ref="N51:O51"/>
    <mergeCell ref="A46:L46"/>
    <mergeCell ref="M46:N46"/>
    <mergeCell ref="O46:P46"/>
    <mergeCell ref="R46:T46"/>
    <mergeCell ref="A47:L47"/>
    <mergeCell ref="M47:N47"/>
    <mergeCell ref="O47:P47"/>
    <mergeCell ref="R47:T47"/>
    <mergeCell ref="A44:L44"/>
    <mergeCell ref="M44:N44"/>
    <mergeCell ref="O44:P44"/>
    <mergeCell ref="R44:T44"/>
    <mergeCell ref="A45:L45"/>
    <mergeCell ref="M45:N45"/>
    <mergeCell ref="O45:P45"/>
    <mergeCell ref="R45:T45"/>
    <mergeCell ref="A43:L43"/>
    <mergeCell ref="M43:N43"/>
    <mergeCell ref="O43:P43"/>
    <mergeCell ref="R43:T43"/>
    <mergeCell ref="A40:L42"/>
    <mergeCell ref="M40:T40"/>
    <mergeCell ref="M41:P41"/>
    <mergeCell ref="Q41:T41"/>
    <mergeCell ref="M42:N42"/>
    <mergeCell ref="O42:P42"/>
    <mergeCell ref="R42:T42"/>
    <mergeCell ref="A37:E37"/>
    <mergeCell ref="F37:T38"/>
    <mergeCell ref="A39:L39"/>
    <mergeCell ref="M39:N39"/>
    <mergeCell ref="O39:P39"/>
    <mergeCell ref="R39:T39"/>
    <mergeCell ref="J31:T31"/>
    <mergeCell ref="B33:R33"/>
    <mergeCell ref="A35:C35"/>
    <mergeCell ref="D35:T35"/>
    <mergeCell ref="A36:B36"/>
    <mergeCell ref="C36:T36"/>
    <mergeCell ref="A25:S25"/>
    <mergeCell ref="A26:S26"/>
    <mergeCell ref="A27:S27"/>
    <mergeCell ref="A28:S28"/>
    <mergeCell ref="A29:S29"/>
    <mergeCell ref="A30:S30"/>
    <mergeCell ref="A23:D23"/>
    <mergeCell ref="E23:F23"/>
    <mergeCell ref="I23:J23"/>
    <mergeCell ref="L23:M23"/>
    <mergeCell ref="N23:O23"/>
    <mergeCell ref="A24:D24"/>
    <mergeCell ref="E24:F24"/>
    <mergeCell ref="I24:J24"/>
    <mergeCell ref="L24:M24"/>
    <mergeCell ref="N24:O24"/>
    <mergeCell ref="A21:D21"/>
    <mergeCell ref="E21:F21"/>
    <mergeCell ref="I21:J21"/>
    <mergeCell ref="L21:M21"/>
    <mergeCell ref="N21:O21"/>
    <mergeCell ref="A22:D22"/>
    <mergeCell ref="E22:F22"/>
    <mergeCell ref="I22:J22"/>
    <mergeCell ref="L22:M22"/>
    <mergeCell ref="N22:O22"/>
    <mergeCell ref="F7:T7"/>
    <mergeCell ref="A9:L9"/>
    <mergeCell ref="M9:N9"/>
    <mergeCell ref="O9:P9"/>
    <mergeCell ref="R9:T9"/>
    <mergeCell ref="A19:D19"/>
    <mergeCell ref="E19:F19"/>
    <mergeCell ref="I19:J19"/>
    <mergeCell ref="L19:M19"/>
    <mergeCell ref="N19:O19"/>
    <mergeCell ref="A20:D20"/>
    <mergeCell ref="E20:F20"/>
    <mergeCell ref="I20:J20"/>
    <mergeCell ref="L20:M20"/>
    <mergeCell ref="N20:O20"/>
    <mergeCell ref="A17:D17"/>
    <mergeCell ref="E17:F17"/>
    <mergeCell ref="I17:J17"/>
    <mergeCell ref="L17:M17"/>
    <mergeCell ref="N17:O17"/>
    <mergeCell ref="A18:D18"/>
    <mergeCell ref="E18:F18"/>
    <mergeCell ref="I18:J18"/>
    <mergeCell ref="L18:M18"/>
    <mergeCell ref="N18:O18"/>
    <mergeCell ref="J1:T1"/>
    <mergeCell ref="B3:R3"/>
    <mergeCell ref="A5:C5"/>
    <mergeCell ref="D5:T5"/>
    <mergeCell ref="A6:B6"/>
    <mergeCell ref="C6:T6"/>
    <mergeCell ref="J194:T194"/>
    <mergeCell ref="B196:R196"/>
    <mergeCell ref="A198:C198"/>
    <mergeCell ref="D198:T198"/>
    <mergeCell ref="A13:L13"/>
    <mergeCell ref="M13:N13"/>
    <mergeCell ref="O13:P13"/>
    <mergeCell ref="R13:T13"/>
    <mergeCell ref="A14:T14"/>
    <mergeCell ref="A16:N16"/>
    <mergeCell ref="A10:L12"/>
    <mergeCell ref="M10:T10"/>
    <mergeCell ref="M11:P11"/>
    <mergeCell ref="Q11:T11"/>
    <mergeCell ref="M12:N12"/>
    <mergeCell ref="O12:P12"/>
    <mergeCell ref="R12:T12"/>
    <mergeCell ref="A7:E7"/>
    <mergeCell ref="A212:T212"/>
    <mergeCell ref="A214:N214"/>
    <mergeCell ref="A215:D215"/>
    <mergeCell ref="E215:F215"/>
    <mergeCell ref="I215:J215"/>
    <mergeCell ref="L215:M215"/>
    <mergeCell ref="N215:O215"/>
    <mergeCell ref="L218:M218"/>
    <mergeCell ref="N218:O218"/>
    <mergeCell ref="A218:D218"/>
    <mergeCell ref="E218:F218"/>
    <mergeCell ref="I218:J218"/>
    <mergeCell ref="A216:D216"/>
    <mergeCell ref="E216:F216"/>
    <mergeCell ref="I216:J216"/>
    <mergeCell ref="L216:M216"/>
    <mergeCell ref="N216:O216"/>
    <mergeCell ref="A217:D217"/>
    <mergeCell ref="E217:F217"/>
    <mergeCell ref="I217:J217"/>
    <mergeCell ref="L217:M217"/>
    <mergeCell ref="N217:O217"/>
    <mergeCell ref="A219:D219"/>
    <mergeCell ref="E219:F219"/>
    <mergeCell ref="I219:J219"/>
    <mergeCell ref="L219:M219"/>
    <mergeCell ref="N219:O219"/>
    <mergeCell ref="A225:S225"/>
    <mergeCell ref="A226:S226"/>
    <mergeCell ref="A223:S223"/>
    <mergeCell ref="A224:S224"/>
    <mergeCell ref="A227:S227"/>
    <mergeCell ref="A228:S228"/>
    <mergeCell ref="A229:S229"/>
    <mergeCell ref="A230:S230"/>
    <mergeCell ref="A231:S231"/>
    <mergeCell ref="A220:D220"/>
    <mergeCell ref="E220:F220"/>
    <mergeCell ref="I220:J220"/>
    <mergeCell ref="L220:M220"/>
    <mergeCell ref="N220:O220"/>
    <mergeCell ref="A221:D221"/>
    <mergeCell ref="E221:F221"/>
    <mergeCell ref="I221:J221"/>
    <mergeCell ref="L221:M221"/>
    <mergeCell ref="N221:O221"/>
    <mergeCell ref="A222:D222"/>
    <mergeCell ref="E222:F222"/>
    <mergeCell ref="I222:J222"/>
    <mergeCell ref="L222:M222"/>
    <mergeCell ref="N222:O2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9"/>
  <sheetViews>
    <sheetView tabSelected="1" topLeftCell="A808" workbookViewId="0">
      <selection activeCell="M704" sqref="M704:N704"/>
    </sheetView>
  </sheetViews>
  <sheetFormatPr defaultRowHeight="10.199999999999999" x14ac:dyDescent="0.2"/>
  <sheetData>
    <row r="1" spans="1:20" s="1" customFormat="1" ht="72.45" customHeight="1" x14ac:dyDescent="0.25">
      <c r="J1" s="100" t="s">
        <v>0</v>
      </c>
      <c r="K1" s="100"/>
      <c r="L1" s="100"/>
      <c r="M1" s="100"/>
      <c r="N1" s="100"/>
      <c r="O1" s="100"/>
      <c r="P1" s="100"/>
      <c r="Q1" s="100"/>
      <c r="R1" s="100"/>
      <c r="S1" s="100"/>
      <c r="T1" s="100"/>
    </row>
    <row r="2" spans="1:20" ht="7.05" customHeight="1" x14ac:dyDescent="0.2"/>
    <row r="3" spans="1:20" ht="14.1" customHeight="1" x14ac:dyDescent="0.2">
      <c r="B3" s="130" t="s">
        <v>257</v>
      </c>
      <c r="C3" s="130"/>
      <c r="D3" s="130"/>
      <c r="E3" s="130"/>
      <c r="F3" s="130"/>
      <c r="G3" s="130"/>
      <c r="H3" s="130"/>
      <c r="I3" s="130"/>
      <c r="J3" s="130"/>
      <c r="K3" s="130"/>
      <c r="L3" s="130"/>
      <c r="M3" s="130"/>
      <c r="N3" s="130"/>
      <c r="O3" s="130"/>
      <c r="P3" s="130"/>
      <c r="Q3" s="130"/>
      <c r="R3" s="130"/>
    </row>
    <row r="4" spans="1:20" ht="14.1" customHeight="1" x14ac:dyDescent="0.2"/>
    <row r="5" spans="1:20" ht="14.1" customHeight="1" x14ac:dyDescent="0.2">
      <c r="A5" s="120" t="s">
        <v>2</v>
      </c>
      <c r="B5" s="120"/>
      <c r="C5" s="120"/>
      <c r="D5" s="129" t="s">
        <v>258</v>
      </c>
      <c r="E5" s="129"/>
      <c r="F5" s="129"/>
      <c r="G5" s="129"/>
      <c r="H5" s="129"/>
      <c r="I5" s="129"/>
      <c r="J5" s="129"/>
      <c r="K5" s="129"/>
      <c r="L5" s="129"/>
      <c r="M5" s="129"/>
      <c r="N5" s="129"/>
      <c r="O5" s="129"/>
      <c r="P5" s="129"/>
      <c r="Q5" s="129"/>
      <c r="R5" s="129"/>
      <c r="S5" s="129"/>
      <c r="T5" s="129"/>
    </row>
    <row r="6" spans="1:20" ht="14.1" customHeight="1" x14ac:dyDescent="0.2">
      <c r="A6" s="120" t="s">
        <v>4</v>
      </c>
      <c r="B6" s="120"/>
      <c r="C6" s="129" t="s">
        <v>259</v>
      </c>
      <c r="D6" s="129"/>
      <c r="E6" s="129"/>
      <c r="F6" s="129"/>
      <c r="G6" s="129"/>
      <c r="H6" s="129"/>
      <c r="I6" s="129"/>
      <c r="J6" s="129"/>
      <c r="K6" s="129"/>
      <c r="L6" s="129"/>
      <c r="M6" s="129"/>
      <c r="N6" s="129"/>
      <c r="O6" s="129"/>
      <c r="P6" s="129"/>
      <c r="Q6" s="129"/>
      <c r="R6" s="129"/>
      <c r="S6" s="129"/>
      <c r="T6" s="129"/>
    </row>
    <row r="7" spans="1:20" ht="14.1" customHeight="1" x14ac:dyDescent="0.2">
      <c r="A7" s="120" t="s">
        <v>6</v>
      </c>
      <c r="B7" s="120"/>
      <c r="C7" s="120"/>
      <c r="D7" s="120"/>
      <c r="E7" s="120"/>
      <c r="F7" s="129" t="s">
        <v>248</v>
      </c>
      <c r="G7" s="129"/>
      <c r="H7" s="129"/>
      <c r="I7" s="129"/>
      <c r="J7" s="129"/>
      <c r="K7" s="129"/>
      <c r="L7" s="129"/>
      <c r="M7" s="129"/>
      <c r="N7" s="129"/>
      <c r="O7" s="129"/>
      <c r="P7" s="129"/>
      <c r="Q7" s="129"/>
      <c r="R7" s="129"/>
      <c r="S7" s="129"/>
      <c r="T7" s="129"/>
    </row>
    <row r="8" spans="1:20" ht="22.35" customHeight="1" x14ac:dyDescent="0.2">
      <c r="F8" s="129"/>
      <c r="G8" s="129"/>
      <c r="H8" s="129"/>
      <c r="I8" s="129"/>
      <c r="J8" s="129"/>
      <c r="K8" s="129"/>
      <c r="L8" s="129"/>
      <c r="M8" s="129"/>
      <c r="N8" s="129"/>
      <c r="O8" s="129"/>
      <c r="P8" s="129"/>
      <c r="Q8" s="129"/>
      <c r="R8" s="129"/>
      <c r="S8" s="129"/>
      <c r="T8" s="129"/>
    </row>
    <row r="9" spans="1:20" ht="7.05" customHeight="1" x14ac:dyDescent="0.2">
      <c r="A9" s="120"/>
      <c r="B9" s="120"/>
      <c r="C9" s="120"/>
      <c r="D9" s="120"/>
      <c r="E9" s="120"/>
      <c r="F9" s="120"/>
      <c r="G9" s="120"/>
      <c r="H9" s="120"/>
      <c r="I9" s="120"/>
      <c r="J9" s="120"/>
      <c r="K9" s="120"/>
      <c r="L9" s="120"/>
      <c r="M9" s="120"/>
      <c r="N9" s="120"/>
      <c r="O9" s="120"/>
      <c r="P9" s="120"/>
      <c r="Q9" s="75"/>
      <c r="R9" s="120"/>
      <c r="S9" s="120"/>
      <c r="T9" s="120"/>
    </row>
    <row r="10" spans="1:20" ht="16.95" customHeight="1" x14ac:dyDescent="0.2">
      <c r="A10" s="128" t="s">
        <v>8</v>
      </c>
      <c r="B10" s="128"/>
      <c r="C10" s="128"/>
      <c r="D10" s="128"/>
      <c r="E10" s="128"/>
      <c r="F10" s="128"/>
      <c r="G10" s="128"/>
      <c r="H10" s="128"/>
      <c r="I10" s="128"/>
      <c r="J10" s="128"/>
      <c r="K10" s="128"/>
      <c r="L10" s="128"/>
      <c r="M10" s="128" t="s">
        <v>9</v>
      </c>
      <c r="N10" s="128"/>
      <c r="O10" s="128"/>
      <c r="P10" s="128"/>
      <c r="Q10" s="128"/>
      <c r="R10" s="128"/>
      <c r="S10" s="128"/>
      <c r="T10" s="128"/>
    </row>
    <row r="11" spans="1:20" ht="16.95" customHeight="1" x14ac:dyDescent="0.2">
      <c r="A11" s="128"/>
      <c r="B11" s="128"/>
      <c r="C11" s="128"/>
      <c r="D11" s="128"/>
      <c r="E11" s="128"/>
      <c r="F11" s="128"/>
      <c r="G11" s="128"/>
      <c r="H11" s="128"/>
      <c r="I11" s="128"/>
      <c r="J11" s="128"/>
      <c r="K11" s="128"/>
      <c r="L11" s="128"/>
      <c r="M11" s="128" t="s">
        <v>10</v>
      </c>
      <c r="N11" s="128"/>
      <c r="O11" s="128"/>
      <c r="P11" s="128"/>
      <c r="Q11" s="128" t="s">
        <v>11</v>
      </c>
      <c r="R11" s="128"/>
      <c r="S11" s="128"/>
      <c r="T11" s="128"/>
    </row>
    <row r="12" spans="1:20" ht="16.95" customHeight="1" x14ac:dyDescent="0.2">
      <c r="A12" s="128"/>
      <c r="B12" s="128"/>
      <c r="C12" s="128"/>
      <c r="D12" s="128"/>
      <c r="E12" s="128"/>
      <c r="F12" s="128"/>
      <c r="G12" s="128"/>
      <c r="H12" s="128"/>
      <c r="I12" s="128"/>
      <c r="J12" s="128"/>
      <c r="K12" s="128"/>
      <c r="L12" s="128"/>
      <c r="M12" s="128" t="s">
        <v>12</v>
      </c>
      <c r="N12" s="128"/>
      <c r="O12" s="128" t="s">
        <v>13</v>
      </c>
      <c r="P12" s="128"/>
      <c r="Q12" s="76" t="s">
        <v>14</v>
      </c>
      <c r="R12" s="128" t="s">
        <v>15</v>
      </c>
      <c r="S12" s="128"/>
      <c r="T12" s="128"/>
    </row>
    <row r="13" spans="1:20" ht="13.35" customHeight="1" x14ac:dyDescent="0.2">
      <c r="A13" s="124" t="s">
        <v>84</v>
      </c>
      <c r="B13" s="124"/>
      <c r="C13" s="124"/>
      <c r="D13" s="124"/>
      <c r="E13" s="124"/>
      <c r="F13" s="124"/>
      <c r="G13" s="124"/>
      <c r="H13" s="124"/>
      <c r="I13" s="124"/>
      <c r="J13" s="124"/>
      <c r="K13" s="124"/>
      <c r="L13" s="124"/>
      <c r="M13" s="124" t="s">
        <v>982</v>
      </c>
      <c r="N13" s="124"/>
      <c r="O13" s="124" t="s">
        <v>983</v>
      </c>
      <c r="P13" s="124"/>
      <c r="Q13" s="77" t="s">
        <v>984</v>
      </c>
      <c r="R13" s="124" t="s">
        <v>985</v>
      </c>
      <c r="S13" s="124"/>
      <c r="T13" s="124"/>
    </row>
    <row r="14" spans="1:20" ht="13.35" customHeight="1" x14ac:dyDescent="0.2">
      <c r="A14" s="124" t="s">
        <v>18</v>
      </c>
      <c r="B14" s="124"/>
      <c r="C14" s="124"/>
      <c r="D14" s="124"/>
      <c r="E14" s="124"/>
      <c r="F14" s="124"/>
      <c r="G14" s="124"/>
      <c r="H14" s="124"/>
      <c r="I14" s="124"/>
      <c r="J14" s="124"/>
      <c r="K14" s="124"/>
      <c r="L14" s="124"/>
      <c r="M14" s="124" t="s">
        <v>986</v>
      </c>
      <c r="N14" s="124"/>
      <c r="O14" s="124" t="s">
        <v>986</v>
      </c>
      <c r="P14" s="124"/>
      <c r="Q14" s="77" t="s">
        <v>987</v>
      </c>
      <c r="R14" s="124" t="s">
        <v>987</v>
      </c>
      <c r="S14" s="124"/>
      <c r="T14" s="124"/>
    </row>
    <row r="15" spans="1:20" ht="13.35" customHeight="1" x14ac:dyDescent="0.2">
      <c r="A15" s="124" t="s">
        <v>100</v>
      </c>
      <c r="B15" s="124"/>
      <c r="C15" s="124"/>
      <c r="D15" s="124"/>
      <c r="E15" s="124"/>
      <c r="F15" s="124"/>
      <c r="G15" s="124"/>
      <c r="H15" s="124"/>
      <c r="I15" s="124"/>
      <c r="J15" s="124"/>
      <c r="K15" s="124"/>
      <c r="L15" s="124"/>
      <c r="M15" s="124"/>
      <c r="N15" s="124"/>
      <c r="O15" s="124"/>
      <c r="P15" s="124"/>
      <c r="Q15" s="77"/>
      <c r="R15" s="124"/>
      <c r="S15" s="124"/>
      <c r="T15" s="124"/>
    </row>
    <row r="16" spans="1:20" ht="13.35" customHeight="1" x14ac:dyDescent="0.2">
      <c r="A16" s="124" t="s">
        <v>91</v>
      </c>
      <c r="B16" s="124"/>
      <c r="C16" s="124"/>
      <c r="D16" s="124"/>
      <c r="E16" s="124"/>
      <c r="F16" s="124"/>
      <c r="G16" s="124"/>
      <c r="H16" s="124"/>
      <c r="I16" s="124"/>
      <c r="J16" s="124"/>
      <c r="K16" s="124"/>
      <c r="L16" s="124"/>
      <c r="M16" s="124" t="s">
        <v>988</v>
      </c>
      <c r="N16" s="124"/>
      <c r="O16" s="124" t="s">
        <v>335</v>
      </c>
      <c r="P16" s="124"/>
      <c r="Q16" s="77" t="s">
        <v>989</v>
      </c>
      <c r="R16" s="124" t="s">
        <v>779</v>
      </c>
      <c r="S16" s="124"/>
      <c r="T16" s="124"/>
    </row>
    <row r="17" spans="1:20" ht="13.35" customHeight="1" x14ac:dyDescent="0.2">
      <c r="A17" s="124" t="s">
        <v>94</v>
      </c>
      <c r="B17" s="124"/>
      <c r="C17" s="124"/>
      <c r="D17" s="124"/>
      <c r="E17" s="124"/>
      <c r="F17" s="124"/>
      <c r="G17" s="124"/>
      <c r="H17" s="124"/>
      <c r="I17" s="124"/>
      <c r="J17" s="124"/>
      <c r="K17" s="124"/>
      <c r="L17" s="124"/>
      <c r="M17" s="124" t="s">
        <v>97</v>
      </c>
      <c r="N17" s="124"/>
      <c r="O17" s="124" t="s">
        <v>335</v>
      </c>
      <c r="P17" s="124"/>
      <c r="Q17" s="77" t="s">
        <v>176</v>
      </c>
      <c r="R17" s="124" t="s">
        <v>779</v>
      </c>
      <c r="S17" s="124"/>
      <c r="T17" s="124"/>
    </row>
    <row r="18" spans="1:20" ht="13.35" customHeight="1" x14ac:dyDescent="0.2">
      <c r="A18" s="124" t="s">
        <v>21</v>
      </c>
      <c r="B18" s="124"/>
      <c r="C18" s="124"/>
      <c r="D18" s="124"/>
      <c r="E18" s="124"/>
      <c r="F18" s="124"/>
      <c r="G18" s="124"/>
      <c r="H18" s="124"/>
      <c r="I18" s="124"/>
      <c r="J18" s="124"/>
      <c r="K18" s="124"/>
      <c r="L18" s="124"/>
      <c r="M18" s="124" t="s">
        <v>178</v>
      </c>
      <c r="N18" s="124"/>
      <c r="O18" s="124" t="s">
        <v>506</v>
      </c>
      <c r="P18" s="124"/>
      <c r="Q18" s="77" t="s">
        <v>179</v>
      </c>
      <c r="R18" s="124" t="s">
        <v>990</v>
      </c>
      <c r="S18" s="124"/>
      <c r="T18" s="124"/>
    </row>
    <row r="19" spans="1:20" ht="13.35" customHeight="1" x14ac:dyDescent="0.2">
      <c r="A19" s="124" t="s">
        <v>126</v>
      </c>
      <c r="B19" s="124"/>
      <c r="C19" s="124"/>
      <c r="D19" s="124"/>
      <c r="E19" s="124"/>
      <c r="F19" s="124"/>
      <c r="G19" s="124"/>
      <c r="H19" s="124"/>
      <c r="I19" s="124"/>
      <c r="J19" s="124"/>
      <c r="K19" s="124"/>
      <c r="L19" s="124"/>
      <c r="M19" s="124" t="s">
        <v>187</v>
      </c>
      <c r="N19" s="124"/>
      <c r="O19" s="124" t="s">
        <v>187</v>
      </c>
      <c r="P19" s="124"/>
      <c r="Q19" s="77" t="s">
        <v>188</v>
      </c>
      <c r="R19" s="124" t="s">
        <v>188</v>
      </c>
      <c r="S19" s="124"/>
      <c r="T19" s="124"/>
    </row>
    <row r="20" spans="1:20" ht="13.35" customHeight="1" x14ac:dyDescent="0.2">
      <c r="A20" s="124" t="s">
        <v>260</v>
      </c>
      <c r="B20" s="124"/>
      <c r="C20" s="124"/>
      <c r="D20" s="124"/>
      <c r="E20" s="124"/>
      <c r="F20" s="124"/>
      <c r="G20" s="124"/>
      <c r="H20" s="124"/>
      <c r="I20" s="124"/>
      <c r="J20" s="124"/>
      <c r="K20" s="124"/>
      <c r="L20" s="124"/>
      <c r="M20" s="124" t="s">
        <v>133</v>
      </c>
      <c r="N20" s="124"/>
      <c r="O20" s="124" t="s">
        <v>133</v>
      </c>
      <c r="P20" s="124"/>
      <c r="Q20" s="77" t="s">
        <v>112</v>
      </c>
      <c r="R20" s="124" t="s">
        <v>112</v>
      </c>
      <c r="S20" s="124"/>
      <c r="T20" s="124"/>
    </row>
    <row r="21" spans="1:20" ht="13.35" customHeight="1" x14ac:dyDescent="0.2">
      <c r="A21" s="124" t="s">
        <v>114</v>
      </c>
      <c r="B21" s="124"/>
      <c r="C21" s="124"/>
      <c r="D21" s="124"/>
      <c r="E21" s="124"/>
      <c r="F21" s="124"/>
      <c r="G21" s="124"/>
      <c r="H21" s="124"/>
      <c r="I21" s="124"/>
      <c r="J21" s="124"/>
      <c r="K21" s="124"/>
      <c r="L21" s="124"/>
      <c r="M21" s="124" t="s">
        <v>205</v>
      </c>
      <c r="N21" s="124"/>
      <c r="O21" s="124" t="s">
        <v>205</v>
      </c>
      <c r="P21" s="124"/>
      <c r="Q21" s="77" t="s">
        <v>207</v>
      </c>
      <c r="R21" s="124" t="s">
        <v>207</v>
      </c>
      <c r="S21" s="124"/>
      <c r="T21" s="124"/>
    </row>
    <row r="22" spans="1:20" ht="13.35" customHeight="1" x14ac:dyDescent="0.2">
      <c r="A22" s="124" t="s">
        <v>28</v>
      </c>
      <c r="B22" s="124"/>
      <c r="C22" s="124"/>
      <c r="D22" s="124"/>
      <c r="E22" s="124"/>
      <c r="F22" s="124"/>
      <c r="G22" s="124"/>
      <c r="H22" s="124"/>
      <c r="I22" s="124"/>
      <c r="J22" s="124"/>
      <c r="K22" s="124"/>
      <c r="L22" s="124"/>
      <c r="M22" s="124" t="s">
        <v>991</v>
      </c>
      <c r="N22" s="124"/>
      <c r="O22" s="124" t="s">
        <v>991</v>
      </c>
      <c r="P22" s="124"/>
      <c r="Q22" s="77" t="s">
        <v>992</v>
      </c>
      <c r="R22" s="124" t="s">
        <v>992</v>
      </c>
      <c r="S22" s="124"/>
      <c r="T22" s="124"/>
    </row>
    <row r="23" spans="1:20" ht="13.35" customHeight="1" x14ac:dyDescent="0.2">
      <c r="A23" s="124" t="s">
        <v>109</v>
      </c>
      <c r="B23" s="124"/>
      <c r="C23" s="124"/>
      <c r="D23" s="124"/>
      <c r="E23" s="124"/>
      <c r="F23" s="124"/>
      <c r="G23" s="124"/>
      <c r="H23" s="124"/>
      <c r="I23" s="124"/>
      <c r="J23" s="124"/>
      <c r="K23" s="124"/>
      <c r="L23" s="124"/>
      <c r="M23" s="124" t="s">
        <v>196</v>
      </c>
      <c r="N23" s="124"/>
      <c r="O23" s="124" t="s">
        <v>196</v>
      </c>
      <c r="P23" s="124"/>
      <c r="Q23" s="77" t="s">
        <v>197</v>
      </c>
      <c r="R23" s="124" t="s">
        <v>197</v>
      </c>
      <c r="S23" s="124"/>
      <c r="T23" s="124"/>
    </row>
    <row r="24" spans="1:20" ht="13.35" customHeight="1" x14ac:dyDescent="0.2">
      <c r="A24" s="124" t="s">
        <v>111</v>
      </c>
      <c r="B24" s="124"/>
      <c r="C24" s="124"/>
      <c r="D24" s="124"/>
      <c r="E24" s="124"/>
      <c r="F24" s="124"/>
      <c r="G24" s="124"/>
      <c r="H24" s="124"/>
      <c r="I24" s="124"/>
      <c r="J24" s="124"/>
      <c r="K24" s="124"/>
      <c r="L24" s="124"/>
      <c r="M24" s="124" t="s">
        <v>112</v>
      </c>
      <c r="N24" s="124"/>
      <c r="O24" s="124" t="s">
        <v>112</v>
      </c>
      <c r="P24" s="124"/>
      <c r="Q24" s="77" t="s">
        <v>113</v>
      </c>
      <c r="R24" s="124" t="s">
        <v>113</v>
      </c>
      <c r="S24" s="124"/>
      <c r="T24" s="124"/>
    </row>
    <row r="25" spans="1:20" ht="13.35" customHeight="1" x14ac:dyDescent="0.2">
      <c r="A25" s="124" t="s">
        <v>70</v>
      </c>
      <c r="B25" s="124"/>
      <c r="C25" s="124"/>
      <c r="D25" s="124"/>
      <c r="E25" s="124"/>
      <c r="F25" s="124"/>
      <c r="G25" s="124"/>
      <c r="H25" s="124"/>
      <c r="I25" s="124"/>
      <c r="J25" s="124"/>
      <c r="K25" s="124"/>
      <c r="L25" s="124"/>
      <c r="M25" s="124" t="s">
        <v>128</v>
      </c>
      <c r="N25" s="124"/>
      <c r="O25" s="124" t="s">
        <v>128</v>
      </c>
      <c r="P25" s="124"/>
      <c r="Q25" s="77" t="s">
        <v>993</v>
      </c>
      <c r="R25" s="124" t="s">
        <v>993</v>
      </c>
      <c r="S25" s="124"/>
      <c r="T25" s="124"/>
    </row>
    <row r="26" spans="1:20" ht="14.1" customHeight="1" x14ac:dyDescent="0.2">
      <c r="A26" s="126" t="s">
        <v>994</v>
      </c>
      <c r="B26" s="126"/>
      <c r="C26" s="126"/>
      <c r="D26" s="126"/>
      <c r="E26" s="126"/>
      <c r="F26" s="126"/>
      <c r="G26" s="126"/>
      <c r="H26" s="126"/>
      <c r="I26" s="126"/>
      <c r="J26" s="126"/>
      <c r="K26" s="126"/>
      <c r="L26" s="126"/>
      <c r="M26" s="126"/>
      <c r="N26" s="126"/>
      <c r="O26" s="126"/>
      <c r="P26" s="126"/>
      <c r="Q26" s="126"/>
      <c r="R26" s="126"/>
      <c r="S26" s="126"/>
      <c r="T26" s="126"/>
    </row>
    <row r="27" spans="1:20" ht="14.1" customHeight="1" x14ac:dyDescent="0.2"/>
    <row r="28" spans="1:20" ht="14.1" customHeight="1" x14ac:dyDescent="0.2">
      <c r="A28" s="121" t="s">
        <v>33</v>
      </c>
      <c r="B28" s="121"/>
      <c r="C28" s="121"/>
      <c r="D28" s="121"/>
      <c r="E28" s="121"/>
      <c r="F28" s="121"/>
      <c r="G28" s="121"/>
      <c r="H28" s="121"/>
      <c r="I28" s="121"/>
      <c r="J28" s="121"/>
      <c r="K28" s="121"/>
      <c r="L28" s="121"/>
      <c r="M28" s="121"/>
      <c r="N28" s="121"/>
    </row>
    <row r="29" spans="1:20" ht="13.35" customHeight="1" x14ac:dyDescent="0.2">
      <c r="A29" s="124" t="s">
        <v>34</v>
      </c>
      <c r="B29" s="124"/>
      <c r="C29" s="124"/>
      <c r="D29" s="124"/>
      <c r="E29" s="125">
        <v>1.9</v>
      </c>
      <c r="F29" s="125"/>
      <c r="G29" s="78"/>
      <c r="H29" s="77" t="s">
        <v>35</v>
      </c>
      <c r="I29" s="125">
        <v>0.03</v>
      </c>
      <c r="J29" s="125"/>
      <c r="K29" s="78"/>
      <c r="L29" s="124" t="s">
        <v>36</v>
      </c>
      <c r="M29" s="124"/>
      <c r="N29" s="125">
        <v>67.55</v>
      </c>
      <c r="O29" s="125"/>
    </row>
    <row r="30" spans="1:20" ht="13.35" customHeight="1" x14ac:dyDescent="0.2">
      <c r="A30" s="124" t="s">
        <v>37</v>
      </c>
      <c r="B30" s="124"/>
      <c r="C30" s="124"/>
      <c r="D30" s="124"/>
      <c r="E30" s="125">
        <v>3.2</v>
      </c>
      <c r="F30" s="125"/>
      <c r="G30" s="78"/>
      <c r="H30" s="77" t="s">
        <v>38</v>
      </c>
      <c r="I30" s="125">
        <v>25.74</v>
      </c>
      <c r="J30" s="125"/>
      <c r="K30" s="78"/>
      <c r="L30" s="124" t="s">
        <v>39</v>
      </c>
      <c r="M30" s="124"/>
      <c r="N30" s="125">
        <v>24.67</v>
      </c>
      <c r="O30" s="125"/>
    </row>
    <row r="31" spans="1:20" ht="13.35" customHeight="1" x14ac:dyDescent="0.2">
      <c r="A31" s="124" t="s">
        <v>40</v>
      </c>
      <c r="B31" s="124"/>
      <c r="C31" s="124"/>
      <c r="D31" s="124"/>
      <c r="E31" s="125">
        <v>12.06</v>
      </c>
      <c r="F31" s="125"/>
      <c r="G31" s="78"/>
      <c r="H31" s="77" t="s">
        <v>41</v>
      </c>
      <c r="I31" s="125">
        <v>0.08</v>
      </c>
      <c r="J31" s="125"/>
      <c r="K31" s="78"/>
      <c r="L31" s="124" t="s">
        <v>42</v>
      </c>
      <c r="M31" s="124"/>
      <c r="N31" s="125">
        <v>48.56</v>
      </c>
      <c r="O31" s="125"/>
    </row>
    <row r="32" spans="1:20" ht="13.35" customHeight="1" x14ac:dyDescent="0.2">
      <c r="A32" s="124" t="s">
        <v>43</v>
      </c>
      <c r="B32" s="124"/>
      <c r="C32" s="124"/>
      <c r="D32" s="124"/>
      <c r="E32" s="125">
        <v>99.78</v>
      </c>
      <c r="F32" s="125"/>
      <c r="G32" s="78"/>
      <c r="H32" s="77" t="s">
        <v>44</v>
      </c>
      <c r="I32" s="125">
        <v>1.87</v>
      </c>
      <c r="J32" s="125"/>
      <c r="K32" s="78"/>
      <c r="L32" s="124" t="s">
        <v>45</v>
      </c>
      <c r="M32" s="124"/>
      <c r="N32" s="125">
        <v>1.48</v>
      </c>
      <c r="O32" s="125"/>
    </row>
    <row r="33" spans="1:20" ht="13.35" customHeight="1" x14ac:dyDescent="0.2">
      <c r="A33" s="123"/>
      <c r="B33" s="123"/>
      <c r="C33" s="123"/>
      <c r="D33" s="123"/>
      <c r="E33" s="123"/>
      <c r="F33" s="123"/>
      <c r="G33" s="78"/>
      <c r="H33" s="77" t="s">
        <v>46</v>
      </c>
      <c r="I33" s="125">
        <v>0</v>
      </c>
      <c r="J33" s="125"/>
      <c r="K33" s="78"/>
      <c r="L33" s="124" t="s">
        <v>47</v>
      </c>
      <c r="M33" s="124"/>
      <c r="N33" s="125">
        <v>317.76</v>
      </c>
      <c r="O33" s="125"/>
    </row>
    <row r="34" spans="1:20" ht="13.35" customHeight="1" x14ac:dyDescent="0.2">
      <c r="A34" s="123"/>
      <c r="B34" s="123"/>
      <c r="C34" s="123"/>
      <c r="D34" s="123"/>
      <c r="E34" s="123"/>
      <c r="F34" s="123"/>
      <c r="G34" s="78"/>
      <c r="H34" s="77" t="s">
        <v>48</v>
      </c>
      <c r="I34" s="125">
        <v>0.05</v>
      </c>
      <c r="J34" s="125"/>
      <c r="K34" s="78"/>
      <c r="L34" s="124" t="s">
        <v>49</v>
      </c>
      <c r="M34" s="124"/>
      <c r="N34" s="125">
        <v>4.41</v>
      </c>
      <c r="O34" s="125"/>
    </row>
    <row r="35" spans="1:20" ht="13.35" customHeight="1" x14ac:dyDescent="0.2">
      <c r="A35" s="123"/>
      <c r="B35" s="123"/>
      <c r="C35" s="123"/>
      <c r="D35" s="123"/>
      <c r="E35" s="123"/>
      <c r="F35" s="123"/>
      <c r="G35" s="78"/>
      <c r="H35" s="78"/>
      <c r="I35" s="123"/>
      <c r="J35" s="123"/>
      <c r="K35" s="78"/>
      <c r="L35" s="124" t="s">
        <v>50</v>
      </c>
      <c r="M35" s="124"/>
      <c r="N35" s="125">
        <v>0.01</v>
      </c>
      <c r="O35" s="125"/>
    </row>
    <row r="36" spans="1:20" ht="13.35" customHeight="1" x14ac:dyDescent="0.2">
      <c r="A36" s="123"/>
      <c r="B36" s="123"/>
      <c r="C36" s="123"/>
      <c r="D36" s="123"/>
      <c r="E36" s="123"/>
      <c r="F36" s="123"/>
      <c r="G36" s="78"/>
      <c r="H36" s="78"/>
      <c r="I36" s="123"/>
      <c r="J36" s="123"/>
      <c r="K36" s="78"/>
      <c r="L36" s="124" t="s">
        <v>51</v>
      </c>
      <c r="M36" s="124"/>
      <c r="N36" s="125">
        <v>0</v>
      </c>
      <c r="O36" s="125"/>
    </row>
    <row r="37" spans="1:20" ht="14.1" customHeight="1" x14ac:dyDescent="0.2">
      <c r="A37" s="120"/>
      <c r="B37" s="120"/>
      <c r="C37" s="120"/>
      <c r="D37" s="120"/>
      <c r="E37" s="120"/>
      <c r="F37" s="120"/>
      <c r="G37" s="120"/>
      <c r="H37" s="120"/>
      <c r="I37" s="120"/>
      <c r="J37" s="120"/>
      <c r="K37" s="120"/>
      <c r="L37" s="120"/>
      <c r="M37" s="120"/>
      <c r="N37" s="120"/>
      <c r="O37" s="120"/>
      <c r="P37" s="120"/>
      <c r="Q37" s="120"/>
      <c r="R37" s="120"/>
      <c r="S37" s="120"/>
    </row>
    <row r="38" spans="1:20" ht="14.1" customHeight="1" x14ac:dyDescent="0.2">
      <c r="A38" s="121" t="s">
        <v>52</v>
      </c>
      <c r="B38" s="121"/>
      <c r="C38" s="121"/>
      <c r="D38" s="121"/>
      <c r="E38" s="121"/>
      <c r="F38" s="121"/>
      <c r="G38" s="121"/>
      <c r="H38" s="121"/>
      <c r="I38" s="121"/>
      <c r="J38" s="121"/>
      <c r="K38" s="121"/>
      <c r="L38" s="121"/>
      <c r="M38" s="121"/>
      <c r="N38" s="121"/>
      <c r="O38" s="121"/>
      <c r="P38" s="121"/>
      <c r="Q38" s="121"/>
      <c r="R38" s="121"/>
      <c r="S38" s="121"/>
    </row>
    <row r="39" spans="1:20" ht="67.650000000000006" customHeight="1" x14ac:dyDescent="0.2">
      <c r="A39" s="122" t="s">
        <v>264</v>
      </c>
      <c r="B39" s="122"/>
      <c r="C39" s="122"/>
      <c r="D39" s="122"/>
      <c r="E39" s="122"/>
      <c r="F39" s="122"/>
      <c r="G39" s="122"/>
      <c r="H39" s="122"/>
      <c r="I39" s="122"/>
      <c r="J39" s="122"/>
      <c r="K39" s="122"/>
      <c r="L39" s="122"/>
      <c r="M39" s="122"/>
      <c r="N39" s="122"/>
      <c r="O39" s="122"/>
      <c r="P39" s="122"/>
      <c r="Q39" s="122"/>
      <c r="R39" s="122"/>
      <c r="S39" s="122"/>
    </row>
    <row r="40" spans="1:20" s="1" customFormat="1" ht="14.1" customHeight="1" x14ac:dyDescent="0.25">
      <c r="A40" s="84" t="s">
        <v>54</v>
      </c>
      <c r="B40" s="84"/>
      <c r="C40" s="84"/>
      <c r="D40" s="84"/>
      <c r="E40" s="84"/>
      <c r="F40" s="84"/>
      <c r="G40" s="84"/>
      <c r="H40" s="84"/>
      <c r="I40" s="84"/>
      <c r="J40" s="84"/>
      <c r="K40" s="84"/>
      <c r="L40" s="84"/>
      <c r="M40" s="84"/>
      <c r="N40" s="84"/>
      <c r="O40" s="84"/>
      <c r="P40" s="84"/>
      <c r="Q40" s="84"/>
      <c r="R40" s="84"/>
      <c r="S40" s="84"/>
    </row>
    <row r="41" spans="1:20" s="1" customFormat="1" ht="12.45" customHeight="1" x14ac:dyDescent="0.25">
      <c r="A41" s="85" t="s">
        <v>224</v>
      </c>
      <c r="B41" s="85"/>
      <c r="C41" s="85"/>
      <c r="D41" s="85"/>
      <c r="E41" s="85"/>
      <c r="F41" s="85"/>
      <c r="G41" s="85"/>
      <c r="H41" s="85"/>
      <c r="I41" s="85"/>
      <c r="J41" s="85"/>
      <c r="K41" s="85"/>
      <c r="L41" s="85"/>
      <c r="M41" s="85"/>
      <c r="N41" s="85"/>
      <c r="O41" s="85"/>
      <c r="P41" s="85"/>
      <c r="Q41" s="85"/>
      <c r="R41" s="85"/>
      <c r="S41" s="85"/>
    </row>
    <row r="42" spans="1:20" ht="14.1" customHeight="1" x14ac:dyDescent="0.2">
      <c r="A42" s="120"/>
      <c r="B42" s="120"/>
      <c r="C42" s="120"/>
      <c r="D42" s="120"/>
      <c r="E42" s="120"/>
      <c r="F42" s="120"/>
      <c r="G42" s="120"/>
      <c r="H42" s="120"/>
      <c r="I42" s="120"/>
      <c r="J42" s="120"/>
      <c r="K42" s="120"/>
      <c r="L42" s="120"/>
      <c r="M42" s="120"/>
      <c r="N42" s="120"/>
      <c r="O42" s="120"/>
      <c r="P42" s="120"/>
      <c r="Q42" s="120"/>
      <c r="R42" s="120"/>
      <c r="S42" s="120"/>
    </row>
    <row r="43" spans="1:20" ht="14.1" customHeight="1" x14ac:dyDescent="0.2">
      <c r="A43" s="121" t="s">
        <v>56</v>
      </c>
      <c r="B43" s="121"/>
      <c r="C43" s="121"/>
      <c r="D43" s="121"/>
      <c r="E43" s="121"/>
      <c r="F43" s="121"/>
      <c r="G43" s="121"/>
      <c r="H43" s="121"/>
      <c r="I43" s="121"/>
      <c r="J43" s="121"/>
      <c r="K43" s="121"/>
      <c r="L43" s="121"/>
      <c r="M43" s="121"/>
      <c r="N43" s="121"/>
      <c r="O43" s="121"/>
      <c r="P43" s="121"/>
      <c r="Q43" s="121"/>
      <c r="R43" s="121"/>
      <c r="S43" s="121"/>
    </row>
    <row r="44" spans="1:20" ht="49.2" customHeight="1" x14ac:dyDescent="0.2">
      <c r="A44" s="122" t="s">
        <v>265</v>
      </c>
      <c r="B44" s="122"/>
      <c r="C44" s="122"/>
      <c r="D44" s="122"/>
      <c r="E44" s="122"/>
      <c r="F44" s="122"/>
      <c r="G44" s="122"/>
      <c r="H44" s="122"/>
      <c r="I44" s="122"/>
      <c r="J44" s="122"/>
      <c r="K44" s="122"/>
      <c r="L44" s="122"/>
      <c r="M44" s="122"/>
      <c r="N44" s="122"/>
      <c r="O44" s="122"/>
      <c r="P44" s="122"/>
      <c r="Q44" s="122"/>
      <c r="R44" s="122"/>
      <c r="S44" s="122"/>
    </row>
    <row r="48" spans="1:20" s="1" customFormat="1" ht="72.45" customHeight="1" x14ac:dyDescent="0.25">
      <c r="J48" s="100" t="s">
        <v>0</v>
      </c>
      <c r="K48" s="100"/>
      <c r="L48" s="100"/>
      <c r="M48" s="100"/>
      <c r="N48" s="100"/>
      <c r="O48" s="100"/>
      <c r="P48" s="100"/>
      <c r="Q48" s="100"/>
      <c r="R48" s="100"/>
      <c r="S48" s="100"/>
      <c r="T48" s="100"/>
    </row>
    <row r="49" spans="1:20" ht="7.05" customHeight="1" x14ac:dyDescent="0.2"/>
    <row r="50" spans="1:20" ht="14.1" customHeight="1" x14ac:dyDescent="0.2">
      <c r="B50" s="130" t="s">
        <v>995</v>
      </c>
      <c r="C50" s="130"/>
      <c r="D50" s="130"/>
      <c r="E50" s="130"/>
      <c r="F50" s="130"/>
      <c r="G50" s="130"/>
      <c r="H50" s="130"/>
      <c r="I50" s="130"/>
      <c r="J50" s="130"/>
      <c r="K50" s="130"/>
      <c r="L50" s="130"/>
      <c r="M50" s="130"/>
      <c r="N50" s="130"/>
      <c r="O50" s="130"/>
      <c r="P50" s="130"/>
      <c r="Q50" s="130"/>
      <c r="R50" s="130"/>
    </row>
    <row r="51" spans="1:20" ht="14.1" customHeight="1" x14ac:dyDescent="0.2"/>
    <row r="52" spans="1:20" ht="14.1" customHeight="1" x14ac:dyDescent="0.2">
      <c r="A52" s="120" t="s">
        <v>2</v>
      </c>
      <c r="B52" s="120"/>
      <c r="C52" s="120"/>
      <c r="D52" s="129" t="s">
        <v>996</v>
      </c>
      <c r="E52" s="129"/>
      <c r="F52" s="129"/>
      <c r="G52" s="129"/>
      <c r="H52" s="129"/>
      <c r="I52" s="129"/>
      <c r="J52" s="129"/>
      <c r="K52" s="129"/>
      <c r="L52" s="129"/>
      <c r="M52" s="129"/>
      <c r="N52" s="129"/>
      <c r="O52" s="129"/>
      <c r="P52" s="129"/>
      <c r="Q52" s="129"/>
      <c r="R52" s="129"/>
      <c r="S52" s="129"/>
      <c r="T52" s="129"/>
    </row>
    <row r="53" spans="1:20" ht="14.1" customHeight="1" x14ac:dyDescent="0.2">
      <c r="A53" s="120" t="s">
        <v>4</v>
      </c>
      <c r="B53" s="120"/>
      <c r="C53" s="129" t="s">
        <v>997</v>
      </c>
      <c r="D53" s="129"/>
      <c r="E53" s="129"/>
      <c r="F53" s="129"/>
      <c r="G53" s="129"/>
      <c r="H53" s="129"/>
      <c r="I53" s="129"/>
      <c r="J53" s="129"/>
      <c r="K53" s="129"/>
      <c r="L53" s="129"/>
      <c r="M53" s="129"/>
      <c r="N53" s="129"/>
      <c r="O53" s="129"/>
      <c r="P53" s="129"/>
      <c r="Q53" s="129"/>
      <c r="R53" s="129"/>
      <c r="S53" s="129"/>
      <c r="T53" s="129"/>
    </row>
    <row r="54" spans="1:20" ht="14.1" customHeight="1" x14ac:dyDescent="0.2">
      <c r="A54" s="120" t="s">
        <v>6</v>
      </c>
      <c r="B54" s="120"/>
      <c r="C54" s="120"/>
      <c r="D54" s="120"/>
      <c r="E54" s="120"/>
      <c r="F54" s="129" t="s">
        <v>7</v>
      </c>
      <c r="G54" s="129"/>
      <c r="H54" s="129"/>
      <c r="I54" s="129"/>
      <c r="J54" s="129"/>
      <c r="K54" s="129"/>
      <c r="L54" s="129"/>
      <c r="M54" s="129"/>
      <c r="N54" s="129"/>
      <c r="O54" s="129"/>
      <c r="P54" s="129"/>
      <c r="Q54" s="129"/>
      <c r="R54" s="129"/>
      <c r="S54" s="129"/>
      <c r="T54" s="129"/>
    </row>
    <row r="55" spans="1:20" ht="22.35" customHeight="1" x14ac:dyDescent="0.2">
      <c r="F55" s="129"/>
      <c r="G55" s="129"/>
      <c r="H55" s="129"/>
      <c r="I55" s="129"/>
      <c r="J55" s="129"/>
      <c r="K55" s="129"/>
      <c r="L55" s="129"/>
      <c r="M55" s="129"/>
      <c r="N55" s="129"/>
      <c r="O55" s="129"/>
      <c r="P55" s="129"/>
      <c r="Q55" s="129"/>
      <c r="R55" s="129"/>
      <c r="S55" s="129"/>
      <c r="T55" s="129"/>
    </row>
    <row r="56" spans="1:20" ht="7.05" customHeight="1" x14ac:dyDescent="0.2">
      <c r="A56" s="120"/>
      <c r="B56" s="120"/>
      <c r="C56" s="120"/>
      <c r="D56" s="120"/>
      <c r="E56" s="120"/>
      <c r="F56" s="120"/>
      <c r="G56" s="120"/>
      <c r="H56" s="120"/>
      <c r="I56" s="120"/>
      <c r="J56" s="120"/>
      <c r="K56" s="120"/>
      <c r="L56" s="120"/>
      <c r="M56" s="120"/>
      <c r="N56" s="120"/>
      <c r="O56" s="120"/>
      <c r="P56" s="120"/>
      <c r="Q56" s="75"/>
      <c r="R56" s="120"/>
      <c r="S56" s="120"/>
      <c r="T56" s="120"/>
    </row>
    <row r="57" spans="1:20" ht="16.95" customHeight="1" x14ac:dyDescent="0.2">
      <c r="A57" s="128" t="s">
        <v>8</v>
      </c>
      <c r="B57" s="128"/>
      <c r="C57" s="128"/>
      <c r="D57" s="128"/>
      <c r="E57" s="128"/>
      <c r="F57" s="128"/>
      <c r="G57" s="128"/>
      <c r="H57" s="128"/>
      <c r="I57" s="128"/>
      <c r="J57" s="128"/>
      <c r="K57" s="128"/>
      <c r="L57" s="128"/>
      <c r="M57" s="128" t="s">
        <v>9</v>
      </c>
      <c r="N57" s="128"/>
      <c r="O57" s="128"/>
      <c r="P57" s="128"/>
      <c r="Q57" s="128"/>
      <c r="R57" s="128"/>
      <c r="S57" s="128"/>
      <c r="T57" s="128"/>
    </row>
    <row r="58" spans="1:20" ht="16.95" customHeight="1" x14ac:dyDescent="0.2">
      <c r="A58" s="128"/>
      <c r="B58" s="128"/>
      <c r="C58" s="128"/>
      <c r="D58" s="128"/>
      <c r="E58" s="128"/>
      <c r="F58" s="128"/>
      <c r="G58" s="128"/>
      <c r="H58" s="128"/>
      <c r="I58" s="128"/>
      <c r="J58" s="128"/>
      <c r="K58" s="128"/>
      <c r="L58" s="128"/>
      <c r="M58" s="128" t="s">
        <v>10</v>
      </c>
      <c r="N58" s="128"/>
      <c r="O58" s="128"/>
      <c r="P58" s="128"/>
      <c r="Q58" s="128" t="s">
        <v>11</v>
      </c>
      <c r="R58" s="128"/>
      <c r="S58" s="128"/>
      <c r="T58" s="128"/>
    </row>
    <row r="59" spans="1:20" ht="16.95" customHeight="1" x14ac:dyDescent="0.2">
      <c r="A59" s="128"/>
      <c r="B59" s="128"/>
      <c r="C59" s="128"/>
      <c r="D59" s="128"/>
      <c r="E59" s="128"/>
      <c r="F59" s="128"/>
      <c r="G59" s="128"/>
      <c r="H59" s="128"/>
      <c r="I59" s="128"/>
      <c r="J59" s="128"/>
      <c r="K59" s="128"/>
      <c r="L59" s="128"/>
      <c r="M59" s="128" t="s">
        <v>12</v>
      </c>
      <c r="N59" s="128"/>
      <c r="O59" s="128" t="s">
        <v>13</v>
      </c>
      <c r="P59" s="128"/>
      <c r="Q59" s="76" t="s">
        <v>14</v>
      </c>
      <c r="R59" s="128" t="s">
        <v>15</v>
      </c>
      <c r="S59" s="128"/>
      <c r="T59" s="128"/>
    </row>
    <row r="60" spans="1:20" ht="13.35" customHeight="1" x14ac:dyDescent="0.2">
      <c r="A60" s="124" t="s">
        <v>31</v>
      </c>
      <c r="B60" s="124"/>
      <c r="C60" s="124"/>
      <c r="D60" s="124"/>
      <c r="E60" s="124"/>
      <c r="F60" s="124"/>
      <c r="G60" s="124"/>
      <c r="H60" s="124"/>
      <c r="I60" s="124"/>
      <c r="J60" s="124"/>
      <c r="K60" s="124"/>
      <c r="L60" s="124"/>
      <c r="M60" s="124"/>
      <c r="N60" s="124"/>
      <c r="O60" s="124"/>
      <c r="P60" s="124"/>
      <c r="Q60" s="77"/>
      <c r="R60" s="124"/>
      <c r="S60" s="124"/>
      <c r="T60" s="124"/>
    </row>
    <row r="61" spans="1:20" ht="13.35" customHeight="1" x14ac:dyDescent="0.2">
      <c r="A61" s="124" t="s">
        <v>998</v>
      </c>
      <c r="B61" s="124"/>
      <c r="C61" s="124"/>
      <c r="D61" s="124"/>
      <c r="E61" s="124"/>
      <c r="F61" s="124"/>
      <c r="G61" s="124"/>
      <c r="H61" s="124"/>
      <c r="I61" s="124"/>
      <c r="J61" s="124"/>
      <c r="K61" s="124"/>
      <c r="L61" s="124"/>
      <c r="M61" s="124" t="s">
        <v>999</v>
      </c>
      <c r="N61" s="124"/>
      <c r="O61" s="124" t="s">
        <v>1000</v>
      </c>
      <c r="P61" s="124"/>
      <c r="Q61" s="77" t="s">
        <v>1001</v>
      </c>
      <c r="R61" s="124" t="s">
        <v>1002</v>
      </c>
      <c r="S61" s="124"/>
      <c r="T61" s="124"/>
    </row>
    <row r="62" spans="1:20" ht="13.35" customHeight="1" x14ac:dyDescent="0.2">
      <c r="A62" s="124" t="s">
        <v>1003</v>
      </c>
      <c r="B62" s="124"/>
      <c r="C62" s="124"/>
      <c r="D62" s="124"/>
      <c r="E62" s="124"/>
      <c r="F62" s="124"/>
      <c r="G62" s="124"/>
      <c r="H62" s="124"/>
      <c r="I62" s="124"/>
      <c r="J62" s="124"/>
      <c r="K62" s="124"/>
      <c r="L62" s="124"/>
      <c r="M62" s="124" t="s">
        <v>1004</v>
      </c>
      <c r="N62" s="124"/>
      <c r="O62" s="124" t="s">
        <v>1000</v>
      </c>
      <c r="P62" s="124"/>
      <c r="Q62" s="77" t="s">
        <v>1005</v>
      </c>
      <c r="R62" s="124" t="s">
        <v>1002</v>
      </c>
      <c r="S62" s="124"/>
      <c r="T62" s="124"/>
    </row>
    <row r="63" spans="1:20" ht="13.35" customHeight="1" x14ac:dyDescent="0.2">
      <c r="A63" s="124" t="s">
        <v>1006</v>
      </c>
      <c r="B63" s="124"/>
      <c r="C63" s="124"/>
      <c r="D63" s="124"/>
      <c r="E63" s="124"/>
      <c r="F63" s="124"/>
      <c r="G63" s="124"/>
      <c r="H63" s="124"/>
      <c r="I63" s="124"/>
      <c r="J63" s="124"/>
      <c r="K63" s="124"/>
      <c r="L63" s="124"/>
      <c r="M63" s="124" t="s">
        <v>1007</v>
      </c>
      <c r="N63" s="124"/>
      <c r="O63" s="124" t="s">
        <v>1000</v>
      </c>
      <c r="P63" s="124"/>
      <c r="Q63" s="77" t="s">
        <v>1008</v>
      </c>
      <c r="R63" s="124" t="s">
        <v>1002</v>
      </c>
      <c r="S63" s="124"/>
      <c r="T63" s="124"/>
    </row>
    <row r="64" spans="1:20" ht="13.35" customHeight="1" x14ac:dyDescent="0.2">
      <c r="A64" s="124" t="s">
        <v>1009</v>
      </c>
      <c r="B64" s="124"/>
      <c r="C64" s="124"/>
      <c r="D64" s="124"/>
      <c r="E64" s="124"/>
      <c r="F64" s="124"/>
      <c r="G64" s="124"/>
      <c r="H64" s="124"/>
      <c r="I64" s="124"/>
      <c r="J64" s="124"/>
      <c r="K64" s="124"/>
      <c r="L64" s="124"/>
      <c r="M64" s="124" t="s">
        <v>1010</v>
      </c>
      <c r="N64" s="124"/>
      <c r="O64" s="124" t="s">
        <v>1000</v>
      </c>
      <c r="P64" s="124"/>
      <c r="Q64" s="77" t="s">
        <v>1011</v>
      </c>
      <c r="R64" s="124" t="s">
        <v>1002</v>
      </c>
      <c r="S64" s="124"/>
      <c r="T64" s="124"/>
    </row>
    <row r="65" spans="1:20" ht="13.35" customHeight="1" x14ac:dyDescent="0.2">
      <c r="A65" s="124" t="s">
        <v>1012</v>
      </c>
      <c r="B65" s="124"/>
      <c r="C65" s="124"/>
      <c r="D65" s="124"/>
      <c r="E65" s="124"/>
      <c r="F65" s="124"/>
      <c r="G65" s="124"/>
      <c r="H65" s="124"/>
      <c r="I65" s="124"/>
      <c r="J65" s="124"/>
      <c r="K65" s="124"/>
      <c r="L65" s="124"/>
      <c r="M65" s="124" t="s">
        <v>1013</v>
      </c>
      <c r="N65" s="124"/>
      <c r="O65" s="124" t="s">
        <v>1000</v>
      </c>
      <c r="P65" s="124"/>
      <c r="Q65" s="77" t="s">
        <v>1014</v>
      </c>
      <c r="R65" s="124" t="s">
        <v>1002</v>
      </c>
      <c r="S65" s="124"/>
      <c r="T65" s="124"/>
    </row>
    <row r="66" spans="1:20" ht="13.35" customHeight="1" x14ac:dyDescent="0.2">
      <c r="A66" s="124" t="s">
        <v>100</v>
      </c>
      <c r="B66" s="124"/>
      <c r="C66" s="124"/>
      <c r="D66" s="124"/>
      <c r="E66" s="124"/>
      <c r="F66" s="124"/>
      <c r="G66" s="124"/>
      <c r="H66" s="124"/>
      <c r="I66" s="124"/>
      <c r="J66" s="124"/>
      <c r="K66" s="124"/>
      <c r="L66" s="124"/>
      <c r="M66" s="124"/>
      <c r="N66" s="124"/>
      <c r="O66" s="124"/>
      <c r="P66" s="124"/>
      <c r="Q66" s="77"/>
      <c r="R66" s="124"/>
      <c r="S66" s="124"/>
      <c r="T66" s="124"/>
    </row>
    <row r="67" spans="1:20" ht="13.35" customHeight="1" x14ac:dyDescent="0.2">
      <c r="A67" s="124" t="s">
        <v>91</v>
      </c>
      <c r="B67" s="124"/>
      <c r="C67" s="124"/>
      <c r="D67" s="124"/>
      <c r="E67" s="124"/>
      <c r="F67" s="124"/>
      <c r="G67" s="124"/>
      <c r="H67" s="124"/>
      <c r="I67" s="124"/>
      <c r="J67" s="124"/>
      <c r="K67" s="124"/>
      <c r="L67" s="124"/>
      <c r="M67" s="124" t="s">
        <v>1015</v>
      </c>
      <c r="N67" s="124"/>
      <c r="O67" s="124" t="s">
        <v>189</v>
      </c>
      <c r="P67" s="124"/>
      <c r="Q67" s="77" t="s">
        <v>335</v>
      </c>
      <c r="R67" s="124" t="s">
        <v>190</v>
      </c>
      <c r="S67" s="124"/>
      <c r="T67" s="124"/>
    </row>
    <row r="68" spans="1:20" ht="13.35" customHeight="1" x14ac:dyDescent="0.2">
      <c r="A68" s="124" t="s">
        <v>94</v>
      </c>
      <c r="B68" s="124"/>
      <c r="C68" s="124"/>
      <c r="D68" s="124"/>
      <c r="E68" s="124"/>
      <c r="F68" s="124"/>
      <c r="G68" s="124"/>
      <c r="H68" s="124"/>
      <c r="I68" s="124"/>
      <c r="J68" s="124"/>
      <c r="K68" s="124"/>
      <c r="L68" s="124"/>
      <c r="M68" s="124" t="s">
        <v>1016</v>
      </c>
      <c r="N68" s="124"/>
      <c r="O68" s="124" t="s">
        <v>189</v>
      </c>
      <c r="P68" s="124"/>
      <c r="Q68" s="77" t="s">
        <v>270</v>
      </c>
      <c r="R68" s="124" t="s">
        <v>190</v>
      </c>
      <c r="S68" s="124"/>
      <c r="T68" s="124"/>
    </row>
    <row r="69" spans="1:20" ht="13.35" customHeight="1" x14ac:dyDescent="0.2">
      <c r="A69" s="124" t="s">
        <v>21</v>
      </c>
      <c r="B69" s="124"/>
      <c r="C69" s="124"/>
      <c r="D69" s="124"/>
      <c r="E69" s="124"/>
      <c r="F69" s="124"/>
      <c r="G69" s="124"/>
      <c r="H69" s="124"/>
      <c r="I69" s="124"/>
      <c r="J69" s="124"/>
      <c r="K69" s="124"/>
      <c r="L69" s="124"/>
      <c r="M69" s="124" t="s">
        <v>1017</v>
      </c>
      <c r="N69" s="124"/>
      <c r="O69" s="124" t="s">
        <v>1018</v>
      </c>
      <c r="P69" s="124"/>
      <c r="Q69" s="77" t="s">
        <v>1019</v>
      </c>
      <c r="R69" s="124" t="s">
        <v>1020</v>
      </c>
      <c r="S69" s="124"/>
      <c r="T69" s="124"/>
    </row>
    <row r="70" spans="1:20" ht="13.35" customHeight="1" x14ac:dyDescent="0.2">
      <c r="A70" s="124" t="s">
        <v>25</v>
      </c>
      <c r="B70" s="124"/>
      <c r="C70" s="124"/>
      <c r="D70" s="124"/>
      <c r="E70" s="124"/>
      <c r="F70" s="124"/>
      <c r="G70" s="124"/>
      <c r="H70" s="124"/>
      <c r="I70" s="124"/>
      <c r="J70" s="124"/>
      <c r="K70" s="124"/>
      <c r="L70" s="124"/>
      <c r="M70" s="124" t="s">
        <v>196</v>
      </c>
      <c r="N70" s="124"/>
      <c r="O70" s="124" t="s">
        <v>196</v>
      </c>
      <c r="P70" s="124"/>
      <c r="Q70" s="77" t="s">
        <v>197</v>
      </c>
      <c r="R70" s="124" t="s">
        <v>197</v>
      </c>
      <c r="S70" s="124"/>
      <c r="T70" s="124"/>
    </row>
    <row r="71" spans="1:20" ht="13.35" customHeight="1" x14ac:dyDescent="0.2">
      <c r="A71" s="124" t="s">
        <v>18</v>
      </c>
      <c r="B71" s="124"/>
      <c r="C71" s="124"/>
      <c r="D71" s="124"/>
      <c r="E71" s="124"/>
      <c r="F71" s="124"/>
      <c r="G71" s="124"/>
      <c r="H71" s="124"/>
      <c r="I71" s="124"/>
      <c r="J71" s="124"/>
      <c r="K71" s="124"/>
      <c r="L71" s="124"/>
      <c r="M71" s="124" t="s">
        <v>1021</v>
      </c>
      <c r="N71" s="124"/>
      <c r="O71" s="124" t="s">
        <v>1021</v>
      </c>
      <c r="P71" s="124"/>
      <c r="Q71" s="77" t="s">
        <v>1022</v>
      </c>
      <c r="R71" s="124" t="s">
        <v>1022</v>
      </c>
      <c r="S71" s="124"/>
      <c r="T71" s="124"/>
    </row>
    <row r="72" spans="1:20" ht="13.35" customHeight="1" x14ac:dyDescent="0.2">
      <c r="A72" s="124" t="s">
        <v>114</v>
      </c>
      <c r="B72" s="124"/>
      <c r="C72" s="124"/>
      <c r="D72" s="124"/>
      <c r="E72" s="124"/>
      <c r="F72" s="124"/>
      <c r="G72" s="124"/>
      <c r="H72" s="124"/>
      <c r="I72" s="124"/>
      <c r="J72" s="124"/>
      <c r="K72" s="124"/>
      <c r="L72" s="124"/>
      <c r="M72" s="124" t="s">
        <v>655</v>
      </c>
      <c r="N72" s="124"/>
      <c r="O72" s="124" t="s">
        <v>655</v>
      </c>
      <c r="P72" s="124"/>
      <c r="Q72" s="77" t="s">
        <v>405</v>
      </c>
      <c r="R72" s="124" t="s">
        <v>405</v>
      </c>
      <c r="S72" s="124"/>
      <c r="T72" s="124"/>
    </row>
    <row r="73" spans="1:20" ht="13.35" customHeight="1" x14ac:dyDescent="0.2">
      <c r="A73" s="124" t="s">
        <v>70</v>
      </c>
      <c r="B73" s="124"/>
      <c r="C73" s="124"/>
      <c r="D73" s="124"/>
      <c r="E73" s="124"/>
      <c r="F73" s="124"/>
      <c r="G73" s="124"/>
      <c r="H73" s="124"/>
      <c r="I73" s="124"/>
      <c r="J73" s="124"/>
      <c r="K73" s="124"/>
      <c r="L73" s="124"/>
      <c r="M73" s="124" t="s">
        <v>89</v>
      </c>
      <c r="N73" s="124"/>
      <c r="O73" s="124" t="s">
        <v>89</v>
      </c>
      <c r="P73" s="124"/>
      <c r="Q73" s="77" t="s">
        <v>327</v>
      </c>
      <c r="R73" s="124" t="s">
        <v>327</v>
      </c>
      <c r="S73" s="124"/>
      <c r="T73" s="124"/>
    </row>
    <row r="74" spans="1:20" ht="14.1" customHeight="1" x14ac:dyDescent="0.2">
      <c r="A74" s="126" t="s">
        <v>217</v>
      </c>
      <c r="B74" s="126"/>
      <c r="C74" s="126"/>
      <c r="D74" s="126"/>
      <c r="E74" s="126"/>
      <c r="F74" s="126"/>
      <c r="G74" s="126"/>
      <c r="H74" s="126"/>
      <c r="I74" s="126"/>
      <c r="J74" s="126"/>
      <c r="K74" s="126"/>
      <c r="L74" s="126"/>
      <c r="M74" s="126"/>
      <c r="N74" s="126"/>
      <c r="O74" s="126"/>
      <c r="P74" s="126"/>
      <c r="Q74" s="126"/>
      <c r="R74" s="126"/>
      <c r="S74" s="126"/>
      <c r="T74" s="126"/>
    </row>
    <row r="75" spans="1:20" ht="14.1" customHeight="1" x14ac:dyDescent="0.2"/>
    <row r="76" spans="1:20" ht="14.1" customHeight="1" x14ac:dyDescent="0.2">
      <c r="A76" s="121" t="s">
        <v>33</v>
      </c>
      <c r="B76" s="121"/>
      <c r="C76" s="121"/>
      <c r="D76" s="121"/>
      <c r="E76" s="121"/>
      <c r="F76" s="121"/>
      <c r="G76" s="121"/>
      <c r="H76" s="121"/>
      <c r="I76" s="121"/>
      <c r="J76" s="121"/>
      <c r="K76" s="121"/>
      <c r="L76" s="121"/>
      <c r="M76" s="121"/>
      <c r="N76" s="121"/>
    </row>
    <row r="77" spans="1:20" ht="13.35" customHeight="1" x14ac:dyDescent="0.2">
      <c r="A77" s="124" t="s">
        <v>34</v>
      </c>
      <c r="B77" s="124"/>
      <c r="C77" s="124"/>
      <c r="D77" s="124"/>
      <c r="E77" s="125">
        <v>3.74</v>
      </c>
      <c r="F77" s="125"/>
      <c r="G77" s="78"/>
      <c r="H77" s="77" t="s">
        <v>35</v>
      </c>
      <c r="I77" s="125">
        <v>0.17</v>
      </c>
      <c r="J77" s="125"/>
      <c r="K77" s="78"/>
      <c r="L77" s="124" t="s">
        <v>36</v>
      </c>
      <c r="M77" s="124"/>
      <c r="N77" s="125">
        <v>37.21</v>
      </c>
      <c r="O77" s="125"/>
    </row>
    <row r="78" spans="1:20" ht="13.35" customHeight="1" x14ac:dyDescent="0.2">
      <c r="A78" s="124" t="s">
        <v>37</v>
      </c>
      <c r="B78" s="124"/>
      <c r="C78" s="124"/>
      <c r="D78" s="124"/>
      <c r="E78" s="125">
        <v>4.6500000000000004</v>
      </c>
      <c r="F78" s="125"/>
      <c r="G78" s="78"/>
      <c r="H78" s="77" t="s">
        <v>38</v>
      </c>
      <c r="I78" s="125">
        <v>14.4</v>
      </c>
      <c r="J78" s="125"/>
      <c r="K78" s="78"/>
      <c r="L78" s="124" t="s">
        <v>39</v>
      </c>
      <c r="M78" s="124"/>
      <c r="N78" s="125">
        <v>43.83</v>
      </c>
      <c r="O78" s="125"/>
    </row>
    <row r="79" spans="1:20" ht="13.35" customHeight="1" x14ac:dyDescent="0.2">
      <c r="A79" s="124" t="s">
        <v>40</v>
      </c>
      <c r="B79" s="124"/>
      <c r="C79" s="124"/>
      <c r="D79" s="124"/>
      <c r="E79" s="125">
        <v>28.34</v>
      </c>
      <c r="F79" s="125"/>
      <c r="G79" s="78"/>
      <c r="H79" s="77" t="s">
        <v>41</v>
      </c>
      <c r="I79" s="125">
        <v>0.38</v>
      </c>
      <c r="J79" s="125"/>
      <c r="K79" s="78"/>
      <c r="L79" s="124" t="s">
        <v>42</v>
      </c>
      <c r="M79" s="124"/>
      <c r="N79" s="125">
        <v>106.97</v>
      </c>
      <c r="O79" s="125"/>
    </row>
    <row r="80" spans="1:20" ht="13.35" customHeight="1" x14ac:dyDescent="0.2">
      <c r="A80" s="124" t="s">
        <v>43</v>
      </c>
      <c r="B80" s="124"/>
      <c r="C80" s="124"/>
      <c r="D80" s="124"/>
      <c r="E80" s="125">
        <v>171.16</v>
      </c>
      <c r="F80" s="125"/>
      <c r="G80" s="78"/>
      <c r="H80" s="77" t="s">
        <v>44</v>
      </c>
      <c r="I80" s="125">
        <v>2.08</v>
      </c>
      <c r="J80" s="125"/>
      <c r="K80" s="78"/>
      <c r="L80" s="124" t="s">
        <v>45</v>
      </c>
      <c r="M80" s="124"/>
      <c r="N80" s="125">
        <v>1.91</v>
      </c>
      <c r="O80" s="125"/>
    </row>
    <row r="81" spans="1:20" ht="13.35" customHeight="1" x14ac:dyDescent="0.2">
      <c r="A81" s="123"/>
      <c r="B81" s="123"/>
      <c r="C81" s="123"/>
      <c r="D81" s="123"/>
      <c r="E81" s="123"/>
      <c r="F81" s="123"/>
      <c r="G81" s="78"/>
      <c r="H81" s="77" t="s">
        <v>46</v>
      </c>
      <c r="I81" s="125">
        <v>0</v>
      </c>
      <c r="J81" s="125"/>
      <c r="K81" s="78"/>
      <c r="L81" s="124" t="s">
        <v>47</v>
      </c>
      <c r="M81" s="124"/>
      <c r="N81" s="125">
        <v>987.22</v>
      </c>
      <c r="O81" s="125"/>
    </row>
    <row r="82" spans="1:20" ht="13.35" customHeight="1" x14ac:dyDescent="0.2">
      <c r="A82" s="123"/>
      <c r="B82" s="123"/>
      <c r="C82" s="123"/>
      <c r="D82" s="123"/>
      <c r="E82" s="123"/>
      <c r="F82" s="123"/>
      <c r="G82" s="78"/>
      <c r="H82" s="77" t="s">
        <v>48</v>
      </c>
      <c r="I82" s="125">
        <v>0.12</v>
      </c>
      <c r="J82" s="125"/>
      <c r="K82" s="78"/>
      <c r="L82" s="124" t="s">
        <v>49</v>
      </c>
      <c r="M82" s="124"/>
      <c r="N82" s="125">
        <v>9.73</v>
      </c>
      <c r="O82" s="125"/>
    </row>
    <row r="83" spans="1:20" ht="13.35" customHeight="1" x14ac:dyDescent="0.2">
      <c r="A83" s="123"/>
      <c r="B83" s="123"/>
      <c r="C83" s="123"/>
      <c r="D83" s="123"/>
      <c r="E83" s="123"/>
      <c r="F83" s="123"/>
      <c r="G83" s="78"/>
      <c r="H83" s="78"/>
      <c r="I83" s="123"/>
      <c r="J83" s="123"/>
      <c r="K83" s="78"/>
      <c r="L83" s="124" t="s">
        <v>50</v>
      </c>
      <c r="M83" s="124"/>
      <c r="N83" s="125">
        <v>7.0000000000000007E-2</v>
      </c>
      <c r="O83" s="125"/>
    </row>
    <row r="84" spans="1:20" ht="13.35" customHeight="1" x14ac:dyDescent="0.2">
      <c r="A84" s="123"/>
      <c r="B84" s="123"/>
      <c r="C84" s="123"/>
      <c r="D84" s="123"/>
      <c r="E84" s="123"/>
      <c r="F84" s="123"/>
      <c r="G84" s="78"/>
      <c r="H84" s="78"/>
      <c r="I84" s="123"/>
      <c r="J84" s="123"/>
      <c r="K84" s="78"/>
      <c r="L84" s="124" t="s">
        <v>51</v>
      </c>
      <c r="M84" s="124"/>
      <c r="N84" s="125">
        <v>0</v>
      </c>
      <c r="O84" s="125"/>
    </row>
    <row r="85" spans="1:20" ht="14.1" customHeight="1" x14ac:dyDescent="0.2">
      <c r="A85" s="120"/>
      <c r="B85" s="120"/>
      <c r="C85" s="120"/>
      <c r="D85" s="120"/>
      <c r="E85" s="120"/>
      <c r="F85" s="120"/>
      <c r="G85" s="120"/>
      <c r="H85" s="120"/>
      <c r="I85" s="120"/>
      <c r="J85" s="120"/>
      <c r="K85" s="120"/>
      <c r="L85" s="120"/>
      <c r="M85" s="120"/>
      <c r="N85" s="120"/>
      <c r="O85" s="120"/>
      <c r="P85" s="120"/>
      <c r="Q85" s="120"/>
      <c r="R85" s="120"/>
      <c r="S85" s="120"/>
    </row>
    <row r="86" spans="1:20" ht="14.1" customHeight="1" x14ac:dyDescent="0.2">
      <c r="A86" s="121" t="s">
        <v>52</v>
      </c>
      <c r="B86" s="121"/>
      <c r="C86" s="121"/>
      <c r="D86" s="121"/>
      <c r="E86" s="121"/>
      <c r="F86" s="121"/>
      <c r="G86" s="121"/>
      <c r="H86" s="121"/>
      <c r="I86" s="121"/>
      <c r="J86" s="121"/>
      <c r="K86" s="121"/>
      <c r="L86" s="121"/>
      <c r="M86" s="121"/>
      <c r="N86" s="121"/>
      <c r="O86" s="121"/>
      <c r="P86" s="121"/>
      <c r="Q86" s="121"/>
      <c r="R86" s="121"/>
      <c r="S86" s="121"/>
    </row>
    <row r="87" spans="1:20" ht="30.9" customHeight="1" x14ac:dyDescent="0.2">
      <c r="A87" s="122" t="s">
        <v>1023</v>
      </c>
      <c r="B87" s="122"/>
      <c r="C87" s="122"/>
      <c r="D87" s="122"/>
      <c r="E87" s="122"/>
      <c r="F87" s="122"/>
      <c r="G87" s="122"/>
      <c r="H87" s="122"/>
      <c r="I87" s="122"/>
      <c r="J87" s="122"/>
      <c r="K87" s="122"/>
      <c r="L87" s="122"/>
      <c r="M87" s="122"/>
      <c r="N87" s="122"/>
      <c r="O87" s="122"/>
      <c r="P87" s="122"/>
      <c r="Q87" s="122"/>
      <c r="R87" s="122"/>
      <c r="S87" s="122"/>
    </row>
    <row r="88" spans="1:20" ht="14.1" customHeight="1" x14ac:dyDescent="0.2">
      <c r="A88" s="120"/>
      <c r="B88" s="120"/>
      <c r="C88" s="120"/>
      <c r="D88" s="120"/>
      <c r="E88" s="120"/>
      <c r="F88" s="120"/>
      <c r="G88" s="120"/>
      <c r="H88" s="120"/>
      <c r="I88" s="120"/>
      <c r="J88" s="120"/>
      <c r="K88" s="120"/>
      <c r="L88" s="120"/>
      <c r="M88" s="120"/>
      <c r="N88" s="120"/>
      <c r="O88" s="120"/>
      <c r="P88" s="120"/>
      <c r="Q88" s="120"/>
      <c r="R88" s="120"/>
      <c r="S88" s="120"/>
    </row>
    <row r="89" spans="1:20" ht="14.1" customHeight="1" x14ac:dyDescent="0.2">
      <c r="A89" s="121" t="s">
        <v>54</v>
      </c>
      <c r="B89" s="121"/>
      <c r="C89" s="121"/>
      <c r="D89" s="121"/>
      <c r="E89" s="121"/>
      <c r="F89" s="121"/>
      <c r="G89" s="121"/>
      <c r="H89" s="121"/>
      <c r="I89" s="121"/>
      <c r="J89" s="121"/>
      <c r="K89" s="121"/>
      <c r="L89" s="121"/>
      <c r="M89" s="121"/>
      <c r="N89" s="121"/>
      <c r="O89" s="121"/>
      <c r="P89" s="121"/>
      <c r="Q89" s="121"/>
      <c r="R89" s="121"/>
      <c r="S89" s="121"/>
    </row>
    <row r="90" spans="1:20" ht="12.45" customHeight="1" x14ac:dyDescent="0.2">
      <c r="A90" s="122" t="s">
        <v>1024</v>
      </c>
      <c r="B90" s="122"/>
      <c r="C90" s="122"/>
      <c r="D90" s="122"/>
      <c r="E90" s="122"/>
      <c r="F90" s="122"/>
      <c r="G90" s="122"/>
      <c r="H90" s="122"/>
      <c r="I90" s="122"/>
      <c r="J90" s="122"/>
      <c r="K90" s="122"/>
      <c r="L90" s="122"/>
      <c r="M90" s="122"/>
      <c r="N90" s="122"/>
      <c r="O90" s="122"/>
      <c r="P90" s="122"/>
      <c r="Q90" s="122"/>
      <c r="R90" s="122"/>
      <c r="S90" s="122"/>
    </row>
    <row r="91" spans="1:20" ht="14.1" customHeight="1" x14ac:dyDescent="0.2">
      <c r="A91" s="120"/>
      <c r="B91" s="120"/>
      <c r="C91" s="120"/>
      <c r="D91" s="120"/>
      <c r="E91" s="120"/>
      <c r="F91" s="120"/>
      <c r="G91" s="120"/>
      <c r="H91" s="120"/>
      <c r="I91" s="120"/>
      <c r="J91" s="120"/>
      <c r="K91" s="120"/>
      <c r="L91" s="120"/>
      <c r="M91" s="120"/>
      <c r="N91" s="120"/>
      <c r="O91" s="120"/>
      <c r="P91" s="120"/>
      <c r="Q91" s="120"/>
      <c r="R91" s="120"/>
      <c r="S91" s="120"/>
    </row>
    <row r="92" spans="1:20" ht="14.1" customHeight="1" x14ac:dyDescent="0.2">
      <c r="A92" s="121" t="s">
        <v>56</v>
      </c>
      <c r="B92" s="121"/>
      <c r="C92" s="121"/>
      <c r="D92" s="121"/>
      <c r="E92" s="121"/>
      <c r="F92" s="121"/>
      <c r="G92" s="121"/>
      <c r="H92" s="121"/>
      <c r="I92" s="121"/>
      <c r="J92" s="121"/>
      <c r="K92" s="121"/>
      <c r="L92" s="121"/>
      <c r="M92" s="121"/>
      <c r="N92" s="121"/>
      <c r="O92" s="121"/>
      <c r="P92" s="121"/>
      <c r="Q92" s="121"/>
      <c r="R92" s="121"/>
      <c r="S92" s="121"/>
    </row>
    <row r="93" spans="1:20" ht="49.2" customHeight="1" x14ac:dyDescent="0.2">
      <c r="A93" s="122" t="s">
        <v>1025</v>
      </c>
      <c r="B93" s="122"/>
      <c r="C93" s="122"/>
      <c r="D93" s="122"/>
      <c r="E93" s="122"/>
      <c r="F93" s="122"/>
      <c r="G93" s="122"/>
      <c r="H93" s="122"/>
      <c r="I93" s="122"/>
      <c r="J93" s="122"/>
      <c r="K93" s="122"/>
      <c r="L93" s="122"/>
      <c r="M93" s="122"/>
      <c r="N93" s="122"/>
      <c r="O93" s="122"/>
      <c r="P93" s="122"/>
      <c r="Q93" s="122"/>
      <c r="R93" s="122"/>
      <c r="S93" s="122"/>
    </row>
    <row r="96" spans="1:20" s="1" customFormat="1" ht="72.45" customHeight="1" x14ac:dyDescent="0.25">
      <c r="J96" s="100" t="s">
        <v>0</v>
      </c>
      <c r="K96" s="100"/>
      <c r="L96" s="100"/>
      <c r="M96" s="100"/>
      <c r="N96" s="100"/>
      <c r="O96" s="100"/>
      <c r="P96" s="100"/>
      <c r="Q96" s="100"/>
      <c r="R96" s="100"/>
      <c r="S96" s="100"/>
      <c r="T96" s="100"/>
    </row>
    <row r="97" spans="1:20" ht="7.05" customHeight="1" x14ac:dyDescent="0.2"/>
    <row r="98" spans="1:20" ht="14.1" customHeight="1" x14ac:dyDescent="0.2">
      <c r="B98" s="130" t="s">
        <v>306</v>
      </c>
      <c r="C98" s="130"/>
      <c r="D98" s="130"/>
      <c r="E98" s="130"/>
      <c r="F98" s="130"/>
      <c r="G98" s="130"/>
      <c r="H98" s="130"/>
      <c r="I98" s="130"/>
      <c r="J98" s="130"/>
      <c r="K98" s="130"/>
      <c r="L98" s="130"/>
      <c r="M98" s="130"/>
      <c r="N98" s="130"/>
      <c r="O98" s="130"/>
      <c r="P98" s="130"/>
      <c r="Q98" s="130"/>
      <c r="R98" s="130"/>
    </row>
    <row r="99" spans="1:20" ht="14.1" customHeight="1" x14ac:dyDescent="0.2"/>
    <row r="100" spans="1:20" ht="14.1" customHeight="1" x14ac:dyDescent="0.2">
      <c r="A100" s="120" t="s">
        <v>2</v>
      </c>
      <c r="B100" s="120"/>
      <c r="C100" s="120"/>
      <c r="D100" s="129" t="s">
        <v>1026</v>
      </c>
      <c r="E100" s="129"/>
      <c r="F100" s="129"/>
      <c r="G100" s="129"/>
      <c r="H100" s="129"/>
      <c r="I100" s="129"/>
      <c r="J100" s="129"/>
      <c r="K100" s="129"/>
      <c r="L100" s="129"/>
      <c r="M100" s="129"/>
      <c r="N100" s="129"/>
      <c r="O100" s="129"/>
      <c r="P100" s="129"/>
      <c r="Q100" s="129"/>
      <c r="R100" s="129"/>
      <c r="S100" s="129"/>
      <c r="T100" s="129"/>
    </row>
    <row r="101" spans="1:20" ht="14.1" customHeight="1" x14ac:dyDescent="0.2">
      <c r="A101" s="120" t="s">
        <v>4</v>
      </c>
      <c r="B101" s="120"/>
      <c r="C101" s="129" t="s">
        <v>308</v>
      </c>
      <c r="D101" s="129"/>
      <c r="E101" s="129"/>
      <c r="F101" s="129"/>
      <c r="G101" s="129"/>
      <c r="H101" s="129"/>
      <c r="I101" s="129"/>
      <c r="J101" s="129"/>
      <c r="K101" s="129"/>
      <c r="L101" s="129"/>
      <c r="M101" s="129"/>
      <c r="N101" s="129"/>
      <c r="O101" s="129"/>
      <c r="P101" s="129"/>
      <c r="Q101" s="129"/>
      <c r="R101" s="129"/>
      <c r="S101" s="129"/>
      <c r="T101" s="129"/>
    </row>
    <row r="102" spans="1:20" ht="14.1" customHeight="1" x14ac:dyDescent="0.2">
      <c r="A102" s="120" t="s">
        <v>6</v>
      </c>
      <c r="B102" s="120"/>
      <c r="C102" s="120"/>
      <c r="D102" s="120"/>
      <c r="E102" s="120"/>
      <c r="F102" s="129" t="s">
        <v>7</v>
      </c>
      <c r="G102" s="129"/>
      <c r="H102" s="129"/>
      <c r="I102" s="129"/>
      <c r="J102" s="129"/>
      <c r="K102" s="129"/>
      <c r="L102" s="129"/>
      <c r="M102" s="129"/>
      <c r="N102" s="129"/>
      <c r="O102" s="129"/>
      <c r="P102" s="129"/>
      <c r="Q102" s="129"/>
      <c r="R102" s="129"/>
      <c r="S102" s="129"/>
      <c r="T102" s="129"/>
    </row>
    <row r="103" spans="1:20" ht="22.35" customHeight="1" x14ac:dyDescent="0.2">
      <c r="F103" s="129"/>
      <c r="G103" s="129"/>
      <c r="H103" s="129"/>
      <c r="I103" s="129"/>
      <c r="J103" s="129"/>
      <c r="K103" s="129"/>
      <c r="L103" s="129"/>
      <c r="M103" s="129"/>
      <c r="N103" s="129"/>
      <c r="O103" s="129"/>
      <c r="P103" s="129"/>
      <c r="Q103" s="129"/>
      <c r="R103" s="129"/>
      <c r="S103" s="129"/>
      <c r="T103" s="129"/>
    </row>
    <row r="104" spans="1:20" ht="7.05" customHeight="1" x14ac:dyDescent="0.2">
      <c r="A104" s="120"/>
      <c r="B104" s="120"/>
      <c r="C104" s="120"/>
      <c r="D104" s="120"/>
      <c r="E104" s="120"/>
      <c r="F104" s="120"/>
      <c r="G104" s="120"/>
      <c r="H104" s="120"/>
      <c r="I104" s="120"/>
      <c r="J104" s="120"/>
      <c r="K104" s="120"/>
      <c r="L104" s="120"/>
      <c r="M104" s="120"/>
      <c r="N104" s="120"/>
      <c r="O104" s="120"/>
      <c r="P104" s="120"/>
      <c r="Q104" s="75"/>
      <c r="R104" s="120"/>
      <c r="S104" s="120"/>
      <c r="T104" s="120"/>
    </row>
    <row r="105" spans="1:20" ht="16.95" customHeight="1" x14ac:dyDescent="0.2">
      <c r="A105" s="128" t="s">
        <v>8</v>
      </c>
      <c r="B105" s="128"/>
      <c r="C105" s="128"/>
      <c r="D105" s="128"/>
      <c r="E105" s="128"/>
      <c r="F105" s="128"/>
      <c r="G105" s="128"/>
      <c r="H105" s="128"/>
      <c r="I105" s="128"/>
      <c r="J105" s="128"/>
      <c r="K105" s="128"/>
      <c r="L105" s="128"/>
      <c r="M105" s="128" t="s">
        <v>9</v>
      </c>
      <c r="N105" s="128"/>
      <c r="O105" s="128"/>
      <c r="P105" s="128"/>
      <c r="Q105" s="128"/>
      <c r="R105" s="128"/>
      <c r="S105" s="128"/>
      <c r="T105" s="128"/>
    </row>
    <row r="106" spans="1:20" ht="16.95" customHeight="1" x14ac:dyDescent="0.2">
      <c r="A106" s="128"/>
      <c r="B106" s="128"/>
      <c r="C106" s="128"/>
      <c r="D106" s="128"/>
      <c r="E106" s="128"/>
      <c r="F106" s="128"/>
      <c r="G106" s="128"/>
      <c r="H106" s="128"/>
      <c r="I106" s="128"/>
      <c r="J106" s="128"/>
      <c r="K106" s="128"/>
      <c r="L106" s="128"/>
      <c r="M106" s="128" t="s">
        <v>10</v>
      </c>
      <c r="N106" s="128"/>
      <c r="O106" s="128"/>
      <c r="P106" s="128"/>
      <c r="Q106" s="128" t="s">
        <v>11</v>
      </c>
      <c r="R106" s="128"/>
      <c r="S106" s="128"/>
      <c r="T106" s="128"/>
    </row>
    <row r="107" spans="1:20" ht="16.95" customHeight="1" x14ac:dyDescent="0.2">
      <c r="A107" s="128"/>
      <c r="B107" s="128"/>
      <c r="C107" s="128"/>
      <c r="D107" s="128"/>
      <c r="E107" s="128"/>
      <c r="F107" s="128"/>
      <c r="G107" s="128"/>
      <c r="H107" s="128"/>
      <c r="I107" s="128"/>
      <c r="J107" s="128"/>
      <c r="K107" s="128"/>
      <c r="L107" s="128"/>
      <c r="M107" s="128" t="s">
        <v>12</v>
      </c>
      <c r="N107" s="128"/>
      <c r="O107" s="128" t="s">
        <v>13</v>
      </c>
      <c r="P107" s="128"/>
      <c r="Q107" s="76" t="s">
        <v>14</v>
      </c>
      <c r="R107" s="128" t="s">
        <v>15</v>
      </c>
      <c r="S107" s="128"/>
      <c r="T107" s="128"/>
    </row>
    <row r="108" spans="1:20" ht="13.35" customHeight="1" x14ac:dyDescent="0.2">
      <c r="A108" s="124" t="s">
        <v>1027</v>
      </c>
      <c r="B108" s="124"/>
      <c r="C108" s="124"/>
      <c r="D108" s="124"/>
      <c r="E108" s="124"/>
      <c r="F108" s="124"/>
      <c r="G108" s="124"/>
      <c r="H108" s="124"/>
      <c r="I108" s="124"/>
      <c r="J108" s="124"/>
      <c r="K108" s="124"/>
      <c r="L108" s="124"/>
      <c r="M108" s="124" t="s">
        <v>1028</v>
      </c>
      <c r="N108" s="124"/>
      <c r="O108" s="124" t="s">
        <v>1028</v>
      </c>
      <c r="P108" s="124"/>
      <c r="Q108" s="77" t="s">
        <v>1029</v>
      </c>
      <c r="R108" s="124" t="s">
        <v>1029</v>
      </c>
      <c r="S108" s="124"/>
      <c r="T108" s="124"/>
    </row>
    <row r="109" spans="1:20" ht="13.35" customHeight="1" x14ac:dyDescent="0.2">
      <c r="A109" s="124" t="s">
        <v>114</v>
      </c>
      <c r="B109" s="124"/>
      <c r="C109" s="124"/>
      <c r="D109" s="124"/>
      <c r="E109" s="124"/>
      <c r="F109" s="124"/>
      <c r="G109" s="124"/>
      <c r="H109" s="124"/>
      <c r="I109" s="124"/>
      <c r="J109" s="124"/>
      <c r="K109" s="124"/>
      <c r="L109" s="124"/>
      <c r="M109" s="124" t="s">
        <v>1030</v>
      </c>
      <c r="N109" s="124"/>
      <c r="O109" s="124" t="s">
        <v>1030</v>
      </c>
      <c r="P109" s="124"/>
      <c r="Q109" s="77" t="s">
        <v>1031</v>
      </c>
      <c r="R109" s="124" t="s">
        <v>1031</v>
      </c>
      <c r="S109" s="124"/>
      <c r="T109" s="124"/>
    </row>
    <row r="110" spans="1:20" ht="13.35" customHeight="1" x14ac:dyDescent="0.2">
      <c r="A110" s="124" t="s">
        <v>70</v>
      </c>
      <c r="B110" s="124"/>
      <c r="C110" s="124"/>
      <c r="D110" s="124"/>
      <c r="E110" s="124"/>
      <c r="F110" s="124"/>
      <c r="G110" s="124"/>
      <c r="H110" s="124"/>
      <c r="I110" s="124"/>
      <c r="J110" s="124"/>
      <c r="K110" s="124"/>
      <c r="L110" s="124"/>
      <c r="M110" s="124" t="s">
        <v>190</v>
      </c>
      <c r="N110" s="124"/>
      <c r="O110" s="124" t="s">
        <v>190</v>
      </c>
      <c r="P110" s="124"/>
      <c r="Q110" s="77" t="s">
        <v>261</v>
      </c>
      <c r="R110" s="124" t="s">
        <v>261</v>
      </c>
      <c r="S110" s="124"/>
      <c r="T110" s="124"/>
    </row>
    <row r="111" spans="1:20" ht="13.35" customHeight="1" x14ac:dyDescent="0.2">
      <c r="A111" s="124" t="s">
        <v>61</v>
      </c>
      <c r="B111" s="124"/>
      <c r="C111" s="124"/>
      <c r="D111" s="124"/>
      <c r="E111" s="124"/>
      <c r="F111" s="124"/>
      <c r="G111" s="124"/>
      <c r="H111" s="124"/>
      <c r="I111" s="124"/>
      <c r="J111" s="124"/>
      <c r="K111" s="124"/>
      <c r="L111" s="124"/>
      <c r="M111" s="124" t="s">
        <v>479</v>
      </c>
      <c r="N111" s="124"/>
      <c r="O111" s="124" t="s">
        <v>479</v>
      </c>
      <c r="P111" s="124"/>
      <c r="Q111" s="77" t="s">
        <v>226</v>
      </c>
      <c r="R111" s="124" t="s">
        <v>226</v>
      </c>
      <c r="S111" s="124"/>
      <c r="T111" s="124"/>
    </row>
    <row r="112" spans="1:20" ht="14.1" customHeight="1" x14ac:dyDescent="0.2">
      <c r="A112" s="126" t="s">
        <v>217</v>
      </c>
      <c r="B112" s="126"/>
      <c r="C112" s="126"/>
      <c r="D112" s="126"/>
      <c r="E112" s="126"/>
      <c r="F112" s="126"/>
      <c r="G112" s="126"/>
      <c r="H112" s="126"/>
      <c r="I112" s="126"/>
      <c r="J112" s="126"/>
      <c r="K112" s="126"/>
      <c r="L112" s="126"/>
      <c r="M112" s="126"/>
      <c r="N112" s="126"/>
      <c r="O112" s="126"/>
      <c r="P112" s="126"/>
      <c r="Q112" s="126"/>
      <c r="R112" s="126"/>
      <c r="S112" s="126"/>
      <c r="T112" s="126"/>
    </row>
    <row r="113" spans="1:19" ht="14.1" customHeight="1" x14ac:dyDescent="0.2"/>
    <row r="114" spans="1:19" ht="14.1" customHeight="1" x14ac:dyDescent="0.2">
      <c r="A114" s="121" t="s">
        <v>33</v>
      </c>
      <c r="B114" s="121"/>
      <c r="C114" s="121"/>
      <c r="D114" s="121"/>
      <c r="E114" s="121"/>
      <c r="F114" s="121"/>
      <c r="G114" s="121"/>
      <c r="H114" s="121"/>
      <c r="I114" s="121"/>
      <c r="J114" s="121"/>
      <c r="K114" s="121"/>
      <c r="L114" s="121"/>
      <c r="M114" s="121"/>
      <c r="N114" s="121"/>
    </row>
    <row r="115" spans="1:19" ht="13.35" customHeight="1" x14ac:dyDescent="0.2">
      <c r="A115" s="124" t="s">
        <v>43</v>
      </c>
      <c r="B115" s="124"/>
      <c r="C115" s="124"/>
      <c r="D115" s="124"/>
      <c r="E115" s="125">
        <v>300.19</v>
      </c>
      <c r="F115" s="125"/>
      <c r="G115" s="78"/>
      <c r="H115" s="77" t="s">
        <v>38</v>
      </c>
      <c r="I115" s="125">
        <v>0</v>
      </c>
      <c r="J115" s="125"/>
      <c r="K115" s="78"/>
      <c r="L115" s="124" t="s">
        <v>36</v>
      </c>
      <c r="M115" s="124"/>
      <c r="N115" s="125">
        <v>22.03</v>
      </c>
      <c r="O115" s="125"/>
    </row>
    <row r="116" spans="1:19" ht="13.35" customHeight="1" x14ac:dyDescent="0.2">
      <c r="A116" s="124" t="s">
        <v>37</v>
      </c>
      <c r="B116" s="124"/>
      <c r="C116" s="124"/>
      <c r="D116" s="124"/>
      <c r="E116" s="125">
        <v>8.26</v>
      </c>
      <c r="F116" s="125"/>
      <c r="G116" s="78"/>
      <c r="H116" s="77" t="s">
        <v>35</v>
      </c>
      <c r="I116" s="125">
        <v>0.25</v>
      </c>
      <c r="J116" s="125"/>
      <c r="K116" s="78"/>
      <c r="L116" s="124" t="s">
        <v>42</v>
      </c>
      <c r="M116" s="124"/>
      <c r="N116" s="125">
        <v>242.36</v>
      </c>
      <c r="O116" s="125"/>
    </row>
    <row r="117" spans="1:19" ht="13.35" customHeight="1" x14ac:dyDescent="0.2">
      <c r="A117" s="124" t="s">
        <v>34</v>
      </c>
      <c r="B117" s="124"/>
      <c r="C117" s="124"/>
      <c r="D117" s="124"/>
      <c r="E117" s="125">
        <v>10.19</v>
      </c>
      <c r="F117" s="125"/>
      <c r="G117" s="78"/>
      <c r="H117" s="77" t="s">
        <v>44</v>
      </c>
      <c r="I117" s="125">
        <v>0.69</v>
      </c>
      <c r="J117" s="125"/>
      <c r="K117" s="78"/>
      <c r="L117" s="124" t="s">
        <v>45</v>
      </c>
      <c r="M117" s="124"/>
      <c r="N117" s="125">
        <v>5.51</v>
      </c>
      <c r="O117" s="125"/>
    </row>
    <row r="118" spans="1:19" ht="13.35" customHeight="1" x14ac:dyDescent="0.2">
      <c r="A118" s="124" t="s">
        <v>40</v>
      </c>
      <c r="B118" s="124"/>
      <c r="C118" s="124"/>
      <c r="D118" s="124"/>
      <c r="E118" s="125">
        <v>46.27</v>
      </c>
      <c r="F118" s="125"/>
      <c r="G118" s="78"/>
      <c r="H118" s="77" t="s">
        <v>41</v>
      </c>
      <c r="I118" s="125">
        <v>0.04</v>
      </c>
      <c r="J118" s="125"/>
      <c r="K118" s="78"/>
      <c r="L118" s="124" t="s">
        <v>39</v>
      </c>
      <c r="M118" s="124"/>
      <c r="N118" s="125">
        <v>162.49</v>
      </c>
      <c r="O118" s="125"/>
    </row>
    <row r="119" spans="1:19" ht="13.35" customHeight="1" x14ac:dyDescent="0.2">
      <c r="A119" s="123"/>
      <c r="B119" s="123"/>
      <c r="C119" s="123"/>
      <c r="D119" s="123"/>
      <c r="E119" s="123"/>
      <c r="F119" s="123"/>
      <c r="G119" s="78"/>
      <c r="H119" s="77" t="s">
        <v>46</v>
      </c>
      <c r="I119" s="125">
        <v>0</v>
      </c>
      <c r="J119" s="125"/>
      <c r="K119" s="78"/>
      <c r="L119" s="124" t="s">
        <v>47</v>
      </c>
      <c r="M119" s="124"/>
      <c r="N119" s="125">
        <v>0</v>
      </c>
      <c r="O119" s="125"/>
    </row>
    <row r="120" spans="1:19" ht="13.35" customHeight="1" x14ac:dyDescent="0.2">
      <c r="A120" s="123"/>
      <c r="B120" s="123"/>
      <c r="C120" s="123"/>
      <c r="D120" s="123"/>
      <c r="E120" s="123"/>
      <c r="F120" s="123"/>
      <c r="G120" s="78"/>
      <c r="H120" s="77" t="s">
        <v>48</v>
      </c>
      <c r="I120" s="125">
        <v>0</v>
      </c>
      <c r="J120" s="125"/>
      <c r="K120" s="78"/>
      <c r="L120" s="124" t="s">
        <v>49</v>
      </c>
      <c r="M120" s="124"/>
      <c r="N120" s="125">
        <v>0</v>
      </c>
      <c r="O120" s="125"/>
    </row>
    <row r="121" spans="1:19" ht="13.35" customHeight="1" x14ac:dyDescent="0.2">
      <c r="A121" s="123"/>
      <c r="B121" s="123"/>
      <c r="C121" s="123"/>
      <c r="D121" s="123"/>
      <c r="E121" s="123"/>
      <c r="F121" s="123"/>
      <c r="G121" s="78"/>
      <c r="H121" s="78"/>
      <c r="I121" s="123"/>
      <c r="J121" s="123"/>
      <c r="K121" s="78"/>
      <c r="L121" s="124" t="s">
        <v>50</v>
      </c>
      <c r="M121" s="124"/>
      <c r="N121" s="125">
        <v>0</v>
      </c>
      <c r="O121" s="125"/>
    </row>
    <row r="122" spans="1:19" ht="13.35" customHeight="1" x14ac:dyDescent="0.2">
      <c r="A122" s="123"/>
      <c r="B122" s="123"/>
      <c r="C122" s="123"/>
      <c r="D122" s="123"/>
      <c r="E122" s="123"/>
      <c r="F122" s="123"/>
      <c r="G122" s="78"/>
      <c r="H122" s="78"/>
      <c r="I122" s="123"/>
      <c r="J122" s="123"/>
      <c r="K122" s="78"/>
      <c r="L122" s="124" t="s">
        <v>51</v>
      </c>
      <c r="M122" s="124"/>
      <c r="N122" s="125">
        <v>0</v>
      </c>
      <c r="O122" s="125"/>
    </row>
    <row r="123" spans="1:19" ht="14.1" customHeight="1" x14ac:dyDescent="0.2">
      <c r="A123" s="120"/>
      <c r="B123" s="120"/>
      <c r="C123" s="120"/>
      <c r="D123" s="120"/>
      <c r="E123" s="120"/>
      <c r="F123" s="120"/>
      <c r="G123" s="120"/>
      <c r="H123" s="120"/>
      <c r="I123" s="120"/>
      <c r="J123" s="120"/>
      <c r="K123" s="120"/>
      <c r="L123" s="120"/>
      <c r="M123" s="120"/>
      <c r="N123" s="120"/>
      <c r="O123" s="120"/>
      <c r="P123" s="120"/>
      <c r="Q123" s="120"/>
      <c r="R123" s="120"/>
      <c r="S123" s="120"/>
    </row>
    <row r="124" spans="1:19" ht="14.1" customHeight="1" x14ac:dyDescent="0.2">
      <c r="A124" s="121" t="s">
        <v>52</v>
      </c>
      <c r="B124" s="121"/>
      <c r="C124" s="121"/>
      <c r="D124" s="121"/>
      <c r="E124" s="121"/>
      <c r="F124" s="121"/>
      <c r="G124" s="121"/>
      <c r="H124" s="121"/>
      <c r="I124" s="121"/>
      <c r="J124" s="121"/>
      <c r="K124" s="121"/>
      <c r="L124" s="121"/>
      <c r="M124" s="121"/>
      <c r="N124" s="121"/>
      <c r="O124" s="121"/>
      <c r="P124" s="121"/>
      <c r="Q124" s="121"/>
      <c r="R124" s="121"/>
      <c r="S124" s="121"/>
    </row>
    <row r="125" spans="1:19" ht="40.049999999999997" customHeight="1" x14ac:dyDescent="0.2">
      <c r="A125" s="122" t="s">
        <v>314</v>
      </c>
      <c r="B125" s="122"/>
      <c r="C125" s="122"/>
      <c r="D125" s="122"/>
      <c r="E125" s="122"/>
      <c r="F125" s="122"/>
      <c r="G125" s="122"/>
      <c r="H125" s="122"/>
      <c r="I125" s="122"/>
      <c r="J125" s="122"/>
      <c r="K125" s="122"/>
      <c r="L125" s="122"/>
      <c r="M125" s="122"/>
      <c r="N125" s="122"/>
      <c r="O125" s="122"/>
      <c r="P125" s="122"/>
      <c r="Q125" s="122"/>
      <c r="R125" s="122"/>
      <c r="S125" s="122"/>
    </row>
    <row r="126" spans="1:19" ht="14.1" customHeight="1" x14ac:dyDescent="0.2">
      <c r="A126" s="120"/>
      <c r="B126" s="120"/>
      <c r="C126" s="120"/>
      <c r="D126" s="120"/>
      <c r="E126" s="120"/>
      <c r="F126" s="120"/>
      <c r="G126" s="120"/>
      <c r="H126" s="120"/>
      <c r="I126" s="120"/>
      <c r="J126" s="120"/>
      <c r="K126" s="120"/>
      <c r="L126" s="120"/>
      <c r="M126" s="120"/>
      <c r="N126" s="120"/>
      <c r="O126" s="120"/>
      <c r="P126" s="120"/>
      <c r="Q126" s="120"/>
      <c r="R126" s="120"/>
      <c r="S126" s="120"/>
    </row>
    <row r="127" spans="1:19" ht="14.1" customHeight="1" x14ac:dyDescent="0.2">
      <c r="A127" s="121" t="s">
        <v>54</v>
      </c>
      <c r="B127" s="121"/>
      <c r="C127" s="121"/>
      <c r="D127" s="121"/>
      <c r="E127" s="121"/>
      <c r="F127" s="121"/>
      <c r="G127" s="121"/>
      <c r="H127" s="121"/>
      <c r="I127" s="121"/>
      <c r="J127" s="121"/>
      <c r="K127" s="121"/>
      <c r="L127" s="121"/>
      <c r="M127" s="121"/>
      <c r="N127" s="121"/>
      <c r="O127" s="121"/>
      <c r="P127" s="121"/>
      <c r="Q127" s="121"/>
      <c r="R127" s="121"/>
      <c r="S127" s="121"/>
    </row>
    <row r="128" spans="1:19" ht="40.049999999999997" customHeight="1" x14ac:dyDescent="0.2">
      <c r="A128" s="122" t="s">
        <v>1032</v>
      </c>
      <c r="B128" s="122"/>
      <c r="C128" s="122"/>
      <c r="D128" s="122"/>
      <c r="E128" s="122"/>
      <c r="F128" s="122"/>
      <c r="G128" s="122"/>
      <c r="H128" s="122"/>
      <c r="I128" s="122"/>
      <c r="J128" s="122"/>
      <c r="K128" s="122"/>
      <c r="L128" s="122"/>
      <c r="M128" s="122"/>
      <c r="N128" s="122"/>
      <c r="O128" s="122"/>
      <c r="P128" s="122"/>
      <c r="Q128" s="122"/>
      <c r="R128" s="122"/>
      <c r="S128" s="122"/>
    </row>
    <row r="129" spans="1:20" ht="14.1" customHeight="1" x14ac:dyDescent="0.2">
      <c r="A129" s="120"/>
      <c r="B129" s="120"/>
      <c r="C129" s="120"/>
      <c r="D129" s="120"/>
      <c r="E129" s="120"/>
      <c r="F129" s="120"/>
      <c r="G129" s="120"/>
      <c r="H129" s="120"/>
      <c r="I129" s="120"/>
      <c r="J129" s="120"/>
      <c r="K129" s="120"/>
      <c r="L129" s="120"/>
      <c r="M129" s="120"/>
      <c r="N129" s="120"/>
      <c r="O129" s="120"/>
      <c r="P129" s="120"/>
      <c r="Q129" s="120"/>
      <c r="R129" s="120"/>
      <c r="S129" s="120"/>
    </row>
    <row r="130" spans="1:20" ht="14.1" customHeight="1" x14ac:dyDescent="0.2">
      <c r="A130" s="121" t="s">
        <v>56</v>
      </c>
      <c r="B130" s="121"/>
      <c r="C130" s="121"/>
      <c r="D130" s="121"/>
      <c r="E130" s="121"/>
      <c r="F130" s="121"/>
      <c r="G130" s="121"/>
      <c r="H130" s="121"/>
      <c r="I130" s="121"/>
      <c r="J130" s="121"/>
      <c r="K130" s="121"/>
      <c r="L130" s="121"/>
      <c r="M130" s="121"/>
      <c r="N130" s="121"/>
      <c r="O130" s="121"/>
      <c r="P130" s="121"/>
      <c r="Q130" s="121"/>
      <c r="R130" s="121"/>
      <c r="S130" s="121"/>
    </row>
    <row r="131" spans="1:20" ht="58.5" customHeight="1" x14ac:dyDescent="0.2">
      <c r="A131" s="122" t="s">
        <v>330</v>
      </c>
      <c r="B131" s="122"/>
      <c r="C131" s="122"/>
      <c r="D131" s="122"/>
      <c r="E131" s="122"/>
      <c r="F131" s="122"/>
      <c r="G131" s="122"/>
      <c r="H131" s="122"/>
      <c r="I131" s="122"/>
      <c r="J131" s="122"/>
      <c r="K131" s="122"/>
      <c r="L131" s="122"/>
      <c r="M131" s="122"/>
      <c r="N131" s="122"/>
      <c r="O131" s="122"/>
      <c r="P131" s="122"/>
      <c r="Q131" s="122"/>
      <c r="R131" s="122"/>
      <c r="S131" s="122"/>
    </row>
    <row r="134" spans="1:20" s="1" customFormat="1" ht="72.45" customHeight="1" x14ac:dyDescent="0.25">
      <c r="J134" s="100" t="s">
        <v>0</v>
      </c>
      <c r="K134" s="100"/>
      <c r="L134" s="100"/>
      <c r="M134" s="100"/>
      <c r="N134" s="100"/>
      <c r="O134" s="100"/>
      <c r="P134" s="100"/>
      <c r="Q134" s="100"/>
      <c r="R134" s="100"/>
      <c r="S134" s="100"/>
      <c r="T134" s="100"/>
    </row>
    <row r="135" spans="1:20" ht="7.05" customHeight="1" x14ac:dyDescent="0.2"/>
    <row r="136" spans="1:20" ht="14.1" customHeight="1" x14ac:dyDescent="0.2">
      <c r="B136" s="130" t="s">
        <v>1033</v>
      </c>
      <c r="C136" s="130"/>
      <c r="D136" s="130"/>
      <c r="E136" s="130"/>
      <c r="F136" s="130"/>
      <c r="G136" s="130"/>
      <c r="H136" s="130"/>
      <c r="I136" s="130"/>
      <c r="J136" s="130"/>
      <c r="K136" s="130"/>
      <c r="L136" s="130"/>
      <c r="M136" s="130"/>
      <c r="N136" s="130"/>
      <c r="O136" s="130"/>
      <c r="P136" s="130"/>
      <c r="Q136" s="130"/>
      <c r="R136" s="130"/>
    </row>
    <row r="137" spans="1:20" ht="14.1" customHeight="1" x14ac:dyDescent="0.2"/>
    <row r="138" spans="1:20" ht="14.1" customHeight="1" x14ac:dyDescent="0.2">
      <c r="A138" s="120" t="s">
        <v>2</v>
      </c>
      <c r="B138" s="120"/>
      <c r="C138" s="120"/>
      <c r="D138" s="129" t="s">
        <v>1034</v>
      </c>
      <c r="E138" s="129"/>
      <c r="F138" s="129"/>
      <c r="G138" s="129"/>
      <c r="H138" s="129"/>
      <c r="I138" s="129"/>
      <c r="J138" s="129"/>
      <c r="K138" s="129"/>
      <c r="L138" s="129"/>
      <c r="M138" s="129"/>
      <c r="N138" s="129"/>
      <c r="O138" s="129"/>
      <c r="P138" s="129"/>
      <c r="Q138" s="129"/>
      <c r="R138" s="129"/>
      <c r="S138" s="129"/>
      <c r="T138" s="129"/>
    </row>
    <row r="139" spans="1:20" ht="14.1" customHeight="1" x14ac:dyDescent="0.2">
      <c r="A139" s="120" t="s">
        <v>4</v>
      </c>
      <c r="B139" s="120"/>
      <c r="C139" s="129" t="s">
        <v>1035</v>
      </c>
      <c r="D139" s="129"/>
      <c r="E139" s="129"/>
      <c r="F139" s="129"/>
      <c r="G139" s="129"/>
      <c r="H139" s="129"/>
      <c r="I139" s="129"/>
      <c r="J139" s="129"/>
      <c r="K139" s="129"/>
      <c r="L139" s="129"/>
      <c r="M139" s="129"/>
      <c r="N139" s="129"/>
      <c r="O139" s="129"/>
      <c r="P139" s="129"/>
      <c r="Q139" s="129"/>
      <c r="R139" s="129"/>
      <c r="S139" s="129"/>
      <c r="T139" s="129"/>
    </row>
    <row r="140" spans="1:20" ht="14.1" customHeight="1" x14ac:dyDescent="0.2">
      <c r="A140" s="120" t="s">
        <v>6</v>
      </c>
      <c r="B140" s="120"/>
      <c r="C140" s="120"/>
      <c r="D140" s="120"/>
      <c r="E140" s="120"/>
      <c r="F140" s="129" t="s">
        <v>320</v>
      </c>
      <c r="G140" s="129"/>
      <c r="H140" s="129"/>
      <c r="I140" s="129"/>
      <c r="J140" s="129"/>
      <c r="K140" s="129"/>
      <c r="L140" s="129"/>
      <c r="M140" s="129"/>
      <c r="N140" s="129"/>
      <c r="O140" s="129"/>
      <c r="P140" s="129"/>
      <c r="Q140" s="129"/>
      <c r="R140" s="129"/>
      <c r="S140" s="129"/>
      <c r="T140" s="129"/>
    </row>
    <row r="141" spans="1:20" ht="22.35" customHeight="1" x14ac:dyDescent="0.2">
      <c r="F141" s="129"/>
      <c r="G141" s="129"/>
      <c r="H141" s="129"/>
      <c r="I141" s="129"/>
      <c r="J141" s="129"/>
      <c r="K141" s="129"/>
      <c r="L141" s="129"/>
      <c r="M141" s="129"/>
      <c r="N141" s="129"/>
      <c r="O141" s="129"/>
      <c r="P141" s="129"/>
      <c r="Q141" s="129"/>
      <c r="R141" s="129"/>
      <c r="S141" s="129"/>
      <c r="T141" s="129"/>
    </row>
    <row r="142" spans="1:20" ht="7.05" customHeight="1" x14ac:dyDescent="0.2">
      <c r="A142" s="120"/>
      <c r="B142" s="120"/>
      <c r="C142" s="120"/>
      <c r="D142" s="120"/>
      <c r="E142" s="120"/>
      <c r="F142" s="120"/>
      <c r="G142" s="120"/>
      <c r="H142" s="120"/>
      <c r="I142" s="120"/>
      <c r="J142" s="120"/>
      <c r="K142" s="120"/>
      <c r="L142" s="120"/>
      <c r="M142" s="120"/>
      <c r="N142" s="120"/>
      <c r="O142" s="120"/>
      <c r="P142" s="120"/>
      <c r="Q142" s="75"/>
      <c r="R142" s="120"/>
      <c r="S142" s="120"/>
      <c r="T142" s="120"/>
    </row>
    <row r="143" spans="1:20" ht="16.95" customHeight="1" x14ac:dyDescent="0.2">
      <c r="A143" s="128" t="s">
        <v>8</v>
      </c>
      <c r="B143" s="128"/>
      <c r="C143" s="128"/>
      <c r="D143" s="128"/>
      <c r="E143" s="128"/>
      <c r="F143" s="128"/>
      <c r="G143" s="128"/>
      <c r="H143" s="128"/>
      <c r="I143" s="128"/>
      <c r="J143" s="128"/>
      <c r="K143" s="128"/>
      <c r="L143" s="128"/>
      <c r="M143" s="128" t="s">
        <v>9</v>
      </c>
      <c r="N143" s="128"/>
      <c r="O143" s="128"/>
      <c r="P143" s="128"/>
      <c r="Q143" s="128"/>
      <c r="R143" s="128"/>
      <c r="S143" s="128"/>
      <c r="T143" s="128"/>
    </row>
    <row r="144" spans="1:20" ht="16.95" customHeight="1" x14ac:dyDescent="0.2">
      <c r="A144" s="128"/>
      <c r="B144" s="128"/>
      <c r="C144" s="128"/>
      <c r="D144" s="128"/>
      <c r="E144" s="128"/>
      <c r="F144" s="128"/>
      <c r="G144" s="128"/>
      <c r="H144" s="128"/>
      <c r="I144" s="128"/>
      <c r="J144" s="128"/>
      <c r="K144" s="128"/>
      <c r="L144" s="128"/>
      <c r="M144" s="128" t="s">
        <v>10</v>
      </c>
      <c r="N144" s="128"/>
      <c r="O144" s="128"/>
      <c r="P144" s="128"/>
      <c r="Q144" s="128" t="s">
        <v>11</v>
      </c>
      <c r="R144" s="128"/>
      <c r="S144" s="128"/>
      <c r="T144" s="128"/>
    </row>
    <row r="145" spans="1:20" ht="16.95" customHeight="1" x14ac:dyDescent="0.2">
      <c r="A145" s="128"/>
      <c r="B145" s="128"/>
      <c r="C145" s="128"/>
      <c r="D145" s="128"/>
      <c r="E145" s="128"/>
      <c r="F145" s="128"/>
      <c r="G145" s="128"/>
      <c r="H145" s="128"/>
      <c r="I145" s="128"/>
      <c r="J145" s="128"/>
      <c r="K145" s="128"/>
      <c r="L145" s="128"/>
      <c r="M145" s="128" t="s">
        <v>12</v>
      </c>
      <c r="N145" s="128"/>
      <c r="O145" s="128" t="s">
        <v>13</v>
      </c>
      <c r="P145" s="128"/>
      <c r="Q145" s="76" t="s">
        <v>14</v>
      </c>
      <c r="R145" s="128" t="s">
        <v>15</v>
      </c>
      <c r="S145" s="128"/>
      <c r="T145" s="128"/>
    </row>
    <row r="146" spans="1:20" ht="13.35" customHeight="1" x14ac:dyDescent="0.2">
      <c r="A146" s="124" t="s">
        <v>309</v>
      </c>
      <c r="B146" s="124"/>
      <c r="C146" s="124"/>
      <c r="D146" s="124"/>
      <c r="E146" s="124"/>
      <c r="F146" s="124"/>
      <c r="G146" s="124"/>
      <c r="H146" s="124"/>
      <c r="I146" s="124"/>
      <c r="J146" s="124"/>
      <c r="K146" s="124"/>
      <c r="L146" s="124"/>
      <c r="M146" s="124" t="s">
        <v>1036</v>
      </c>
      <c r="N146" s="124"/>
      <c r="O146" s="124" t="s">
        <v>1037</v>
      </c>
      <c r="P146" s="124"/>
      <c r="Q146" s="77" t="s">
        <v>1038</v>
      </c>
      <c r="R146" s="124" t="s">
        <v>1039</v>
      </c>
      <c r="S146" s="124"/>
      <c r="T146" s="124"/>
    </row>
    <row r="147" spans="1:20" ht="13.35" customHeight="1" x14ac:dyDescent="0.2">
      <c r="A147" s="124" t="s">
        <v>61</v>
      </c>
      <c r="B147" s="124"/>
      <c r="C147" s="124"/>
      <c r="D147" s="124"/>
      <c r="E147" s="124"/>
      <c r="F147" s="124"/>
      <c r="G147" s="124"/>
      <c r="H147" s="124"/>
      <c r="I147" s="124"/>
      <c r="J147" s="124"/>
      <c r="K147" s="124"/>
      <c r="L147" s="124"/>
      <c r="M147" s="124" t="s">
        <v>107</v>
      </c>
      <c r="N147" s="124"/>
      <c r="O147" s="124" t="s">
        <v>107</v>
      </c>
      <c r="P147" s="124"/>
      <c r="Q147" s="77" t="s">
        <v>108</v>
      </c>
      <c r="R147" s="124" t="s">
        <v>108</v>
      </c>
      <c r="S147" s="124"/>
      <c r="T147" s="124"/>
    </row>
    <row r="148" spans="1:20" ht="13.35" customHeight="1" x14ac:dyDescent="0.2">
      <c r="A148" s="124" t="s">
        <v>114</v>
      </c>
      <c r="B148" s="124"/>
      <c r="C148" s="124"/>
      <c r="D148" s="124"/>
      <c r="E148" s="124"/>
      <c r="F148" s="124"/>
      <c r="G148" s="124"/>
      <c r="H148" s="124"/>
      <c r="I148" s="124"/>
      <c r="J148" s="124"/>
      <c r="K148" s="124"/>
      <c r="L148" s="124"/>
      <c r="M148" s="124" t="s">
        <v>1040</v>
      </c>
      <c r="N148" s="124"/>
      <c r="O148" s="124" t="s">
        <v>1040</v>
      </c>
      <c r="P148" s="124"/>
      <c r="Q148" s="77" t="s">
        <v>1041</v>
      </c>
      <c r="R148" s="124" t="s">
        <v>1041</v>
      </c>
      <c r="S148" s="124"/>
      <c r="T148" s="124"/>
    </row>
    <row r="149" spans="1:20" ht="13.35" customHeight="1" x14ac:dyDescent="0.2">
      <c r="A149" s="124" t="s">
        <v>70</v>
      </c>
      <c r="B149" s="124"/>
      <c r="C149" s="124"/>
      <c r="D149" s="124"/>
      <c r="E149" s="124"/>
      <c r="F149" s="124"/>
      <c r="G149" s="124"/>
      <c r="H149" s="124"/>
      <c r="I149" s="124"/>
      <c r="J149" s="124"/>
      <c r="K149" s="124"/>
      <c r="L149" s="124"/>
      <c r="M149" s="124" t="s">
        <v>78</v>
      </c>
      <c r="N149" s="124"/>
      <c r="O149" s="124" t="s">
        <v>78</v>
      </c>
      <c r="P149" s="124"/>
      <c r="Q149" s="77" t="s">
        <v>80</v>
      </c>
      <c r="R149" s="124" t="s">
        <v>80</v>
      </c>
      <c r="S149" s="124"/>
      <c r="T149" s="124"/>
    </row>
    <row r="150" spans="1:20" ht="14.1" customHeight="1" x14ac:dyDescent="0.2">
      <c r="A150" s="126" t="s">
        <v>217</v>
      </c>
      <c r="B150" s="126"/>
      <c r="C150" s="126"/>
      <c r="D150" s="126"/>
      <c r="E150" s="126"/>
      <c r="F150" s="126"/>
      <c r="G150" s="126"/>
      <c r="H150" s="126"/>
      <c r="I150" s="126"/>
      <c r="J150" s="126"/>
      <c r="K150" s="126"/>
      <c r="L150" s="126"/>
      <c r="M150" s="126"/>
      <c r="N150" s="126"/>
      <c r="O150" s="126"/>
      <c r="P150" s="126"/>
      <c r="Q150" s="126"/>
      <c r="R150" s="126"/>
      <c r="S150" s="126"/>
      <c r="T150" s="126"/>
    </row>
    <row r="151" spans="1:20" ht="14.1" customHeight="1" x14ac:dyDescent="0.2"/>
    <row r="152" spans="1:20" ht="14.1" customHeight="1" x14ac:dyDescent="0.2">
      <c r="A152" s="121" t="s">
        <v>33</v>
      </c>
      <c r="B152" s="121"/>
      <c r="C152" s="121"/>
      <c r="D152" s="121"/>
      <c r="E152" s="121"/>
      <c r="F152" s="121"/>
      <c r="G152" s="121"/>
      <c r="H152" s="121"/>
      <c r="I152" s="121"/>
      <c r="J152" s="121"/>
      <c r="K152" s="121"/>
      <c r="L152" s="121"/>
      <c r="M152" s="121"/>
      <c r="N152" s="121"/>
    </row>
    <row r="153" spans="1:20" ht="13.35" customHeight="1" x14ac:dyDescent="0.2">
      <c r="A153" s="124" t="s">
        <v>34</v>
      </c>
      <c r="B153" s="124"/>
      <c r="C153" s="124"/>
      <c r="D153" s="124"/>
      <c r="E153" s="125">
        <v>7.59</v>
      </c>
      <c r="F153" s="125"/>
      <c r="G153" s="78"/>
      <c r="H153" s="77" t="s">
        <v>35</v>
      </c>
      <c r="I153" s="125">
        <v>0.15</v>
      </c>
      <c r="J153" s="125"/>
      <c r="K153" s="78"/>
      <c r="L153" s="124" t="s">
        <v>36</v>
      </c>
      <c r="M153" s="124"/>
      <c r="N153" s="125">
        <v>35.869999999999997</v>
      </c>
      <c r="O153" s="125"/>
    </row>
    <row r="154" spans="1:20" ht="13.35" customHeight="1" x14ac:dyDescent="0.2">
      <c r="A154" s="124" t="s">
        <v>37</v>
      </c>
      <c r="B154" s="124"/>
      <c r="C154" s="124"/>
      <c r="D154" s="124"/>
      <c r="E154" s="125">
        <v>7.6</v>
      </c>
      <c r="F154" s="125"/>
      <c r="G154" s="78"/>
      <c r="H154" s="77" t="s">
        <v>38</v>
      </c>
      <c r="I154" s="125">
        <v>0</v>
      </c>
      <c r="J154" s="125"/>
      <c r="K154" s="78"/>
      <c r="L154" s="124" t="s">
        <v>39</v>
      </c>
      <c r="M154" s="124"/>
      <c r="N154" s="125">
        <v>37.93</v>
      </c>
      <c r="O154" s="125"/>
    </row>
    <row r="155" spans="1:20" ht="13.35" customHeight="1" x14ac:dyDescent="0.2">
      <c r="A155" s="124" t="s">
        <v>40</v>
      </c>
      <c r="B155" s="124"/>
      <c r="C155" s="124"/>
      <c r="D155" s="124"/>
      <c r="E155" s="125">
        <v>44.6</v>
      </c>
      <c r="F155" s="125"/>
      <c r="G155" s="78"/>
      <c r="H155" s="77" t="s">
        <v>41</v>
      </c>
      <c r="I155" s="125">
        <v>0.04</v>
      </c>
      <c r="J155" s="125"/>
      <c r="K155" s="78"/>
      <c r="L155" s="124" t="s">
        <v>42</v>
      </c>
      <c r="M155" s="124"/>
      <c r="N155" s="125">
        <v>161.41</v>
      </c>
      <c r="O155" s="125"/>
    </row>
    <row r="156" spans="1:20" ht="13.35" customHeight="1" x14ac:dyDescent="0.2">
      <c r="A156" s="124" t="s">
        <v>43</v>
      </c>
      <c r="B156" s="124"/>
      <c r="C156" s="124"/>
      <c r="D156" s="124"/>
      <c r="E156" s="125">
        <v>185.4</v>
      </c>
      <c r="F156" s="125"/>
      <c r="G156" s="78"/>
      <c r="H156" s="77" t="s">
        <v>44</v>
      </c>
      <c r="I156" s="125">
        <v>0.21</v>
      </c>
      <c r="J156" s="125"/>
      <c r="K156" s="78"/>
      <c r="L156" s="124" t="s">
        <v>45</v>
      </c>
      <c r="M156" s="124"/>
      <c r="N156" s="125">
        <v>2.74</v>
      </c>
      <c r="O156" s="125"/>
    </row>
    <row r="157" spans="1:20" ht="13.35" customHeight="1" x14ac:dyDescent="0.2">
      <c r="A157" s="123"/>
      <c r="B157" s="123"/>
      <c r="C157" s="123"/>
      <c r="D157" s="123"/>
      <c r="E157" s="123"/>
      <c r="F157" s="123"/>
      <c r="G157" s="78"/>
      <c r="H157" s="77" t="s">
        <v>46</v>
      </c>
      <c r="I157" s="125">
        <v>0.14000000000000001</v>
      </c>
      <c r="J157" s="125"/>
      <c r="K157" s="78"/>
      <c r="L157" s="124" t="s">
        <v>47</v>
      </c>
      <c r="M157" s="124"/>
      <c r="N157" s="125">
        <v>157.43</v>
      </c>
      <c r="O157" s="125"/>
    </row>
    <row r="158" spans="1:20" ht="13.35" customHeight="1" x14ac:dyDescent="0.2">
      <c r="A158" s="123"/>
      <c r="B158" s="123"/>
      <c r="C158" s="123"/>
      <c r="D158" s="123"/>
      <c r="E158" s="123"/>
      <c r="F158" s="123"/>
      <c r="G158" s="78"/>
      <c r="H158" s="77" t="s">
        <v>48</v>
      </c>
      <c r="I158" s="125">
        <v>7.0000000000000007E-2</v>
      </c>
      <c r="J158" s="125"/>
      <c r="K158" s="78"/>
      <c r="L158" s="124" t="s">
        <v>49</v>
      </c>
      <c r="M158" s="124"/>
      <c r="N158" s="125">
        <v>0</v>
      </c>
      <c r="O158" s="125"/>
    </row>
    <row r="159" spans="1:20" ht="13.35" customHeight="1" x14ac:dyDescent="0.2">
      <c r="A159" s="123"/>
      <c r="B159" s="123"/>
      <c r="C159" s="123"/>
      <c r="D159" s="123"/>
      <c r="E159" s="123"/>
      <c r="F159" s="123"/>
      <c r="G159" s="78"/>
      <c r="H159" s="78"/>
      <c r="I159" s="123"/>
      <c r="J159" s="123"/>
      <c r="K159" s="78"/>
      <c r="L159" s="124" t="s">
        <v>50</v>
      </c>
      <c r="M159" s="124"/>
      <c r="N159" s="125">
        <v>0</v>
      </c>
      <c r="O159" s="125"/>
    </row>
    <row r="160" spans="1:20" ht="13.35" customHeight="1" x14ac:dyDescent="0.2">
      <c r="A160" s="123"/>
      <c r="B160" s="123"/>
      <c r="C160" s="123"/>
      <c r="D160" s="123"/>
      <c r="E160" s="123"/>
      <c r="F160" s="123"/>
      <c r="G160" s="78"/>
      <c r="H160" s="78"/>
      <c r="I160" s="123"/>
      <c r="J160" s="123"/>
      <c r="K160" s="78"/>
      <c r="L160" s="124" t="s">
        <v>51</v>
      </c>
      <c r="M160" s="124"/>
      <c r="N160" s="125">
        <v>0.05</v>
      </c>
      <c r="O160" s="125"/>
    </row>
    <row r="161" spans="1:20" ht="14.1" customHeight="1" x14ac:dyDescent="0.2">
      <c r="A161" s="120"/>
      <c r="B161" s="120"/>
      <c r="C161" s="120"/>
      <c r="D161" s="120"/>
      <c r="E161" s="120"/>
      <c r="F161" s="120"/>
      <c r="G161" s="120"/>
      <c r="H161" s="120"/>
      <c r="I161" s="120"/>
      <c r="J161" s="120"/>
      <c r="K161" s="120"/>
      <c r="L161" s="120"/>
      <c r="M161" s="120"/>
      <c r="N161" s="120"/>
      <c r="O161" s="120"/>
      <c r="P161" s="120"/>
      <c r="Q161" s="120"/>
      <c r="R161" s="120"/>
      <c r="S161" s="120"/>
    </row>
    <row r="162" spans="1:20" ht="14.1" customHeight="1" x14ac:dyDescent="0.2">
      <c r="A162" s="121" t="s">
        <v>52</v>
      </c>
      <c r="B162" s="121"/>
      <c r="C162" s="121"/>
      <c r="D162" s="121"/>
      <c r="E162" s="121"/>
      <c r="F162" s="121"/>
      <c r="G162" s="121"/>
      <c r="H162" s="121"/>
      <c r="I162" s="121"/>
      <c r="J162" s="121"/>
      <c r="K162" s="121"/>
      <c r="L162" s="121"/>
      <c r="M162" s="121"/>
      <c r="N162" s="121"/>
      <c r="O162" s="121"/>
      <c r="P162" s="121"/>
      <c r="Q162" s="121"/>
      <c r="R162" s="121"/>
      <c r="S162" s="121"/>
    </row>
    <row r="163" spans="1:20" ht="49.2" customHeight="1" x14ac:dyDescent="0.2">
      <c r="A163" s="122" t="s">
        <v>1042</v>
      </c>
      <c r="B163" s="122"/>
      <c r="C163" s="122"/>
      <c r="D163" s="122"/>
      <c r="E163" s="122"/>
      <c r="F163" s="122"/>
      <c r="G163" s="122"/>
      <c r="H163" s="122"/>
      <c r="I163" s="122"/>
      <c r="J163" s="122"/>
      <c r="K163" s="122"/>
      <c r="L163" s="122"/>
      <c r="M163" s="122"/>
      <c r="N163" s="122"/>
      <c r="O163" s="122"/>
      <c r="P163" s="122"/>
      <c r="Q163" s="122"/>
      <c r="R163" s="122"/>
      <c r="S163" s="122"/>
    </row>
    <row r="164" spans="1:20" ht="14.1" customHeight="1" x14ac:dyDescent="0.2">
      <c r="A164" s="121" t="s">
        <v>54</v>
      </c>
      <c r="B164" s="121"/>
      <c r="C164" s="121"/>
      <c r="D164" s="121"/>
      <c r="E164" s="121"/>
      <c r="F164" s="121"/>
      <c r="G164" s="121"/>
      <c r="H164" s="121"/>
      <c r="I164" s="121"/>
      <c r="J164" s="121"/>
      <c r="K164" s="121"/>
      <c r="L164" s="121"/>
      <c r="M164" s="121"/>
      <c r="N164" s="121"/>
      <c r="O164" s="121"/>
      <c r="P164" s="121"/>
      <c r="Q164" s="121"/>
      <c r="R164" s="121"/>
      <c r="S164" s="121"/>
    </row>
    <row r="165" spans="1:20" ht="40.049999999999997" customHeight="1" x14ac:dyDescent="0.2">
      <c r="A165" s="122" t="s">
        <v>1032</v>
      </c>
      <c r="B165" s="122"/>
      <c r="C165" s="122"/>
      <c r="D165" s="122"/>
      <c r="E165" s="122"/>
      <c r="F165" s="122"/>
      <c r="G165" s="122"/>
      <c r="H165" s="122"/>
      <c r="I165" s="122"/>
      <c r="J165" s="122"/>
      <c r="K165" s="122"/>
      <c r="L165" s="122"/>
      <c r="M165" s="122"/>
      <c r="N165" s="122"/>
      <c r="O165" s="122"/>
      <c r="P165" s="122"/>
      <c r="Q165" s="122"/>
      <c r="R165" s="122"/>
      <c r="S165" s="122"/>
    </row>
    <row r="166" spans="1:20" ht="14.1" customHeight="1" x14ac:dyDescent="0.2">
      <c r="A166" s="120"/>
      <c r="B166" s="120"/>
      <c r="C166" s="120"/>
      <c r="D166" s="120"/>
      <c r="E166" s="120"/>
      <c r="F166" s="120"/>
      <c r="G166" s="120"/>
      <c r="H166" s="120"/>
      <c r="I166" s="120"/>
      <c r="J166" s="120"/>
      <c r="K166" s="120"/>
      <c r="L166" s="120"/>
      <c r="M166" s="120"/>
      <c r="N166" s="120"/>
      <c r="O166" s="120"/>
      <c r="P166" s="120"/>
      <c r="Q166" s="120"/>
      <c r="R166" s="120"/>
      <c r="S166" s="120"/>
    </row>
    <row r="167" spans="1:20" ht="14.1" customHeight="1" x14ac:dyDescent="0.2">
      <c r="A167" s="121" t="s">
        <v>56</v>
      </c>
      <c r="B167" s="121"/>
      <c r="C167" s="121"/>
      <c r="D167" s="121"/>
      <c r="E167" s="121"/>
      <c r="F167" s="121"/>
      <c r="G167" s="121"/>
      <c r="H167" s="121"/>
      <c r="I167" s="121"/>
      <c r="J167" s="121"/>
      <c r="K167" s="121"/>
      <c r="L167" s="121"/>
      <c r="M167" s="121"/>
      <c r="N167" s="121"/>
      <c r="O167" s="121"/>
      <c r="P167" s="121"/>
      <c r="Q167" s="121"/>
      <c r="R167" s="121"/>
      <c r="S167" s="121"/>
    </row>
    <row r="168" spans="1:20" ht="58.5" customHeight="1" x14ac:dyDescent="0.2">
      <c r="A168" s="122" t="s">
        <v>324</v>
      </c>
      <c r="B168" s="122"/>
      <c r="C168" s="122"/>
      <c r="D168" s="122"/>
      <c r="E168" s="122"/>
      <c r="F168" s="122"/>
      <c r="G168" s="122"/>
      <c r="H168" s="122"/>
      <c r="I168" s="122"/>
      <c r="J168" s="122"/>
      <c r="K168" s="122"/>
      <c r="L168" s="122"/>
      <c r="M168" s="122"/>
      <c r="N168" s="122"/>
      <c r="O168" s="122"/>
      <c r="P168" s="122"/>
      <c r="Q168" s="122"/>
      <c r="R168" s="122"/>
      <c r="S168" s="122"/>
    </row>
    <row r="170" spans="1:20" s="1" customFormat="1" ht="72.45" customHeight="1" x14ac:dyDescent="0.25">
      <c r="J170" s="100" t="s">
        <v>0</v>
      </c>
      <c r="K170" s="100"/>
      <c r="L170" s="100"/>
      <c r="M170" s="100"/>
      <c r="N170" s="100"/>
      <c r="O170" s="100"/>
      <c r="P170" s="100"/>
      <c r="Q170" s="100"/>
      <c r="R170" s="100"/>
      <c r="S170" s="100"/>
      <c r="T170" s="100"/>
    </row>
    <row r="171" spans="1:20" ht="7.05" customHeight="1" x14ac:dyDescent="0.2"/>
    <row r="172" spans="1:20" ht="14.1" customHeight="1" x14ac:dyDescent="0.2">
      <c r="B172" s="130" t="s">
        <v>1043</v>
      </c>
      <c r="C172" s="130"/>
      <c r="D172" s="130"/>
      <c r="E172" s="130"/>
      <c r="F172" s="130"/>
      <c r="G172" s="130"/>
      <c r="H172" s="130"/>
      <c r="I172" s="130"/>
      <c r="J172" s="130"/>
      <c r="K172" s="130"/>
      <c r="L172" s="130"/>
      <c r="M172" s="130"/>
      <c r="N172" s="130"/>
      <c r="O172" s="130"/>
      <c r="P172" s="130"/>
      <c r="Q172" s="130"/>
      <c r="R172" s="130"/>
    </row>
    <row r="173" spans="1:20" ht="14.1" customHeight="1" x14ac:dyDescent="0.2"/>
    <row r="174" spans="1:20" ht="14.1" customHeight="1" x14ac:dyDescent="0.2">
      <c r="A174" s="120" t="s">
        <v>2</v>
      </c>
      <c r="B174" s="120"/>
      <c r="C174" s="120"/>
      <c r="D174" s="129" t="s">
        <v>1044</v>
      </c>
      <c r="E174" s="129"/>
      <c r="F174" s="129"/>
      <c r="G174" s="129"/>
      <c r="H174" s="129"/>
      <c r="I174" s="129"/>
      <c r="J174" s="129"/>
      <c r="K174" s="129"/>
      <c r="L174" s="129"/>
      <c r="M174" s="129"/>
      <c r="N174" s="129"/>
      <c r="O174" s="129"/>
      <c r="P174" s="129"/>
      <c r="Q174" s="129"/>
      <c r="R174" s="129"/>
      <c r="S174" s="129"/>
      <c r="T174" s="129"/>
    </row>
    <row r="175" spans="1:20" ht="14.1" customHeight="1" x14ac:dyDescent="0.2">
      <c r="A175" s="120" t="s">
        <v>4</v>
      </c>
      <c r="B175" s="120"/>
      <c r="C175" s="129" t="s">
        <v>1045</v>
      </c>
      <c r="D175" s="129"/>
      <c r="E175" s="129"/>
      <c r="F175" s="129"/>
      <c r="G175" s="129"/>
      <c r="H175" s="129"/>
      <c r="I175" s="129"/>
      <c r="J175" s="129"/>
      <c r="K175" s="129"/>
      <c r="L175" s="129"/>
      <c r="M175" s="129"/>
      <c r="N175" s="129"/>
      <c r="O175" s="129"/>
      <c r="P175" s="129"/>
      <c r="Q175" s="129"/>
      <c r="R175" s="129"/>
      <c r="S175" s="129"/>
      <c r="T175" s="129"/>
    </row>
    <row r="176" spans="1:20" ht="14.1" customHeight="1" x14ac:dyDescent="0.2">
      <c r="A176" s="120" t="s">
        <v>6</v>
      </c>
      <c r="B176" s="120"/>
      <c r="C176" s="120"/>
      <c r="D176" s="120"/>
      <c r="E176" s="120"/>
      <c r="F176" s="129" t="s">
        <v>248</v>
      </c>
      <c r="G176" s="129"/>
      <c r="H176" s="129"/>
      <c r="I176" s="129"/>
      <c r="J176" s="129"/>
      <c r="K176" s="129"/>
      <c r="L176" s="129"/>
      <c r="M176" s="129"/>
      <c r="N176" s="129"/>
      <c r="O176" s="129"/>
      <c r="P176" s="129"/>
      <c r="Q176" s="129"/>
      <c r="R176" s="129"/>
      <c r="S176" s="129"/>
      <c r="T176" s="129"/>
    </row>
    <row r="177" spans="1:20" ht="22.35" customHeight="1" x14ac:dyDescent="0.2">
      <c r="F177" s="129"/>
      <c r="G177" s="129"/>
      <c r="H177" s="129"/>
      <c r="I177" s="129"/>
      <c r="J177" s="129"/>
      <c r="K177" s="129"/>
      <c r="L177" s="129"/>
      <c r="M177" s="129"/>
      <c r="N177" s="129"/>
      <c r="O177" s="129"/>
      <c r="P177" s="129"/>
      <c r="Q177" s="129"/>
      <c r="R177" s="129"/>
      <c r="S177" s="129"/>
      <c r="T177" s="129"/>
    </row>
    <row r="178" spans="1:20" ht="7.05" customHeight="1" x14ac:dyDescent="0.2">
      <c r="A178" s="120"/>
      <c r="B178" s="120"/>
      <c r="C178" s="120"/>
      <c r="D178" s="120"/>
      <c r="E178" s="120"/>
      <c r="F178" s="120"/>
      <c r="G178" s="120"/>
      <c r="H178" s="120"/>
      <c r="I178" s="120"/>
      <c r="J178" s="120"/>
      <c r="K178" s="120"/>
      <c r="L178" s="120"/>
      <c r="M178" s="120"/>
      <c r="N178" s="120"/>
      <c r="O178" s="120"/>
      <c r="P178" s="120"/>
      <c r="Q178" s="75"/>
      <c r="R178" s="120"/>
      <c r="S178" s="120"/>
      <c r="T178" s="120"/>
    </row>
    <row r="179" spans="1:20" ht="16.95" customHeight="1" x14ac:dyDescent="0.2">
      <c r="A179" s="128" t="s">
        <v>8</v>
      </c>
      <c r="B179" s="128"/>
      <c r="C179" s="128"/>
      <c r="D179" s="128"/>
      <c r="E179" s="128"/>
      <c r="F179" s="128"/>
      <c r="G179" s="128"/>
      <c r="H179" s="128"/>
      <c r="I179" s="128"/>
      <c r="J179" s="128"/>
      <c r="K179" s="128"/>
      <c r="L179" s="128"/>
      <c r="M179" s="128" t="s">
        <v>9</v>
      </c>
      <c r="N179" s="128"/>
      <c r="O179" s="128"/>
      <c r="P179" s="128"/>
      <c r="Q179" s="128"/>
      <c r="R179" s="128"/>
      <c r="S179" s="128"/>
      <c r="T179" s="128"/>
    </row>
    <row r="180" spans="1:20" ht="16.95" customHeight="1" x14ac:dyDescent="0.2">
      <c r="A180" s="128"/>
      <c r="B180" s="128"/>
      <c r="C180" s="128"/>
      <c r="D180" s="128"/>
      <c r="E180" s="128"/>
      <c r="F180" s="128"/>
      <c r="G180" s="128"/>
      <c r="H180" s="128"/>
      <c r="I180" s="128"/>
      <c r="J180" s="128"/>
      <c r="K180" s="128"/>
      <c r="L180" s="128"/>
      <c r="M180" s="128" t="s">
        <v>10</v>
      </c>
      <c r="N180" s="128"/>
      <c r="O180" s="128"/>
      <c r="P180" s="128"/>
      <c r="Q180" s="128" t="s">
        <v>11</v>
      </c>
      <c r="R180" s="128"/>
      <c r="S180" s="128"/>
      <c r="T180" s="128"/>
    </row>
    <row r="181" spans="1:20" ht="16.95" customHeight="1" x14ac:dyDescent="0.2">
      <c r="A181" s="128"/>
      <c r="B181" s="128"/>
      <c r="C181" s="128"/>
      <c r="D181" s="128"/>
      <c r="E181" s="128"/>
      <c r="F181" s="128"/>
      <c r="G181" s="128"/>
      <c r="H181" s="128"/>
      <c r="I181" s="128"/>
      <c r="J181" s="128"/>
      <c r="K181" s="128"/>
      <c r="L181" s="128"/>
      <c r="M181" s="128" t="s">
        <v>12</v>
      </c>
      <c r="N181" s="128"/>
      <c r="O181" s="128" t="s">
        <v>13</v>
      </c>
      <c r="P181" s="128"/>
      <c r="Q181" s="76" t="s">
        <v>14</v>
      </c>
      <c r="R181" s="128" t="s">
        <v>15</v>
      </c>
      <c r="S181" s="128"/>
      <c r="T181" s="128"/>
    </row>
    <row r="182" spans="1:20" ht="13.35" customHeight="1" x14ac:dyDescent="0.2">
      <c r="A182" s="124" t="s">
        <v>431</v>
      </c>
      <c r="B182" s="124"/>
      <c r="C182" s="124"/>
      <c r="D182" s="124"/>
      <c r="E182" s="124"/>
      <c r="F182" s="124"/>
      <c r="G182" s="124"/>
      <c r="H182" s="124"/>
      <c r="I182" s="124"/>
      <c r="J182" s="124"/>
      <c r="K182" s="124"/>
      <c r="L182" s="124"/>
      <c r="M182" s="124" t="s">
        <v>1046</v>
      </c>
      <c r="N182" s="124"/>
      <c r="O182" s="124" t="s">
        <v>1046</v>
      </c>
      <c r="P182" s="124"/>
      <c r="Q182" s="77" t="s">
        <v>1047</v>
      </c>
      <c r="R182" s="124" t="s">
        <v>1047</v>
      </c>
      <c r="S182" s="124"/>
      <c r="T182" s="124"/>
    </row>
    <row r="183" spans="1:20" ht="13.35" customHeight="1" x14ac:dyDescent="0.2">
      <c r="A183" s="124" t="s">
        <v>114</v>
      </c>
      <c r="B183" s="124"/>
      <c r="C183" s="124"/>
      <c r="D183" s="124"/>
      <c r="E183" s="124"/>
      <c r="F183" s="124"/>
      <c r="G183" s="124"/>
      <c r="H183" s="124"/>
      <c r="I183" s="124"/>
      <c r="J183" s="124"/>
      <c r="K183" s="124"/>
      <c r="L183" s="124"/>
      <c r="M183" s="124" t="s">
        <v>1048</v>
      </c>
      <c r="N183" s="124"/>
      <c r="O183" s="124" t="s">
        <v>1048</v>
      </c>
      <c r="P183" s="124"/>
      <c r="Q183" s="77" t="s">
        <v>1049</v>
      </c>
      <c r="R183" s="124" t="s">
        <v>1049</v>
      </c>
      <c r="S183" s="124"/>
      <c r="T183" s="124"/>
    </row>
    <row r="184" spans="1:20" ht="13.35" customHeight="1" x14ac:dyDescent="0.2">
      <c r="A184" s="124" t="s">
        <v>183</v>
      </c>
      <c r="B184" s="124"/>
      <c r="C184" s="124"/>
      <c r="D184" s="124"/>
      <c r="E184" s="124"/>
      <c r="F184" s="124"/>
      <c r="G184" s="124"/>
      <c r="H184" s="124"/>
      <c r="I184" s="124"/>
      <c r="J184" s="124"/>
      <c r="K184" s="124"/>
      <c r="L184" s="124"/>
      <c r="M184" s="124" t="s">
        <v>1050</v>
      </c>
      <c r="N184" s="124"/>
      <c r="O184" s="124" t="s">
        <v>1051</v>
      </c>
      <c r="P184" s="124"/>
      <c r="Q184" s="77" t="s">
        <v>1052</v>
      </c>
      <c r="R184" s="124" t="s">
        <v>1053</v>
      </c>
      <c r="S184" s="124"/>
      <c r="T184" s="124"/>
    </row>
    <row r="185" spans="1:20" ht="13.35" customHeight="1" x14ac:dyDescent="0.2">
      <c r="A185" s="124" t="s">
        <v>109</v>
      </c>
      <c r="B185" s="124"/>
      <c r="C185" s="124"/>
      <c r="D185" s="124"/>
      <c r="E185" s="124"/>
      <c r="F185" s="124"/>
      <c r="G185" s="124"/>
      <c r="H185" s="124"/>
      <c r="I185" s="124"/>
      <c r="J185" s="124"/>
      <c r="K185" s="124"/>
      <c r="L185" s="124"/>
      <c r="M185" s="124" t="s">
        <v>1051</v>
      </c>
      <c r="N185" s="124"/>
      <c r="O185" s="124" t="s">
        <v>1051</v>
      </c>
      <c r="P185" s="124"/>
      <c r="Q185" s="77" t="s">
        <v>1053</v>
      </c>
      <c r="R185" s="124" t="s">
        <v>1053</v>
      </c>
      <c r="S185" s="124"/>
      <c r="T185" s="124"/>
    </row>
    <row r="186" spans="1:20" ht="13.35" customHeight="1" x14ac:dyDescent="0.2">
      <c r="A186" s="124" t="s">
        <v>18</v>
      </c>
      <c r="B186" s="124"/>
      <c r="C186" s="124"/>
      <c r="D186" s="124"/>
      <c r="E186" s="124"/>
      <c r="F186" s="124"/>
      <c r="G186" s="124"/>
      <c r="H186" s="124"/>
      <c r="I186" s="124"/>
      <c r="J186" s="124"/>
      <c r="K186" s="124"/>
      <c r="L186" s="124"/>
      <c r="M186" s="124" t="s">
        <v>200</v>
      </c>
      <c r="N186" s="124"/>
      <c r="O186" s="124" t="s">
        <v>200</v>
      </c>
      <c r="P186" s="124"/>
      <c r="Q186" s="77" t="s">
        <v>201</v>
      </c>
      <c r="R186" s="124" t="s">
        <v>201</v>
      </c>
      <c r="S186" s="124"/>
      <c r="T186" s="124"/>
    </row>
    <row r="187" spans="1:20" ht="13.35" customHeight="1" x14ac:dyDescent="0.2">
      <c r="A187" s="124" t="s">
        <v>67</v>
      </c>
      <c r="B187" s="124"/>
      <c r="C187" s="124"/>
      <c r="D187" s="124"/>
      <c r="E187" s="124"/>
      <c r="F187" s="124"/>
      <c r="G187" s="124"/>
      <c r="H187" s="124"/>
      <c r="I187" s="124"/>
      <c r="J187" s="124"/>
      <c r="K187" s="124"/>
      <c r="L187" s="124"/>
      <c r="M187" s="124" t="s">
        <v>1054</v>
      </c>
      <c r="N187" s="124"/>
      <c r="O187" s="124" t="s">
        <v>1054</v>
      </c>
      <c r="P187" s="124"/>
      <c r="Q187" s="77" t="s">
        <v>1055</v>
      </c>
      <c r="R187" s="124" t="s">
        <v>1055</v>
      </c>
      <c r="S187" s="124"/>
      <c r="T187" s="124"/>
    </row>
    <row r="188" spans="1:20" ht="13.35" customHeight="1" x14ac:dyDescent="0.2">
      <c r="A188" s="124" t="s">
        <v>61</v>
      </c>
      <c r="B188" s="124"/>
      <c r="C188" s="124"/>
      <c r="D188" s="124"/>
      <c r="E188" s="124"/>
      <c r="F188" s="124"/>
      <c r="G188" s="124"/>
      <c r="H188" s="124"/>
      <c r="I188" s="124"/>
      <c r="J188" s="124"/>
      <c r="K188" s="124"/>
      <c r="L188" s="124"/>
      <c r="M188" s="124" t="s">
        <v>1051</v>
      </c>
      <c r="N188" s="124"/>
      <c r="O188" s="124" t="s">
        <v>1051</v>
      </c>
      <c r="P188" s="124"/>
      <c r="Q188" s="77" t="s">
        <v>1053</v>
      </c>
      <c r="R188" s="124" t="s">
        <v>1053</v>
      </c>
      <c r="S188" s="124"/>
      <c r="T188" s="124"/>
    </row>
    <row r="189" spans="1:20" ht="14.1" customHeight="1" x14ac:dyDescent="0.2">
      <c r="A189" s="126" t="s">
        <v>116</v>
      </c>
      <c r="B189" s="126"/>
      <c r="C189" s="126"/>
      <c r="D189" s="126"/>
      <c r="E189" s="126"/>
      <c r="F189" s="126"/>
      <c r="G189" s="126"/>
      <c r="H189" s="126"/>
      <c r="I189" s="126"/>
      <c r="J189" s="126"/>
      <c r="K189" s="126"/>
      <c r="L189" s="126"/>
      <c r="M189" s="126"/>
      <c r="N189" s="126"/>
      <c r="O189" s="126"/>
      <c r="P189" s="126"/>
      <c r="Q189" s="126"/>
      <c r="R189" s="126"/>
      <c r="S189" s="126"/>
      <c r="T189" s="126"/>
    </row>
    <row r="190" spans="1:20" ht="14.1" customHeight="1" x14ac:dyDescent="0.2"/>
    <row r="191" spans="1:20" ht="14.1" customHeight="1" x14ac:dyDescent="0.2">
      <c r="A191" s="121" t="s">
        <v>33</v>
      </c>
      <c r="B191" s="121"/>
      <c r="C191" s="121"/>
      <c r="D191" s="121"/>
      <c r="E191" s="121"/>
      <c r="F191" s="121"/>
      <c r="G191" s="121"/>
      <c r="H191" s="121"/>
      <c r="I191" s="121"/>
      <c r="J191" s="121"/>
      <c r="K191" s="121"/>
      <c r="L191" s="121"/>
      <c r="M191" s="121"/>
      <c r="N191" s="121"/>
    </row>
    <row r="192" spans="1:20" ht="13.35" customHeight="1" x14ac:dyDescent="0.2">
      <c r="A192" s="124" t="s">
        <v>34</v>
      </c>
      <c r="B192" s="124"/>
      <c r="C192" s="124"/>
      <c r="D192" s="124"/>
      <c r="E192" s="125">
        <v>8.17</v>
      </c>
      <c r="F192" s="125"/>
      <c r="G192" s="78"/>
      <c r="H192" s="77" t="s">
        <v>35</v>
      </c>
      <c r="I192" s="125">
        <v>0.1</v>
      </c>
      <c r="J192" s="125"/>
      <c r="K192" s="78"/>
      <c r="L192" s="124" t="s">
        <v>36</v>
      </c>
      <c r="M192" s="124"/>
      <c r="N192" s="125">
        <v>24.46</v>
      </c>
      <c r="O192" s="125"/>
    </row>
    <row r="193" spans="1:19" ht="13.35" customHeight="1" x14ac:dyDescent="0.2">
      <c r="A193" s="124" t="s">
        <v>37</v>
      </c>
      <c r="B193" s="124"/>
      <c r="C193" s="124"/>
      <c r="D193" s="124"/>
      <c r="E193" s="125">
        <v>10.06</v>
      </c>
      <c r="F193" s="125"/>
      <c r="G193" s="78"/>
      <c r="H193" s="77" t="s">
        <v>38</v>
      </c>
      <c r="I193" s="125">
        <v>0</v>
      </c>
      <c r="J193" s="125"/>
      <c r="K193" s="78"/>
      <c r="L193" s="124" t="s">
        <v>39</v>
      </c>
      <c r="M193" s="124"/>
      <c r="N193" s="125">
        <v>15.6</v>
      </c>
      <c r="O193" s="125"/>
    </row>
    <row r="194" spans="1:19" ht="13.35" customHeight="1" x14ac:dyDescent="0.2">
      <c r="A194" s="124" t="s">
        <v>40</v>
      </c>
      <c r="B194" s="124"/>
      <c r="C194" s="124"/>
      <c r="D194" s="124"/>
      <c r="E194" s="125">
        <v>52.49</v>
      </c>
      <c r="F194" s="125"/>
      <c r="G194" s="78"/>
      <c r="H194" s="77" t="s">
        <v>41</v>
      </c>
      <c r="I194" s="125">
        <v>0.06</v>
      </c>
      <c r="J194" s="125"/>
      <c r="K194" s="78"/>
      <c r="L194" s="124" t="s">
        <v>42</v>
      </c>
      <c r="M194" s="124"/>
      <c r="N194" s="125">
        <v>77.77</v>
      </c>
      <c r="O194" s="125"/>
    </row>
    <row r="195" spans="1:19" ht="13.35" customHeight="1" x14ac:dyDescent="0.2">
      <c r="A195" s="124" t="s">
        <v>43</v>
      </c>
      <c r="B195" s="124"/>
      <c r="C195" s="124"/>
      <c r="D195" s="124"/>
      <c r="E195" s="125">
        <v>340.01</v>
      </c>
      <c r="F195" s="125"/>
      <c r="G195" s="78"/>
      <c r="H195" s="77" t="s">
        <v>44</v>
      </c>
      <c r="I195" s="125">
        <v>2.91</v>
      </c>
      <c r="J195" s="125"/>
      <c r="K195" s="78"/>
      <c r="L195" s="124" t="s">
        <v>45</v>
      </c>
      <c r="M195" s="124"/>
      <c r="N195" s="125">
        <v>1.64</v>
      </c>
      <c r="O195" s="125"/>
    </row>
    <row r="196" spans="1:19" ht="13.35" customHeight="1" x14ac:dyDescent="0.2">
      <c r="A196" s="123"/>
      <c r="B196" s="123"/>
      <c r="C196" s="123"/>
      <c r="D196" s="123"/>
      <c r="E196" s="123"/>
      <c r="F196" s="123"/>
      <c r="G196" s="78"/>
      <c r="H196" s="77" t="s">
        <v>46</v>
      </c>
      <c r="I196" s="125">
        <v>0.28999999999999998</v>
      </c>
      <c r="J196" s="125"/>
      <c r="K196" s="78"/>
      <c r="L196" s="124" t="s">
        <v>47</v>
      </c>
      <c r="M196" s="124"/>
      <c r="N196" s="125">
        <v>103.98</v>
      </c>
      <c r="O196" s="125"/>
    </row>
    <row r="197" spans="1:19" ht="13.35" customHeight="1" x14ac:dyDescent="0.2">
      <c r="A197" s="123"/>
      <c r="B197" s="123"/>
      <c r="C197" s="123"/>
      <c r="D197" s="123"/>
      <c r="E197" s="123"/>
      <c r="F197" s="123"/>
      <c r="G197" s="78"/>
      <c r="H197" s="77" t="s">
        <v>48</v>
      </c>
      <c r="I197" s="125">
        <v>7.0000000000000007E-2</v>
      </c>
      <c r="J197" s="125"/>
      <c r="K197" s="78"/>
      <c r="L197" s="124" t="s">
        <v>49</v>
      </c>
      <c r="M197" s="124"/>
      <c r="N197" s="125">
        <v>2.46</v>
      </c>
      <c r="O197" s="125"/>
    </row>
    <row r="198" spans="1:19" ht="13.35" customHeight="1" x14ac:dyDescent="0.2">
      <c r="A198" s="123"/>
      <c r="B198" s="123"/>
      <c r="C198" s="123"/>
      <c r="D198" s="123"/>
      <c r="E198" s="123"/>
      <c r="F198" s="123"/>
      <c r="G198" s="78"/>
      <c r="H198" s="78"/>
      <c r="I198" s="123"/>
      <c r="J198" s="123"/>
      <c r="K198" s="78"/>
      <c r="L198" s="124" t="s">
        <v>50</v>
      </c>
      <c r="M198" s="124"/>
      <c r="N198" s="125">
        <v>0.01</v>
      </c>
      <c r="O198" s="125"/>
    </row>
    <row r="199" spans="1:19" ht="13.35" customHeight="1" x14ac:dyDescent="0.2">
      <c r="A199" s="123"/>
      <c r="B199" s="123"/>
      <c r="C199" s="123"/>
      <c r="D199" s="123"/>
      <c r="E199" s="123"/>
      <c r="F199" s="123"/>
      <c r="G199" s="78"/>
      <c r="H199" s="78"/>
      <c r="I199" s="123"/>
      <c r="J199" s="123"/>
      <c r="K199" s="78"/>
      <c r="L199" s="124" t="s">
        <v>51</v>
      </c>
      <c r="M199" s="124"/>
      <c r="N199" s="125">
        <v>0.02</v>
      </c>
      <c r="O199" s="125"/>
    </row>
    <row r="200" spans="1:19" ht="14.1" customHeight="1" x14ac:dyDescent="0.2">
      <c r="A200" s="120"/>
      <c r="B200" s="120"/>
      <c r="C200" s="120"/>
      <c r="D200" s="120"/>
      <c r="E200" s="120"/>
      <c r="F200" s="120"/>
      <c r="G200" s="120"/>
      <c r="H200" s="120"/>
      <c r="I200" s="120"/>
      <c r="J200" s="120"/>
      <c r="K200" s="120"/>
      <c r="L200" s="120"/>
      <c r="M200" s="120"/>
      <c r="N200" s="120"/>
      <c r="O200" s="120"/>
      <c r="P200" s="120"/>
      <c r="Q200" s="120"/>
      <c r="R200" s="120"/>
      <c r="S200" s="120"/>
    </row>
    <row r="201" spans="1:19" ht="14.1" customHeight="1" x14ac:dyDescent="0.2">
      <c r="A201" s="121" t="s">
        <v>52</v>
      </c>
      <c r="B201" s="121"/>
      <c r="C201" s="121"/>
      <c r="D201" s="121"/>
      <c r="E201" s="121"/>
      <c r="F201" s="121"/>
      <c r="G201" s="121"/>
      <c r="H201" s="121"/>
      <c r="I201" s="121"/>
      <c r="J201" s="121"/>
      <c r="K201" s="121"/>
      <c r="L201" s="121"/>
      <c r="M201" s="121"/>
      <c r="N201" s="121"/>
      <c r="O201" s="121"/>
      <c r="P201" s="121"/>
      <c r="Q201" s="121"/>
      <c r="R201" s="121"/>
      <c r="S201" s="121"/>
    </row>
    <row r="202" spans="1:19" ht="30.9" customHeight="1" x14ac:dyDescent="0.2">
      <c r="A202" s="122" t="s">
        <v>1056</v>
      </c>
      <c r="B202" s="122"/>
      <c r="C202" s="122"/>
      <c r="D202" s="122"/>
      <c r="E202" s="122"/>
      <c r="F202" s="122"/>
      <c r="G202" s="122"/>
      <c r="H202" s="122"/>
      <c r="I202" s="122"/>
      <c r="J202" s="122"/>
      <c r="K202" s="122"/>
      <c r="L202" s="122"/>
      <c r="M202" s="122"/>
      <c r="N202" s="122"/>
      <c r="O202" s="122"/>
      <c r="P202" s="122"/>
      <c r="Q202" s="122"/>
      <c r="R202" s="122"/>
      <c r="S202" s="122"/>
    </row>
    <row r="203" spans="1:19" ht="14.1" customHeight="1" x14ac:dyDescent="0.2">
      <c r="A203" s="120"/>
      <c r="B203" s="120"/>
      <c r="C203" s="120"/>
      <c r="D203" s="120"/>
      <c r="E203" s="120"/>
      <c r="F203" s="120"/>
      <c r="G203" s="120"/>
      <c r="H203" s="120"/>
      <c r="I203" s="120"/>
      <c r="J203" s="120"/>
      <c r="K203" s="120"/>
      <c r="L203" s="120"/>
      <c r="M203" s="120"/>
      <c r="N203" s="120"/>
      <c r="O203" s="120"/>
      <c r="P203" s="120"/>
      <c r="Q203" s="120"/>
      <c r="R203" s="120"/>
      <c r="S203" s="120"/>
    </row>
    <row r="204" spans="1:19" ht="14.1" customHeight="1" x14ac:dyDescent="0.2">
      <c r="A204" s="121" t="s">
        <v>54</v>
      </c>
      <c r="B204" s="121"/>
      <c r="C204" s="121"/>
      <c r="D204" s="121"/>
      <c r="E204" s="121"/>
      <c r="F204" s="121"/>
      <c r="G204" s="121"/>
      <c r="H204" s="121"/>
      <c r="I204" s="121"/>
      <c r="J204" s="121"/>
      <c r="K204" s="121"/>
      <c r="L204" s="121"/>
      <c r="M204" s="121"/>
      <c r="N204" s="121"/>
      <c r="O204" s="121"/>
      <c r="P204" s="121"/>
      <c r="Q204" s="121"/>
      <c r="R204" s="121"/>
      <c r="S204" s="121"/>
    </row>
    <row r="205" spans="1:19" ht="12.15" customHeight="1" x14ac:dyDescent="0.2">
      <c r="A205" s="122" t="s">
        <v>962</v>
      </c>
      <c r="B205" s="122"/>
      <c r="C205" s="122"/>
      <c r="D205" s="122"/>
      <c r="E205" s="122"/>
      <c r="F205" s="122"/>
      <c r="G205" s="122"/>
      <c r="H205" s="122"/>
      <c r="I205" s="122"/>
      <c r="J205" s="122"/>
      <c r="K205" s="122"/>
      <c r="L205" s="122"/>
      <c r="M205" s="122"/>
      <c r="N205" s="122"/>
      <c r="O205" s="122"/>
      <c r="P205" s="122"/>
      <c r="Q205" s="122"/>
      <c r="R205" s="122"/>
      <c r="S205" s="122"/>
    </row>
    <row r="206" spans="1:19" ht="14.1" customHeight="1" x14ac:dyDescent="0.2">
      <c r="A206" s="120"/>
      <c r="B206" s="120"/>
      <c r="C206" s="120"/>
      <c r="D206" s="120"/>
      <c r="E206" s="120"/>
      <c r="F206" s="120"/>
      <c r="G206" s="120"/>
      <c r="H206" s="120"/>
      <c r="I206" s="120"/>
      <c r="J206" s="120"/>
      <c r="K206" s="120"/>
      <c r="L206" s="120"/>
      <c r="M206" s="120"/>
      <c r="N206" s="120"/>
      <c r="O206" s="120"/>
      <c r="P206" s="120"/>
      <c r="Q206" s="120"/>
      <c r="R206" s="120"/>
      <c r="S206" s="120"/>
    </row>
    <row r="207" spans="1:19" ht="14.1" customHeight="1" x14ac:dyDescent="0.2">
      <c r="A207" s="121" t="s">
        <v>56</v>
      </c>
      <c r="B207" s="121"/>
      <c r="C207" s="121"/>
      <c r="D207" s="121"/>
      <c r="E207" s="121"/>
      <c r="F207" s="121"/>
      <c r="G207" s="121"/>
      <c r="H207" s="121"/>
      <c r="I207" s="121"/>
      <c r="J207" s="121"/>
      <c r="K207" s="121"/>
      <c r="L207" s="121"/>
      <c r="M207" s="121"/>
      <c r="N207" s="121"/>
      <c r="O207" s="121"/>
      <c r="P207" s="121"/>
      <c r="Q207" s="121"/>
      <c r="R207" s="121"/>
      <c r="S207" s="121"/>
    </row>
    <row r="208" spans="1:19" ht="49.2" customHeight="1" x14ac:dyDescent="0.2">
      <c r="A208" s="122" t="s">
        <v>1057</v>
      </c>
      <c r="B208" s="122"/>
      <c r="C208" s="122"/>
      <c r="D208" s="122"/>
      <c r="E208" s="122"/>
      <c r="F208" s="122"/>
      <c r="G208" s="122"/>
      <c r="H208" s="122"/>
      <c r="I208" s="122"/>
      <c r="J208" s="122"/>
      <c r="K208" s="122"/>
      <c r="L208" s="122"/>
      <c r="M208" s="122"/>
      <c r="N208" s="122"/>
      <c r="O208" s="122"/>
      <c r="P208" s="122"/>
      <c r="Q208" s="122"/>
      <c r="R208" s="122"/>
      <c r="S208" s="122"/>
    </row>
    <row r="210" spans="1:20" s="1" customFormat="1" ht="72.45" customHeight="1" x14ac:dyDescent="0.25">
      <c r="J210" s="100" t="s">
        <v>0</v>
      </c>
      <c r="K210" s="100"/>
      <c r="L210" s="100"/>
      <c r="M210" s="100"/>
      <c r="N210" s="100"/>
      <c r="O210" s="100"/>
      <c r="P210" s="100"/>
      <c r="Q210" s="100"/>
      <c r="R210" s="100"/>
      <c r="S210" s="100"/>
      <c r="T210" s="100"/>
    </row>
    <row r="211" spans="1:20" ht="7.05" customHeight="1" x14ac:dyDescent="0.2"/>
    <row r="212" spans="1:20" ht="14.1" customHeight="1" x14ac:dyDescent="0.2">
      <c r="B212" s="130" t="s">
        <v>1058</v>
      </c>
      <c r="C212" s="130"/>
      <c r="D212" s="130"/>
      <c r="E212" s="130"/>
      <c r="F212" s="130"/>
      <c r="G212" s="130"/>
      <c r="H212" s="130"/>
      <c r="I212" s="130"/>
      <c r="J212" s="130"/>
      <c r="K212" s="130"/>
      <c r="L212" s="130"/>
      <c r="M212" s="130"/>
      <c r="N212" s="130"/>
      <c r="O212" s="130"/>
      <c r="P212" s="130"/>
      <c r="Q212" s="130"/>
      <c r="R212" s="130"/>
    </row>
    <row r="213" spans="1:20" ht="14.1" customHeight="1" x14ac:dyDescent="0.2"/>
    <row r="214" spans="1:20" ht="14.1" customHeight="1" x14ac:dyDescent="0.2">
      <c r="A214" s="120" t="s">
        <v>2</v>
      </c>
      <c r="B214" s="120"/>
      <c r="C214" s="120"/>
      <c r="D214" s="129" t="s">
        <v>1059</v>
      </c>
      <c r="E214" s="129"/>
      <c r="F214" s="129"/>
      <c r="G214" s="129"/>
      <c r="H214" s="129"/>
      <c r="I214" s="129"/>
      <c r="J214" s="129"/>
      <c r="K214" s="129"/>
      <c r="L214" s="129"/>
      <c r="M214" s="129"/>
      <c r="N214" s="129"/>
      <c r="O214" s="129"/>
      <c r="P214" s="129"/>
      <c r="Q214" s="129"/>
      <c r="R214" s="129"/>
      <c r="S214" s="129"/>
      <c r="T214" s="129"/>
    </row>
    <row r="215" spans="1:20" ht="14.1" customHeight="1" x14ac:dyDescent="0.2">
      <c r="A215" s="120" t="s">
        <v>4</v>
      </c>
      <c r="B215" s="120"/>
      <c r="C215" s="129" t="s">
        <v>1060</v>
      </c>
      <c r="D215" s="129"/>
      <c r="E215" s="129"/>
      <c r="F215" s="129"/>
      <c r="G215" s="129"/>
      <c r="H215" s="129"/>
      <c r="I215" s="129"/>
      <c r="J215" s="129"/>
      <c r="K215" s="129"/>
      <c r="L215" s="129"/>
      <c r="M215" s="129"/>
      <c r="N215" s="129"/>
      <c r="O215" s="129"/>
      <c r="P215" s="129"/>
      <c r="Q215" s="129"/>
      <c r="R215" s="129"/>
      <c r="S215" s="129"/>
      <c r="T215" s="129"/>
    </row>
    <row r="216" spans="1:20" ht="14.1" customHeight="1" x14ac:dyDescent="0.2">
      <c r="A216" s="120" t="s">
        <v>6</v>
      </c>
      <c r="B216" s="120"/>
      <c r="C216" s="120"/>
      <c r="D216" s="120"/>
      <c r="E216" s="120"/>
      <c r="F216" s="129" t="s">
        <v>75</v>
      </c>
      <c r="G216" s="129"/>
      <c r="H216" s="129"/>
      <c r="I216" s="129"/>
      <c r="J216" s="129"/>
      <c r="K216" s="129"/>
      <c r="L216" s="129"/>
      <c r="M216" s="129"/>
      <c r="N216" s="129"/>
      <c r="O216" s="129"/>
      <c r="P216" s="129"/>
      <c r="Q216" s="129"/>
      <c r="R216" s="129"/>
      <c r="S216" s="129"/>
      <c r="T216" s="129"/>
    </row>
    <row r="217" spans="1:20" ht="1.35" customHeight="1" x14ac:dyDescent="0.2"/>
    <row r="218" spans="1:20" ht="7.05" customHeight="1" x14ac:dyDescent="0.2">
      <c r="A218" s="120"/>
      <c r="B218" s="120"/>
      <c r="C218" s="120"/>
      <c r="D218" s="120"/>
      <c r="E218" s="120"/>
      <c r="F218" s="120"/>
      <c r="G218" s="120"/>
      <c r="H218" s="120"/>
      <c r="I218" s="120"/>
      <c r="J218" s="120"/>
      <c r="K218" s="120"/>
      <c r="L218" s="120"/>
      <c r="M218" s="120"/>
      <c r="N218" s="120"/>
      <c r="O218" s="120"/>
      <c r="P218" s="120"/>
      <c r="Q218" s="75"/>
      <c r="R218" s="120"/>
      <c r="S218" s="120"/>
      <c r="T218" s="120"/>
    </row>
    <row r="219" spans="1:20" ht="16.95" customHeight="1" x14ac:dyDescent="0.2">
      <c r="A219" s="128" t="s">
        <v>8</v>
      </c>
      <c r="B219" s="128"/>
      <c r="C219" s="128"/>
      <c r="D219" s="128"/>
      <c r="E219" s="128"/>
      <c r="F219" s="128"/>
      <c r="G219" s="128"/>
      <c r="H219" s="128"/>
      <c r="I219" s="128"/>
      <c r="J219" s="128"/>
      <c r="K219" s="128"/>
      <c r="L219" s="128"/>
      <c r="M219" s="128" t="s">
        <v>9</v>
      </c>
      <c r="N219" s="128"/>
      <c r="O219" s="128"/>
      <c r="P219" s="128"/>
      <c r="Q219" s="128"/>
      <c r="R219" s="128"/>
      <c r="S219" s="128"/>
      <c r="T219" s="128"/>
    </row>
    <row r="220" spans="1:20" ht="16.95" customHeight="1" x14ac:dyDescent="0.2">
      <c r="A220" s="128"/>
      <c r="B220" s="128"/>
      <c r="C220" s="128"/>
      <c r="D220" s="128"/>
      <c r="E220" s="128"/>
      <c r="F220" s="128"/>
      <c r="G220" s="128"/>
      <c r="H220" s="128"/>
      <c r="I220" s="128"/>
      <c r="J220" s="128"/>
      <c r="K220" s="128"/>
      <c r="L220" s="128"/>
      <c r="M220" s="128" t="s">
        <v>10</v>
      </c>
      <c r="N220" s="128"/>
      <c r="O220" s="128"/>
      <c r="P220" s="128"/>
      <c r="Q220" s="128" t="s">
        <v>11</v>
      </c>
      <c r="R220" s="128"/>
      <c r="S220" s="128"/>
      <c r="T220" s="128"/>
    </row>
    <row r="221" spans="1:20" ht="16.95" customHeight="1" x14ac:dyDescent="0.2">
      <c r="A221" s="128"/>
      <c r="B221" s="128"/>
      <c r="C221" s="128"/>
      <c r="D221" s="128"/>
      <c r="E221" s="128"/>
      <c r="F221" s="128"/>
      <c r="G221" s="128"/>
      <c r="H221" s="128"/>
      <c r="I221" s="128"/>
      <c r="J221" s="128"/>
      <c r="K221" s="128"/>
      <c r="L221" s="128"/>
      <c r="M221" s="128" t="s">
        <v>12</v>
      </c>
      <c r="N221" s="128"/>
      <c r="O221" s="128" t="s">
        <v>13</v>
      </c>
      <c r="P221" s="128"/>
      <c r="Q221" s="76" t="s">
        <v>14</v>
      </c>
      <c r="R221" s="128" t="s">
        <v>15</v>
      </c>
      <c r="S221" s="128"/>
      <c r="T221" s="128"/>
    </row>
    <row r="222" spans="1:20" ht="13.35" customHeight="1" x14ac:dyDescent="0.2">
      <c r="A222" s="124" t="s">
        <v>191</v>
      </c>
      <c r="B222" s="124"/>
      <c r="C222" s="124"/>
      <c r="D222" s="124"/>
      <c r="E222" s="124"/>
      <c r="F222" s="124"/>
      <c r="G222" s="124"/>
      <c r="H222" s="124"/>
      <c r="I222" s="124"/>
      <c r="J222" s="124"/>
      <c r="K222" s="124"/>
      <c r="L222" s="124"/>
      <c r="M222" s="124" t="s">
        <v>62</v>
      </c>
      <c r="N222" s="124"/>
      <c r="O222" s="124" t="s">
        <v>62</v>
      </c>
      <c r="P222" s="124"/>
      <c r="Q222" s="77" t="s">
        <v>63</v>
      </c>
      <c r="R222" s="124" t="s">
        <v>63</v>
      </c>
      <c r="S222" s="124"/>
      <c r="T222" s="124"/>
    </row>
    <row r="223" spans="1:20" ht="13.35" customHeight="1" x14ac:dyDescent="0.2">
      <c r="A223" s="124" t="s">
        <v>183</v>
      </c>
      <c r="B223" s="124"/>
      <c r="C223" s="124"/>
      <c r="D223" s="124"/>
      <c r="E223" s="124"/>
      <c r="F223" s="124"/>
      <c r="G223" s="124"/>
      <c r="H223" s="124"/>
      <c r="I223" s="124"/>
      <c r="J223" s="124"/>
      <c r="K223" s="124"/>
      <c r="L223" s="124"/>
      <c r="M223" s="124" t="s">
        <v>1061</v>
      </c>
      <c r="N223" s="124"/>
      <c r="O223" s="124" t="s">
        <v>1062</v>
      </c>
      <c r="P223" s="124"/>
      <c r="Q223" s="77" t="s">
        <v>1063</v>
      </c>
      <c r="R223" s="124" t="s">
        <v>1064</v>
      </c>
      <c r="S223" s="124"/>
      <c r="T223" s="124"/>
    </row>
    <row r="224" spans="1:20" ht="13.35" customHeight="1" x14ac:dyDescent="0.2">
      <c r="A224" s="124" t="s">
        <v>31</v>
      </c>
      <c r="B224" s="124"/>
      <c r="C224" s="124"/>
      <c r="D224" s="124"/>
      <c r="E224" s="124"/>
      <c r="F224" s="124"/>
      <c r="G224" s="124"/>
      <c r="H224" s="124"/>
      <c r="I224" s="124"/>
      <c r="J224" s="124"/>
      <c r="K224" s="124"/>
      <c r="L224" s="124"/>
      <c r="M224" s="124"/>
      <c r="N224" s="124"/>
      <c r="O224" s="124"/>
      <c r="P224" s="124"/>
      <c r="Q224" s="77"/>
      <c r="R224" s="124"/>
      <c r="S224" s="124"/>
      <c r="T224" s="124"/>
    </row>
    <row r="225" spans="1:20" ht="13.35" customHeight="1" x14ac:dyDescent="0.2">
      <c r="A225" s="124" t="s">
        <v>998</v>
      </c>
      <c r="B225" s="124"/>
      <c r="C225" s="124"/>
      <c r="D225" s="124"/>
      <c r="E225" s="124"/>
      <c r="F225" s="124"/>
      <c r="G225" s="124"/>
      <c r="H225" s="124"/>
      <c r="I225" s="124"/>
      <c r="J225" s="124"/>
      <c r="K225" s="124"/>
      <c r="L225" s="124"/>
      <c r="M225" s="124" t="s">
        <v>1065</v>
      </c>
      <c r="N225" s="124"/>
      <c r="O225" s="124" t="s">
        <v>1066</v>
      </c>
      <c r="P225" s="124"/>
      <c r="Q225" s="77" t="s">
        <v>1067</v>
      </c>
      <c r="R225" s="124" t="s">
        <v>1068</v>
      </c>
      <c r="S225" s="124"/>
      <c r="T225" s="124"/>
    </row>
    <row r="226" spans="1:20" ht="13.35" customHeight="1" x14ac:dyDescent="0.2">
      <c r="A226" s="124" t="s">
        <v>1003</v>
      </c>
      <c r="B226" s="124"/>
      <c r="C226" s="124"/>
      <c r="D226" s="124"/>
      <c r="E226" s="124"/>
      <c r="F226" s="124"/>
      <c r="G226" s="124"/>
      <c r="H226" s="124"/>
      <c r="I226" s="124"/>
      <c r="J226" s="124"/>
      <c r="K226" s="124"/>
      <c r="L226" s="124"/>
      <c r="M226" s="124" t="s">
        <v>1069</v>
      </c>
      <c r="N226" s="124"/>
      <c r="O226" s="124" t="s">
        <v>1066</v>
      </c>
      <c r="P226" s="124"/>
      <c r="Q226" s="77" t="s">
        <v>1070</v>
      </c>
      <c r="R226" s="124" t="s">
        <v>1068</v>
      </c>
      <c r="S226" s="124"/>
      <c r="T226" s="124"/>
    </row>
    <row r="227" spans="1:20" ht="13.35" customHeight="1" x14ac:dyDescent="0.2">
      <c r="A227" s="124" t="s">
        <v>1006</v>
      </c>
      <c r="B227" s="124"/>
      <c r="C227" s="124"/>
      <c r="D227" s="124"/>
      <c r="E227" s="124"/>
      <c r="F227" s="124"/>
      <c r="G227" s="124"/>
      <c r="H227" s="124"/>
      <c r="I227" s="124"/>
      <c r="J227" s="124"/>
      <c r="K227" s="124"/>
      <c r="L227" s="124"/>
      <c r="M227" s="124" t="s">
        <v>1071</v>
      </c>
      <c r="N227" s="124"/>
      <c r="O227" s="124" t="s">
        <v>1066</v>
      </c>
      <c r="P227" s="124"/>
      <c r="Q227" s="77" t="s">
        <v>1072</v>
      </c>
      <c r="R227" s="124" t="s">
        <v>1068</v>
      </c>
      <c r="S227" s="124"/>
      <c r="T227" s="124"/>
    </row>
    <row r="228" spans="1:20" ht="13.35" customHeight="1" x14ac:dyDescent="0.2">
      <c r="A228" s="124" t="s">
        <v>1009</v>
      </c>
      <c r="B228" s="124"/>
      <c r="C228" s="124"/>
      <c r="D228" s="124"/>
      <c r="E228" s="124"/>
      <c r="F228" s="124"/>
      <c r="G228" s="124"/>
      <c r="H228" s="124"/>
      <c r="I228" s="124"/>
      <c r="J228" s="124"/>
      <c r="K228" s="124"/>
      <c r="L228" s="124"/>
      <c r="M228" s="124" t="s">
        <v>1073</v>
      </c>
      <c r="N228" s="124"/>
      <c r="O228" s="124" t="s">
        <v>1066</v>
      </c>
      <c r="P228" s="124"/>
      <c r="Q228" s="77" t="s">
        <v>1074</v>
      </c>
      <c r="R228" s="124" t="s">
        <v>1068</v>
      </c>
      <c r="S228" s="124"/>
      <c r="T228" s="124"/>
    </row>
    <row r="229" spans="1:20" ht="13.35" customHeight="1" x14ac:dyDescent="0.2">
      <c r="A229" s="124" t="s">
        <v>1012</v>
      </c>
      <c r="B229" s="124"/>
      <c r="C229" s="124"/>
      <c r="D229" s="124"/>
      <c r="E229" s="124"/>
      <c r="F229" s="124"/>
      <c r="G229" s="124"/>
      <c r="H229" s="124"/>
      <c r="I229" s="124"/>
      <c r="J229" s="124"/>
      <c r="K229" s="124"/>
      <c r="L229" s="124"/>
      <c r="M229" s="124" t="s">
        <v>1075</v>
      </c>
      <c r="N229" s="124"/>
      <c r="O229" s="124" t="s">
        <v>1066</v>
      </c>
      <c r="P229" s="124"/>
      <c r="Q229" s="77" t="s">
        <v>1076</v>
      </c>
      <c r="R229" s="124" t="s">
        <v>1068</v>
      </c>
      <c r="S229" s="124"/>
      <c r="T229" s="124"/>
    </row>
    <row r="230" spans="1:20" ht="13.35" customHeight="1" x14ac:dyDescent="0.2">
      <c r="A230" s="124" t="s">
        <v>100</v>
      </c>
      <c r="B230" s="124"/>
      <c r="C230" s="124"/>
      <c r="D230" s="124"/>
      <c r="E230" s="124"/>
      <c r="F230" s="124"/>
      <c r="G230" s="124"/>
      <c r="H230" s="124"/>
      <c r="I230" s="124"/>
      <c r="J230" s="124"/>
      <c r="K230" s="124"/>
      <c r="L230" s="124"/>
      <c r="M230" s="124"/>
      <c r="N230" s="124"/>
      <c r="O230" s="124"/>
      <c r="P230" s="124"/>
      <c r="Q230" s="77"/>
      <c r="R230" s="124"/>
      <c r="S230" s="124"/>
      <c r="T230" s="124"/>
    </row>
    <row r="231" spans="1:20" ht="13.35" customHeight="1" x14ac:dyDescent="0.2">
      <c r="A231" s="124" t="s">
        <v>91</v>
      </c>
      <c r="B231" s="124"/>
      <c r="C231" s="124"/>
      <c r="D231" s="124"/>
      <c r="E231" s="124"/>
      <c r="F231" s="124"/>
      <c r="G231" s="124"/>
      <c r="H231" s="124"/>
      <c r="I231" s="124"/>
      <c r="J231" s="124"/>
      <c r="K231" s="124"/>
      <c r="L231" s="124"/>
      <c r="M231" s="124" t="s">
        <v>85</v>
      </c>
      <c r="N231" s="124"/>
      <c r="O231" s="124" t="s">
        <v>240</v>
      </c>
      <c r="P231" s="124"/>
      <c r="Q231" s="77" t="s">
        <v>77</v>
      </c>
      <c r="R231" s="124" t="s">
        <v>241</v>
      </c>
      <c r="S231" s="124"/>
      <c r="T231" s="124"/>
    </row>
    <row r="232" spans="1:20" ht="13.35" customHeight="1" x14ac:dyDescent="0.2">
      <c r="A232" s="124" t="s">
        <v>94</v>
      </c>
      <c r="B232" s="124"/>
      <c r="C232" s="124"/>
      <c r="D232" s="124"/>
      <c r="E232" s="124"/>
      <c r="F232" s="124"/>
      <c r="G232" s="124"/>
      <c r="H232" s="124"/>
      <c r="I232" s="124"/>
      <c r="J232" s="124"/>
      <c r="K232" s="124"/>
      <c r="L232" s="124"/>
      <c r="M232" s="124" t="s">
        <v>1077</v>
      </c>
      <c r="N232" s="124"/>
      <c r="O232" s="124" t="s">
        <v>240</v>
      </c>
      <c r="P232" s="124"/>
      <c r="Q232" s="77" t="s">
        <v>1078</v>
      </c>
      <c r="R232" s="124" t="s">
        <v>241</v>
      </c>
      <c r="S232" s="124"/>
      <c r="T232" s="124"/>
    </row>
    <row r="233" spans="1:20" ht="13.35" customHeight="1" x14ac:dyDescent="0.2">
      <c r="A233" s="124" t="s">
        <v>21</v>
      </c>
      <c r="B233" s="124"/>
      <c r="C233" s="124"/>
      <c r="D233" s="124"/>
      <c r="E233" s="124"/>
      <c r="F233" s="124"/>
      <c r="G233" s="124"/>
      <c r="H233" s="124"/>
      <c r="I233" s="124"/>
      <c r="J233" s="124"/>
      <c r="K233" s="124"/>
      <c r="L233" s="124"/>
      <c r="M233" s="124" t="s">
        <v>189</v>
      </c>
      <c r="N233" s="124"/>
      <c r="O233" s="124" t="s">
        <v>240</v>
      </c>
      <c r="P233" s="124"/>
      <c r="Q233" s="77" t="s">
        <v>190</v>
      </c>
      <c r="R233" s="124" t="s">
        <v>241</v>
      </c>
      <c r="S233" s="124"/>
      <c r="T233" s="124"/>
    </row>
    <row r="234" spans="1:20" ht="13.35" customHeight="1" x14ac:dyDescent="0.2">
      <c r="A234" s="124" t="s">
        <v>61</v>
      </c>
      <c r="B234" s="124"/>
      <c r="C234" s="124"/>
      <c r="D234" s="124"/>
      <c r="E234" s="124"/>
      <c r="F234" s="124"/>
      <c r="G234" s="124"/>
      <c r="H234" s="124"/>
      <c r="I234" s="124"/>
      <c r="J234" s="124"/>
      <c r="K234" s="124"/>
      <c r="L234" s="124"/>
      <c r="M234" s="124" t="s">
        <v>93</v>
      </c>
      <c r="N234" s="124"/>
      <c r="O234" s="124" t="s">
        <v>93</v>
      </c>
      <c r="P234" s="124"/>
      <c r="Q234" s="77" t="s">
        <v>416</v>
      </c>
      <c r="R234" s="124" t="s">
        <v>416</v>
      </c>
      <c r="S234" s="124"/>
      <c r="T234" s="124"/>
    </row>
    <row r="235" spans="1:20" ht="13.35" customHeight="1" x14ac:dyDescent="0.2">
      <c r="A235" s="124" t="s">
        <v>114</v>
      </c>
      <c r="B235" s="124"/>
      <c r="C235" s="124"/>
      <c r="D235" s="124"/>
      <c r="E235" s="124"/>
      <c r="F235" s="124"/>
      <c r="G235" s="124"/>
      <c r="H235" s="124"/>
      <c r="I235" s="124"/>
      <c r="J235" s="124"/>
      <c r="K235" s="124"/>
      <c r="L235" s="124"/>
      <c r="M235" s="124" t="s">
        <v>1079</v>
      </c>
      <c r="N235" s="124"/>
      <c r="O235" s="124" t="s">
        <v>1079</v>
      </c>
      <c r="P235" s="124"/>
      <c r="Q235" s="77" t="s">
        <v>1080</v>
      </c>
      <c r="R235" s="124" t="s">
        <v>1080</v>
      </c>
      <c r="S235" s="124"/>
      <c r="T235" s="124"/>
    </row>
    <row r="236" spans="1:20" ht="14.1" customHeight="1" x14ac:dyDescent="0.2">
      <c r="A236" s="126" t="s">
        <v>790</v>
      </c>
      <c r="B236" s="126"/>
      <c r="C236" s="126"/>
      <c r="D236" s="126"/>
      <c r="E236" s="126"/>
      <c r="F236" s="126"/>
      <c r="G236" s="126"/>
      <c r="H236" s="126"/>
      <c r="I236" s="126"/>
      <c r="J236" s="126"/>
      <c r="K236" s="126"/>
      <c r="L236" s="126"/>
      <c r="M236" s="126"/>
      <c r="N236" s="126"/>
      <c r="O236" s="126"/>
      <c r="P236" s="126"/>
      <c r="Q236" s="126"/>
      <c r="R236" s="126"/>
      <c r="S236" s="126"/>
      <c r="T236" s="126"/>
    </row>
    <row r="237" spans="1:20" ht="14.1" customHeight="1" x14ac:dyDescent="0.2"/>
    <row r="238" spans="1:20" ht="14.1" customHeight="1" x14ac:dyDescent="0.2">
      <c r="A238" s="121" t="s">
        <v>33</v>
      </c>
      <c r="B238" s="121"/>
      <c r="C238" s="121"/>
      <c r="D238" s="121"/>
      <c r="E238" s="121"/>
      <c r="F238" s="121"/>
      <c r="G238" s="121"/>
      <c r="H238" s="121"/>
      <c r="I238" s="121"/>
      <c r="J238" s="121"/>
      <c r="K238" s="121"/>
      <c r="L238" s="121"/>
      <c r="M238" s="121"/>
      <c r="N238" s="121"/>
    </row>
    <row r="239" spans="1:20" ht="13.35" customHeight="1" x14ac:dyDescent="0.2">
      <c r="A239" s="124" t="s">
        <v>34</v>
      </c>
      <c r="B239" s="124"/>
      <c r="C239" s="124"/>
      <c r="D239" s="124"/>
      <c r="E239" s="125">
        <v>4.0999999999999996</v>
      </c>
      <c r="F239" s="125"/>
      <c r="G239" s="78"/>
      <c r="H239" s="77" t="s">
        <v>35</v>
      </c>
      <c r="I239" s="125">
        <v>0.12</v>
      </c>
      <c r="J239" s="125"/>
      <c r="K239" s="78"/>
      <c r="L239" s="124" t="s">
        <v>36</v>
      </c>
      <c r="M239" s="124"/>
      <c r="N239" s="125">
        <v>41.2</v>
      </c>
      <c r="O239" s="125"/>
    </row>
    <row r="240" spans="1:20" ht="13.35" customHeight="1" x14ac:dyDescent="0.2">
      <c r="A240" s="124" t="s">
        <v>37</v>
      </c>
      <c r="B240" s="124"/>
      <c r="C240" s="124"/>
      <c r="D240" s="124"/>
      <c r="E240" s="125">
        <v>1.9</v>
      </c>
      <c r="F240" s="125"/>
      <c r="G240" s="78"/>
      <c r="H240" s="77" t="s">
        <v>38</v>
      </c>
      <c r="I240" s="125">
        <v>8.9499999999999993</v>
      </c>
      <c r="J240" s="125"/>
      <c r="K240" s="78"/>
      <c r="L240" s="124" t="s">
        <v>39</v>
      </c>
      <c r="M240" s="124"/>
      <c r="N240" s="125">
        <v>31.94</v>
      </c>
      <c r="O240" s="125"/>
    </row>
    <row r="241" spans="1:19" ht="13.35" customHeight="1" x14ac:dyDescent="0.2">
      <c r="A241" s="124" t="s">
        <v>40</v>
      </c>
      <c r="B241" s="124"/>
      <c r="C241" s="124"/>
      <c r="D241" s="124"/>
      <c r="E241" s="125">
        <v>18.350000000000001</v>
      </c>
      <c r="F241" s="125"/>
      <c r="G241" s="78"/>
      <c r="H241" s="77" t="s">
        <v>41</v>
      </c>
      <c r="I241" s="125">
        <v>0.35</v>
      </c>
      <c r="J241" s="125"/>
      <c r="K241" s="78"/>
      <c r="L241" s="124" t="s">
        <v>42</v>
      </c>
      <c r="M241" s="124"/>
      <c r="N241" s="125">
        <v>90.03</v>
      </c>
      <c r="O241" s="125"/>
    </row>
    <row r="242" spans="1:19" ht="13.35" customHeight="1" x14ac:dyDescent="0.2">
      <c r="A242" s="124" t="s">
        <v>43</v>
      </c>
      <c r="B242" s="124"/>
      <c r="C242" s="124"/>
      <c r="D242" s="124"/>
      <c r="E242" s="125">
        <v>131.47</v>
      </c>
      <c r="F242" s="125"/>
      <c r="G242" s="78"/>
      <c r="H242" s="77" t="s">
        <v>44</v>
      </c>
      <c r="I242" s="125">
        <v>0.51</v>
      </c>
      <c r="J242" s="125"/>
      <c r="K242" s="78"/>
      <c r="L242" s="124" t="s">
        <v>45</v>
      </c>
      <c r="M242" s="124"/>
      <c r="N242" s="125">
        <v>1.46</v>
      </c>
      <c r="O242" s="125"/>
    </row>
    <row r="243" spans="1:19" ht="13.35" customHeight="1" x14ac:dyDescent="0.2">
      <c r="A243" s="123"/>
      <c r="B243" s="123"/>
      <c r="C243" s="123"/>
      <c r="D243" s="123"/>
      <c r="E243" s="123"/>
      <c r="F243" s="123"/>
      <c r="G243" s="78"/>
      <c r="H243" s="77" t="s">
        <v>46</v>
      </c>
      <c r="I243" s="125">
        <v>0.28999999999999998</v>
      </c>
      <c r="J243" s="125"/>
      <c r="K243" s="78"/>
      <c r="L243" s="124" t="s">
        <v>47</v>
      </c>
      <c r="M243" s="124"/>
      <c r="N243" s="125">
        <v>649.6</v>
      </c>
      <c r="O243" s="125"/>
    </row>
    <row r="244" spans="1:19" ht="13.35" customHeight="1" x14ac:dyDescent="0.2">
      <c r="A244" s="123"/>
      <c r="B244" s="123"/>
      <c r="C244" s="123"/>
      <c r="D244" s="123"/>
      <c r="E244" s="123"/>
      <c r="F244" s="123"/>
      <c r="G244" s="78"/>
      <c r="H244" s="77" t="s">
        <v>48</v>
      </c>
      <c r="I244" s="125">
        <v>0.12</v>
      </c>
      <c r="J244" s="125"/>
      <c r="K244" s="78"/>
      <c r="L244" s="124" t="s">
        <v>49</v>
      </c>
      <c r="M244" s="124"/>
      <c r="N244" s="125">
        <v>8.94</v>
      </c>
      <c r="O244" s="125"/>
    </row>
    <row r="245" spans="1:19" ht="13.35" customHeight="1" x14ac:dyDescent="0.2">
      <c r="A245" s="123"/>
      <c r="B245" s="123"/>
      <c r="C245" s="123"/>
      <c r="D245" s="123"/>
      <c r="E245" s="123"/>
      <c r="F245" s="123"/>
      <c r="G245" s="78"/>
      <c r="H245" s="78"/>
      <c r="I245" s="123"/>
      <c r="J245" s="123"/>
      <c r="K245" s="78"/>
      <c r="L245" s="124" t="s">
        <v>50</v>
      </c>
      <c r="M245" s="124"/>
      <c r="N245" s="125">
        <v>0.05</v>
      </c>
      <c r="O245" s="125"/>
    </row>
    <row r="246" spans="1:19" ht="13.35" customHeight="1" x14ac:dyDescent="0.2">
      <c r="A246" s="123"/>
      <c r="B246" s="123"/>
      <c r="C246" s="123"/>
      <c r="D246" s="123"/>
      <c r="E246" s="123"/>
      <c r="F246" s="123"/>
      <c r="G246" s="78"/>
      <c r="H246" s="78"/>
      <c r="I246" s="123"/>
      <c r="J246" s="123"/>
      <c r="K246" s="78"/>
      <c r="L246" s="124" t="s">
        <v>51</v>
      </c>
      <c r="M246" s="124"/>
      <c r="N246" s="125">
        <v>0</v>
      </c>
      <c r="O246" s="125"/>
    </row>
    <row r="247" spans="1:19" ht="14.1" customHeight="1" x14ac:dyDescent="0.2">
      <c r="A247" s="120"/>
      <c r="B247" s="120"/>
      <c r="C247" s="120"/>
      <c r="D247" s="120"/>
      <c r="E247" s="120"/>
      <c r="F247" s="120"/>
      <c r="G247" s="120"/>
      <c r="H247" s="120"/>
      <c r="I247" s="120"/>
      <c r="J247" s="120"/>
      <c r="K247" s="120"/>
      <c r="L247" s="120"/>
      <c r="M247" s="120"/>
      <c r="N247" s="120"/>
      <c r="O247" s="120"/>
      <c r="P247" s="120"/>
      <c r="Q247" s="120"/>
      <c r="R247" s="120"/>
      <c r="S247" s="120"/>
    </row>
    <row r="248" spans="1:19" ht="14.1" customHeight="1" x14ac:dyDescent="0.2">
      <c r="A248" s="121" t="s">
        <v>52</v>
      </c>
      <c r="B248" s="121"/>
      <c r="C248" s="121"/>
      <c r="D248" s="121"/>
      <c r="E248" s="121"/>
      <c r="F248" s="121"/>
      <c r="G248" s="121"/>
      <c r="H248" s="121"/>
      <c r="I248" s="121"/>
      <c r="J248" s="121"/>
      <c r="K248" s="121"/>
      <c r="L248" s="121"/>
      <c r="M248" s="121"/>
      <c r="N248" s="121"/>
      <c r="O248" s="121"/>
      <c r="P248" s="121"/>
      <c r="Q248" s="121"/>
      <c r="R248" s="121"/>
      <c r="S248" s="121"/>
    </row>
    <row r="249" spans="1:19" ht="95.25" customHeight="1" x14ac:dyDescent="0.2">
      <c r="A249" s="122" t="s">
        <v>1081</v>
      </c>
      <c r="B249" s="122"/>
      <c r="C249" s="122"/>
      <c r="D249" s="122"/>
      <c r="E249" s="122"/>
      <c r="F249" s="122"/>
      <c r="G249" s="122"/>
      <c r="H249" s="122"/>
      <c r="I249" s="122"/>
      <c r="J249" s="122"/>
      <c r="K249" s="122"/>
      <c r="L249" s="122"/>
      <c r="M249" s="122"/>
      <c r="N249" s="122"/>
      <c r="O249" s="122"/>
      <c r="P249" s="122"/>
      <c r="Q249" s="122"/>
      <c r="R249" s="122"/>
      <c r="S249" s="122"/>
    </row>
    <row r="251" spans="1:19" ht="14.1" customHeight="1" x14ac:dyDescent="0.2">
      <c r="A251" s="121" t="s">
        <v>54</v>
      </c>
      <c r="B251" s="121"/>
      <c r="C251" s="121"/>
      <c r="D251" s="121"/>
      <c r="E251" s="121"/>
      <c r="F251" s="121"/>
      <c r="G251" s="121"/>
      <c r="H251" s="121"/>
      <c r="I251" s="121"/>
      <c r="J251" s="121"/>
      <c r="K251" s="121"/>
      <c r="L251" s="121"/>
      <c r="M251" s="121"/>
      <c r="N251" s="121"/>
      <c r="O251" s="121"/>
      <c r="P251" s="121"/>
      <c r="Q251" s="121"/>
      <c r="R251" s="121"/>
      <c r="S251" s="121"/>
    </row>
    <row r="252" spans="1:19" ht="12.15" customHeight="1" x14ac:dyDescent="0.2">
      <c r="A252" s="122" t="s">
        <v>678</v>
      </c>
      <c r="B252" s="122"/>
      <c r="C252" s="122"/>
      <c r="D252" s="122"/>
      <c r="E252" s="122"/>
      <c r="F252" s="122"/>
      <c r="G252" s="122"/>
      <c r="H252" s="122"/>
      <c r="I252" s="122"/>
      <c r="J252" s="122"/>
      <c r="K252" s="122"/>
      <c r="L252" s="122"/>
      <c r="M252" s="122"/>
      <c r="N252" s="122"/>
      <c r="O252" s="122"/>
      <c r="P252" s="122"/>
      <c r="Q252" s="122"/>
      <c r="R252" s="122"/>
      <c r="S252" s="122"/>
    </row>
    <row r="254" spans="1:19" s="1" customFormat="1" ht="14.1" customHeight="1" x14ac:dyDescent="0.25">
      <c r="A254" s="84" t="s">
        <v>56</v>
      </c>
      <c r="B254" s="84"/>
      <c r="C254" s="84"/>
      <c r="D254" s="84"/>
      <c r="E254" s="84"/>
      <c r="F254" s="84"/>
      <c r="G254" s="84"/>
      <c r="H254" s="84"/>
      <c r="I254" s="84"/>
      <c r="J254" s="84"/>
      <c r="K254" s="84"/>
      <c r="L254" s="84"/>
      <c r="M254" s="84"/>
      <c r="N254" s="84"/>
      <c r="O254" s="84"/>
      <c r="P254" s="84"/>
      <c r="Q254" s="84"/>
      <c r="R254" s="84"/>
      <c r="S254" s="84"/>
    </row>
    <row r="255" spans="1:19" s="1" customFormat="1" ht="49.2" customHeight="1" x14ac:dyDescent="0.25">
      <c r="A255" s="85" t="s">
        <v>1082</v>
      </c>
      <c r="B255" s="85"/>
      <c r="C255" s="85"/>
      <c r="D255" s="85"/>
      <c r="E255" s="85"/>
      <c r="F255" s="85"/>
      <c r="G255" s="85"/>
      <c r="H255" s="85"/>
      <c r="I255" s="85"/>
      <c r="J255" s="85"/>
      <c r="K255" s="85"/>
      <c r="L255" s="85"/>
      <c r="M255" s="85"/>
      <c r="N255" s="85"/>
      <c r="O255" s="85"/>
      <c r="P255" s="85"/>
      <c r="Q255" s="85"/>
      <c r="R255" s="85"/>
      <c r="S255" s="85"/>
    </row>
    <row r="258" spans="1:20" s="1" customFormat="1" ht="72.45" customHeight="1" x14ac:dyDescent="0.25">
      <c r="J258" s="100" t="s">
        <v>0</v>
      </c>
      <c r="K258" s="100"/>
      <c r="L258" s="100"/>
      <c r="M258" s="100"/>
      <c r="N258" s="100"/>
      <c r="O258" s="100"/>
      <c r="P258" s="100"/>
      <c r="Q258" s="100"/>
      <c r="R258" s="100"/>
      <c r="S258" s="100"/>
      <c r="T258" s="100"/>
    </row>
    <row r="259" spans="1:20" ht="7.05" customHeight="1" x14ac:dyDescent="0.2"/>
    <row r="260" spans="1:20" ht="14.1" customHeight="1" x14ac:dyDescent="0.2">
      <c r="B260" s="130" t="s">
        <v>968</v>
      </c>
      <c r="C260" s="130"/>
      <c r="D260" s="130"/>
      <c r="E260" s="130"/>
      <c r="F260" s="130"/>
      <c r="G260" s="130"/>
      <c r="H260" s="130"/>
      <c r="I260" s="130"/>
      <c r="J260" s="130"/>
      <c r="K260" s="130"/>
      <c r="L260" s="130"/>
      <c r="M260" s="130"/>
      <c r="N260" s="130"/>
      <c r="O260" s="130"/>
      <c r="P260" s="130"/>
      <c r="Q260" s="130"/>
      <c r="R260" s="130"/>
    </row>
    <row r="261" spans="1:20" ht="14.1" customHeight="1" x14ac:dyDescent="0.2"/>
    <row r="262" spans="1:20" ht="14.1" customHeight="1" x14ac:dyDescent="0.2">
      <c r="A262" s="120" t="s">
        <v>2</v>
      </c>
      <c r="B262" s="120"/>
      <c r="C262" s="120"/>
      <c r="D262" s="129" t="s">
        <v>969</v>
      </c>
      <c r="E262" s="129"/>
      <c r="F262" s="129"/>
      <c r="G262" s="129"/>
      <c r="H262" s="129"/>
      <c r="I262" s="129"/>
      <c r="J262" s="129"/>
      <c r="K262" s="129"/>
      <c r="L262" s="129"/>
      <c r="M262" s="129"/>
      <c r="N262" s="129"/>
      <c r="O262" s="129"/>
      <c r="P262" s="129"/>
      <c r="Q262" s="129"/>
      <c r="R262" s="129"/>
      <c r="S262" s="129"/>
      <c r="T262" s="129"/>
    </row>
    <row r="263" spans="1:20" ht="14.1" customHeight="1" x14ac:dyDescent="0.2">
      <c r="A263" s="120" t="s">
        <v>4</v>
      </c>
      <c r="B263" s="120"/>
      <c r="C263" s="129" t="s">
        <v>970</v>
      </c>
      <c r="D263" s="129"/>
      <c r="E263" s="129"/>
      <c r="F263" s="129"/>
      <c r="G263" s="129"/>
      <c r="H263" s="129"/>
      <c r="I263" s="129"/>
      <c r="J263" s="129"/>
      <c r="K263" s="129"/>
      <c r="L263" s="129"/>
      <c r="M263" s="129"/>
      <c r="N263" s="129"/>
      <c r="O263" s="129"/>
      <c r="P263" s="129"/>
      <c r="Q263" s="129"/>
      <c r="R263" s="129"/>
      <c r="S263" s="129"/>
      <c r="T263" s="129"/>
    </row>
    <row r="264" spans="1:20" ht="14.1" customHeight="1" x14ac:dyDescent="0.2">
      <c r="A264" s="120" t="s">
        <v>6</v>
      </c>
      <c r="B264" s="120"/>
      <c r="C264" s="120"/>
      <c r="D264" s="120"/>
      <c r="E264" s="120"/>
      <c r="F264" s="129" t="s">
        <v>248</v>
      </c>
      <c r="G264" s="129"/>
      <c r="H264" s="129"/>
      <c r="I264" s="129"/>
      <c r="J264" s="129"/>
      <c r="K264" s="129"/>
      <c r="L264" s="129"/>
      <c r="M264" s="129"/>
      <c r="N264" s="129"/>
      <c r="O264" s="129"/>
      <c r="P264" s="129"/>
      <c r="Q264" s="129"/>
      <c r="R264" s="129"/>
      <c r="S264" s="129"/>
      <c r="T264" s="129"/>
    </row>
    <row r="265" spans="1:20" ht="22.35" customHeight="1" x14ac:dyDescent="0.2">
      <c r="F265" s="129"/>
      <c r="G265" s="129"/>
      <c r="H265" s="129"/>
      <c r="I265" s="129"/>
      <c r="J265" s="129"/>
      <c r="K265" s="129"/>
      <c r="L265" s="129"/>
      <c r="M265" s="129"/>
      <c r="N265" s="129"/>
      <c r="O265" s="129"/>
      <c r="P265" s="129"/>
      <c r="Q265" s="129"/>
      <c r="R265" s="129"/>
      <c r="S265" s="129"/>
      <c r="T265" s="129"/>
    </row>
    <row r="266" spans="1:20" ht="7.05" customHeight="1" x14ac:dyDescent="0.2">
      <c r="A266" s="120"/>
      <c r="B266" s="120"/>
      <c r="C266" s="120"/>
      <c r="D266" s="120"/>
      <c r="E266" s="120"/>
      <c r="F266" s="120"/>
      <c r="G266" s="120"/>
      <c r="H266" s="120"/>
      <c r="I266" s="120"/>
      <c r="J266" s="120"/>
      <c r="K266" s="120"/>
      <c r="L266" s="120"/>
      <c r="M266" s="120"/>
      <c r="N266" s="120"/>
      <c r="O266" s="120"/>
      <c r="P266" s="120"/>
      <c r="Q266" s="75"/>
      <c r="R266" s="120"/>
      <c r="S266" s="120"/>
      <c r="T266" s="120"/>
    </row>
    <row r="267" spans="1:20" ht="16.95" customHeight="1" x14ac:dyDescent="0.2">
      <c r="A267" s="128" t="s">
        <v>8</v>
      </c>
      <c r="B267" s="128"/>
      <c r="C267" s="128"/>
      <c r="D267" s="128"/>
      <c r="E267" s="128"/>
      <c r="F267" s="128"/>
      <c r="G267" s="128"/>
      <c r="H267" s="128"/>
      <c r="I267" s="128"/>
      <c r="J267" s="128"/>
      <c r="K267" s="128"/>
      <c r="L267" s="128"/>
      <c r="M267" s="128" t="s">
        <v>9</v>
      </c>
      <c r="N267" s="128"/>
      <c r="O267" s="128"/>
      <c r="P267" s="128"/>
      <c r="Q267" s="128"/>
      <c r="R267" s="128"/>
      <c r="S267" s="128"/>
      <c r="T267" s="128"/>
    </row>
    <row r="268" spans="1:20" ht="16.95" customHeight="1" x14ac:dyDescent="0.2">
      <c r="A268" s="128"/>
      <c r="B268" s="128"/>
      <c r="C268" s="128"/>
      <c r="D268" s="128"/>
      <c r="E268" s="128"/>
      <c r="F268" s="128"/>
      <c r="G268" s="128"/>
      <c r="H268" s="128"/>
      <c r="I268" s="128"/>
      <c r="J268" s="128"/>
      <c r="K268" s="128"/>
      <c r="L268" s="128"/>
      <c r="M268" s="128" t="s">
        <v>10</v>
      </c>
      <c r="N268" s="128"/>
      <c r="O268" s="128"/>
      <c r="P268" s="128"/>
      <c r="Q268" s="128" t="s">
        <v>11</v>
      </c>
      <c r="R268" s="128"/>
      <c r="S268" s="128"/>
      <c r="T268" s="128"/>
    </row>
    <row r="269" spans="1:20" ht="16.95" customHeight="1" x14ac:dyDescent="0.2">
      <c r="A269" s="128"/>
      <c r="B269" s="128"/>
      <c r="C269" s="128"/>
      <c r="D269" s="128"/>
      <c r="E269" s="128"/>
      <c r="F269" s="128"/>
      <c r="G269" s="128"/>
      <c r="H269" s="128"/>
      <c r="I269" s="128"/>
      <c r="J269" s="128"/>
      <c r="K269" s="128"/>
      <c r="L269" s="128"/>
      <c r="M269" s="128" t="s">
        <v>12</v>
      </c>
      <c r="N269" s="128"/>
      <c r="O269" s="128" t="s">
        <v>13</v>
      </c>
      <c r="P269" s="128"/>
      <c r="Q269" s="76" t="s">
        <v>14</v>
      </c>
      <c r="R269" s="128" t="s">
        <v>15</v>
      </c>
      <c r="S269" s="128"/>
      <c r="T269" s="128"/>
    </row>
    <row r="270" spans="1:20" ht="13.35" customHeight="1" x14ac:dyDescent="0.2">
      <c r="A270" s="124" t="s">
        <v>195</v>
      </c>
      <c r="B270" s="124"/>
      <c r="C270" s="124"/>
      <c r="D270" s="124"/>
      <c r="E270" s="124"/>
      <c r="F270" s="124"/>
      <c r="G270" s="124"/>
      <c r="H270" s="124"/>
      <c r="I270" s="124"/>
      <c r="J270" s="124"/>
      <c r="K270" s="124"/>
      <c r="L270" s="124"/>
      <c r="M270" s="124" t="s">
        <v>1083</v>
      </c>
      <c r="N270" s="124"/>
      <c r="O270" s="124" t="s">
        <v>1084</v>
      </c>
      <c r="P270" s="124"/>
      <c r="Q270" s="77" t="s">
        <v>1085</v>
      </c>
      <c r="R270" s="124" t="s">
        <v>1086</v>
      </c>
      <c r="S270" s="124"/>
      <c r="T270" s="124"/>
    </row>
    <row r="271" spans="1:20" ht="13.35" customHeight="1" x14ac:dyDescent="0.2">
      <c r="A271" s="124" t="s">
        <v>61</v>
      </c>
      <c r="B271" s="124"/>
      <c r="C271" s="124"/>
      <c r="D271" s="124"/>
      <c r="E271" s="124"/>
      <c r="F271" s="124"/>
      <c r="G271" s="124"/>
      <c r="H271" s="124"/>
      <c r="I271" s="124"/>
      <c r="J271" s="124"/>
      <c r="K271" s="124"/>
      <c r="L271" s="124"/>
      <c r="M271" s="124" t="s">
        <v>1087</v>
      </c>
      <c r="N271" s="124"/>
      <c r="O271" s="124" t="s">
        <v>1087</v>
      </c>
      <c r="P271" s="124"/>
      <c r="Q271" s="77" t="s">
        <v>1088</v>
      </c>
      <c r="R271" s="124" t="s">
        <v>1088</v>
      </c>
      <c r="S271" s="124"/>
      <c r="T271" s="124"/>
    </row>
    <row r="272" spans="1:20" ht="13.35" customHeight="1" x14ac:dyDescent="0.2">
      <c r="A272" s="124" t="s">
        <v>70</v>
      </c>
      <c r="B272" s="124"/>
      <c r="C272" s="124"/>
      <c r="D272" s="124"/>
      <c r="E272" s="124"/>
      <c r="F272" s="124"/>
      <c r="G272" s="124"/>
      <c r="H272" s="124"/>
      <c r="I272" s="124"/>
      <c r="J272" s="124"/>
      <c r="K272" s="124"/>
      <c r="L272" s="124"/>
      <c r="M272" s="124" t="s">
        <v>125</v>
      </c>
      <c r="N272" s="124"/>
      <c r="O272" s="124" t="s">
        <v>125</v>
      </c>
      <c r="P272" s="124"/>
      <c r="Q272" s="77" t="s">
        <v>1089</v>
      </c>
      <c r="R272" s="124" t="s">
        <v>1089</v>
      </c>
      <c r="S272" s="124"/>
      <c r="T272" s="124"/>
    </row>
    <row r="273" spans="1:20" ht="13.35" customHeight="1" x14ac:dyDescent="0.2">
      <c r="A273" s="124" t="s">
        <v>114</v>
      </c>
      <c r="B273" s="124"/>
      <c r="C273" s="124"/>
      <c r="D273" s="124"/>
      <c r="E273" s="124"/>
      <c r="F273" s="124"/>
      <c r="G273" s="124"/>
      <c r="H273" s="124"/>
      <c r="I273" s="124"/>
      <c r="J273" s="124"/>
      <c r="K273" s="124"/>
      <c r="L273" s="124"/>
      <c r="M273" s="124" t="s">
        <v>1090</v>
      </c>
      <c r="N273" s="124"/>
      <c r="O273" s="124" t="s">
        <v>1090</v>
      </c>
      <c r="P273" s="124"/>
      <c r="Q273" s="77" t="s">
        <v>1091</v>
      </c>
      <c r="R273" s="124" t="s">
        <v>1091</v>
      </c>
      <c r="S273" s="124"/>
      <c r="T273" s="124"/>
    </row>
    <row r="274" spans="1:20" ht="14.1" customHeight="1" x14ac:dyDescent="0.2">
      <c r="A274" s="126" t="s">
        <v>1092</v>
      </c>
      <c r="B274" s="126"/>
      <c r="C274" s="126"/>
      <c r="D274" s="126"/>
      <c r="E274" s="126"/>
      <c r="F274" s="126"/>
      <c r="G274" s="126"/>
      <c r="H274" s="126"/>
      <c r="I274" s="126"/>
      <c r="J274" s="126"/>
      <c r="K274" s="126"/>
      <c r="L274" s="126"/>
      <c r="M274" s="126"/>
      <c r="N274" s="126"/>
      <c r="O274" s="126"/>
      <c r="P274" s="126"/>
      <c r="Q274" s="126"/>
      <c r="R274" s="126"/>
      <c r="S274" s="126"/>
      <c r="T274" s="126"/>
    </row>
    <row r="275" spans="1:20" ht="14.1" customHeight="1" x14ac:dyDescent="0.2"/>
    <row r="276" spans="1:20" ht="14.1" customHeight="1" x14ac:dyDescent="0.2">
      <c r="A276" s="121" t="s">
        <v>33</v>
      </c>
      <c r="B276" s="121"/>
      <c r="C276" s="121"/>
      <c r="D276" s="121"/>
      <c r="E276" s="121"/>
      <c r="F276" s="121"/>
      <c r="G276" s="121"/>
      <c r="H276" s="121"/>
      <c r="I276" s="121"/>
      <c r="J276" s="121"/>
      <c r="K276" s="121"/>
      <c r="L276" s="121"/>
      <c r="M276" s="121"/>
      <c r="N276" s="121"/>
    </row>
    <row r="277" spans="1:20" ht="13.35" customHeight="1" x14ac:dyDescent="0.2">
      <c r="A277" s="124" t="s">
        <v>34</v>
      </c>
      <c r="B277" s="124"/>
      <c r="C277" s="124"/>
      <c r="D277" s="124"/>
      <c r="E277" s="125">
        <v>0.7</v>
      </c>
      <c r="F277" s="125"/>
      <c r="G277" s="78"/>
      <c r="H277" s="77" t="s">
        <v>35</v>
      </c>
      <c r="I277" s="125">
        <v>0.02</v>
      </c>
      <c r="J277" s="125"/>
      <c r="K277" s="78"/>
      <c r="L277" s="124" t="s">
        <v>36</v>
      </c>
      <c r="M277" s="124"/>
      <c r="N277" s="125">
        <v>9.7200000000000006</v>
      </c>
      <c r="O277" s="125"/>
    </row>
    <row r="278" spans="1:20" ht="13.35" customHeight="1" x14ac:dyDescent="0.2">
      <c r="A278" s="124" t="s">
        <v>37</v>
      </c>
      <c r="B278" s="124"/>
      <c r="C278" s="124"/>
      <c r="D278" s="124"/>
      <c r="E278" s="125">
        <v>1</v>
      </c>
      <c r="F278" s="125"/>
      <c r="G278" s="78"/>
      <c r="H278" s="77" t="s">
        <v>38</v>
      </c>
      <c r="I278" s="125">
        <v>0</v>
      </c>
      <c r="J278" s="125"/>
      <c r="K278" s="78"/>
      <c r="L278" s="124" t="s">
        <v>39</v>
      </c>
      <c r="M278" s="124"/>
      <c r="N278" s="125">
        <v>11.05</v>
      </c>
      <c r="O278" s="125"/>
    </row>
    <row r="279" spans="1:20" ht="13.35" customHeight="1" x14ac:dyDescent="0.2">
      <c r="A279" s="124" t="s">
        <v>40</v>
      </c>
      <c r="B279" s="124"/>
      <c r="C279" s="124"/>
      <c r="D279" s="124"/>
      <c r="E279" s="125">
        <v>11.94</v>
      </c>
      <c r="F279" s="125"/>
      <c r="G279" s="78"/>
      <c r="H279" s="77" t="s">
        <v>41</v>
      </c>
      <c r="I279" s="125">
        <v>0.01</v>
      </c>
      <c r="J279" s="125"/>
      <c r="K279" s="78"/>
      <c r="L279" s="124" t="s">
        <v>42</v>
      </c>
      <c r="M279" s="124"/>
      <c r="N279" s="125">
        <v>30.09</v>
      </c>
      <c r="O279" s="125"/>
    </row>
    <row r="280" spans="1:20" ht="13.35" customHeight="1" x14ac:dyDescent="0.2">
      <c r="A280" s="124" t="s">
        <v>43</v>
      </c>
      <c r="B280" s="124"/>
      <c r="C280" s="124"/>
      <c r="D280" s="124"/>
      <c r="E280" s="125">
        <v>88.64</v>
      </c>
      <c r="F280" s="125"/>
      <c r="G280" s="78"/>
      <c r="H280" s="77" t="s">
        <v>44</v>
      </c>
      <c r="I280" s="125">
        <v>0.16</v>
      </c>
      <c r="J280" s="125"/>
      <c r="K280" s="78"/>
      <c r="L280" s="124" t="s">
        <v>45</v>
      </c>
      <c r="M280" s="124"/>
      <c r="N280" s="125">
        <v>0.23</v>
      </c>
      <c r="O280" s="125"/>
    </row>
    <row r="281" spans="1:20" ht="13.35" customHeight="1" x14ac:dyDescent="0.2">
      <c r="A281" s="123"/>
      <c r="B281" s="123"/>
      <c r="C281" s="123"/>
      <c r="D281" s="123"/>
      <c r="E281" s="123"/>
      <c r="F281" s="123"/>
      <c r="G281" s="78"/>
      <c r="H281" s="77" t="s">
        <v>46</v>
      </c>
      <c r="I281" s="125">
        <v>0.04</v>
      </c>
      <c r="J281" s="125"/>
      <c r="K281" s="78"/>
      <c r="L281" s="124" t="s">
        <v>47</v>
      </c>
      <c r="M281" s="124"/>
      <c r="N281" s="125">
        <v>22.45</v>
      </c>
      <c r="O281" s="125"/>
    </row>
    <row r="282" spans="1:20" ht="13.35" customHeight="1" x14ac:dyDescent="0.2">
      <c r="A282" s="123"/>
      <c r="B282" s="123"/>
      <c r="C282" s="123"/>
      <c r="D282" s="123"/>
      <c r="E282" s="123"/>
      <c r="F282" s="123"/>
      <c r="G282" s="78"/>
      <c r="H282" s="77" t="s">
        <v>48</v>
      </c>
      <c r="I282" s="125">
        <v>0.01</v>
      </c>
      <c r="J282" s="125"/>
      <c r="K282" s="78"/>
      <c r="L282" s="124" t="s">
        <v>49</v>
      </c>
      <c r="M282" s="124"/>
      <c r="N282" s="125">
        <v>0.3</v>
      </c>
      <c r="O282" s="125"/>
    </row>
    <row r="283" spans="1:20" ht="13.35" customHeight="1" x14ac:dyDescent="0.2">
      <c r="A283" s="123"/>
      <c r="B283" s="123"/>
      <c r="C283" s="123"/>
      <c r="D283" s="123"/>
      <c r="E283" s="123"/>
      <c r="F283" s="123"/>
      <c r="G283" s="78"/>
      <c r="H283" s="78"/>
      <c r="I283" s="123"/>
      <c r="J283" s="123"/>
      <c r="K283" s="78"/>
      <c r="L283" s="124" t="s">
        <v>50</v>
      </c>
      <c r="M283" s="124"/>
      <c r="N283" s="125">
        <v>0.01</v>
      </c>
      <c r="O283" s="125"/>
    </row>
    <row r="284" spans="1:20" ht="13.35" customHeight="1" x14ac:dyDescent="0.2">
      <c r="A284" s="123"/>
      <c r="B284" s="123"/>
      <c r="C284" s="123"/>
      <c r="D284" s="123"/>
      <c r="E284" s="123"/>
      <c r="F284" s="123"/>
      <c r="G284" s="78"/>
      <c r="H284" s="78"/>
      <c r="I284" s="123"/>
      <c r="J284" s="123"/>
      <c r="K284" s="78"/>
      <c r="L284" s="124" t="s">
        <v>51</v>
      </c>
      <c r="M284" s="124"/>
      <c r="N284" s="125">
        <v>0</v>
      </c>
      <c r="O284" s="125"/>
    </row>
    <row r="285" spans="1:20" ht="14.1" customHeight="1" x14ac:dyDescent="0.2">
      <c r="A285" s="120"/>
      <c r="B285" s="120"/>
      <c r="C285" s="120"/>
      <c r="D285" s="120"/>
      <c r="E285" s="120"/>
      <c r="F285" s="120"/>
      <c r="G285" s="120"/>
      <c r="H285" s="120"/>
      <c r="I285" s="120"/>
      <c r="J285" s="120"/>
      <c r="K285" s="120"/>
      <c r="L285" s="120"/>
      <c r="M285" s="120"/>
      <c r="N285" s="120"/>
      <c r="O285" s="120"/>
      <c r="P285" s="120"/>
      <c r="Q285" s="120"/>
      <c r="R285" s="120"/>
      <c r="S285" s="120"/>
    </row>
    <row r="286" spans="1:20" ht="14.1" customHeight="1" x14ac:dyDescent="0.2">
      <c r="A286" s="121" t="s">
        <v>52</v>
      </c>
      <c r="B286" s="121"/>
      <c r="C286" s="121"/>
      <c r="D286" s="121"/>
      <c r="E286" s="121"/>
      <c r="F286" s="121"/>
      <c r="G286" s="121"/>
      <c r="H286" s="121"/>
      <c r="I286" s="121"/>
      <c r="J286" s="121"/>
      <c r="K286" s="121"/>
      <c r="L286" s="121"/>
      <c r="M286" s="121"/>
      <c r="N286" s="121"/>
      <c r="O286" s="121"/>
      <c r="P286" s="121"/>
      <c r="Q286" s="121"/>
      <c r="R286" s="121"/>
      <c r="S286" s="121"/>
    </row>
    <row r="287" spans="1:20" ht="30.9" customHeight="1" x14ac:dyDescent="0.2">
      <c r="A287" s="122" t="s">
        <v>979</v>
      </c>
      <c r="B287" s="122"/>
      <c r="C287" s="122"/>
      <c r="D287" s="122"/>
      <c r="E287" s="122"/>
      <c r="F287" s="122"/>
      <c r="G287" s="122"/>
      <c r="H287" s="122"/>
      <c r="I287" s="122"/>
      <c r="J287" s="122"/>
      <c r="K287" s="122"/>
      <c r="L287" s="122"/>
      <c r="M287" s="122"/>
      <c r="N287" s="122"/>
      <c r="O287" s="122"/>
      <c r="P287" s="122"/>
      <c r="Q287" s="122"/>
      <c r="R287" s="122"/>
      <c r="S287" s="122"/>
    </row>
    <row r="288" spans="1:20" ht="14.1" customHeight="1" x14ac:dyDescent="0.2">
      <c r="A288" s="121" t="s">
        <v>54</v>
      </c>
      <c r="B288" s="121"/>
      <c r="C288" s="121"/>
      <c r="D288" s="121"/>
      <c r="E288" s="121"/>
      <c r="F288" s="121"/>
      <c r="G288" s="121"/>
      <c r="H288" s="121"/>
      <c r="I288" s="121"/>
      <c r="J288" s="121"/>
      <c r="K288" s="121"/>
      <c r="L288" s="121"/>
      <c r="M288" s="121"/>
      <c r="N288" s="121"/>
      <c r="O288" s="121"/>
      <c r="P288" s="121"/>
      <c r="Q288" s="121"/>
      <c r="R288" s="121"/>
      <c r="S288" s="121"/>
    </row>
    <row r="289" spans="1:20" ht="12.15" customHeight="1" x14ac:dyDescent="0.2">
      <c r="A289" s="122" t="s">
        <v>962</v>
      </c>
      <c r="B289" s="122"/>
      <c r="C289" s="122"/>
      <c r="D289" s="122"/>
      <c r="E289" s="122"/>
      <c r="F289" s="122"/>
      <c r="G289" s="122"/>
      <c r="H289" s="122"/>
      <c r="I289" s="122"/>
      <c r="J289" s="122"/>
      <c r="K289" s="122"/>
      <c r="L289" s="122"/>
      <c r="M289" s="122"/>
      <c r="N289" s="122"/>
      <c r="O289" s="122"/>
      <c r="P289" s="122"/>
      <c r="Q289" s="122"/>
      <c r="R289" s="122"/>
      <c r="S289" s="122"/>
    </row>
    <row r="290" spans="1:20" ht="14.1" customHeight="1" x14ac:dyDescent="0.2">
      <c r="A290" s="120"/>
      <c r="B290" s="120"/>
      <c r="C290" s="120"/>
      <c r="D290" s="120"/>
      <c r="E290" s="120"/>
      <c r="F290" s="120"/>
      <c r="G290" s="120"/>
      <c r="H290" s="120"/>
      <c r="I290" s="120"/>
      <c r="J290" s="120"/>
      <c r="K290" s="120"/>
      <c r="L290" s="120"/>
      <c r="M290" s="120"/>
      <c r="N290" s="120"/>
      <c r="O290" s="120"/>
      <c r="P290" s="120"/>
      <c r="Q290" s="120"/>
      <c r="R290" s="120"/>
      <c r="S290" s="120"/>
    </row>
    <row r="291" spans="1:20" ht="14.1" customHeight="1" x14ac:dyDescent="0.2">
      <c r="A291" s="121" t="s">
        <v>56</v>
      </c>
      <c r="B291" s="121"/>
      <c r="C291" s="121"/>
      <c r="D291" s="121"/>
      <c r="E291" s="121"/>
      <c r="F291" s="121"/>
      <c r="G291" s="121"/>
      <c r="H291" s="121"/>
      <c r="I291" s="121"/>
      <c r="J291" s="121"/>
      <c r="K291" s="121"/>
      <c r="L291" s="121"/>
      <c r="M291" s="121"/>
      <c r="N291" s="121"/>
      <c r="O291" s="121"/>
      <c r="P291" s="121"/>
      <c r="Q291" s="121"/>
      <c r="R291" s="121"/>
      <c r="S291" s="121"/>
    </row>
    <row r="292" spans="1:20" ht="49.2" customHeight="1" x14ac:dyDescent="0.2">
      <c r="A292" s="122" t="s">
        <v>981</v>
      </c>
      <c r="B292" s="122"/>
      <c r="C292" s="122"/>
      <c r="D292" s="122"/>
      <c r="E292" s="122"/>
      <c r="F292" s="122"/>
      <c r="G292" s="122"/>
      <c r="H292" s="122"/>
      <c r="I292" s="122"/>
      <c r="J292" s="122"/>
      <c r="K292" s="122"/>
      <c r="L292" s="122"/>
      <c r="M292" s="122"/>
      <c r="N292" s="122"/>
      <c r="O292" s="122"/>
      <c r="P292" s="122"/>
      <c r="Q292" s="122"/>
      <c r="R292" s="122"/>
      <c r="S292" s="122"/>
    </row>
    <row r="295" spans="1:20" s="1" customFormat="1" ht="72.45" customHeight="1" x14ac:dyDescent="0.25">
      <c r="J295" s="100" t="s">
        <v>0</v>
      </c>
      <c r="K295" s="100"/>
      <c r="L295" s="100"/>
      <c r="M295" s="100"/>
      <c r="N295" s="100"/>
      <c r="O295" s="100"/>
      <c r="P295" s="100"/>
      <c r="Q295" s="100"/>
      <c r="R295" s="100"/>
      <c r="S295" s="100"/>
      <c r="T295" s="100"/>
    </row>
    <row r="296" spans="1:20" ht="7.05" customHeight="1" x14ac:dyDescent="0.2"/>
    <row r="297" spans="1:20" ht="14.1" customHeight="1" x14ac:dyDescent="0.2">
      <c r="B297" s="130" t="s">
        <v>1093</v>
      </c>
      <c r="C297" s="130"/>
      <c r="D297" s="130"/>
      <c r="E297" s="130"/>
      <c r="F297" s="130"/>
      <c r="G297" s="130"/>
      <c r="H297" s="130"/>
      <c r="I297" s="130"/>
      <c r="J297" s="130"/>
      <c r="K297" s="130"/>
      <c r="L297" s="130"/>
      <c r="M297" s="130"/>
      <c r="N297" s="130"/>
      <c r="O297" s="130"/>
      <c r="P297" s="130"/>
      <c r="Q297" s="130"/>
      <c r="R297" s="130"/>
    </row>
    <row r="298" spans="1:20" ht="14.1" customHeight="1" x14ac:dyDescent="0.2"/>
    <row r="299" spans="1:20" ht="14.1" customHeight="1" x14ac:dyDescent="0.2">
      <c r="A299" s="120" t="s">
        <v>2</v>
      </c>
      <c r="B299" s="120"/>
      <c r="C299" s="120"/>
      <c r="D299" s="129" t="s">
        <v>1094</v>
      </c>
      <c r="E299" s="129"/>
      <c r="F299" s="129"/>
      <c r="G299" s="129"/>
      <c r="H299" s="129"/>
      <c r="I299" s="129"/>
      <c r="J299" s="129"/>
      <c r="K299" s="129"/>
      <c r="L299" s="129"/>
      <c r="M299" s="129"/>
      <c r="N299" s="129"/>
      <c r="O299" s="129"/>
      <c r="P299" s="129"/>
      <c r="Q299" s="129"/>
      <c r="R299" s="129"/>
      <c r="S299" s="129"/>
      <c r="T299" s="129"/>
    </row>
    <row r="300" spans="1:20" ht="14.1" customHeight="1" x14ac:dyDescent="0.2">
      <c r="A300" s="120" t="s">
        <v>4</v>
      </c>
      <c r="B300" s="120"/>
      <c r="C300" s="129" t="s">
        <v>1095</v>
      </c>
      <c r="D300" s="129"/>
      <c r="E300" s="129"/>
      <c r="F300" s="129"/>
      <c r="G300" s="129"/>
      <c r="H300" s="129"/>
      <c r="I300" s="129"/>
      <c r="J300" s="129"/>
      <c r="K300" s="129"/>
      <c r="L300" s="129"/>
      <c r="M300" s="129"/>
      <c r="N300" s="129"/>
      <c r="O300" s="129"/>
      <c r="P300" s="129"/>
      <c r="Q300" s="129"/>
      <c r="R300" s="129"/>
      <c r="S300" s="129"/>
      <c r="T300" s="129"/>
    </row>
    <row r="301" spans="1:20" ht="14.1" customHeight="1" x14ac:dyDescent="0.2">
      <c r="A301" s="120" t="s">
        <v>6</v>
      </c>
      <c r="B301" s="120"/>
      <c r="C301" s="120"/>
      <c r="D301" s="120"/>
      <c r="E301" s="120"/>
      <c r="F301" s="129" t="s">
        <v>7</v>
      </c>
      <c r="G301" s="129"/>
      <c r="H301" s="129"/>
      <c r="I301" s="129"/>
      <c r="J301" s="129"/>
      <c r="K301" s="129"/>
      <c r="L301" s="129"/>
      <c r="M301" s="129"/>
      <c r="N301" s="129"/>
      <c r="O301" s="129"/>
      <c r="P301" s="129"/>
      <c r="Q301" s="129"/>
      <c r="R301" s="129"/>
      <c r="S301" s="129"/>
      <c r="T301" s="129"/>
    </row>
    <row r="302" spans="1:20" ht="22.35" customHeight="1" x14ac:dyDescent="0.2">
      <c r="F302" s="129"/>
      <c r="G302" s="129"/>
      <c r="H302" s="129"/>
      <c r="I302" s="129"/>
      <c r="J302" s="129"/>
      <c r="K302" s="129"/>
      <c r="L302" s="129"/>
      <c r="M302" s="129"/>
      <c r="N302" s="129"/>
      <c r="O302" s="129"/>
      <c r="P302" s="129"/>
      <c r="Q302" s="129"/>
      <c r="R302" s="129"/>
      <c r="S302" s="129"/>
      <c r="T302" s="129"/>
    </row>
    <row r="303" spans="1:20" ht="7.05" customHeight="1" x14ac:dyDescent="0.2">
      <c r="A303" s="120"/>
      <c r="B303" s="120"/>
      <c r="C303" s="120"/>
      <c r="D303" s="120"/>
      <c r="E303" s="120"/>
      <c r="F303" s="120"/>
      <c r="G303" s="120"/>
      <c r="H303" s="120"/>
      <c r="I303" s="120"/>
      <c r="J303" s="120"/>
      <c r="K303" s="120"/>
      <c r="L303" s="120"/>
      <c r="M303" s="120"/>
      <c r="N303" s="120"/>
      <c r="O303" s="120"/>
      <c r="P303" s="120"/>
      <c r="Q303" s="75"/>
      <c r="R303" s="120"/>
      <c r="S303" s="120"/>
      <c r="T303" s="120"/>
    </row>
    <row r="304" spans="1:20" ht="16.95" customHeight="1" x14ac:dyDescent="0.2">
      <c r="A304" s="128" t="s">
        <v>8</v>
      </c>
      <c r="B304" s="128"/>
      <c r="C304" s="128"/>
      <c r="D304" s="128"/>
      <c r="E304" s="128"/>
      <c r="F304" s="128"/>
      <c r="G304" s="128"/>
      <c r="H304" s="128"/>
      <c r="I304" s="128"/>
      <c r="J304" s="128"/>
      <c r="K304" s="128"/>
      <c r="L304" s="128"/>
      <c r="M304" s="128" t="s">
        <v>9</v>
      </c>
      <c r="N304" s="128"/>
      <c r="O304" s="128"/>
      <c r="P304" s="128"/>
      <c r="Q304" s="128"/>
      <c r="R304" s="128"/>
      <c r="S304" s="128"/>
      <c r="T304" s="128"/>
    </row>
    <row r="305" spans="1:20" ht="16.95" customHeight="1" x14ac:dyDescent="0.2">
      <c r="A305" s="128"/>
      <c r="B305" s="128"/>
      <c r="C305" s="128"/>
      <c r="D305" s="128"/>
      <c r="E305" s="128"/>
      <c r="F305" s="128"/>
      <c r="G305" s="128"/>
      <c r="H305" s="128"/>
      <c r="I305" s="128"/>
      <c r="J305" s="128"/>
      <c r="K305" s="128"/>
      <c r="L305" s="128"/>
      <c r="M305" s="128" t="s">
        <v>10</v>
      </c>
      <c r="N305" s="128"/>
      <c r="O305" s="128"/>
      <c r="P305" s="128"/>
      <c r="Q305" s="128" t="s">
        <v>11</v>
      </c>
      <c r="R305" s="128"/>
      <c r="S305" s="128"/>
      <c r="T305" s="128"/>
    </row>
    <row r="306" spans="1:20" ht="16.95" customHeight="1" x14ac:dyDescent="0.2">
      <c r="A306" s="128"/>
      <c r="B306" s="128"/>
      <c r="C306" s="128"/>
      <c r="D306" s="128"/>
      <c r="E306" s="128"/>
      <c r="F306" s="128"/>
      <c r="G306" s="128"/>
      <c r="H306" s="128"/>
      <c r="I306" s="128"/>
      <c r="J306" s="128"/>
      <c r="K306" s="128"/>
      <c r="L306" s="128"/>
      <c r="M306" s="128" t="s">
        <v>12</v>
      </c>
      <c r="N306" s="128"/>
      <c r="O306" s="128" t="s">
        <v>13</v>
      </c>
      <c r="P306" s="128"/>
      <c r="Q306" s="76" t="s">
        <v>14</v>
      </c>
      <c r="R306" s="128" t="s">
        <v>15</v>
      </c>
      <c r="S306" s="128"/>
      <c r="T306" s="128"/>
    </row>
    <row r="307" spans="1:20" ht="13.35" customHeight="1" x14ac:dyDescent="0.2">
      <c r="A307" s="124" t="s">
        <v>1096</v>
      </c>
      <c r="B307" s="124"/>
      <c r="C307" s="124"/>
      <c r="D307" s="124"/>
      <c r="E307" s="124"/>
      <c r="F307" s="124"/>
      <c r="G307" s="124"/>
      <c r="H307" s="124"/>
      <c r="I307" s="124"/>
      <c r="J307" s="124"/>
      <c r="K307" s="124"/>
      <c r="L307" s="124"/>
      <c r="M307" s="124">
        <v>77</v>
      </c>
      <c r="N307" s="124"/>
      <c r="O307" s="124">
        <v>66</v>
      </c>
      <c r="P307" s="124"/>
      <c r="Q307" s="77" t="s">
        <v>1097</v>
      </c>
      <c r="R307" s="124">
        <v>6.6</v>
      </c>
      <c r="S307" s="124"/>
      <c r="T307" s="124"/>
    </row>
    <row r="308" spans="1:20" ht="13.35" customHeight="1" x14ac:dyDescent="0.2">
      <c r="A308" s="124" t="s">
        <v>31</v>
      </c>
      <c r="B308" s="124"/>
      <c r="C308" s="124"/>
      <c r="D308" s="124"/>
      <c r="E308" s="124"/>
      <c r="F308" s="124"/>
      <c r="G308" s="124"/>
      <c r="H308" s="124"/>
      <c r="I308" s="124"/>
      <c r="J308" s="124"/>
      <c r="K308" s="124"/>
      <c r="L308" s="124"/>
      <c r="M308" s="124"/>
      <c r="N308" s="124"/>
      <c r="O308" s="124"/>
      <c r="P308" s="124"/>
      <c r="Q308" s="77"/>
      <c r="R308" s="124"/>
      <c r="S308" s="124"/>
      <c r="T308" s="124"/>
    </row>
    <row r="309" spans="1:20" ht="13.35" customHeight="1" x14ac:dyDescent="0.2">
      <c r="A309" s="124" t="s">
        <v>998</v>
      </c>
      <c r="B309" s="124"/>
      <c r="C309" s="124"/>
      <c r="D309" s="124"/>
      <c r="E309" s="124"/>
      <c r="F309" s="124"/>
      <c r="G309" s="124"/>
      <c r="H309" s="124"/>
      <c r="I309" s="124"/>
      <c r="J309" s="124"/>
      <c r="K309" s="124"/>
      <c r="L309" s="124"/>
      <c r="M309" s="124" t="s">
        <v>1098</v>
      </c>
      <c r="N309" s="124"/>
      <c r="O309" s="124" t="s">
        <v>1099</v>
      </c>
      <c r="P309" s="124"/>
      <c r="Q309" s="77" t="s">
        <v>1100</v>
      </c>
      <c r="R309" s="124" t="s">
        <v>1051</v>
      </c>
      <c r="S309" s="124"/>
      <c r="T309" s="124"/>
    </row>
    <row r="310" spans="1:20" ht="13.35" customHeight="1" x14ac:dyDescent="0.2">
      <c r="A310" s="124" t="s">
        <v>1003</v>
      </c>
      <c r="B310" s="124"/>
      <c r="C310" s="124"/>
      <c r="D310" s="124"/>
      <c r="E310" s="124"/>
      <c r="F310" s="124"/>
      <c r="G310" s="124"/>
      <c r="H310" s="124"/>
      <c r="I310" s="124"/>
      <c r="J310" s="124"/>
      <c r="K310" s="124"/>
      <c r="L310" s="124"/>
      <c r="M310" s="124" t="s">
        <v>1101</v>
      </c>
      <c r="N310" s="124"/>
      <c r="O310" s="124" t="s">
        <v>1099</v>
      </c>
      <c r="P310" s="124"/>
      <c r="Q310" s="77" t="s">
        <v>1102</v>
      </c>
      <c r="R310" s="124" t="s">
        <v>1051</v>
      </c>
      <c r="S310" s="124"/>
      <c r="T310" s="124"/>
    </row>
    <row r="311" spans="1:20" ht="13.35" customHeight="1" x14ac:dyDescent="0.2">
      <c r="A311" s="124" t="s">
        <v>1006</v>
      </c>
      <c r="B311" s="124"/>
      <c r="C311" s="124"/>
      <c r="D311" s="124"/>
      <c r="E311" s="124"/>
      <c r="F311" s="124"/>
      <c r="G311" s="124"/>
      <c r="H311" s="124"/>
      <c r="I311" s="124"/>
      <c r="J311" s="124"/>
      <c r="K311" s="124"/>
      <c r="L311" s="124"/>
      <c r="M311" s="124" t="s">
        <v>1103</v>
      </c>
      <c r="N311" s="124"/>
      <c r="O311" s="124" t="s">
        <v>1099</v>
      </c>
      <c r="P311" s="124"/>
      <c r="Q311" s="77" t="s">
        <v>1104</v>
      </c>
      <c r="R311" s="124" t="s">
        <v>1051</v>
      </c>
      <c r="S311" s="124"/>
      <c r="T311" s="124"/>
    </row>
    <row r="312" spans="1:20" ht="13.35" customHeight="1" x14ac:dyDescent="0.2">
      <c r="A312" s="124" t="s">
        <v>1009</v>
      </c>
      <c r="B312" s="124"/>
      <c r="C312" s="124"/>
      <c r="D312" s="124"/>
      <c r="E312" s="124"/>
      <c r="F312" s="124"/>
      <c r="G312" s="124"/>
      <c r="H312" s="124"/>
      <c r="I312" s="124"/>
      <c r="J312" s="124"/>
      <c r="K312" s="124"/>
      <c r="L312" s="124"/>
      <c r="M312" s="124" t="s">
        <v>1105</v>
      </c>
      <c r="N312" s="124"/>
      <c r="O312" s="124" t="s">
        <v>1099</v>
      </c>
      <c r="P312" s="124"/>
      <c r="Q312" s="77" t="s">
        <v>1106</v>
      </c>
      <c r="R312" s="124" t="s">
        <v>1051</v>
      </c>
      <c r="S312" s="124"/>
      <c r="T312" s="124"/>
    </row>
    <row r="313" spans="1:20" ht="13.35" customHeight="1" x14ac:dyDescent="0.2">
      <c r="A313" s="124" t="s">
        <v>1012</v>
      </c>
      <c r="B313" s="124"/>
      <c r="C313" s="124"/>
      <c r="D313" s="124"/>
      <c r="E313" s="124"/>
      <c r="F313" s="124"/>
      <c r="G313" s="124"/>
      <c r="H313" s="124"/>
      <c r="I313" s="124"/>
      <c r="J313" s="124"/>
      <c r="K313" s="124"/>
      <c r="L313" s="124"/>
      <c r="M313" s="124" t="s">
        <v>165</v>
      </c>
      <c r="N313" s="124"/>
      <c r="O313" s="124" t="s">
        <v>1099</v>
      </c>
      <c r="P313" s="124"/>
      <c r="Q313" s="77" t="s">
        <v>141</v>
      </c>
      <c r="R313" s="124" t="s">
        <v>1051</v>
      </c>
      <c r="S313" s="124"/>
      <c r="T313" s="124"/>
    </row>
    <row r="314" spans="1:20" ht="13.35" customHeight="1" x14ac:dyDescent="0.2">
      <c r="A314" s="124" t="s">
        <v>67</v>
      </c>
      <c r="B314" s="124"/>
      <c r="C314" s="124"/>
      <c r="D314" s="124"/>
      <c r="E314" s="124"/>
      <c r="F314" s="124"/>
      <c r="G314" s="124"/>
      <c r="H314" s="124"/>
      <c r="I314" s="124"/>
      <c r="J314" s="124"/>
      <c r="K314" s="124"/>
      <c r="L314" s="124"/>
      <c r="M314" s="124" t="s">
        <v>77</v>
      </c>
      <c r="N314" s="124"/>
      <c r="O314" s="124" t="s">
        <v>77</v>
      </c>
      <c r="P314" s="124"/>
      <c r="Q314" s="77" t="s">
        <v>79</v>
      </c>
      <c r="R314" s="124" t="s">
        <v>79</v>
      </c>
      <c r="S314" s="124"/>
      <c r="T314" s="124"/>
    </row>
    <row r="315" spans="1:20" ht="13.35" customHeight="1" x14ac:dyDescent="0.2">
      <c r="A315" s="124" t="s">
        <v>61</v>
      </c>
      <c r="B315" s="124"/>
      <c r="C315" s="124"/>
      <c r="D315" s="124"/>
      <c r="E315" s="124"/>
      <c r="F315" s="124"/>
      <c r="G315" s="124"/>
      <c r="H315" s="124"/>
      <c r="I315" s="124"/>
      <c r="J315" s="124"/>
      <c r="K315" s="124"/>
      <c r="L315" s="124"/>
      <c r="M315" s="124" t="s">
        <v>68</v>
      </c>
      <c r="N315" s="124"/>
      <c r="O315" s="124" t="s">
        <v>68</v>
      </c>
      <c r="P315" s="124"/>
      <c r="Q315" s="77" t="s">
        <v>69</v>
      </c>
      <c r="R315" s="124" t="s">
        <v>69</v>
      </c>
      <c r="S315" s="124"/>
      <c r="T315" s="124"/>
    </row>
    <row r="316" spans="1:20" ht="13.35" customHeight="1" x14ac:dyDescent="0.2">
      <c r="A316" s="127" t="s">
        <v>1107</v>
      </c>
      <c r="B316" s="127"/>
      <c r="C316" s="127"/>
      <c r="D316" s="127"/>
      <c r="E316" s="127"/>
      <c r="F316" s="127"/>
      <c r="G316" s="127"/>
      <c r="H316" s="127"/>
      <c r="I316" s="127"/>
      <c r="J316" s="127"/>
      <c r="K316" s="127"/>
      <c r="L316" s="127"/>
      <c r="M316" s="127"/>
      <c r="N316" s="127"/>
      <c r="O316" s="127" t="s">
        <v>1108</v>
      </c>
      <c r="P316" s="127"/>
      <c r="Q316" s="79"/>
      <c r="R316" s="127" t="s">
        <v>19</v>
      </c>
      <c r="S316" s="127"/>
      <c r="T316" s="127"/>
    </row>
    <row r="317" spans="1:20" ht="13.35" customHeight="1" x14ac:dyDescent="0.2">
      <c r="A317" s="124" t="s">
        <v>21</v>
      </c>
      <c r="B317" s="124"/>
      <c r="C317" s="124"/>
      <c r="D317" s="124"/>
      <c r="E317" s="124"/>
      <c r="F317" s="124"/>
      <c r="G317" s="124"/>
      <c r="H317" s="124"/>
      <c r="I317" s="124"/>
      <c r="J317" s="124"/>
      <c r="K317" s="124"/>
      <c r="L317" s="124"/>
      <c r="M317" s="124" t="s">
        <v>661</v>
      </c>
      <c r="N317" s="124"/>
      <c r="O317" s="124" t="s">
        <v>1109</v>
      </c>
      <c r="P317" s="124"/>
      <c r="Q317" s="77" t="s">
        <v>1110</v>
      </c>
      <c r="R317" s="124" t="s">
        <v>1111</v>
      </c>
      <c r="S317" s="124"/>
      <c r="T317" s="124"/>
    </row>
    <row r="318" spans="1:20" ht="13.35" customHeight="1" x14ac:dyDescent="0.2">
      <c r="A318" s="124" t="s">
        <v>126</v>
      </c>
      <c r="B318" s="124"/>
      <c r="C318" s="124"/>
      <c r="D318" s="124"/>
      <c r="E318" s="124"/>
      <c r="F318" s="124"/>
      <c r="G318" s="124"/>
      <c r="H318" s="124"/>
      <c r="I318" s="124"/>
      <c r="J318" s="124"/>
      <c r="K318" s="124"/>
      <c r="L318" s="124"/>
      <c r="M318" s="124" t="s">
        <v>128</v>
      </c>
      <c r="N318" s="124"/>
      <c r="O318" s="124" t="s">
        <v>128</v>
      </c>
      <c r="P318" s="124"/>
      <c r="Q318" s="77" t="s">
        <v>993</v>
      </c>
      <c r="R318" s="124" t="s">
        <v>993</v>
      </c>
      <c r="S318" s="124"/>
      <c r="T318" s="124"/>
    </row>
    <row r="319" spans="1:20" ht="13.35" customHeight="1" x14ac:dyDescent="0.2">
      <c r="A319" s="124" t="s">
        <v>129</v>
      </c>
      <c r="B319" s="124"/>
      <c r="C319" s="124"/>
      <c r="D319" s="124"/>
      <c r="E319" s="124"/>
      <c r="F319" s="124"/>
      <c r="G319" s="124"/>
      <c r="H319" s="124"/>
      <c r="I319" s="124"/>
      <c r="J319" s="124"/>
      <c r="K319" s="124"/>
      <c r="L319" s="124"/>
      <c r="M319" s="124" t="s">
        <v>373</v>
      </c>
      <c r="N319" s="124"/>
      <c r="O319" s="124" t="s">
        <v>373</v>
      </c>
      <c r="P319" s="124"/>
      <c r="Q319" s="77" t="s">
        <v>374</v>
      </c>
      <c r="R319" s="124" t="s">
        <v>374</v>
      </c>
      <c r="S319" s="124"/>
      <c r="T319" s="124"/>
    </row>
    <row r="320" spans="1:20" ht="13.35" customHeight="1" x14ac:dyDescent="0.2">
      <c r="A320" s="124" t="s">
        <v>61</v>
      </c>
      <c r="B320" s="124"/>
      <c r="C320" s="124"/>
      <c r="D320" s="124"/>
      <c r="E320" s="124"/>
      <c r="F320" s="124"/>
      <c r="G320" s="124"/>
      <c r="H320" s="124"/>
      <c r="I320" s="124"/>
      <c r="J320" s="124"/>
      <c r="K320" s="124"/>
      <c r="L320" s="124"/>
      <c r="M320" s="124" t="s">
        <v>128</v>
      </c>
      <c r="N320" s="124"/>
      <c r="O320" s="124" t="s">
        <v>128</v>
      </c>
      <c r="P320" s="124"/>
      <c r="Q320" s="77" t="s">
        <v>993</v>
      </c>
      <c r="R320" s="124" t="s">
        <v>993</v>
      </c>
      <c r="S320" s="124"/>
      <c r="T320" s="124"/>
    </row>
    <row r="321" spans="1:20" ht="13.35" customHeight="1" x14ac:dyDescent="0.2">
      <c r="A321" s="124" t="s">
        <v>28</v>
      </c>
      <c r="B321" s="124"/>
      <c r="C321" s="124"/>
      <c r="D321" s="124"/>
      <c r="E321" s="124"/>
      <c r="F321" s="124"/>
      <c r="G321" s="124"/>
      <c r="H321" s="124"/>
      <c r="I321" s="124"/>
      <c r="J321" s="124"/>
      <c r="K321" s="124"/>
      <c r="L321" s="124"/>
      <c r="M321" s="124">
        <v>8.1</v>
      </c>
      <c r="N321" s="124"/>
      <c r="O321" s="124">
        <v>8.1</v>
      </c>
      <c r="P321" s="124"/>
      <c r="Q321" s="77">
        <v>0.81</v>
      </c>
      <c r="R321" s="124">
        <v>0.8</v>
      </c>
      <c r="S321" s="124"/>
      <c r="T321" s="124"/>
    </row>
    <row r="322" spans="1:20" ht="13.35" customHeight="1" x14ac:dyDescent="0.2">
      <c r="A322" s="124" t="s">
        <v>114</v>
      </c>
      <c r="B322" s="124"/>
      <c r="C322" s="124"/>
      <c r="D322" s="124"/>
      <c r="E322" s="124"/>
      <c r="F322" s="124"/>
      <c r="G322" s="124"/>
      <c r="H322" s="124"/>
      <c r="I322" s="124"/>
      <c r="J322" s="124"/>
      <c r="K322" s="124"/>
      <c r="L322" s="124"/>
      <c r="M322" s="124" t="s">
        <v>1112</v>
      </c>
      <c r="N322" s="124"/>
      <c r="O322" s="124" t="s">
        <v>1112</v>
      </c>
      <c r="P322" s="124"/>
      <c r="Q322" s="77" t="s">
        <v>1113</v>
      </c>
      <c r="R322" s="124" t="s">
        <v>1113</v>
      </c>
      <c r="S322" s="124"/>
      <c r="T322" s="124"/>
    </row>
    <row r="323" spans="1:20" ht="13.35" customHeight="1" x14ac:dyDescent="0.2">
      <c r="A323" s="124" t="s">
        <v>70</v>
      </c>
      <c r="B323" s="124"/>
      <c r="C323" s="124"/>
      <c r="D323" s="124"/>
      <c r="E323" s="124"/>
      <c r="F323" s="124"/>
      <c r="G323" s="124"/>
      <c r="H323" s="124"/>
      <c r="I323" s="124"/>
      <c r="J323" s="124"/>
      <c r="K323" s="124"/>
      <c r="L323" s="124"/>
      <c r="M323" s="124" t="s">
        <v>63</v>
      </c>
      <c r="N323" s="124"/>
      <c r="O323" s="124" t="s">
        <v>63</v>
      </c>
      <c r="P323" s="124"/>
      <c r="Q323" s="77" t="s">
        <v>210</v>
      </c>
      <c r="R323" s="124" t="s">
        <v>210</v>
      </c>
      <c r="S323" s="124"/>
      <c r="T323" s="124"/>
    </row>
    <row r="324" spans="1:20" ht="13.35" customHeight="1" x14ac:dyDescent="0.2">
      <c r="A324" s="124" t="s">
        <v>140</v>
      </c>
      <c r="B324" s="124"/>
      <c r="C324" s="124"/>
      <c r="D324" s="124"/>
      <c r="E324" s="124"/>
      <c r="F324" s="124"/>
      <c r="G324" s="124"/>
      <c r="H324" s="124"/>
      <c r="I324" s="124"/>
      <c r="J324" s="124"/>
      <c r="K324" s="124"/>
      <c r="L324" s="124"/>
      <c r="M324" s="124" t="s">
        <v>454</v>
      </c>
      <c r="N324" s="124"/>
      <c r="O324" s="124" t="s">
        <v>93</v>
      </c>
      <c r="P324" s="124"/>
      <c r="Q324" s="77" t="s">
        <v>455</v>
      </c>
      <c r="R324" s="124" t="s">
        <v>416</v>
      </c>
      <c r="S324" s="124"/>
      <c r="T324" s="124"/>
    </row>
    <row r="325" spans="1:20" ht="14.1" customHeight="1" x14ac:dyDescent="0.2">
      <c r="A325" s="126" t="s">
        <v>116</v>
      </c>
      <c r="B325" s="126"/>
      <c r="C325" s="126"/>
      <c r="D325" s="126"/>
      <c r="E325" s="126"/>
      <c r="F325" s="126"/>
      <c r="G325" s="126"/>
      <c r="H325" s="126"/>
      <c r="I325" s="126"/>
      <c r="J325" s="126"/>
      <c r="K325" s="126"/>
      <c r="L325" s="126"/>
      <c r="M325" s="126"/>
      <c r="N325" s="126"/>
      <c r="O325" s="126"/>
      <c r="P325" s="126"/>
      <c r="Q325" s="126"/>
      <c r="R325" s="126"/>
      <c r="S325" s="126"/>
      <c r="T325" s="126"/>
    </row>
    <row r="326" spans="1:20" ht="14.1" customHeight="1" x14ac:dyDescent="0.2"/>
    <row r="327" spans="1:20" ht="14.1" customHeight="1" x14ac:dyDescent="0.2">
      <c r="A327" s="121" t="s">
        <v>33</v>
      </c>
      <c r="B327" s="121"/>
      <c r="C327" s="121"/>
      <c r="D327" s="121"/>
      <c r="E327" s="121"/>
      <c r="F327" s="121"/>
      <c r="G327" s="121"/>
      <c r="H327" s="121"/>
      <c r="I327" s="121"/>
      <c r="J327" s="121"/>
      <c r="K327" s="121"/>
      <c r="L327" s="121"/>
      <c r="M327" s="121"/>
      <c r="N327" s="121"/>
    </row>
    <row r="328" spans="1:20" ht="13.35" customHeight="1" x14ac:dyDescent="0.2">
      <c r="A328" s="124" t="s">
        <v>34</v>
      </c>
      <c r="B328" s="124"/>
      <c r="C328" s="124"/>
      <c r="D328" s="124"/>
      <c r="E328" s="125">
        <v>10.8</v>
      </c>
      <c r="F328" s="125"/>
      <c r="G328" s="78"/>
      <c r="H328" s="77" t="s">
        <v>35</v>
      </c>
      <c r="I328" s="125">
        <v>0.15</v>
      </c>
      <c r="J328" s="125"/>
      <c r="K328" s="78"/>
      <c r="L328" s="124" t="s">
        <v>36</v>
      </c>
      <c r="M328" s="124"/>
      <c r="N328" s="125">
        <v>67.14</v>
      </c>
      <c r="O328" s="125"/>
    </row>
    <row r="329" spans="1:20" ht="13.35" customHeight="1" x14ac:dyDescent="0.2">
      <c r="A329" s="124" t="s">
        <v>37</v>
      </c>
      <c r="B329" s="124"/>
      <c r="C329" s="124"/>
      <c r="D329" s="124"/>
      <c r="E329" s="125">
        <v>10.7</v>
      </c>
      <c r="F329" s="125"/>
      <c r="G329" s="78"/>
      <c r="H329" s="77" t="s">
        <v>38</v>
      </c>
      <c r="I329" s="125">
        <v>7.24</v>
      </c>
      <c r="J329" s="125"/>
      <c r="K329" s="78"/>
      <c r="L329" s="124" t="s">
        <v>39</v>
      </c>
      <c r="M329" s="124"/>
      <c r="N329" s="125">
        <v>53.61</v>
      </c>
      <c r="O329" s="125"/>
    </row>
    <row r="330" spans="1:20" ht="13.35" customHeight="1" x14ac:dyDescent="0.2">
      <c r="A330" s="124" t="s">
        <v>40</v>
      </c>
      <c r="B330" s="124"/>
      <c r="C330" s="124"/>
      <c r="D330" s="124"/>
      <c r="E330" s="125">
        <v>19.399999999999999</v>
      </c>
      <c r="F330" s="125"/>
      <c r="G330" s="78"/>
      <c r="H330" s="77" t="s">
        <v>41</v>
      </c>
      <c r="I330" s="125">
        <v>7.0000000000000007E-2</v>
      </c>
      <c r="J330" s="125"/>
      <c r="K330" s="78"/>
      <c r="L330" s="124" t="s">
        <v>42</v>
      </c>
      <c r="M330" s="124"/>
      <c r="N330" s="125">
        <v>210.53</v>
      </c>
      <c r="O330" s="125"/>
    </row>
    <row r="331" spans="1:20" ht="13.35" customHeight="1" x14ac:dyDescent="0.2">
      <c r="A331" s="124" t="s">
        <v>43</v>
      </c>
      <c r="B331" s="124"/>
      <c r="C331" s="124"/>
      <c r="D331" s="124"/>
      <c r="E331" s="125">
        <v>221.7</v>
      </c>
      <c r="F331" s="125"/>
      <c r="G331" s="78"/>
      <c r="H331" s="77" t="s">
        <v>44</v>
      </c>
      <c r="I331" s="125">
        <v>0.39</v>
      </c>
      <c r="J331" s="125"/>
      <c r="K331" s="78"/>
      <c r="L331" s="124" t="s">
        <v>45</v>
      </c>
      <c r="M331" s="124"/>
      <c r="N331" s="125">
        <v>1.51</v>
      </c>
      <c r="O331" s="125"/>
    </row>
    <row r="332" spans="1:20" ht="13.35" customHeight="1" x14ac:dyDescent="0.2">
      <c r="A332" s="123"/>
      <c r="B332" s="123"/>
      <c r="C332" s="123"/>
      <c r="D332" s="123"/>
      <c r="E332" s="123"/>
      <c r="F332" s="123"/>
      <c r="G332" s="78"/>
      <c r="H332" s="77" t="s">
        <v>46</v>
      </c>
      <c r="I332" s="125">
        <v>0.08</v>
      </c>
      <c r="J332" s="125"/>
      <c r="K332" s="78"/>
      <c r="L332" s="124" t="s">
        <v>47</v>
      </c>
      <c r="M332" s="124"/>
      <c r="N332" s="125">
        <v>760.65</v>
      </c>
      <c r="O332" s="125"/>
    </row>
    <row r="333" spans="1:20" ht="13.35" customHeight="1" x14ac:dyDescent="0.2">
      <c r="A333" s="123"/>
      <c r="B333" s="123"/>
      <c r="C333" s="123"/>
      <c r="D333" s="123"/>
      <c r="E333" s="123"/>
      <c r="F333" s="123"/>
      <c r="G333" s="78"/>
      <c r="H333" s="77" t="s">
        <v>48</v>
      </c>
      <c r="I333" s="125">
        <v>0.12</v>
      </c>
      <c r="J333" s="125"/>
      <c r="K333" s="78"/>
      <c r="L333" s="124" t="s">
        <v>49</v>
      </c>
      <c r="M333" s="124"/>
      <c r="N333" s="125">
        <v>99.99</v>
      </c>
      <c r="O333" s="125"/>
    </row>
    <row r="334" spans="1:20" ht="13.35" customHeight="1" x14ac:dyDescent="0.2">
      <c r="A334" s="123"/>
      <c r="B334" s="123"/>
      <c r="C334" s="123"/>
      <c r="D334" s="123"/>
      <c r="E334" s="123"/>
      <c r="F334" s="123"/>
      <c r="G334" s="78"/>
      <c r="H334" s="78"/>
      <c r="I334" s="123"/>
      <c r="J334" s="123"/>
      <c r="K334" s="78"/>
      <c r="L334" s="124" t="s">
        <v>50</v>
      </c>
      <c r="M334" s="124"/>
      <c r="N334" s="125">
        <v>0.42</v>
      </c>
      <c r="O334" s="125"/>
    </row>
    <row r="335" spans="1:20" ht="13.35" customHeight="1" x14ac:dyDescent="0.2">
      <c r="A335" s="123"/>
      <c r="B335" s="123"/>
      <c r="C335" s="123"/>
      <c r="D335" s="123"/>
      <c r="E335" s="123"/>
      <c r="F335" s="123"/>
      <c r="G335" s="78"/>
      <c r="H335" s="78"/>
      <c r="I335" s="123"/>
      <c r="J335" s="123"/>
      <c r="K335" s="78"/>
      <c r="L335" s="124" t="s">
        <v>51</v>
      </c>
      <c r="M335" s="124"/>
      <c r="N335" s="125">
        <v>0.01</v>
      </c>
      <c r="O335" s="125"/>
    </row>
    <row r="336" spans="1:20" ht="14.1" customHeight="1" x14ac:dyDescent="0.2">
      <c r="A336" s="120"/>
      <c r="B336" s="120"/>
      <c r="C336" s="120"/>
      <c r="D336" s="120"/>
      <c r="E336" s="120"/>
      <c r="F336" s="120"/>
      <c r="G336" s="120"/>
      <c r="H336" s="120"/>
      <c r="I336" s="120"/>
      <c r="J336" s="120"/>
      <c r="K336" s="120"/>
      <c r="L336" s="120"/>
      <c r="M336" s="120"/>
      <c r="N336" s="120"/>
      <c r="O336" s="120"/>
      <c r="P336" s="120"/>
      <c r="Q336" s="120"/>
      <c r="R336" s="120"/>
      <c r="S336" s="120"/>
    </row>
    <row r="337" spans="1:20" ht="14.1" customHeight="1" x14ac:dyDescent="0.2">
      <c r="A337" s="121" t="s">
        <v>52</v>
      </c>
      <c r="B337" s="121"/>
      <c r="C337" s="121"/>
      <c r="D337" s="121"/>
      <c r="E337" s="121"/>
      <c r="F337" s="121"/>
      <c r="G337" s="121"/>
      <c r="H337" s="121"/>
      <c r="I337" s="121"/>
      <c r="J337" s="121"/>
      <c r="K337" s="121"/>
      <c r="L337" s="121"/>
      <c r="M337" s="121"/>
      <c r="N337" s="121"/>
      <c r="O337" s="121"/>
      <c r="P337" s="121"/>
      <c r="Q337" s="121"/>
      <c r="R337" s="121"/>
      <c r="S337" s="121"/>
    </row>
    <row r="338" spans="1:20" ht="76.8" customHeight="1" x14ac:dyDescent="0.2">
      <c r="A338" s="122" t="s">
        <v>1114</v>
      </c>
      <c r="B338" s="122"/>
      <c r="C338" s="122"/>
      <c r="D338" s="122"/>
      <c r="E338" s="122"/>
      <c r="F338" s="122"/>
      <c r="G338" s="122"/>
      <c r="H338" s="122"/>
      <c r="I338" s="122"/>
      <c r="J338" s="122"/>
      <c r="K338" s="122"/>
      <c r="L338" s="122"/>
      <c r="M338" s="122"/>
      <c r="N338" s="122"/>
      <c r="O338" s="122"/>
      <c r="P338" s="122"/>
      <c r="Q338" s="122"/>
      <c r="R338" s="122"/>
      <c r="S338" s="122"/>
    </row>
    <row r="339" spans="1:20" ht="14.1" customHeight="1" x14ac:dyDescent="0.2">
      <c r="A339" s="120"/>
      <c r="B339" s="120"/>
      <c r="C339" s="120"/>
      <c r="D339" s="120"/>
      <c r="E339" s="120"/>
      <c r="F339" s="120"/>
      <c r="G339" s="120"/>
      <c r="H339" s="120"/>
      <c r="I339" s="120"/>
      <c r="J339" s="120"/>
      <c r="K339" s="120"/>
      <c r="L339" s="120"/>
      <c r="M339" s="120"/>
      <c r="N339" s="120"/>
      <c r="O339" s="120"/>
      <c r="P339" s="120"/>
      <c r="Q339" s="120"/>
      <c r="R339" s="120"/>
      <c r="S339" s="120"/>
    </row>
    <row r="340" spans="1:20" ht="14.1" customHeight="1" x14ac:dyDescent="0.2">
      <c r="A340" s="121" t="s">
        <v>54</v>
      </c>
      <c r="B340" s="121"/>
      <c r="C340" s="121"/>
      <c r="D340" s="121"/>
      <c r="E340" s="121"/>
      <c r="F340" s="121"/>
      <c r="G340" s="121"/>
      <c r="H340" s="121"/>
      <c r="I340" s="121"/>
      <c r="J340" s="121"/>
      <c r="K340" s="121"/>
      <c r="L340" s="121"/>
      <c r="M340" s="121"/>
      <c r="N340" s="121"/>
      <c r="O340" s="121"/>
      <c r="P340" s="121"/>
      <c r="Q340" s="121"/>
      <c r="R340" s="121"/>
      <c r="S340" s="121"/>
    </row>
    <row r="341" spans="1:20" ht="40.049999999999997" customHeight="1" x14ac:dyDescent="0.2">
      <c r="A341" s="122" t="s">
        <v>1115</v>
      </c>
      <c r="B341" s="122"/>
      <c r="C341" s="122"/>
      <c r="D341" s="122"/>
      <c r="E341" s="122"/>
      <c r="F341" s="122"/>
      <c r="G341" s="122"/>
      <c r="H341" s="122"/>
      <c r="I341" s="122"/>
      <c r="J341" s="122"/>
      <c r="K341" s="122"/>
      <c r="L341" s="122"/>
      <c r="M341" s="122"/>
      <c r="N341" s="122"/>
      <c r="O341" s="122"/>
      <c r="P341" s="122"/>
      <c r="Q341" s="122"/>
      <c r="R341" s="122"/>
      <c r="S341" s="122"/>
    </row>
    <row r="342" spans="1:20" ht="14.1" customHeight="1" x14ac:dyDescent="0.2">
      <c r="A342" s="120"/>
      <c r="B342" s="120"/>
      <c r="C342" s="120"/>
      <c r="D342" s="120"/>
      <c r="E342" s="120"/>
      <c r="F342" s="120"/>
      <c r="G342" s="120"/>
      <c r="H342" s="120"/>
      <c r="I342" s="120"/>
      <c r="J342" s="120"/>
      <c r="K342" s="120"/>
      <c r="L342" s="120"/>
      <c r="M342" s="120"/>
      <c r="N342" s="120"/>
      <c r="O342" s="120"/>
      <c r="P342" s="120"/>
      <c r="Q342" s="120"/>
      <c r="R342" s="120"/>
      <c r="S342" s="120"/>
    </row>
    <row r="343" spans="1:20" ht="14.1" customHeight="1" x14ac:dyDescent="0.2">
      <c r="A343" s="121" t="s">
        <v>56</v>
      </c>
      <c r="B343" s="121"/>
      <c r="C343" s="121"/>
      <c r="D343" s="121"/>
      <c r="E343" s="121"/>
      <c r="F343" s="121"/>
      <c r="G343" s="121"/>
      <c r="H343" s="121"/>
      <c r="I343" s="121"/>
      <c r="J343" s="121"/>
      <c r="K343" s="121"/>
      <c r="L343" s="121"/>
      <c r="M343" s="121"/>
      <c r="N343" s="121"/>
      <c r="O343" s="121"/>
      <c r="P343" s="121"/>
      <c r="Q343" s="121"/>
      <c r="R343" s="121"/>
      <c r="S343" s="121"/>
    </row>
    <row r="344" spans="1:20" ht="40.049999999999997" customHeight="1" x14ac:dyDescent="0.2">
      <c r="A344" s="122" t="s">
        <v>1116</v>
      </c>
      <c r="B344" s="122"/>
      <c r="C344" s="122"/>
      <c r="D344" s="122"/>
      <c r="E344" s="122"/>
      <c r="F344" s="122"/>
      <c r="G344" s="122"/>
      <c r="H344" s="122"/>
      <c r="I344" s="122"/>
      <c r="J344" s="122"/>
      <c r="K344" s="122"/>
      <c r="L344" s="122"/>
      <c r="M344" s="122"/>
      <c r="N344" s="122"/>
      <c r="O344" s="122"/>
      <c r="P344" s="122"/>
      <c r="Q344" s="122"/>
      <c r="R344" s="122"/>
      <c r="S344" s="122"/>
    </row>
    <row r="348" spans="1:20" s="1" customFormat="1" ht="72.45" customHeight="1" x14ac:dyDescent="0.25">
      <c r="J348" s="100" t="s">
        <v>0</v>
      </c>
      <c r="K348" s="100"/>
      <c r="L348" s="100"/>
      <c r="M348" s="100"/>
      <c r="N348" s="100"/>
      <c r="O348" s="100"/>
      <c r="P348" s="100"/>
      <c r="Q348" s="100"/>
      <c r="R348" s="100"/>
      <c r="S348" s="100"/>
      <c r="T348" s="100"/>
    </row>
    <row r="349" spans="1:20" ht="7.05" customHeight="1" x14ac:dyDescent="0.2"/>
    <row r="350" spans="1:20" ht="14.1" customHeight="1" x14ac:dyDescent="0.2">
      <c r="B350" s="130" t="s">
        <v>1117</v>
      </c>
      <c r="C350" s="130"/>
      <c r="D350" s="130"/>
      <c r="E350" s="130"/>
      <c r="F350" s="130"/>
      <c r="G350" s="130"/>
      <c r="H350" s="130"/>
      <c r="I350" s="130"/>
      <c r="J350" s="130"/>
      <c r="K350" s="130"/>
      <c r="L350" s="130"/>
      <c r="M350" s="130"/>
      <c r="N350" s="130"/>
      <c r="O350" s="130"/>
      <c r="P350" s="130"/>
      <c r="Q350" s="130"/>
      <c r="R350" s="130"/>
    </row>
    <row r="351" spans="1:20" ht="14.1" customHeight="1" x14ac:dyDescent="0.2"/>
    <row r="352" spans="1:20" ht="14.1" customHeight="1" x14ac:dyDescent="0.2">
      <c r="A352" s="120" t="s">
        <v>2</v>
      </c>
      <c r="B352" s="120"/>
      <c r="C352" s="120"/>
      <c r="D352" s="129" t="s">
        <v>1118</v>
      </c>
      <c r="E352" s="129"/>
      <c r="F352" s="129"/>
      <c r="G352" s="129"/>
      <c r="H352" s="129"/>
      <c r="I352" s="129"/>
      <c r="J352" s="129"/>
      <c r="K352" s="129"/>
      <c r="L352" s="129"/>
      <c r="M352" s="129"/>
      <c r="N352" s="129"/>
      <c r="O352" s="129"/>
      <c r="P352" s="129"/>
      <c r="Q352" s="129"/>
      <c r="R352" s="129"/>
      <c r="S352" s="129"/>
      <c r="T352" s="129"/>
    </row>
    <row r="353" spans="1:20" ht="14.1" customHeight="1" x14ac:dyDescent="0.2">
      <c r="A353" s="120" t="s">
        <v>4</v>
      </c>
      <c r="B353" s="120"/>
      <c r="C353" s="129" t="s">
        <v>1119</v>
      </c>
      <c r="D353" s="129"/>
      <c r="E353" s="129"/>
      <c r="F353" s="129"/>
      <c r="G353" s="129"/>
      <c r="H353" s="129"/>
      <c r="I353" s="129"/>
      <c r="J353" s="129"/>
      <c r="K353" s="129"/>
      <c r="L353" s="129"/>
      <c r="M353" s="129"/>
      <c r="N353" s="129"/>
      <c r="O353" s="129"/>
      <c r="P353" s="129"/>
      <c r="Q353" s="129"/>
      <c r="R353" s="129"/>
      <c r="S353" s="129"/>
      <c r="T353" s="129"/>
    </row>
    <row r="354" spans="1:20" ht="14.1" customHeight="1" x14ac:dyDescent="0.2">
      <c r="A354" s="120" t="s">
        <v>6</v>
      </c>
      <c r="B354" s="120"/>
      <c r="C354" s="120"/>
      <c r="D354" s="120"/>
      <c r="E354" s="120"/>
      <c r="F354" s="129" t="s">
        <v>248</v>
      </c>
      <c r="G354" s="129"/>
      <c r="H354" s="129"/>
      <c r="I354" s="129"/>
      <c r="J354" s="129"/>
      <c r="K354" s="129"/>
      <c r="L354" s="129"/>
      <c r="M354" s="129"/>
      <c r="N354" s="129"/>
      <c r="O354" s="129"/>
      <c r="P354" s="129"/>
      <c r="Q354" s="129"/>
      <c r="R354" s="129"/>
      <c r="S354" s="129"/>
      <c r="T354" s="129"/>
    </row>
    <row r="355" spans="1:20" ht="22.35" customHeight="1" x14ac:dyDescent="0.2">
      <c r="F355" s="129"/>
      <c r="G355" s="129"/>
      <c r="H355" s="129"/>
      <c r="I355" s="129"/>
      <c r="J355" s="129"/>
      <c r="K355" s="129"/>
      <c r="L355" s="129"/>
      <c r="M355" s="129"/>
      <c r="N355" s="129"/>
      <c r="O355" s="129"/>
      <c r="P355" s="129"/>
      <c r="Q355" s="129"/>
      <c r="R355" s="129"/>
      <c r="S355" s="129"/>
      <c r="T355" s="129"/>
    </row>
    <row r="356" spans="1:20" ht="7.05" customHeight="1" x14ac:dyDescent="0.2">
      <c r="A356" s="120"/>
      <c r="B356" s="120"/>
      <c r="C356" s="120"/>
      <c r="D356" s="120"/>
      <c r="E356" s="120"/>
      <c r="F356" s="120"/>
      <c r="G356" s="120"/>
      <c r="H356" s="120"/>
      <c r="I356" s="120"/>
      <c r="J356" s="120"/>
      <c r="K356" s="120"/>
      <c r="L356" s="120"/>
      <c r="M356" s="120"/>
      <c r="N356" s="120"/>
      <c r="O356" s="120"/>
      <c r="P356" s="120"/>
      <c r="Q356" s="75"/>
      <c r="R356" s="120"/>
      <c r="S356" s="120"/>
      <c r="T356" s="120"/>
    </row>
    <row r="357" spans="1:20" ht="16.95" customHeight="1" x14ac:dyDescent="0.2">
      <c r="A357" s="128" t="s">
        <v>8</v>
      </c>
      <c r="B357" s="128"/>
      <c r="C357" s="128"/>
      <c r="D357" s="128"/>
      <c r="E357" s="128"/>
      <c r="F357" s="128"/>
      <c r="G357" s="128"/>
      <c r="H357" s="128"/>
      <c r="I357" s="128"/>
      <c r="J357" s="128"/>
      <c r="K357" s="128"/>
      <c r="L357" s="128"/>
      <c r="M357" s="128" t="s">
        <v>9</v>
      </c>
      <c r="N357" s="128"/>
      <c r="O357" s="128"/>
      <c r="P357" s="128"/>
      <c r="Q357" s="128"/>
      <c r="R357" s="128"/>
      <c r="S357" s="128"/>
      <c r="T357" s="128"/>
    </row>
    <row r="358" spans="1:20" ht="16.95" customHeight="1" x14ac:dyDescent="0.2">
      <c r="A358" s="128"/>
      <c r="B358" s="128"/>
      <c r="C358" s="128"/>
      <c r="D358" s="128"/>
      <c r="E358" s="128"/>
      <c r="F358" s="128"/>
      <c r="G358" s="128"/>
      <c r="H358" s="128"/>
      <c r="I358" s="128"/>
      <c r="J358" s="128"/>
      <c r="K358" s="128"/>
      <c r="L358" s="128"/>
      <c r="M358" s="128" t="s">
        <v>10</v>
      </c>
      <c r="N358" s="128"/>
      <c r="O358" s="128"/>
      <c r="P358" s="128"/>
      <c r="Q358" s="128" t="s">
        <v>11</v>
      </c>
      <c r="R358" s="128"/>
      <c r="S358" s="128"/>
      <c r="T358" s="128"/>
    </row>
    <row r="359" spans="1:20" ht="16.95" customHeight="1" x14ac:dyDescent="0.2">
      <c r="A359" s="128"/>
      <c r="B359" s="128"/>
      <c r="C359" s="128"/>
      <c r="D359" s="128"/>
      <c r="E359" s="128"/>
      <c r="F359" s="128"/>
      <c r="G359" s="128"/>
      <c r="H359" s="128"/>
      <c r="I359" s="128"/>
      <c r="J359" s="128"/>
      <c r="K359" s="128"/>
      <c r="L359" s="128"/>
      <c r="M359" s="128" t="s">
        <v>12</v>
      </c>
      <c r="N359" s="128"/>
      <c r="O359" s="128" t="s">
        <v>13</v>
      </c>
      <c r="P359" s="128"/>
      <c r="Q359" s="76" t="s">
        <v>14</v>
      </c>
      <c r="R359" s="128" t="s">
        <v>15</v>
      </c>
      <c r="S359" s="128"/>
      <c r="T359" s="128"/>
    </row>
    <row r="360" spans="1:20" ht="13.35" customHeight="1" x14ac:dyDescent="0.2">
      <c r="A360" s="124" t="s">
        <v>28</v>
      </c>
      <c r="B360" s="124"/>
      <c r="C360" s="124"/>
      <c r="D360" s="124"/>
      <c r="E360" s="124"/>
      <c r="F360" s="124"/>
      <c r="G360" s="124"/>
      <c r="H360" s="124"/>
      <c r="I360" s="124"/>
      <c r="J360" s="124"/>
      <c r="K360" s="124"/>
      <c r="L360" s="124"/>
      <c r="M360" s="124" t="s">
        <v>93</v>
      </c>
      <c r="N360" s="124"/>
      <c r="O360" s="124" t="s">
        <v>93</v>
      </c>
      <c r="P360" s="124"/>
      <c r="Q360" s="77" t="s">
        <v>416</v>
      </c>
      <c r="R360" s="124" t="s">
        <v>416</v>
      </c>
      <c r="S360" s="124"/>
      <c r="T360" s="124"/>
    </row>
    <row r="361" spans="1:20" ht="13.35" customHeight="1" x14ac:dyDescent="0.2">
      <c r="A361" s="124" t="s">
        <v>1096</v>
      </c>
      <c r="B361" s="124"/>
      <c r="C361" s="124"/>
      <c r="D361" s="124"/>
      <c r="E361" s="124"/>
      <c r="F361" s="124"/>
      <c r="G361" s="124"/>
      <c r="H361" s="124"/>
      <c r="I361" s="124"/>
      <c r="J361" s="124"/>
      <c r="K361" s="124"/>
      <c r="L361" s="124"/>
      <c r="M361" s="124">
        <v>108</v>
      </c>
      <c r="N361" s="124"/>
      <c r="O361" s="124" t="s">
        <v>1120</v>
      </c>
      <c r="P361" s="124"/>
      <c r="Q361" s="77" t="s">
        <v>1121</v>
      </c>
      <c r="R361" s="124" t="s">
        <v>1122</v>
      </c>
      <c r="S361" s="124"/>
      <c r="T361" s="124"/>
    </row>
    <row r="362" spans="1:20" ht="13.35" customHeight="1" x14ac:dyDescent="0.2">
      <c r="A362" s="124" t="s">
        <v>114</v>
      </c>
      <c r="B362" s="124"/>
      <c r="C362" s="124"/>
      <c r="D362" s="124"/>
      <c r="E362" s="124"/>
      <c r="F362" s="124"/>
      <c r="G362" s="124"/>
      <c r="H362" s="124"/>
      <c r="I362" s="124"/>
      <c r="J362" s="124"/>
      <c r="K362" s="124"/>
      <c r="L362" s="124"/>
      <c r="M362" s="124" t="s">
        <v>1123</v>
      </c>
      <c r="N362" s="124"/>
      <c r="O362" s="124" t="s">
        <v>1123</v>
      </c>
      <c r="P362" s="124"/>
      <c r="Q362" s="77" t="s">
        <v>1124</v>
      </c>
      <c r="R362" s="124" t="s">
        <v>1124</v>
      </c>
      <c r="S362" s="124"/>
      <c r="T362" s="124"/>
    </row>
    <row r="363" spans="1:20" ht="13.35" customHeight="1" x14ac:dyDescent="0.2">
      <c r="A363" s="124" t="s">
        <v>100</v>
      </c>
      <c r="B363" s="124"/>
      <c r="C363" s="124"/>
      <c r="D363" s="124"/>
      <c r="E363" s="124"/>
      <c r="F363" s="124"/>
      <c r="G363" s="124"/>
      <c r="H363" s="124"/>
      <c r="I363" s="124"/>
      <c r="J363" s="124"/>
      <c r="K363" s="124"/>
      <c r="L363" s="124"/>
      <c r="M363" s="124"/>
      <c r="N363" s="124"/>
      <c r="O363" s="124"/>
      <c r="P363" s="124"/>
      <c r="Q363" s="77"/>
      <c r="R363" s="124"/>
      <c r="S363" s="124"/>
      <c r="T363" s="124"/>
    </row>
    <row r="364" spans="1:20" ht="13.35" customHeight="1" x14ac:dyDescent="0.2">
      <c r="A364" s="124" t="s">
        <v>91</v>
      </c>
      <c r="B364" s="124"/>
      <c r="C364" s="124"/>
      <c r="D364" s="124"/>
      <c r="E364" s="124"/>
      <c r="F364" s="124"/>
      <c r="G364" s="124"/>
      <c r="H364" s="124"/>
      <c r="I364" s="124"/>
      <c r="J364" s="124"/>
      <c r="K364" s="124"/>
      <c r="L364" s="124"/>
      <c r="M364" s="124" t="s">
        <v>1015</v>
      </c>
      <c r="N364" s="124"/>
      <c r="O364" s="124" t="s">
        <v>189</v>
      </c>
      <c r="P364" s="124"/>
      <c r="Q364" s="77" t="s">
        <v>335</v>
      </c>
      <c r="R364" s="124" t="s">
        <v>190</v>
      </c>
      <c r="S364" s="124"/>
      <c r="T364" s="124"/>
    </row>
    <row r="365" spans="1:20" ht="13.35" customHeight="1" x14ac:dyDescent="0.2">
      <c r="A365" s="124" t="s">
        <v>94</v>
      </c>
      <c r="B365" s="124"/>
      <c r="C365" s="124"/>
      <c r="D365" s="124"/>
      <c r="E365" s="124"/>
      <c r="F365" s="124"/>
      <c r="G365" s="124"/>
      <c r="H365" s="124"/>
      <c r="I365" s="124"/>
      <c r="J365" s="124"/>
      <c r="K365" s="124"/>
      <c r="L365" s="124"/>
      <c r="M365" s="124" t="s">
        <v>1016</v>
      </c>
      <c r="N365" s="124"/>
      <c r="O365" s="124" t="s">
        <v>189</v>
      </c>
      <c r="P365" s="124"/>
      <c r="Q365" s="77" t="s">
        <v>270</v>
      </c>
      <c r="R365" s="124" t="s">
        <v>190</v>
      </c>
      <c r="S365" s="124"/>
      <c r="T365" s="124"/>
    </row>
    <row r="366" spans="1:20" ht="13.35" customHeight="1" x14ac:dyDescent="0.2">
      <c r="A366" s="124" t="s">
        <v>21</v>
      </c>
      <c r="B366" s="124"/>
      <c r="C366" s="124"/>
      <c r="D366" s="124"/>
      <c r="E366" s="124"/>
      <c r="F366" s="124"/>
      <c r="G366" s="124"/>
      <c r="H366" s="124"/>
      <c r="I366" s="124"/>
      <c r="J366" s="124"/>
      <c r="K366" s="124"/>
      <c r="L366" s="124"/>
      <c r="M366" s="124" t="s">
        <v>1125</v>
      </c>
      <c r="N366" s="124"/>
      <c r="O366" s="124" t="s">
        <v>124</v>
      </c>
      <c r="P366" s="124"/>
      <c r="Q366" s="77" t="s">
        <v>1126</v>
      </c>
      <c r="R366" s="124" t="s">
        <v>125</v>
      </c>
      <c r="S366" s="124"/>
      <c r="T366" s="124"/>
    </row>
    <row r="367" spans="1:20" ht="13.35" customHeight="1" x14ac:dyDescent="0.2">
      <c r="A367" s="124" t="s">
        <v>25</v>
      </c>
      <c r="B367" s="124"/>
      <c r="C367" s="124"/>
      <c r="D367" s="124"/>
      <c r="E367" s="124"/>
      <c r="F367" s="124"/>
      <c r="G367" s="124"/>
      <c r="H367" s="124"/>
      <c r="I367" s="124"/>
      <c r="J367" s="124"/>
      <c r="K367" s="124"/>
      <c r="L367" s="124"/>
      <c r="M367" s="124" t="s">
        <v>124</v>
      </c>
      <c r="N367" s="124"/>
      <c r="O367" s="124" t="s">
        <v>124</v>
      </c>
      <c r="P367" s="124"/>
      <c r="Q367" s="77" t="s">
        <v>125</v>
      </c>
      <c r="R367" s="124" t="s">
        <v>125</v>
      </c>
      <c r="S367" s="124"/>
      <c r="T367" s="124"/>
    </row>
    <row r="368" spans="1:20" ht="13.35" customHeight="1" x14ac:dyDescent="0.2">
      <c r="A368" s="124" t="s">
        <v>18</v>
      </c>
      <c r="B368" s="124"/>
      <c r="C368" s="124"/>
      <c r="D368" s="124"/>
      <c r="E368" s="124"/>
      <c r="F368" s="124"/>
      <c r="G368" s="124"/>
      <c r="H368" s="124"/>
      <c r="I368" s="124"/>
      <c r="J368" s="124"/>
      <c r="K368" s="124"/>
      <c r="L368" s="124"/>
      <c r="M368" s="124" t="s">
        <v>200</v>
      </c>
      <c r="N368" s="124"/>
      <c r="O368" s="124" t="s">
        <v>200</v>
      </c>
      <c r="P368" s="124"/>
      <c r="Q368" s="77" t="s">
        <v>201</v>
      </c>
      <c r="R368" s="124" t="s">
        <v>201</v>
      </c>
      <c r="S368" s="124"/>
      <c r="T368" s="124"/>
    </row>
    <row r="369" spans="1:20" ht="13.35" customHeight="1" x14ac:dyDescent="0.2">
      <c r="A369" s="124" t="s">
        <v>1127</v>
      </c>
      <c r="B369" s="124"/>
      <c r="C369" s="124"/>
      <c r="D369" s="124"/>
      <c r="E369" s="124"/>
      <c r="F369" s="124"/>
      <c r="G369" s="124"/>
      <c r="H369" s="124"/>
      <c r="I369" s="124"/>
      <c r="J369" s="124"/>
      <c r="K369" s="124"/>
      <c r="L369" s="124"/>
      <c r="M369" s="124">
        <v>5</v>
      </c>
      <c r="N369" s="124"/>
      <c r="O369" s="124">
        <v>5</v>
      </c>
      <c r="P369" s="124"/>
      <c r="Q369" s="77">
        <v>0.5</v>
      </c>
      <c r="R369" s="124">
        <v>0.5</v>
      </c>
      <c r="S369" s="124"/>
      <c r="T369" s="124"/>
    </row>
    <row r="370" spans="1:20" ht="13.35" customHeight="1" x14ac:dyDescent="0.2">
      <c r="A370" s="124" t="s">
        <v>260</v>
      </c>
      <c r="B370" s="124"/>
      <c r="C370" s="124"/>
      <c r="D370" s="124"/>
      <c r="E370" s="124"/>
      <c r="F370" s="124"/>
      <c r="G370" s="124"/>
      <c r="H370" s="124"/>
      <c r="I370" s="124"/>
      <c r="J370" s="124"/>
      <c r="K370" s="124"/>
      <c r="L370" s="124"/>
      <c r="M370" s="124" t="s">
        <v>79</v>
      </c>
      <c r="N370" s="124"/>
      <c r="O370" s="124" t="s">
        <v>79</v>
      </c>
      <c r="P370" s="124"/>
      <c r="Q370" s="77" t="s">
        <v>262</v>
      </c>
      <c r="R370" s="124" t="s">
        <v>262</v>
      </c>
      <c r="S370" s="124"/>
      <c r="T370" s="124"/>
    </row>
    <row r="371" spans="1:20" ht="13.35" customHeight="1" x14ac:dyDescent="0.2">
      <c r="A371" s="124" t="s">
        <v>109</v>
      </c>
      <c r="B371" s="124"/>
      <c r="C371" s="124"/>
      <c r="D371" s="124"/>
      <c r="E371" s="124"/>
      <c r="F371" s="124"/>
      <c r="G371" s="124"/>
      <c r="H371" s="124"/>
      <c r="I371" s="124"/>
      <c r="J371" s="124"/>
      <c r="K371" s="124"/>
      <c r="L371" s="124"/>
      <c r="M371" s="124" t="s">
        <v>77</v>
      </c>
      <c r="N371" s="124"/>
      <c r="O371" s="124" t="s">
        <v>77</v>
      </c>
      <c r="P371" s="124"/>
      <c r="Q371" s="77" t="s">
        <v>79</v>
      </c>
      <c r="R371" s="124" t="s">
        <v>79</v>
      </c>
      <c r="S371" s="124"/>
      <c r="T371" s="124"/>
    </row>
    <row r="372" spans="1:20" ht="13.35" customHeight="1" x14ac:dyDescent="0.2">
      <c r="A372" s="124" t="s">
        <v>111</v>
      </c>
      <c r="B372" s="124"/>
      <c r="C372" s="124"/>
      <c r="D372" s="124"/>
      <c r="E372" s="124"/>
      <c r="F372" s="124"/>
      <c r="G372" s="124"/>
      <c r="H372" s="124"/>
      <c r="I372" s="124"/>
      <c r="J372" s="124"/>
      <c r="K372" s="124"/>
      <c r="L372" s="124"/>
      <c r="M372" s="124" t="s">
        <v>112</v>
      </c>
      <c r="N372" s="124"/>
      <c r="O372" s="124" t="s">
        <v>112</v>
      </c>
      <c r="P372" s="124"/>
      <c r="Q372" s="77" t="s">
        <v>113</v>
      </c>
      <c r="R372" s="124" t="s">
        <v>113</v>
      </c>
      <c r="S372" s="124"/>
      <c r="T372" s="124"/>
    </row>
    <row r="373" spans="1:20" ht="13.35" customHeight="1" x14ac:dyDescent="0.2">
      <c r="A373" s="124" t="s">
        <v>70</v>
      </c>
      <c r="B373" s="124"/>
      <c r="C373" s="124"/>
      <c r="D373" s="124"/>
      <c r="E373" s="124"/>
      <c r="F373" s="124"/>
      <c r="G373" s="124"/>
      <c r="H373" s="124"/>
      <c r="I373" s="124"/>
      <c r="J373" s="124"/>
      <c r="K373" s="124"/>
      <c r="L373" s="124"/>
      <c r="M373" s="124" t="s">
        <v>89</v>
      </c>
      <c r="N373" s="124"/>
      <c r="O373" s="124" t="s">
        <v>89</v>
      </c>
      <c r="P373" s="124"/>
      <c r="Q373" s="77" t="s">
        <v>327</v>
      </c>
      <c r="R373" s="124" t="s">
        <v>327</v>
      </c>
      <c r="S373" s="124"/>
      <c r="T373" s="124"/>
    </row>
    <row r="374" spans="1:20" ht="14.1" customHeight="1" x14ac:dyDescent="0.2">
      <c r="A374" s="126" t="s">
        <v>134</v>
      </c>
      <c r="B374" s="126"/>
      <c r="C374" s="126"/>
      <c r="D374" s="126"/>
      <c r="E374" s="126"/>
      <c r="F374" s="126"/>
      <c r="G374" s="126"/>
      <c r="H374" s="126"/>
      <c r="I374" s="126"/>
      <c r="J374" s="126"/>
      <c r="K374" s="126"/>
      <c r="L374" s="126"/>
      <c r="M374" s="126"/>
      <c r="N374" s="126"/>
      <c r="O374" s="126"/>
      <c r="P374" s="126"/>
      <c r="Q374" s="126"/>
      <c r="R374" s="126"/>
      <c r="S374" s="126"/>
      <c r="T374" s="126"/>
    </row>
    <row r="375" spans="1:20" ht="14.1" customHeight="1" x14ac:dyDescent="0.2"/>
    <row r="376" spans="1:20" ht="14.1" customHeight="1" x14ac:dyDescent="0.2">
      <c r="A376" s="121" t="s">
        <v>33</v>
      </c>
      <c r="B376" s="121"/>
      <c r="C376" s="121"/>
      <c r="D376" s="121"/>
      <c r="E376" s="121"/>
      <c r="F376" s="121"/>
      <c r="G376" s="121"/>
      <c r="H376" s="121"/>
      <c r="I376" s="121"/>
      <c r="J376" s="121"/>
      <c r="K376" s="121"/>
      <c r="L376" s="121"/>
      <c r="M376" s="121"/>
      <c r="N376" s="121"/>
    </row>
    <row r="377" spans="1:20" ht="13.35" customHeight="1" x14ac:dyDescent="0.2">
      <c r="A377" s="124" t="s">
        <v>34</v>
      </c>
      <c r="B377" s="124"/>
      <c r="C377" s="124"/>
      <c r="D377" s="124"/>
      <c r="E377" s="125">
        <v>13.61</v>
      </c>
      <c r="F377" s="125"/>
      <c r="G377" s="78"/>
      <c r="H377" s="77" t="s">
        <v>35</v>
      </c>
      <c r="I377" s="125">
        <v>0.09</v>
      </c>
      <c r="J377" s="125"/>
      <c r="K377" s="78"/>
      <c r="L377" s="124" t="s">
        <v>36</v>
      </c>
      <c r="M377" s="124"/>
      <c r="N377" s="125">
        <v>46.97</v>
      </c>
      <c r="O377" s="125"/>
    </row>
    <row r="378" spans="1:20" ht="13.35" customHeight="1" x14ac:dyDescent="0.2">
      <c r="A378" s="124" t="s">
        <v>37</v>
      </c>
      <c r="B378" s="124"/>
      <c r="C378" s="124"/>
      <c r="D378" s="124"/>
      <c r="E378" s="125">
        <v>16.8</v>
      </c>
      <c r="F378" s="125"/>
      <c r="G378" s="78"/>
      <c r="H378" s="77" t="s">
        <v>38</v>
      </c>
      <c r="I378" s="125">
        <v>2.71</v>
      </c>
      <c r="J378" s="125"/>
      <c r="K378" s="78"/>
      <c r="L378" s="124" t="s">
        <v>39</v>
      </c>
      <c r="M378" s="124"/>
      <c r="N378" s="125">
        <v>52.15</v>
      </c>
      <c r="O378" s="125"/>
    </row>
    <row r="379" spans="1:20" ht="13.35" customHeight="1" x14ac:dyDescent="0.2">
      <c r="A379" s="124" t="s">
        <v>40</v>
      </c>
      <c r="B379" s="124"/>
      <c r="C379" s="124"/>
      <c r="D379" s="124"/>
      <c r="E379" s="125">
        <v>22.9</v>
      </c>
      <c r="F379" s="125"/>
      <c r="G379" s="78"/>
      <c r="H379" s="77" t="s">
        <v>41</v>
      </c>
      <c r="I379" s="125">
        <v>0.39</v>
      </c>
      <c r="J379" s="125"/>
      <c r="K379" s="78"/>
      <c r="L379" s="124" t="s">
        <v>42</v>
      </c>
      <c r="M379" s="124"/>
      <c r="N379" s="125">
        <v>197.98</v>
      </c>
      <c r="O379" s="125"/>
    </row>
    <row r="380" spans="1:20" ht="13.35" customHeight="1" x14ac:dyDescent="0.2">
      <c r="A380" s="124" t="s">
        <v>43</v>
      </c>
      <c r="B380" s="124"/>
      <c r="C380" s="124"/>
      <c r="D380" s="124"/>
      <c r="E380" s="125">
        <v>157.30000000000001</v>
      </c>
      <c r="F380" s="125"/>
      <c r="G380" s="78"/>
      <c r="H380" s="77" t="s">
        <v>44</v>
      </c>
      <c r="I380" s="125">
        <v>1.72</v>
      </c>
      <c r="J380" s="125"/>
      <c r="K380" s="78"/>
      <c r="L380" s="124" t="s">
        <v>45</v>
      </c>
      <c r="M380" s="124"/>
      <c r="N380" s="125">
        <v>1.05</v>
      </c>
      <c r="O380" s="125"/>
    </row>
    <row r="381" spans="1:20" ht="13.35" customHeight="1" x14ac:dyDescent="0.2">
      <c r="A381" s="123"/>
      <c r="B381" s="123"/>
      <c r="C381" s="123"/>
      <c r="D381" s="123"/>
      <c r="E381" s="123"/>
      <c r="F381" s="123"/>
      <c r="G381" s="78"/>
      <c r="H381" s="77" t="s">
        <v>46</v>
      </c>
      <c r="I381" s="125">
        <v>0</v>
      </c>
      <c r="J381" s="125"/>
      <c r="K381" s="78"/>
      <c r="L381" s="124" t="s">
        <v>47</v>
      </c>
      <c r="M381" s="124"/>
      <c r="N381" s="125">
        <v>467.69</v>
      </c>
      <c r="O381" s="125"/>
    </row>
    <row r="382" spans="1:20" ht="13.35" customHeight="1" x14ac:dyDescent="0.2">
      <c r="A382" s="123"/>
      <c r="B382" s="123"/>
      <c r="C382" s="123"/>
      <c r="D382" s="123"/>
      <c r="E382" s="123"/>
      <c r="F382" s="123"/>
      <c r="G382" s="78"/>
      <c r="H382" s="77" t="s">
        <v>48</v>
      </c>
      <c r="I382" s="125">
        <v>0.1</v>
      </c>
      <c r="J382" s="125"/>
      <c r="K382" s="78"/>
      <c r="L382" s="124" t="s">
        <v>49</v>
      </c>
      <c r="M382" s="124"/>
      <c r="N382" s="125">
        <v>124.9</v>
      </c>
      <c r="O382" s="125"/>
    </row>
    <row r="383" spans="1:20" ht="13.35" customHeight="1" x14ac:dyDescent="0.2">
      <c r="A383" s="123"/>
      <c r="B383" s="123"/>
      <c r="C383" s="123"/>
      <c r="D383" s="123"/>
      <c r="E383" s="123"/>
      <c r="F383" s="123"/>
      <c r="G383" s="78"/>
      <c r="H383" s="78"/>
      <c r="I383" s="123"/>
      <c r="J383" s="123"/>
      <c r="K383" s="78"/>
      <c r="L383" s="124" t="s">
        <v>50</v>
      </c>
      <c r="M383" s="124"/>
      <c r="N383" s="125">
        <v>0.52</v>
      </c>
      <c r="O383" s="125"/>
    </row>
    <row r="384" spans="1:20" ht="13.35" customHeight="1" x14ac:dyDescent="0.2">
      <c r="A384" s="123"/>
      <c r="B384" s="123"/>
      <c r="C384" s="123"/>
      <c r="D384" s="123"/>
      <c r="E384" s="123"/>
      <c r="F384" s="123"/>
      <c r="G384" s="78"/>
      <c r="H384" s="78"/>
      <c r="I384" s="123"/>
      <c r="J384" s="123"/>
      <c r="K384" s="78"/>
      <c r="L384" s="124" t="s">
        <v>51</v>
      </c>
      <c r="M384" s="124"/>
      <c r="N384" s="125">
        <v>0.01</v>
      </c>
      <c r="O384" s="125"/>
    </row>
    <row r="385" spans="1:20" ht="14.1" customHeight="1" x14ac:dyDescent="0.2">
      <c r="A385" s="120"/>
      <c r="B385" s="120"/>
      <c r="C385" s="120"/>
      <c r="D385" s="120"/>
      <c r="E385" s="120"/>
      <c r="F385" s="120"/>
      <c r="G385" s="120"/>
      <c r="H385" s="120"/>
      <c r="I385" s="120"/>
      <c r="J385" s="120"/>
      <c r="K385" s="120"/>
      <c r="L385" s="120"/>
      <c r="M385" s="120"/>
      <c r="N385" s="120"/>
      <c r="O385" s="120"/>
      <c r="P385" s="120"/>
      <c r="Q385" s="120"/>
      <c r="R385" s="120"/>
      <c r="S385" s="120"/>
    </row>
    <row r="386" spans="1:20" ht="14.1" customHeight="1" x14ac:dyDescent="0.2">
      <c r="A386" s="121" t="s">
        <v>52</v>
      </c>
      <c r="B386" s="121"/>
      <c r="C386" s="121"/>
      <c r="D386" s="121"/>
      <c r="E386" s="121"/>
      <c r="F386" s="121"/>
      <c r="G386" s="121"/>
      <c r="H386" s="121"/>
      <c r="I386" s="121"/>
      <c r="J386" s="121"/>
      <c r="K386" s="121"/>
      <c r="L386" s="121"/>
      <c r="M386" s="121"/>
      <c r="N386" s="121"/>
      <c r="O386" s="121"/>
      <c r="P386" s="121"/>
      <c r="Q386" s="121"/>
      <c r="R386" s="121"/>
      <c r="S386" s="121"/>
    </row>
    <row r="387" spans="1:20" ht="104.4" customHeight="1" x14ac:dyDescent="0.2">
      <c r="A387" s="122" t="s">
        <v>1128</v>
      </c>
      <c r="B387" s="122"/>
      <c r="C387" s="122"/>
      <c r="D387" s="122"/>
      <c r="E387" s="122"/>
      <c r="F387" s="122"/>
      <c r="G387" s="122"/>
      <c r="H387" s="122"/>
      <c r="I387" s="122"/>
      <c r="J387" s="122"/>
      <c r="K387" s="122"/>
      <c r="L387" s="122"/>
      <c r="M387" s="122"/>
      <c r="N387" s="122"/>
      <c r="O387" s="122"/>
      <c r="P387" s="122"/>
      <c r="Q387" s="122"/>
      <c r="R387" s="122"/>
      <c r="S387" s="122"/>
    </row>
    <row r="388" spans="1:20" ht="14.1" customHeight="1" x14ac:dyDescent="0.2">
      <c r="A388" s="121" t="s">
        <v>54</v>
      </c>
      <c r="B388" s="121"/>
      <c r="C388" s="121"/>
      <c r="D388" s="121"/>
      <c r="E388" s="121"/>
      <c r="F388" s="121"/>
      <c r="G388" s="121"/>
      <c r="H388" s="121"/>
      <c r="I388" s="121"/>
      <c r="J388" s="121"/>
      <c r="K388" s="121"/>
      <c r="L388" s="121"/>
      <c r="M388" s="121"/>
      <c r="N388" s="121"/>
      <c r="O388" s="121"/>
      <c r="P388" s="121"/>
      <c r="Q388" s="121"/>
      <c r="R388" s="121"/>
      <c r="S388" s="121"/>
    </row>
    <row r="389" spans="1:20" ht="12.15" customHeight="1" x14ac:dyDescent="0.2">
      <c r="A389" s="122" t="s">
        <v>962</v>
      </c>
      <c r="B389" s="122"/>
      <c r="C389" s="122"/>
      <c r="D389" s="122"/>
      <c r="E389" s="122"/>
      <c r="F389" s="122"/>
      <c r="G389" s="122"/>
      <c r="H389" s="122"/>
      <c r="I389" s="122"/>
      <c r="J389" s="122"/>
      <c r="K389" s="122"/>
      <c r="L389" s="122"/>
      <c r="M389" s="122"/>
      <c r="N389" s="122"/>
      <c r="O389" s="122"/>
      <c r="P389" s="122"/>
      <c r="Q389" s="122"/>
      <c r="R389" s="122"/>
      <c r="S389" s="122"/>
    </row>
    <row r="390" spans="1:20" ht="14.1" customHeight="1" x14ac:dyDescent="0.2">
      <c r="A390" s="120"/>
      <c r="B390" s="120"/>
      <c r="C390" s="120"/>
      <c r="D390" s="120"/>
      <c r="E390" s="120"/>
      <c r="F390" s="120"/>
      <c r="G390" s="120"/>
      <c r="H390" s="120"/>
      <c r="I390" s="120"/>
      <c r="J390" s="120"/>
      <c r="K390" s="120"/>
      <c r="L390" s="120"/>
      <c r="M390" s="120"/>
      <c r="N390" s="120"/>
      <c r="O390" s="120"/>
      <c r="P390" s="120"/>
      <c r="Q390" s="120"/>
      <c r="R390" s="120"/>
      <c r="S390" s="120"/>
    </row>
    <row r="391" spans="1:20" ht="14.1" customHeight="1" x14ac:dyDescent="0.2">
      <c r="A391" s="121" t="s">
        <v>56</v>
      </c>
      <c r="B391" s="121"/>
      <c r="C391" s="121"/>
      <c r="D391" s="121"/>
      <c r="E391" s="121"/>
      <c r="F391" s="121"/>
      <c r="G391" s="121"/>
      <c r="H391" s="121"/>
      <c r="I391" s="121"/>
      <c r="J391" s="121"/>
      <c r="K391" s="121"/>
      <c r="L391" s="121"/>
      <c r="M391" s="121"/>
      <c r="N391" s="121"/>
      <c r="O391" s="121"/>
      <c r="P391" s="121"/>
      <c r="Q391" s="121"/>
      <c r="R391" s="121"/>
      <c r="S391" s="121"/>
    </row>
    <row r="392" spans="1:20" ht="49.2" customHeight="1" x14ac:dyDescent="0.2">
      <c r="A392" s="122" t="s">
        <v>1129</v>
      </c>
      <c r="B392" s="122"/>
      <c r="C392" s="122"/>
      <c r="D392" s="122"/>
      <c r="E392" s="122"/>
      <c r="F392" s="122"/>
      <c r="G392" s="122"/>
      <c r="H392" s="122"/>
      <c r="I392" s="122"/>
      <c r="J392" s="122"/>
      <c r="K392" s="122"/>
      <c r="L392" s="122"/>
      <c r="M392" s="122"/>
      <c r="N392" s="122"/>
      <c r="O392" s="122"/>
      <c r="P392" s="122"/>
      <c r="Q392" s="122"/>
      <c r="R392" s="122"/>
      <c r="S392" s="122"/>
    </row>
    <row r="395" spans="1:20" s="1" customFormat="1" ht="72.45" customHeight="1" x14ac:dyDescent="0.25">
      <c r="J395" s="100" t="s">
        <v>0</v>
      </c>
      <c r="K395" s="100"/>
      <c r="L395" s="100"/>
      <c r="M395" s="100"/>
      <c r="N395" s="100"/>
      <c r="O395" s="100"/>
      <c r="P395" s="100"/>
      <c r="Q395" s="100"/>
      <c r="R395" s="100"/>
      <c r="S395" s="100"/>
      <c r="T395" s="100"/>
    </row>
    <row r="396" spans="1:20" ht="7.05" customHeight="1" x14ac:dyDescent="0.2"/>
    <row r="397" spans="1:20" ht="14.1" customHeight="1" x14ac:dyDescent="0.2">
      <c r="B397" s="130" t="s">
        <v>1130</v>
      </c>
      <c r="C397" s="130"/>
      <c r="D397" s="130"/>
      <c r="E397" s="130"/>
      <c r="F397" s="130"/>
      <c r="G397" s="130"/>
      <c r="H397" s="130"/>
      <c r="I397" s="130"/>
      <c r="J397" s="130"/>
      <c r="K397" s="130"/>
      <c r="L397" s="130"/>
      <c r="M397" s="130"/>
      <c r="N397" s="130"/>
      <c r="O397" s="130"/>
      <c r="P397" s="130"/>
      <c r="Q397" s="130"/>
      <c r="R397" s="130"/>
    </row>
    <row r="398" spans="1:20" ht="14.1" customHeight="1" x14ac:dyDescent="0.2"/>
    <row r="399" spans="1:20" ht="14.1" customHeight="1" x14ac:dyDescent="0.2">
      <c r="A399" s="120" t="s">
        <v>2</v>
      </c>
      <c r="B399" s="120"/>
      <c r="C399" s="120"/>
      <c r="D399" s="129" t="s">
        <v>1131</v>
      </c>
      <c r="E399" s="129"/>
      <c r="F399" s="129"/>
      <c r="G399" s="129"/>
      <c r="H399" s="129"/>
      <c r="I399" s="129"/>
      <c r="J399" s="129"/>
      <c r="K399" s="129"/>
      <c r="L399" s="129"/>
      <c r="M399" s="129"/>
      <c r="N399" s="129"/>
      <c r="O399" s="129"/>
      <c r="P399" s="129"/>
      <c r="Q399" s="129"/>
      <c r="R399" s="129"/>
      <c r="S399" s="129"/>
      <c r="T399" s="129"/>
    </row>
    <row r="400" spans="1:20" ht="14.1" customHeight="1" x14ac:dyDescent="0.2">
      <c r="A400" s="120" t="s">
        <v>4</v>
      </c>
      <c r="B400" s="120"/>
      <c r="C400" s="129" t="s">
        <v>1132</v>
      </c>
      <c r="D400" s="129"/>
      <c r="E400" s="129"/>
      <c r="F400" s="129"/>
      <c r="G400" s="129"/>
      <c r="H400" s="129"/>
      <c r="I400" s="129"/>
      <c r="J400" s="129"/>
      <c r="K400" s="129"/>
      <c r="L400" s="129"/>
      <c r="M400" s="129"/>
      <c r="N400" s="129"/>
      <c r="O400" s="129"/>
      <c r="P400" s="129"/>
      <c r="Q400" s="129"/>
      <c r="R400" s="129"/>
      <c r="S400" s="129"/>
      <c r="T400" s="129"/>
    </row>
    <row r="401" spans="1:20" ht="14.1" customHeight="1" x14ac:dyDescent="0.2">
      <c r="A401" s="120" t="s">
        <v>6</v>
      </c>
      <c r="B401" s="120"/>
      <c r="C401" s="120"/>
      <c r="D401" s="120"/>
      <c r="E401" s="120"/>
      <c r="F401" s="129" t="s">
        <v>248</v>
      </c>
      <c r="G401" s="129"/>
      <c r="H401" s="129"/>
      <c r="I401" s="129"/>
      <c r="J401" s="129"/>
      <c r="K401" s="129"/>
      <c r="L401" s="129"/>
      <c r="M401" s="129"/>
      <c r="N401" s="129"/>
      <c r="O401" s="129"/>
      <c r="P401" s="129"/>
      <c r="Q401" s="129"/>
      <c r="R401" s="129"/>
      <c r="S401" s="129"/>
      <c r="T401" s="129"/>
    </row>
    <row r="402" spans="1:20" ht="22.35" customHeight="1" x14ac:dyDescent="0.2">
      <c r="F402" s="129"/>
      <c r="G402" s="129"/>
      <c r="H402" s="129"/>
      <c r="I402" s="129"/>
      <c r="J402" s="129"/>
      <c r="K402" s="129"/>
      <c r="L402" s="129"/>
      <c r="M402" s="129"/>
      <c r="N402" s="129"/>
      <c r="O402" s="129"/>
      <c r="P402" s="129"/>
      <c r="Q402" s="129"/>
      <c r="R402" s="129"/>
      <c r="S402" s="129"/>
      <c r="T402" s="129"/>
    </row>
    <row r="403" spans="1:20" ht="7.05" customHeight="1" x14ac:dyDescent="0.2">
      <c r="A403" s="120"/>
      <c r="B403" s="120"/>
      <c r="C403" s="120"/>
      <c r="D403" s="120"/>
      <c r="E403" s="120"/>
      <c r="F403" s="120"/>
      <c r="G403" s="120"/>
      <c r="H403" s="120"/>
      <c r="I403" s="120"/>
      <c r="J403" s="120"/>
      <c r="K403" s="120"/>
      <c r="L403" s="120"/>
      <c r="M403" s="120"/>
      <c r="N403" s="120"/>
      <c r="O403" s="120"/>
      <c r="P403" s="120"/>
      <c r="Q403" s="75"/>
      <c r="R403" s="120"/>
      <c r="S403" s="120"/>
      <c r="T403" s="120"/>
    </row>
    <row r="404" spans="1:20" ht="16.95" customHeight="1" x14ac:dyDescent="0.2">
      <c r="A404" s="128" t="s">
        <v>8</v>
      </c>
      <c r="B404" s="128"/>
      <c r="C404" s="128"/>
      <c r="D404" s="128"/>
      <c r="E404" s="128"/>
      <c r="F404" s="128"/>
      <c r="G404" s="128"/>
      <c r="H404" s="128"/>
      <c r="I404" s="128"/>
      <c r="J404" s="128"/>
      <c r="K404" s="128"/>
      <c r="L404" s="128"/>
      <c r="M404" s="128" t="s">
        <v>9</v>
      </c>
      <c r="N404" s="128"/>
      <c r="O404" s="128"/>
      <c r="P404" s="128"/>
      <c r="Q404" s="128"/>
      <c r="R404" s="128"/>
      <c r="S404" s="128"/>
      <c r="T404" s="128"/>
    </row>
    <row r="405" spans="1:20" ht="16.95" customHeight="1" x14ac:dyDescent="0.2">
      <c r="A405" s="128"/>
      <c r="B405" s="128"/>
      <c r="C405" s="128"/>
      <c r="D405" s="128"/>
      <c r="E405" s="128"/>
      <c r="F405" s="128"/>
      <c r="G405" s="128"/>
      <c r="H405" s="128"/>
      <c r="I405" s="128"/>
      <c r="J405" s="128"/>
      <c r="K405" s="128"/>
      <c r="L405" s="128"/>
      <c r="M405" s="128" t="s">
        <v>10</v>
      </c>
      <c r="N405" s="128"/>
      <c r="O405" s="128"/>
      <c r="P405" s="128"/>
      <c r="Q405" s="128" t="s">
        <v>11</v>
      </c>
      <c r="R405" s="128"/>
      <c r="S405" s="128"/>
      <c r="T405" s="128"/>
    </row>
    <row r="406" spans="1:20" ht="16.95" customHeight="1" x14ac:dyDescent="0.2">
      <c r="A406" s="128"/>
      <c r="B406" s="128"/>
      <c r="C406" s="128"/>
      <c r="D406" s="128"/>
      <c r="E406" s="128"/>
      <c r="F406" s="128"/>
      <c r="G406" s="128"/>
      <c r="H406" s="128"/>
      <c r="I406" s="128"/>
      <c r="J406" s="128"/>
      <c r="K406" s="128"/>
      <c r="L406" s="128"/>
      <c r="M406" s="128" t="s">
        <v>12</v>
      </c>
      <c r="N406" s="128"/>
      <c r="O406" s="128" t="s">
        <v>13</v>
      </c>
      <c r="P406" s="128"/>
      <c r="Q406" s="76" t="s">
        <v>14</v>
      </c>
      <c r="R406" s="128" t="s">
        <v>15</v>
      </c>
      <c r="S406" s="128"/>
      <c r="T406" s="128"/>
    </row>
    <row r="407" spans="1:20" ht="13.35" customHeight="1" x14ac:dyDescent="0.2">
      <c r="A407" s="124" t="s">
        <v>88</v>
      </c>
      <c r="B407" s="124"/>
      <c r="C407" s="124"/>
      <c r="D407" s="124"/>
      <c r="E407" s="124"/>
      <c r="F407" s="124"/>
      <c r="G407" s="124"/>
      <c r="H407" s="124"/>
      <c r="I407" s="124"/>
      <c r="J407" s="124"/>
      <c r="K407" s="124"/>
      <c r="L407" s="124"/>
      <c r="M407" s="124" t="s">
        <v>1030</v>
      </c>
      <c r="N407" s="124"/>
      <c r="O407" s="124" t="s">
        <v>1133</v>
      </c>
      <c r="P407" s="124"/>
      <c r="Q407" s="77" t="s">
        <v>1031</v>
      </c>
      <c r="R407" s="124" t="s">
        <v>975</v>
      </c>
      <c r="S407" s="124"/>
      <c r="T407" s="124"/>
    </row>
    <row r="408" spans="1:20" ht="13.35" customHeight="1" x14ac:dyDescent="0.2">
      <c r="A408" s="124" t="s">
        <v>18</v>
      </c>
      <c r="B408" s="124"/>
      <c r="C408" s="124"/>
      <c r="D408" s="124"/>
      <c r="E408" s="124"/>
      <c r="F408" s="124"/>
      <c r="G408" s="124"/>
      <c r="H408" s="124"/>
      <c r="I408" s="124"/>
      <c r="J408" s="124"/>
      <c r="K408" s="124"/>
      <c r="L408" s="124"/>
      <c r="M408" s="124" t="s">
        <v>62</v>
      </c>
      <c r="N408" s="124"/>
      <c r="O408" s="124" t="s">
        <v>62</v>
      </c>
      <c r="P408" s="124"/>
      <c r="Q408" s="77" t="s">
        <v>63</v>
      </c>
      <c r="R408" s="124" t="s">
        <v>63</v>
      </c>
      <c r="S408" s="124"/>
      <c r="T408" s="124"/>
    </row>
    <row r="409" spans="1:20" ht="13.35" customHeight="1" x14ac:dyDescent="0.2">
      <c r="A409" s="124" t="s">
        <v>21</v>
      </c>
      <c r="B409" s="124"/>
      <c r="C409" s="124"/>
      <c r="D409" s="124"/>
      <c r="E409" s="124"/>
      <c r="F409" s="124"/>
      <c r="G409" s="124"/>
      <c r="H409" s="124"/>
      <c r="I409" s="124"/>
      <c r="J409" s="124"/>
      <c r="K409" s="124"/>
      <c r="L409" s="124"/>
      <c r="M409" s="124" t="s">
        <v>1134</v>
      </c>
      <c r="N409" s="124"/>
      <c r="O409" s="124" t="s">
        <v>101</v>
      </c>
      <c r="P409" s="124"/>
      <c r="Q409" s="77" t="s">
        <v>1135</v>
      </c>
      <c r="R409" s="124" t="s">
        <v>103</v>
      </c>
      <c r="S409" s="124"/>
      <c r="T409" s="124"/>
    </row>
    <row r="410" spans="1:20" ht="13.35" customHeight="1" x14ac:dyDescent="0.2">
      <c r="A410" s="124" t="s">
        <v>109</v>
      </c>
      <c r="B410" s="124"/>
      <c r="C410" s="124"/>
      <c r="D410" s="124"/>
      <c r="E410" s="124"/>
      <c r="F410" s="124"/>
      <c r="G410" s="124"/>
      <c r="H410" s="124"/>
      <c r="I410" s="124"/>
      <c r="J410" s="124"/>
      <c r="K410" s="124"/>
      <c r="L410" s="124"/>
      <c r="M410" s="124" t="s">
        <v>62</v>
      </c>
      <c r="N410" s="124"/>
      <c r="O410" s="124" t="s">
        <v>62</v>
      </c>
      <c r="P410" s="124"/>
      <c r="Q410" s="77" t="s">
        <v>63</v>
      </c>
      <c r="R410" s="124" t="s">
        <v>63</v>
      </c>
      <c r="S410" s="124"/>
      <c r="T410" s="124"/>
    </row>
    <row r="411" spans="1:20" ht="14.1" customHeight="1" x14ac:dyDescent="0.2">
      <c r="A411" s="126" t="s">
        <v>134</v>
      </c>
      <c r="B411" s="126"/>
      <c r="C411" s="126"/>
      <c r="D411" s="126"/>
      <c r="E411" s="126"/>
      <c r="F411" s="126"/>
      <c r="G411" s="126"/>
      <c r="H411" s="126"/>
      <c r="I411" s="126"/>
      <c r="J411" s="126"/>
      <c r="K411" s="126"/>
      <c r="L411" s="126"/>
      <c r="M411" s="126"/>
      <c r="N411" s="126"/>
      <c r="O411" s="126"/>
      <c r="P411" s="126"/>
      <c r="Q411" s="126"/>
      <c r="R411" s="126"/>
      <c r="S411" s="126"/>
      <c r="T411" s="126"/>
    </row>
    <row r="412" spans="1:20" ht="14.1" customHeight="1" x14ac:dyDescent="0.2"/>
    <row r="413" spans="1:20" ht="14.1" customHeight="1" x14ac:dyDescent="0.2">
      <c r="A413" s="121" t="s">
        <v>33</v>
      </c>
      <c r="B413" s="121"/>
      <c r="C413" s="121"/>
      <c r="D413" s="121"/>
      <c r="E413" s="121"/>
      <c r="F413" s="121"/>
      <c r="G413" s="121"/>
      <c r="H413" s="121"/>
      <c r="I413" s="121"/>
      <c r="J413" s="121"/>
      <c r="K413" s="121"/>
      <c r="L413" s="121"/>
      <c r="M413" s="121"/>
      <c r="N413" s="121"/>
    </row>
    <row r="414" spans="1:20" ht="13.35" customHeight="1" x14ac:dyDescent="0.2">
      <c r="A414" s="124" t="s">
        <v>34</v>
      </c>
      <c r="B414" s="124"/>
      <c r="C414" s="124"/>
      <c r="D414" s="124"/>
      <c r="E414" s="125">
        <v>1.6</v>
      </c>
      <c r="F414" s="125"/>
      <c r="G414" s="78"/>
      <c r="H414" s="77" t="s">
        <v>35</v>
      </c>
      <c r="I414" s="125">
        <v>0.03</v>
      </c>
      <c r="J414" s="125"/>
      <c r="K414" s="78"/>
      <c r="L414" s="124" t="s">
        <v>36</v>
      </c>
      <c r="M414" s="124"/>
      <c r="N414" s="125">
        <v>42.08</v>
      </c>
      <c r="O414" s="125"/>
    </row>
    <row r="415" spans="1:20" ht="13.35" customHeight="1" x14ac:dyDescent="0.2">
      <c r="A415" s="124" t="s">
        <v>37</v>
      </c>
      <c r="B415" s="124"/>
      <c r="C415" s="124"/>
      <c r="D415" s="124"/>
      <c r="E415" s="125">
        <v>5.0999999999999996</v>
      </c>
      <c r="F415" s="125"/>
      <c r="G415" s="78"/>
      <c r="H415" s="77" t="s">
        <v>38</v>
      </c>
      <c r="I415" s="125">
        <v>25.3</v>
      </c>
      <c r="J415" s="125"/>
      <c r="K415" s="78"/>
      <c r="L415" s="124" t="s">
        <v>39</v>
      </c>
      <c r="M415" s="124"/>
      <c r="N415" s="125">
        <v>14.36</v>
      </c>
      <c r="O415" s="125"/>
    </row>
    <row r="416" spans="1:20" ht="13.35" customHeight="1" x14ac:dyDescent="0.2">
      <c r="A416" s="124" t="s">
        <v>40</v>
      </c>
      <c r="B416" s="124"/>
      <c r="C416" s="124"/>
      <c r="D416" s="124"/>
      <c r="E416" s="125">
        <v>8.24</v>
      </c>
      <c r="F416" s="125"/>
      <c r="G416" s="78"/>
      <c r="H416" s="77" t="s">
        <v>41</v>
      </c>
      <c r="I416" s="125">
        <v>0</v>
      </c>
      <c r="J416" s="125"/>
      <c r="K416" s="78"/>
      <c r="L416" s="124" t="s">
        <v>42</v>
      </c>
      <c r="M416" s="124"/>
      <c r="N416" s="125">
        <v>31.01</v>
      </c>
      <c r="O416" s="125"/>
    </row>
    <row r="417" spans="1:20" ht="13.35" customHeight="1" x14ac:dyDescent="0.2">
      <c r="A417" s="124" t="s">
        <v>43</v>
      </c>
      <c r="B417" s="124"/>
      <c r="C417" s="124"/>
      <c r="D417" s="124"/>
      <c r="E417" s="125">
        <v>87.63</v>
      </c>
      <c r="F417" s="125"/>
      <c r="G417" s="78"/>
      <c r="H417" s="77" t="s">
        <v>44</v>
      </c>
      <c r="I417" s="125">
        <v>2.12</v>
      </c>
      <c r="J417" s="125"/>
      <c r="K417" s="78"/>
      <c r="L417" s="124" t="s">
        <v>45</v>
      </c>
      <c r="M417" s="124"/>
      <c r="N417" s="125">
        <v>0.59</v>
      </c>
      <c r="O417" s="125"/>
    </row>
    <row r="418" spans="1:20" ht="13.35" customHeight="1" x14ac:dyDescent="0.2">
      <c r="A418" s="123"/>
      <c r="B418" s="123"/>
      <c r="C418" s="123"/>
      <c r="D418" s="123"/>
      <c r="E418" s="123"/>
      <c r="F418" s="123"/>
      <c r="G418" s="78"/>
      <c r="H418" s="77" t="s">
        <v>46</v>
      </c>
      <c r="I418" s="125">
        <v>0</v>
      </c>
      <c r="J418" s="125"/>
      <c r="K418" s="78"/>
      <c r="L418" s="124" t="s">
        <v>47</v>
      </c>
      <c r="M418" s="124"/>
      <c r="N418" s="125">
        <v>260.64999999999998</v>
      </c>
      <c r="O418" s="125"/>
    </row>
    <row r="419" spans="1:20" ht="13.35" customHeight="1" x14ac:dyDescent="0.2">
      <c r="A419" s="123"/>
      <c r="B419" s="123"/>
      <c r="C419" s="123"/>
      <c r="D419" s="123"/>
      <c r="E419" s="123"/>
      <c r="F419" s="123"/>
      <c r="G419" s="78"/>
      <c r="H419" s="77" t="s">
        <v>48</v>
      </c>
      <c r="I419" s="125">
        <v>0.02</v>
      </c>
      <c r="J419" s="125"/>
      <c r="K419" s="78"/>
      <c r="L419" s="124" t="s">
        <v>49</v>
      </c>
      <c r="M419" s="124"/>
      <c r="N419" s="125">
        <v>2.73</v>
      </c>
      <c r="O419" s="125"/>
    </row>
    <row r="420" spans="1:20" ht="13.35" customHeight="1" x14ac:dyDescent="0.2">
      <c r="A420" s="123"/>
      <c r="B420" s="123"/>
      <c r="C420" s="123"/>
      <c r="D420" s="123"/>
      <c r="E420" s="123"/>
      <c r="F420" s="123"/>
      <c r="G420" s="78"/>
      <c r="H420" s="78"/>
      <c r="I420" s="123"/>
      <c r="J420" s="123"/>
      <c r="K420" s="78"/>
      <c r="L420" s="124" t="s">
        <v>50</v>
      </c>
      <c r="M420" s="124"/>
      <c r="N420" s="125">
        <v>0.01</v>
      </c>
      <c r="O420" s="125"/>
    </row>
    <row r="421" spans="1:20" ht="13.35" customHeight="1" x14ac:dyDescent="0.2">
      <c r="A421" s="123"/>
      <c r="B421" s="123"/>
      <c r="C421" s="123"/>
      <c r="D421" s="123"/>
      <c r="E421" s="123"/>
      <c r="F421" s="123"/>
      <c r="G421" s="78"/>
      <c r="H421" s="78"/>
      <c r="I421" s="123"/>
      <c r="J421" s="123"/>
      <c r="K421" s="78"/>
      <c r="L421" s="124" t="s">
        <v>51</v>
      </c>
      <c r="M421" s="124"/>
      <c r="N421" s="125">
        <v>0</v>
      </c>
      <c r="O421" s="125"/>
    </row>
    <row r="422" spans="1:20" ht="14.1" customHeight="1" x14ac:dyDescent="0.2">
      <c r="A422" s="120"/>
      <c r="B422" s="120"/>
      <c r="C422" s="120"/>
      <c r="D422" s="120"/>
      <c r="E422" s="120"/>
      <c r="F422" s="120"/>
      <c r="G422" s="120"/>
      <c r="H422" s="120"/>
      <c r="I422" s="120"/>
      <c r="J422" s="120"/>
      <c r="K422" s="120"/>
      <c r="L422" s="120"/>
      <c r="M422" s="120"/>
      <c r="N422" s="120"/>
      <c r="O422" s="120"/>
      <c r="P422" s="120"/>
      <c r="Q422" s="120"/>
      <c r="R422" s="120"/>
      <c r="S422" s="120"/>
    </row>
    <row r="423" spans="1:20" ht="14.1" customHeight="1" x14ac:dyDescent="0.2">
      <c r="A423" s="121" t="s">
        <v>52</v>
      </c>
      <c r="B423" s="121"/>
      <c r="C423" s="121"/>
      <c r="D423" s="121"/>
      <c r="E423" s="121"/>
      <c r="F423" s="121"/>
      <c r="G423" s="121"/>
      <c r="H423" s="121"/>
      <c r="I423" s="121"/>
      <c r="J423" s="121"/>
      <c r="K423" s="121"/>
      <c r="L423" s="121"/>
      <c r="M423" s="121"/>
      <c r="N423" s="121"/>
      <c r="O423" s="121"/>
      <c r="P423" s="121"/>
      <c r="Q423" s="121"/>
      <c r="R423" s="121"/>
      <c r="S423" s="121"/>
    </row>
    <row r="424" spans="1:20" ht="21.6" customHeight="1" x14ac:dyDescent="0.2">
      <c r="A424" s="122" t="s">
        <v>1136</v>
      </c>
      <c r="B424" s="122"/>
      <c r="C424" s="122"/>
      <c r="D424" s="122"/>
      <c r="E424" s="122"/>
      <c r="F424" s="122"/>
      <c r="G424" s="122"/>
      <c r="H424" s="122"/>
      <c r="I424" s="122"/>
      <c r="J424" s="122"/>
      <c r="K424" s="122"/>
      <c r="L424" s="122"/>
      <c r="M424" s="122"/>
      <c r="N424" s="122"/>
      <c r="O424" s="122"/>
      <c r="P424" s="122"/>
      <c r="Q424" s="122"/>
      <c r="R424" s="122"/>
      <c r="S424" s="122"/>
    </row>
    <row r="425" spans="1:20" ht="14.1" customHeight="1" x14ac:dyDescent="0.2">
      <c r="A425" s="121" t="s">
        <v>54</v>
      </c>
      <c r="B425" s="121"/>
      <c r="C425" s="121"/>
      <c r="D425" s="121"/>
      <c r="E425" s="121"/>
      <c r="F425" s="121"/>
      <c r="G425" s="121"/>
      <c r="H425" s="121"/>
      <c r="I425" s="121"/>
      <c r="J425" s="121"/>
      <c r="K425" s="121"/>
      <c r="L425" s="121"/>
      <c r="M425" s="121"/>
      <c r="N425" s="121"/>
      <c r="O425" s="121"/>
      <c r="P425" s="121"/>
      <c r="Q425" s="121"/>
      <c r="R425" s="121"/>
      <c r="S425" s="121"/>
    </row>
    <row r="426" spans="1:20" ht="12.15" customHeight="1" x14ac:dyDescent="0.2">
      <c r="A426" s="122" t="s">
        <v>947</v>
      </c>
      <c r="B426" s="122"/>
      <c r="C426" s="122"/>
      <c r="D426" s="122"/>
      <c r="E426" s="122"/>
      <c r="F426" s="122"/>
      <c r="G426" s="122"/>
      <c r="H426" s="122"/>
      <c r="I426" s="122"/>
      <c r="J426" s="122"/>
      <c r="K426" s="122"/>
      <c r="L426" s="122"/>
      <c r="M426" s="122"/>
      <c r="N426" s="122"/>
      <c r="O426" s="122"/>
      <c r="P426" s="122"/>
      <c r="Q426" s="122"/>
      <c r="R426" s="122"/>
      <c r="S426" s="122"/>
    </row>
    <row r="427" spans="1:20" ht="14.1" customHeight="1" x14ac:dyDescent="0.2">
      <c r="A427" s="120"/>
      <c r="B427" s="120"/>
      <c r="C427" s="120"/>
      <c r="D427" s="120"/>
      <c r="E427" s="120"/>
      <c r="F427" s="120"/>
      <c r="G427" s="120"/>
      <c r="H427" s="120"/>
      <c r="I427" s="120"/>
      <c r="J427" s="120"/>
      <c r="K427" s="120"/>
      <c r="L427" s="120"/>
      <c r="M427" s="120"/>
      <c r="N427" s="120"/>
      <c r="O427" s="120"/>
      <c r="P427" s="120"/>
      <c r="Q427" s="120"/>
      <c r="R427" s="120"/>
      <c r="S427" s="120"/>
    </row>
    <row r="428" spans="1:20" ht="14.1" customHeight="1" x14ac:dyDescent="0.2">
      <c r="A428" s="121" t="s">
        <v>56</v>
      </c>
      <c r="B428" s="121"/>
      <c r="C428" s="121"/>
      <c r="D428" s="121"/>
      <c r="E428" s="121"/>
      <c r="F428" s="121"/>
      <c r="G428" s="121"/>
      <c r="H428" s="121"/>
      <c r="I428" s="121"/>
      <c r="J428" s="121"/>
      <c r="K428" s="121"/>
      <c r="L428" s="121"/>
      <c r="M428" s="121"/>
      <c r="N428" s="121"/>
      <c r="O428" s="121"/>
      <c r="P428" s="121"/>
      <c r="Q428" s="121"/>
      <c r="R428" s="121"/>
      <c r="S428" s="121"/>
    </row>
    <row r="429" spans="1:20" ht="58.5" customHeight="1" x14ac:dyDescent="0.2">
      <c r="A429" s="122" t="s">
        <v>1137</v>
      </c>
      <c r="B429" s="122"/>
      <c r="C429" s="122"/>
      <c r="D429" s="122"/>
      <c r="E429" s="122"/>
      <c r="F429" s="122"/>
      <c r="G429" s="122"/>
      <c r="H429" s="122"/>
      <c r="I429" s="122"/>
      <c r="J429" s="122"/>
      <c r="K429" s="122"/>
      <c r="L429" s="122"/>
      <c r="M429" s="122"/>
      <c r="N429" s="122"/>
      <c r="O429" s="122"/>
      <c r="P429" s="122"/>
      <c r="Q429" s="122"/>
      <c r="R429" s="122"/>
      <c r="S429" s="122"/>
    </row>
    <row r="431" spans="1:20" s="1" customFormat="1" ht="72.45" customHeight="1" x14ac:dyDescent="0.25">
      <c r="J431" s="100" t="s">
        <v>0</v>
      </c>
      <c r="K431" s="100"/>
      <c r="L431" s="100"/>
      <c r="M431" s="100"/>
      <c r="N431" s="100"/>
      <c r="O431" s="100"/>
      <c r="P431" s="100"/>
      <c r="Q431" s="100"/>
      <c r="R431" s="100"/>
      <c r="S431" s="100"/>
      <c r="T431" s="100"/>
    </row>
    <row r="432" spans="1:20" ht="7.05" customHeight="1" x14ac:dyDescent="0.2"/>
    <row r="433" spans="1:20" ht="14.1" customHeight="1" x14ac:dyDescent="0.2">
      <c r="B433" s="130" t="s">
        <v>1138</v>
      </c>
      <c r="C433" s="130"/>
      <c r="D433" s="130"/>
      <c r="E433" s="130"/>
      <c r="F433" s="130"/>
      <c r="G433" s="130"/>
      <c r="H433" s="130"/>
      <c r="I433" s="130"/>
      <c r="J433" s="130"/>
      <c r="K433" s="130"/>
      <c r="L433" s="130"/>
      <c r="M433" s="130"/>
      <c r="N433" s="130"/>
      <c r="O433" s="130"/>
      <c r="P433" s="130"/>
      <c r="Q433" s="130"/>
      <c r="R433" s="130"/>
    </row>
    <row r="434" spans="1:20" ht="14.1" customHeight="1" x14ac:dyDescent="0.2"/>
    <row r="435" spans="1:20" ht="14.1" customHeight="1" x14ac:dyDescent="0.2">
      <c r="A435" s="120" t="s">
        <v>2</v>
      </c>
      <c r="B435" s="120"/>
      <c r="C435" s="120"/>
      <c r="D435" s="129" t="s">
        <v>1139</v>
      </c>
      <c r="E435" s="129"/>
      <c r="F435" s="129"/>
      <c r="G435" s="129"/>
      <c r="H435" s="129"/>
      <c r="I435" s="129"/>
      <c r="J435" s="129"/>
      <c r="K435" s="129"/>
      <c r="L435" s="129"/>
      <c r="M435" s="129"/>
      <c r="N435" s="129"/>
      <c r="O435" s="129"/>
      <c r="P435" s="129"/>
      <c r="Q435" s="129"/>
      <c r="R435" s="129"/>
      <c r="S435" s="129"/>
      <c r="T435" s="129"/>
    </row>
    <row r="436" spans="1:20" ht="14.1" customHeight="1" x14ac:dyDescent="0.2">
      <c r="A436" s="120" t="s">
        <v>4</v>
      </c>
      <c r="B436" s="120"/>
      <c r="C436" s="129" t="s">
        <v>99</v>
      </c>
      <c r="D436" s="129"/>
      <c r="E436" s="129"/>
      <c r="F436" s="129"/>
      <c r="G436" s="129"/>
      <c r="H436" s="129"/>
      <c r="I436" s="129"/>
      <c r="J436" s="129"/>
      <c r="K436" s="129"/>
      <c r="L436" s="129"/>
      <c r="M436" s="129"/>
      <c r="N436" s="129"/>
      <c r="O436" s="129"/>
      <c r="P436" s="129"/>
      <c r="Q436" s="129"/>
      <c r="R436" s="129"/>
      <c r="S436" s="129"/>
      <c r="T436" s="129"/>
    </row>
    <row r="437" spans="1:20" ht="14.1" customHeight="1" x14ac:dyDescent="0.2">
      <c r="A437" s="120" t="s">
        <v>6</v>
      </c>
      <c r="B437" s="120"/>
      <c r="C437" s="120"/>
      <c r="D437" s="120"/>
      <c r="E437" s="120"/>
      <c r="F437" s="129" t="s">
        <v>1140</v>
      </c>
      <c r="G437" s="129"/>
      <c r="H437" s="129"/>
      <c r="I437" s="129"/>
      <c r="J437" s="129"/>
      <c r="K437" s="129"/>
      <c r="L437" s="129"/>
      <c r="M437" s="129"/>
      <c r="N437" s="129"/>
      <c r="O437" s="129"/>
      <c r="P437" s="129"/>
      <c r="Q437" s="129"/>
      <c r="R437" s="129"/>
      <c r="S437" s="129"/>
      <c r="T437" s="129"/>
    </row>
    <row r="438" spans="1:20" ht="22.35" customHeight="1" x14ac:dyDescent="0.2">
      <c r="F438" s="129"/>
      <c r="G438" s="129"/>
      <c r="H438" s="129"/>
      <c r="I438" s="129"/>
      <c r="J438" s="129"/>
      <c r="K438" s="129"/>
      <c r="L438" s="129"/>
      <c r="M438" s="129"/>
      <c r="N438" s="129"/>
      <c r="O438" s="129"/>
      <c r="P438" s="129"/>
      <c r="Q438" s="129"/>
      <c r="R438" s="129"/>
      <c r="S438" s="129"/>
      <c r="T438" s="129"/>
    </row>
    <row r="439" spans="1:20" ht="7.05" customHeight="1" x14ac:dyDescent="0.2">
      <c r="A439" s="120"/>
      <c r="B439" s="120"/>
      <c r="C439" s="120"/>
      <c r="D439" s="120"/>
      <c r="E439" s="120"/>
      <c r="F439" s="120"/>
      <c r="G439" s="120"/>
      <c r="H439" s="120"/>
      <c r="I439" s="120"/>
      <c r="J439" s="120"/>
      <c r="K439" s="120"/>
      <c r="L439" s="120"/>
      <c r="M439" s="120"/>
      <c r="N439" s="120"/>
      <c r="O439" s="120"/>
      <c r="P439" s="120"/>
      <c r="Q439" s="75"/>
      <c r="R439" s="120"/>
      <c r="S439" s="120"/>
      <c r="T439" s="120"/>
    </row>
    <row r="440" spans="1:20" ht="16.95" customHeight="1" x14ac:dyDescent="0.2">
      <c r="A440" s="128" t="s">
        <v>8</v>
      </c>
      <c r="B440" s="128"/>
      <c r="C440" s="128"/>
      <c r="D440" s="128"/>
      <c r="E440" s="128"/>
      <c r="F440" s="128"/>
      <c r="G440" s="128"/>
      <c r="H440" s="128"/>
      <c r="I440" s="128"/>
      <c r="J440" s="128"/>
      <c r="K440" s="128"/>
      <c r="L440" s="128"/>
      <c r="M440" s="128" t="s">
        <v>9</v>
      </c>
      <c r="N440" s="128"/>
      <c r="O440" s="128"/>
      <c r="P440" s="128"/>
      <c r="Q440" s="128"/>
      <c r="R440" s="128"/>
      <c r="S440" s="128"/>
      <c r="T440" s="128"/>
    </row>
    <row r="441" spans="1:20" ht="16.95" customHeight="1" x14ac:dyDescent="0.2">
      <c r="A441" s="128"/>
      <c r="B441" s="128"/>
      <c r="C441" s="128"/>
      <c r="D441" s="128"/>
      <c r="E441" s="128"/>
      <c r="F441" s="128"/>
      <c r="G441" s="128"/>
      <c r="H441" s="128"/>
      <c r="I441" s="128"/>
      <c r="J441" s="128"/>
      <c r="K441" s="128"/>
      <c r="L441" s="128"/>
      <c r="M441" s="128" t="s">
        <v>10</v>
      </c>
      <c r="N441" s="128"/>
      <c r="O441" s="128"/>
      <c r="P441" s="128"/>
      <c r="Q441" s="128" t="s">
        <v>11</v>
      </c>
      <c r="R441" s="128"/>
      <c r="S441" s="128"/>
      <c r="T441" s="128"/>
    </row>
    <row r="442" spans="1:20" ht="16.95" customHeight="1" x14ac:dyDescent="0.2">
      <c r="A442" s="128"/>
      <c r="B442" s="128"/>
      <c r="C442" s="128"/>
      <c r="D442" s="128"/>
      <c r="E442" s="128"/>
      <c r="F442" s="128"/>
      <c r="G442" s="128"/>
      <c r="H442" s="128"/>
      <c r="I442" s="128"/>
      <c r="J442" s="128"/>
      <c r="K442" s="128"/>
      <c r="L442" s="128"/>
      <c r="M442" s="128" t="s">
        <v>12</v>
      </c>
      <c r="N442" s="128"/>
      <c r="O442" s="128" t="s">
        <v>13</v>
      </c>
      <c r="P442" s="128"/>
      <c r="Q442" s="76" t="s">
        <v>14</v>
      </c>
      <c r="R442" s="128" t="s">
        <v>15</v>
      </c>
      <c r="S442" s="128"/>
      <c r="T442" s="128"/>
    </row>
    <row r="443" spans="1:20" ht="13.35" customHeight="1" x14ac:dyDescent="0.2">
      <c r="A443" s="124" t="s">
        <v>100</v>
      </c>
      <c r="B443" s="124"/>
      <c r="C443" s="124"/>
      <c r="D443" s="124"/>
      <c r="E443" s="124"/>
      <c r="F443" s="124"/>
      <c r="G443" s="124"/>
      <c r="H443" s="124"/>
      <c r="I443" s="124"/>
      <c r="J443" s="124"/>
      <c r="K443" s="124"/>
      <c r="L443" s="124"/>
      <c r="M443" s="124"/>
      <c r="N443" s="124"/>
      <c r="O443" s="124"/>
      <c r="P443" s="124"/>
      <c r="Q443" s="77"/>
      <c r="R443" s="124"/>
      <c r="S443" s="124"/>
      <c r="T443" s="124"/>
    </row>
    <row r="444" spans="1:20" ht="13.35" customHeight="1" x14ac:dyDescent="0.2">
      <c r="A444" s="124" t="s">
        <v>91</v>
      </c>
      <c r="B444" s="124"/>
      <c r="C444" s="124"/>
      <c r="D444" s="124"/>
      <c r="E444" s="124"/>
      <c r="F444" s="124"/>
      <c r="G444" s="124"/>
      <c r="H444" s="124"/>
      <c r="I444" s="124"/>
      <c r="J444" s="124"/>
      <c r="K444" s="124"/>
      <c r="L444" s="124"/>
      <c r="M444" s="124" t="s">
        <v>1141</v>
      </c>
      <c r="N444" s="124"/>
      <c r="O444" s="124" t="s">
        <v>1142</v>
      </c>
      <c r="P444" s="124"/>
      <c r="Q444" s="77" t="s">
        <v>1143</v>
      </c>
      <c r="R444" s="124" t="s">
        <v>1144</v>
      </c>
      <c r="S444" s="124"/>
      <c r="T444" s="124"/>
    </row>
    <row r="445" spans="1:20" ht="13.35" customHeight="1" x14ac:dyDescent="0.2">
      <c r="A445" s="124" t="s">
        <v>94</v>
      </c>
      <c r="B445" s="124"/>
      <c r="C445" s="124"/>
      <c r="D445" s="124"/>
      <c r="E445" s="124"/>
      <c r="F445" s="124"/>
      <c r="G445" s="124"/>
      <c r="H445" s="124"/>
      <c r="I445" s="124"/>
      <c r="J445" s="124"/>
      <c r="K445" s="124"/>
      <c r="L445" s="124"/>
      <c r="M445" s="124" t="s">
        <v>1145</v>
      </c>
      <c r="N445" s="124"/>
      <c r="O445" s="124" t="s">
        <v>1142</v>
      </c>
      <c r="P445" s="124"/>
      <c r="Q445" s="77" t="s">
        <v>1146</v>
      </c>
      <c r="R445" s="124" t="s">
        <v>1144</v>
      </c>
      <c r="S445" s="124"/>
      <c r="T445" s="124"/>
    </row>
    <row r="446" spans="1:20" ht="13.35" customHeight="1" x14ac:dyDescent="0.2">
      <c r="A446" s="124" t="s">
        <v>452</v>
      </c>
      <c r="B446" s="124"/>
      <c r="C446" s="124"/>
      <c r="D446" s="124"/>
      <c r="E446" s="124"/>
      <c r="F446" s="124"/>
      <c r="G446" s="124"/>
      <c r="H446" s="124"/>
      <c r="I446" s="124"/>
      <c r="J446" s="124"/>
      <c r="K446" s="124"/>
      <c r="L446" s="124"/>
      <c r="M446" s="124" t="s">
        <v>1147</v>
      </c>
      <c r="N446" s="124"/>
      <c r="O446" s="124" t="s">
        <v>1148</v>
      </c>
      <c r="P446" s="124"/>
      <c r="Q446" s="77" t="s">
        <v>1149</v>
      </c>
      <c r="R446" s="124" t="s">
        <v>958</v>
      </c>
      <c r="S446" s="124"/>
      <c r="T446" s="124"/>
    </row>
    <row r="447" spans="1:20" ht="13.35" customHeight="1" x14ac:dyDescent="0.2">
      <c r="A447" s="124" t="s">
        <v>18</v>
      </c>
      <c r="B447" s="124"/>
      <c r="C447" s="124"/>
      <c r="D447" s="124"/>
      <c r="E447" s="124"/>
      <c r="F447" s="124"/>
      <c r="G447" s="124"/>
      <c r="H447" s="124"/>
      <c r="I447" s="124"/>
      <c r="J447" s="124"/>
      <c r="K447" s="124"/>
      <c r="L447" s="124"/>
      <c r="M447" s="124" t="s">
        <v>62</v>
      </c>
      <c r="N447" s="124"/>
      <c r="O447" s="124" t="s">
        <v>62</v>
      </c>
      <c r="P447" s="124"/>
      <c r="Q447" s="77" t="s">
        <v>63</v>
      </c>
      <c r="R447" s="124" t="s">
        <v>63</v>
      </c>
      <c r="S447" s="124"/>
      <c r="T447" s="124"/>
    </row>
    <row r="448" spans="1:20" ht="14.1" customHeight="1" x14ac:dyDescent="0.2">
      <c r="A448" s="126" t="s">
        <v>134</v>
      </c>
      <c r="B448" s="126"/>
      <c r="C448" s="126"/>
      <c r="D448" s="126"/>
      <c r="E448" s="126"/>
      <c r="F448" s="126"/>
      <c r="G448" s="126"/>
      <c r="H448" s="126"/>
      <c r="I448" s="126"/>
      <c r="J448" s="126"/>
      <c r="K448" s="126"/>
      <c r="L448" s="126"/>
      <c r="M448" s="126"/>
      <c r="N448" s="126"/>
      <c r="O448" s="126"/>
      <c r="P448" s="126"/>
      <c r="Q448" s="126"/>
      <c r="R448" s="126"/>
      <c r="S448" s="126"/>
      <c r="T448" s="126"/>
    </row>
    <row r="449" spans="1:19" ht="14.1" customHeight="1" x14ac:dyDescent="0.2"/>
    <row r="450" spans="1:19" ht="14.1" customHeight="1" x14ac:dyDescent="0.2">
      <c r="A450" s="121" t="s">
        <v>33</v>
      </c>
      <c r="B450" s="121"/>
      <c r="C450" s="121"/>
      <c r="D450" s="121"/>
      <c r="E450" s="121"/>
      <c r="F450" s="121"/>
      <c r="G450" s="121"/>
      <c r="H450" s="121"/>
      <c r="I450" s="121"/>
      <c r="J450" s="121"/>
      <c r="K450" s="121"/>
      <c r="L450" s="121"/>
      <c r="M450" s="121"/>
      <c r="N450" s="121"/>
    </row>
    <row r="451" spans="1:19" ht="13.35" customHeight="1" x14ac:dyDescent="0.2">
      <c r="A451" s="124" t="s">
        <v>34</v>
      </c>
      <c r="B451" s="124"/>
      <c r="C451" s="124"/>
      <c r="D451" s="124"/>
      <c r="E451" s="125">
        <v>1.78</v>
      </c>
      <c r="F451" s="125"/>
      <c r="G451" s="78"/>
      <c r="H451" s="77" t="s">
        <v>35</v>
      </c>
      <c r="I451" s="125">
        <v>0.06</v>
      </c>
      <c r="J451" s="125"/>
      <c r="K451" s="78"/>
      <c r="L451" s="124" t="s">
        <v>36</v>
      </c>
      <c r="M451" s="124"/>
      <c r="N451" s="125">
        <v>34.31</v>
      </c>
      <c r="O451" s="125"/>
    </row>
    <row r="452" spans="1:19" ht="13.35" customHeight="1" x14ac:dyDescent="0.2">
      <c r="A452" s="124" t="s">
        <v>37</v>
      </c>
      <c r="B452" s="124"/>
      <c r="C452" s="124"/>
      <c r="D452" s="124"/>
      <c r="E452" s="125">
        <v>5.13</v>
      </c>
      <c r="F452" s="125"/>
      <c r="G452" s="78"/>
      <c r="H452" s="77" t="s">
        <v>38</v>
      </c>
      <c r="I452" s="125">
        <v>2.57</v>
      </c>
      <c r="J452" s="125"/>
      <c r="K452" s="78"/>
      <c r="L452" s="124" t="s">
        <v>39</v>
      </c>
      <c r="M452" s="124"/>
      <c r="N452" s="125">
        <v>27.4</v>
      </c>
      <c r="O452" s="125"/>
    </row>
    <row r="453" spans="1:19" ht="13.35" customHeight="1" x14ac:dyDescent="0.2">
      <c r="A453" s="124" t="s">
        <v>40</v>
      </c>
      <c r="B453" s="124"/>
      <c r="C453" s="124"/>
      <c r="D453" s="124"/>
      <c r="E453" s="125">
        <v>6.23</v>
      </c>
      <c r="F453" s="125"/>
      <c r="G453" s="78"/>
      <c r="H453" s="77" t="s">
        <v>41</v>
      </c>
      <c r="I453" s="125">
        <v>1.23</v>
      </c>
      <c r="J453" s="125"/>
      <c r="K453" s="78"/>
      <c r="L453" s="124" t="s">
        <v>42</v>
      </c>
      <c r="M453" s="124"/>
      <c r="N453" s="125">
        <v>49.24</v>
      </c>
      <c r="O453" s="125"/>
    </row>
    <row r="454" spans="1:19" ht="13.35" customHeight="1" x14ac:dyDescent="0.2">
      <c r="A454" s="124" t="s">
        <v>43</v>
      </c>
      <c r="B454" s="124"/>
      <c r="C454" s="124"/>
      <c r="D454" s="124"/>
      <c r="E454" s="125">
        <v>78.819999999999993</v>
      </c>
      <c r="F454" s="125"/>
      <c r="G454" s="78"/>
      <c r="H454" s="77" t="s">
        <v>44</v>
      </c>
      <c r="I454" s="125">
        <v>2.89</v>
      </c>
      <c r="J454" s="125"/>
      <c r="K454" s="78"/>
      <c r="L454" s="124" t="s">
        <v>45</v>
      </c>
      <c r="M454" s="124"/>
      <c r="N454" s="125">
        <v>0.77</v>
      </c>
      <c r="O454" s="125"/>
    </row>
    <row r="455" spans="1:19" ht="13.35" customHeight="1" x14ac:dyDescent="0.2">
      <c r="A455" s="123"/>
      <c r="B455" s="123"/>
      <c r="C455" s="123"/>
      <c r="D455" s="123"/>
      <c r="E455" s="123"/>
      <c r="F455" s="123"/>
      <c r="G455" s="78"/>
      <c r="H455" s="77" t="s">
        <v>46</v>
      </c>
      <c r="I455" s="125">
        <v>0</v>
      </c>
      <c r="J455" s="125"/>
      <c r="K455" s="78"/>
      <c r="L455" s="124" t="s">
        <v>47</v>
      </c>
      <c r="M455" s="124"/>
      <c r="N455" s="125">
        <v>156.37</v>
      </c>
      <c r="O455" s="125"/>
    </row>
    <row r="456" spans="1:19" ht="13.35" customHeight="1" x14ac:dyDescent="0.2">
      <c r="A456" s="123"/>
      <c r="B456" s="123"/>
      <c r="C456" s="123"/>
      <c r="D456" s="123"/>
      <c r="E456" s="123"/>
      <c r="F456" s="123"/>
      <c r="G456" s="78"/>
      <c r="H456" s="77" t="s">
        <v>48</v>
      </c>
      <c r="I456" s="125">
        <v>0.05</v>
      </c>
      <c r="J456" s="125"/>
      <c r="K456" s="78"/>
      <c r="L456" s="124" t="s">
        <v>49</v>
      </c>
      <c r="M456" s="124"/>
      <c r="N456" s="125">
        <v>3.09</v>
      </c>
      <c r="O456" s="125"/>
    </row>
    <row r="457" spans="1:19" ht="13.35" customHeight="1" x14ac:dyDescent="0.2">
      <c r="A457" s="123"/>
      <c r="B457" s="123"/>
      <c r="C457" s="123"/>
      <c r="D457" s="123"/>
      <c r="E457" s="123"/>
      <c r="F457" s="123"/>
      <c r="G457" s="78"/>
      <c r="H457" s="78"/>
      <c r="I457" s="123"/>
      <c r="J457" s="123"/>
      <c r="K457" s="78"/>
      <c r="L457" s="124" t="s">
        <v>50</v>
      </c>
      <c r="M457" s="124"/>
      <c r="N457" s="125">
        <v>0.03</v>
      </c>
      <c r="O457" s="125"/>
    </row>
    <row r="458" spans="1:19" ht="13.35" customHeight="1" x14ac:dyDescent="0.2">
      <c r="A458" s="123"/>
      <c r="B458" s="123"/>
      <c r="C458" s="123"/>
      <c r="D458" s="123"/>
      <c r="E458" s="123"/>
      <c r="F458" s="123"/>
      <c r="G458" s="78"/>
      <c r="H458" s="78"/>
      <c r="I458" s="123"/>
      <c r="J458" s="123"/>
      <c r="K458" s="78"/>
      <c r="L458" s="124" t="s">
        <v>51</v>
      </c>
      <c r="M458" s="124"/>
      <c r="N458" s="125">
        <v>0</v>
      </c>
      <c r="O458" s="125"/>
    </row>
    <row r="459" spans="1:19" ht="14.1" customHeight="1" x14ac:dyDescent="0.2">
      <c r="A459" s="120"/>
      <c r="B459" s="120"/>
      <c r="C459" s="120"/>
      <c r="D459" s="120"/>
      <c r="E459" s="120"/>
      <c r="F459" s="120"/>
      <c r="G459" s="120"/>
      <c r="H459" s="120"/>
      <c r="I459" s="120"/>
      <c r="J459" s="120"/>
      <c r="K459" s="120"/>
      <c r="L459" s="120"/>
      <c r="M459" s="120"/>
      <c r="N459" s="120"/>
      <c r="O459" s="120"/>
      <c r="P459" s="120"/>
      <c r="Q459" s="120"/>
      <c r="R459" s="120"/>
      <c r="S459" s="120"/>
    </row>
    <row r="460" spans="1:19" ht="14.1" customHeight="1" x14ac:dyDescent="0.2">
      <c r="A460" s="121" t="s">
        <v>52</v>
      </c>
      <c r="B460" s="121"/>
      <c r="C460" s="121"/>
      <c r="D460" s="121"/>
      <c r="E460" s="121"/>
      <c r="F460" s="121"/>
      <c r="G460" s="121"/>
      <c r="H460" s="121"/>
      <c r="I460" s="121"/>
      <c r="J460" s="121"/>
      <c r="K460" s="121"/>
      <c r="L460" s="121"/>
      <c r="M460" s="121"/>
      <c r="N460" s="121"/>
      <c r="O460" s="121"/>
      <c r="P460" s="121"/>
      <c r="Q460" s="121"/>
      <c r="R460" s="121"/>
      <c r="S460" s="121"/>
    </row>
    <row r="461" spans="1:19" ht="21.6" customHeight="1" x14ac:dyDescent="0.2">
      <c r="A461" s="122" t="s">
        <v>1150</v>
      </c>
      <c r="B461" s="122"/>
      <c r="C461" s="122"/>
      <c r="D461" s="122"/>
      <c r="E461" s="122"/>
      <c r="F461" s="122"/>
      <c r="G461" s="122"/>
      <c r="H461" s="122"/>
      <c r="I461" s="122"/>
      <c r="J461" s="122"/>
      <c r="K461" s="122"/>
      <c r="L461" s="122"/>
      <c r="M461" s="122"/>
      <c r="N461" s="122"/>
      <c r="O461" s="122"/>
      <c r="P461" s="122"/>
      <c r="Q461" s="122"/>
      <c r="R461" s="122"/>
      <c r="S461" s="122"/>
    </row>
    <row r="462" spans="1:19" ht="14.1" customHeight="1" x14ac:dyDescent="0.2">
      <c r="A462" s="121" t="s">
        <v>54</v>
      </c>
      <c r="B462" s="121"/>
      <c r="C462" s="121"/>
      <c r="D462" s="121"/>
      <c r="E462" s="121"/>
      <c r="F462" s="121"/>
      <c r="G462" s="121"/>
      <c r="H462" s="121"/>
      <c r="I462" s="121"/>
      <c r="J462" s="121"/>
      <c r="K462" s="121"/>
      <c r="L462" s="121"/>
      <c r="M462" s="121"/>
      <c r="N462" s="121"/>
      <c r="O462" s="121"/>
      <c r="P462" s="121"/>
      <c r="Q462" s="121"/>
      <c r="R462" s="121"/>
      <c r="S462" s="121"/>
    </row>
    <row r="463" spans="1:19" ht="12.15" customHeight="1" x14ac:dyDescent="0.2">
      <c r="A463" s="122" t="s">
        <v>947</v>
      </c>
      <c r="B463" s="122"/>
      <c r="C463" s="122"/>
      <c r="D463" s="122"/>
      <c r="E463" s="122"/>
      <c r="F463" s="122"/>
      <c r="G463" s="122"/>
      <c r="H463" s="122"/>
      <c r="I463" s="122"/>
      <c r="J463" s="122"/>
      <c r="K463" s="122"/>
      <c r="L463" s="122"/>
      <c r="M463" s="122"/>
      <c r="N463" s="122"/>
      <c r="O463" s="122"/>
      <c r="P463" s="122"/>
      <c r="Q463" s="122"/>
      <c r="R463" s="122"/>
      <c r="S463" s="122"/>
    </row>
    <row r="464" spans="1:19" ht="14.1" customHeight="1" x14ac:dyDescent="0.2">
      <c r="A464" s="120"/>
      <c r="B464" s="120"/>
      <c r="C464" s="120"/>
      <c r="D464" s="120"/>
      <c r="E464" s="120"/>
      <c r="F464" s="120"/>
      <c r="G464" s="120"/>
      <c r="H464" s="120"/>
      <c r="I464" s="120"/>
      <c r="J464" s="120"/>
      <c r="K464" s="120"/>
      <c r="L464" s="120"/>
      <c r="M464" s="120"/>
      <c r="N464" s="120"/>
      <c r="O464" s="120"/>
      <c r="P464" s="120"/>
      <c r="Q464" s="120"/>
      <c r="R464" s="120"/>
      <c r="S464" s="120"/>
    </row>
    <row r="465" spans="1:20" ht="14.1" customHeight="1" x14ac:dyDescent="0.2">
      <c r="A465" s="121" t="s">
        <v>56</v>
      </c>
      <c r="B465" s="121"/>
      <c r="C465" s="121"/>
      <c r="D465" s="121"/>
      <c r="E465" s="121"/>
      <c r="F465" s="121"/>
      <c r="G465" s="121"/>
      <c r="H465" s="121"/>
      <c r="I465" s="121"/>
      <c r="J465" s="121"/>
      <c r="K465" s="121"/>
      <c r="L465" s="121"/>
      <c r="M465" s="121"/>
      <c r="N465" s="121"/>
      <c r="O465" s="121"/>
      <c r="P465" s="121"/>
      <c r="Q465" s="121"/>
      <c r="R465" s="121"/>
      <c r="S465" s="121"/>
    </row>
    <row r="466" spans="1:20" ht="49.2" customHeight="1" x14ac:dyDescent="0.2">
      <c r="A466" s="122" t="s">
        <v>1151</v>
      </c>
      <c r="B466" s="122"/>
      <c r="C466" s="122"/>
      <c r="D466" s="122"/>
      <c r="E466" s="122"/>
      <c r="F466" s="122"/>
      <c r="G466" s="122"/>
      <c r="H466" s="122"/>
      <c r="I466" s="122"/>
      <c r="J466" s="122"/>
      <c r="K466" s="122"/>
      <c r="L466" s="122"/>
      <c r="M466" s="122"/>
      <c r="N466" s="122"/>
      <c r="O466" s="122"/>
      <c r="P466" s="122"/>
      <c r="Q466" s="122"/>
      <c r="R466" s="122"/>
      <c r="S466" s="122"/>
    </row>
    <row r="468" spans="1:20" s="1" customFormat="1" ht="72.45" customHeight="1" x14ac:dyDescent="0.25">
      <c r="J468" s="100" t="s">
        <v>0</v>
      </c>
      <c r="K468" s="100"/>
      <c r="L468" s="100"/>
      <c r="M468" s="100"/>
      <c r="N468" s="100"/>
      <c r="O468" s="100"/>
      <c r="P468" s="100"/>
      <c r="Q468" s="100"/>
      <c r="R468" s="100"/>
      <c r="S468" s="100"/>
      <c r="T468" s="100"/>
    </row>
    <row r="469" spans="1:20" ht="7.05" customHeight="1" x14ac:dyDescent="0.2"/>
    <row r="470" spans="1:20" ht="14.1" customHeight="1" x14ac:dyDescent="0.2">
      <c r="B470" s="130" t="s">
        <v>1152</v>
      </c>
      <c r="C470" s="130"/>
      <c r="D470" s="130"/>
      <c r="E470" s="130"/>
      <c r="F470" s="130"/>
      <c r="G470" s="130"/>
      <c r="H470" s="130"/>
      <c r="I470" s="130"/>
      <c r="J470" s="130"/>
      <c r="K470" s="130"/>
      <c r="L470" s="130"/>
      <c r="M470" s="130"/>
      <c r="N470" s="130"/>
      <c r="O470" s="130"/>
      <c r="P470" s="130"/>
      <c r="Q470" s="130"/>
      <c r="R470" s="130"/>
    </row>
    <row r="471" spans="1:20" ht="14.1" customHeight="1" x14ac:dyDescent="0.2"/>
    <row r="472" spans="1:20" ht="14.1" customHeight="1" x14ac:dyDescent="0.2">
      <c r="A472" s="120" t="s">
        <v>2</v>
      </c>
      <c r="B472" s="120"/>
      <c r="C472" s="120"/>
      <c r="D472" s="129" t="s">
        <v>1153</v>
      </c>
      <c r="E472" s="129"/>
      <c r="F472" s="129"/>
      <c r="G472" s="129"/>
      <c r="H472" s="129"/>
      <c r="I472" s="129"/>
      <c r="J472" s="129"/>
      <c r="K472" s="129"/>
      <c r="L472" s="129"/>
      <c r="M472" s="129"/>
      <c r="N472" s="129"/>
      <c r="O472" s="129"/>
      <c r="P472" s="129"/>
      <c r="Q472" s="129"/>
      <c r="R472" s="129"/>
      <c r="S472" s="129"/>
      <c r="T472" s="129"/>
    </row>
    <row r="473" spans="1:20" ht="14.1" customHeight="1" x14ac:dyDescent="0.2">
      <c r="A473" s="120" t="s">
        <v>4</v>
      </c>
      <c r="B473" s="120"/>
      <c r="C473" s="129" t="s">
        <v>1154</v>
      </c>
      <c r="D473" s="129"/>
      <c r="E473" s="129"/>
      <c r="F473" s="129"/>
      <c r="G473" s="129"/>
      <c r="H473" s="129"/>
      <c r="I473" s="129"/>
      <c r="J473" s="129"/>
      <c r="K473" s="129"/>
      <c r="L473" s="129"/>
      <c r="M473" s="129"/>
      <c r="N473" s="129"/>
      <c r="O473" s="129"/>
      <c r="P473" s="129"/>
      <c r="Q473" s="129"/>
      <c r="R473" s="129"/>
      <c r="S473" s="129"/>
      <c r="T473" s="129"/>
    </row>
    <row r="474" spans="1:20" ht="14.1" customHeight="1" x14ac:dyDescent="0.2">
      <c r="A474" s="120" t="s">
        <v>6</v>
      </c>
      <c r="B474" s="120"/>
      <c r="C474" s="120"/>
      <c r="D474" s="120"/>
      <c r="E474" s="120"/>
      <c r="F474" s="129" t="s">
        <v>75</v>
      </c>
      <c r="G474" s="129"/>
      <c r="H474" s="129"/>
      <c r="I474" s="129"/>
      <c r="J474" s="129"/>
      <c r="K474" s="129"/>
      <c r="L474" s="129"/>
      <c r="M474" s="129"/>
      <c r="N474" s="129"/>
      <c r="O474" s="129"/>
      <c r="P474" s="129"/>
      <c r="Q474" s="129"/>
      <c r="R474" s="129"/>
      <c r="S474" s="129"/>
      <c r="T474" s="129"/>
    </row>
    <row r="475" spans="1:20" ht="1.35" customHeight="1" x14ac:dyDescent="0.2"/>
    <row r="476" spans="1:20" ht="7.05" customHeight="1" x14ac:dyDescent="0.2">
      <c r="A476" s="120"/>
      <c r="B476" s="120"/>
      <c r="C476" s="120"/>
      <c r="D476" s="120"/>
      <c r="E476" s="120"/>
      <c r="F476" s="120"/>
      <c r="G476" s="120"/>
      <c r="H476" s="120"/>
      <c r="I476" s="120"/>
      <c r="J476" s="120"/>
      <c r="K476" s="120"/>
      <c r="L476" s="120"/>
      <c r="M476" s="120"/>
      <c r="N476" s="120"/>
      <c r="O476" s="120"/>
      <c r="P476" s="120"/>
      <c r="Q476" s="75"/>
      <c r="R476" s="120"/>
      <c r="S476" s="120"/>
      <c r="T476" s="120"/>
    </row>
    <row r="477" spans="1:20" ht="16.95" customHeight="1" x14ac:dyDescent="0.2">
      <c r="A477" s="128" t="s">
        <v>8</v>
      </c>
      <c r="B477" s="128"/>
      <c r="C477" s="128"/>
      <c r="D477" s="128"/>
      <c r="E477" s="128"/>
      <c r="F477" s="128"/>
      <c r="G477" s="128"/>
      <c r="H477" s="128"/>
      <c r="I477" s="128"/>
      <c r="J477" s="128"/>
      <c r="K477" s="128"/>
      <c r="L477" s="128"/>
      <c r="M477" s="128" t="s">
        <v>9</v>
      </c>
      <c r="N477" s="128"/>
      <c r="O477" s="128"/>
      <c r="P477" s="128"/>
      <c r="Q477" s="128"/>
      <c r="R477" s="128"/>
      <c r="S477" s="128"/>
      <c r="T477" s="128"/>
    </row>
    <row r="478" spans="1:20" ht="16.95" customHeight="1" x14ac:dyDescent="0.2">
      <c r="A478" s="128"/>
      <c r="B478" s="128"/>
      <c r="C478" s="128"/>
      <c r="D478" s="128"/>
      <c r="E478" s="128"/>
      <c r="F478" s="128"/>
      <c r="G478" s="128"/>
      <c r="H478" s="128"/>
      <c r="I478" s="128"/>
      <c r="J478" s="128"/>
      <c r="K478" s="128"/>
      <c r="L478" s="128"/>
      <c r="M478" s="128" t="s">
        <v>10</v>
      </c>
      <c r="N478" s="128"/>
      <c r="O478" s="128"/>
      <c r="P478" s="128"/>
      <c r="Q478" s="128" t="s">
        <v>11</v>
      </c>
      <c r="R478" s="128"/>
      <c r="S478" s="128"/>
      <c r="T478" s="128"/>
    </row>
    <row r="479" spans="1:20" ht="16.95" customHeight="1" x14ac:dyDescent="0.2">
      <c r="A479" s="128"/>
      <c r="B479" s="128"/>
      <c r="C479" s="128"/>
      <c r="D479" s="128"/>
      <c r="E479" s="128"/>
      <c r="F479" s="128"/>
      <c r="G479" s="128"/>
      <c r="H479" s="128"/>
      <c r="I479" s="128"/>
      <c r="J479" s="128"/>
      <c r="K479" s="128"/>
      <c r="L479" s="128"/>
      <c r="M479" s="128" t="s">
        <v>12</v>
      </c>
      <c r="N479" s="128"/>
      <c r="O479" s="128" t="s">
        <v>13</v>
      </c>
      <c r="P479" s="128"/>
      <c r="Q479" s="76" t="s">
        <v>14</v>
      </c>
      <c r="R479" s="128" t="s">
        <v>15</v>
      </c>
      <c r="S479" s="128"/>
      <c r="T479" s="128"/>
    </row>
    <row r="480" spans="1:20" ht="13.35" customHeight="1" x14ac:dyDescent="0.2">
      <c r="A480" s="124" t="s">
        <v>100</v>
      </c>
      <c r="B480" s="124"/>
      <c r="C480" s="124"/>
      <c r="D480" s="124"/>
      <c r="E480" s="124"/>
      <c r="F480" s="124"/>
      <c r="G480" s="124"/>
      <c r="H480" s="124"/>
      <c r="I480" s="124"/>
      <c r="J480" s="124"/>
      <c r="K480" s="124"/>
      <c r="L480" s="124"/>
      <c r="M480" s="124"/>
      <c r="N480" s="124"/>
      <c r="O480" s="124"/>
      <c r="P480" s="124"/>
      <c r="Q480" s="77"/>
      <c r="R480" s="124"/>
      <c r="S480" s="124"/>
      <c r="T480" s="124"/>
    </row>
    <row r="481" spans="1:20" ht="13.35" customHeight="1" x14ac:dyDescent="0.2">
      <c r="A481" s="124" t="s">
        <v>91</v>
      </c>
      <c r="B481" s="124"/>
      <c r="C481" s="124"/>
      <c r="D481" s="124"/>
      <c r="E481" s="124"/>
      <c r="F481" s="124"/>
      <c r="G481" s="124"/>
      <c r="H481" s="124"/>
      <c r="I481" s="124"/>
      <c r="J481" s="124"/>
      <c r="K481" s="124"/>
      <c r="L481" s="124"/>
      <c r="M481" s="124" t="s">
        <v>1155</v>
      </c>
      <c r="N481" s="124"/>
      <c r="O481" s="124" t="s">
        <v>1156</v>
      </c>
      <c r="P481" s="124"/>
      <c r="Q481" s="77" t="s">
        <v>1157</v>
      </c>
      <c r="R481" s="124" t="s">
        <v>1158</v>
      </c>
      <c r="S481" s="124"/>
      <c r="T481" s="124"/>
    </row>
    <row r="482" spans="1:20" ht="13.35" customHeight="1" x14ac:dyDescent="0.2">
      <c r="A482" s="124" t="s">
        <v>94</v>
      </c>
      <c r="B482" s="124"/>
      <c r="C482" s="124"/>
      <c r="D482" s="124"/>
      <c r="E482" s="124"/>
      <c r="F482" s="124"/>
      <c r="G482" s="124"/>
      <c r="H482" s="124"/>
      <c r="I482" s="124"/>
      <c r="J482" s="124"/>
      <c r="K482" s="124"/>
      <c r="L482" s="124"/>
      <c r="M482" s="124" t="s">
        <v>1159</v>
      </c>
      <c r="N482" s="124"/>
      <c r="O482" s="124" t="s">
        <v>1156</v>
      </c>
      <c r="P482" s="124"/>
      <c r="Q482" s="77" t="s">
        <v>1160</v>
      </c>
      <c r="R482" s="124" t="s">
        <v>1158</v>
      </c>
      <c r="S482" s="124"/>
      <c r="T482" s="124"/>
    </row>
    <row r="483" spans="1:20" ht="13.35" customHeight="1" x14ac:dyDescent="0.2">
      <c r="A483" s="124" t="s">
        <v>18</v>
      </c>
      <c r="B483" s="124"/>
      <c r="C483" s="124"/>
      <c r="D483" s="124"/>
      <c r="E483" s="124"/>
      <c r="F483" s="124"/>
      <c r="G483" s="124"/>
      <c r="H483" s="124"/>
      <c r="I483" s="124"/>
      <c r="J483" s="124"/>
      <c r="K483" s="124"/>
      <c r="L483" s="124"/>
      <c r="M483" s="124" t="s">
        <v>62</v>
      </c>
      <c r="N483" s="124"/>
      <c r="O483" s="124" t="s">
        <v>62</v>
      </c>
      <c r="P483" s="124"/>
      <c r="Q483" s="77" t="s">
        <v>63</v>
      </c>
      <c r="R483" s="124" t="s">
        <v>63</v>
      </c>
      <c r="S483" s="124"/>
      <c r="T483" s="124"/>
    </row>
    <row r="484" spans="1:20" ht="13.35" customHeight="1" x14ac:dyDescent="0.2">
      <c r="A484" s="124" t="s">
        <v>76</v>
      </c>
      <c r="B484" s="124"/>
      <c r="C484" s="124"/>
      <c r="D484" s="124"/>
      <c r="E484" s="124"/>
      <c r="F484" s="124"/>
      <c r="G484" s="124"/>
      <c r="H484" s="124"/>
      <c r="I484" s="124"/>
      <c r="J484" s="124"/>
      <c r="K484" s="124"/>
      <c r="L484" s="124"/>
      <c r="M484" s="124" t="s">
        <v>97</v>
      </c>
      <c r="N484" s="124"/>
      <c r="O484" s="124" t="s">
        <v>93</v>
      </c>
      <c r="P484" s="124"/>
      <c r="Q484" s="77" t="s">
        <v>176</v>
      </c>
      <c r="R484" s="124" t="s">
        <v>416</v>
      </c>
      <c r="S484" s="124"/>
      <c r="T484" s="124"/>
    </row>
    <row r="485" spans="1:20" ht="13.35" customHeight="1" x14ac:dyDescent="0.2">
      <c r="A485" s="124" t="s">
        <v>81</v>
      </c>
      <c r="B485" s="124"/>
      <c r="C485" s="124"/>
      <c r="D485" s="124"/>
      <c r="E485" s="124"/>
      <c r="F485" s="124"/>
      <c r="G485" s="124"/>
      <c r="H485" s="124"/>
      <c r="I485" s="124"/>
      <c r="J485" s="124"/>
      <c r="K485" s="124"/>
      <c r="L485" s="124"/>
      <c r="M485" s="124" t="s">
        <v>77</v>
      </c>
      <c r="N485" s="124"/>
      <c r="O485" s="124" t="s">
        <v>190</v>
      </c>
      <c r="P485" s="124"/>
      <c r="Q485" s="77" t="s">
        <v>79</v>
      </c>
      <c r="R485" s="124" t="s">
        <v>261</v>
      </c>
      <c r="S485" s="124"/>
      <c r="T485" s="124"/>
    </row>
    <row r="486" spans="1:20" ht="14.1" customHeight="1" x14ac:dyDescent="0.2">
      <c r="A486" s="126" t="s">
        <v>134</v>
      </c>
      <c r="B486" s="126"/>
      <c r="C486" s="126"/>
      <c r="D486" s="126"/>
      <c r="E486" s="126"/>
      <c r="F486" s="126"/>
      <c r="G486" s="126"/>
      <c r="H486" s="126"/>
      <c r="I486" s="126"/>
      <c r="J486" s="126"/>
      <c r="K486" s="126"/>
      <c r="L486" s="126"/>
      <c r="M486" s="126"/>
      <c r="N486" s="126"/>
      <c r="O486" s="126"/>
      <c r="P486" s="126"/>
      <c r="Q486" s="126"/>
      <c r="R486" s="126"/>
      <c r="S486" s="126"/>
      <c r="T486" s="126"/>
    </row>
    <row r="487" spans="1:20" ht="14.1" customHeight="1" x14ac:dyDescent="0.2"/>
    <row r="488" spans="1:20" ht="14.1" customHeight="1" x14ac:dyDescent="0.2">
      <c r="A488" s="121" t="s">
        <v>33</v>
      </c>
      <c r="B488" s="121"/>
      <c r="C488" s="121"/>
      <c r="D488" s="121"/>
      <c r="E488" s="121"/>
      <c r="F488" s="121"/>
      <c r="G488" s="121"/>
      <c r="H488" s="121"/>
      <c r="I488" s="121"/>
      <c r="J488" s="121"/>
      <c r="K488" s="121"/>
      <c r="L488" s="121"/>
      <c r="M488" s="121"/>
      <c r="N488" s="121"/>
    </row>
    <row r="489" spans="1:20" ht="13.35" customHeight="1" x14ac:dyDescent="0.2">
      <c r="A489" s="124" t="s">
        <v>34</v>
      </c>
      <c r="B489" s="124"/>
      <c r="C489" s="124"/>
      <c r="D489" s="124"/>
      <c r="E489" s="125">
        <v>1.38</v>
      </c>
      <c r="F489" s="125"/>
      <c r="G489" s="78"/>
      <c r="H489" s="77" t="s">
        <v>35</v>
      </c>
      <c r="I489" s="125">
        <v>0.05</v>
      </c>
      <c r="J489" s="125"/>
      <c r="K489" s="78"/>
      <c r="L489" s="124" t="s">
        <v>36</v>
      </c>
      <c r="M489" s="124"/>
      <c r="N489" s="125">
        <v>50.11</v>
      </c>
      <c r="O489" s="125"/>
    </row>
    <row r="490" spans="1:20" ht="13.35" customHeight="1" x14ac:dyDescent="0.2">
      <c r="A490" s="124" t="s">
        <v>37</v>
      </c>
      <c r="B490" s="124"/>
      <c r="C490" s="124"/>
      <c r="D490" s="124"/>
      <c r="E490" s="125">
        <v>1.5</v>
      </c>
      <c r="F490" s="125"/>
      <c r="G490" s="78"/>
      <c r="H490" s="77" t="s">
        <v>38</v>
      </c>
      <c r="I490" s="125">
        <v>3.02</v>
      </c>
      <c r="J490" s="125"/>
      <c r="K490" s="78"/>
      <c r="L490" s="124" t="s">
        <v>39</v>
      </c>
      <c r="M490" s="124"/>
      <c r="N490" s="125">
        <v>33.43</v>
      </c>
      <c r="O490" s="125"/>
    </row>
    <row r="491" spans="1:20" ht="13.35" customHeight="1" x14ac:dyDescent="0.2">
      <c r="A491" s="124" t="s">
        <v>40</v>
      </c>
      <c r="B491" s="124"/>
      <c r="C491" s="124"/>
      <c r="D491" s="124"/>
      <c r="E491" s="125">
        <v>4</v>
      </c>
      <c r="F491" s="125"/>
      <c r="G491" s="78"/>
      <c r="H491" s="77" t="s">
        <v>41</v>
      </c>
      <c r="I491" s="125">
        <v>1.84</v>
      </c>
      <c r="J491" s="125"/>
      <c r="K491" s="78"/>
      <c r="L491" s="124" t="s">
        <v>42</v>
      </c>
      <c r="M491" s="124"/>
      <c r="N491" s="125">
        <v>49.28</v>
      </c>
      <c r="O491" s="125"/>
    </row>
    <row r="492" spans="1:20" ht="13.35" customHeight="1" x14ac:dyDescent="0.2">
      <c r="A492" s="124" t="s">
        <v>43</v>
      </c>
      <c r="B492" s="124"/>
      <c r="C492" s="124"/>
      <c r="D492" s="124"/>
      <c r="E492" s="125">
        <v>39.200000000000003</v>
      </c>
      <c r="F492" s="125"/>
      <c r="G492" s="78"/>
      <c r="H492" s="77" t="s">
        <v>44</v>
      </c>
      <c r="I492" s="125">
        <v>2.71</v>
      </c>
      <c r="J492" s="125"/>
      <c r="K492" s="78"/>
      <c r="L492" s="124" t="s">
        <v>45</v>
      </c>
      <c r="M492" s="124"/>
      <c r="N492" s="125">
        <v>0.91</v>
      </c>
      <c r="O492" s="125"/>
    </row>
    <row r="493" spans="1:20" ht="13.35" customHeight="1" x14ac:dyDescent="0.2">
      <c r="A493" s="123"/>
      <c r="B493" s="123"/>
      <c r="C493" s="123"/>
      <c r="D493" s="123"/>
      <c r="E493" s="123"/>
      <c r="F493" s="123"/>
      <c r="G493" s="78"/>
      <c r="H493" s="77" t="s">
        <v>46</v>
      </c>
      <c r="I493" s="125">
        <v>0</v>
      </c>
      <c r="J493" s="125"/>
      <c r="K493" s="78"/>
      <c r="L493" s="124" t="s">
        <v>47</v>
      </c>
      <c r="M493" s="124"/>
      <c r="N493" s="125">
        <v>204.3</v>
      </c>
      <c r="O493" s="125"/>
    </row>
    <row r="494" spans="1:20" ht="13.35" customHeight="1" x14ac:dyDescent="0.2">
      <c r="A494" s="123"/>
      <c r="B494" s="123"/>
      <c r="C494" s="123"/>
      <c r="D494" s="123"/>
      <c r="E494" s="123"/>
      <c r="F494" s="123"/>
      <c r="G494" s="78"/>
      <c r="H494" s="77" t="s">
        <v>48</v>
      </c>
      <c r="I494" s="125">
        <v>0.05</v>
      </c>
      <c r="J494" s="125"/>
      <c r="K494" s="78"/>
      <c r="L494" s="124" t="s">
        <v>49</v>
      </c>
      <c r="M494" s="124"/>
      <c r="N494" s="125">
        <v>4.59</v>
      </c>
      <c r="O494" s="125"/>
    </row>
    <row r="495" spans="1:20" ht="13.35" customHeight="1" x14ac:dyDescent="0.2">
      <c r="A495" s="123"/>
      <c r="B495" s="123"/>
      <c r="C495" s="123"/>
      <c r="D495" s="123"/>
      <c r="E495" s="123"/>
      <c r="F495" s="123"/>
      <c r="G495" s="78"/>
      <c r="H495" s="78"/>
      <c r="I495" s="123"/>
      <c r="J495" s="123"/>
      <c r="K495" s="78"/>
      <c r="L495" s="124" t="s">
        <v>50</v>
      </c>
      <c r="M495" s="124"/>
      <c r="N495" s="125">
        <v>0.05</v>
      </c>
      <c r="O495" s="125"/>
    </row>
    <row r="496" spans="1:20" ht="13.35" customHeight="1" x14ac:dyDescent="0.2">
      <c r="A496" s="123"/>
      <c r="B496" s="123"/>
      <c r="C496" s="123"/>
      <c r="D496" s="123"/>
      <c r="E496" s="123"/>
      <c r="F496" s="123"/>
      <c r="G496" s="78"/>
      <c r="H496" s="78"/>
      <c r="I496" s="123"/>
      <c r="J496" s="123"/>
      <c r="K496" s="78"/>
      <c r="L496" s="124" t="s">
        <v>51</v>
      </c>
      <c r="M496" s="124"/>
      <c r="N496" s="125">
        <v>0</v>
      </c>
      <c r="O496" s="125"/>
    </row>
    <row r="497" spans="1:20" ht="14.1" customHeight="1" x14ac:dyDescent="0.2">
      <c r="A497" s="120"/>
      <c r="B497" s="120"/>
      <c r="C497" s="120"/>
      <c r="D497" s="120"/>
      <c r="E497" s="120"/>
      <c r="F497" s="120"/>
      <c r="G497" s="120"/>
      <c r="H497" s="120"/>
      <c r="I497" s="120"/>
      <c r="J497" s="120"/>
      <c r="K497" s="120"/>
      <c r="L497" s="120"/>
      <c r="M497" s="120"/>
      <c r="N497" s="120"/>
      <c r="O497" s="120"/>
      <c r="P497" s="120"/>
      <c r="Q497" s="120"/>
      <c r="R497" s="120"/>
      <c r="S497" s="120"/>
    </row>
    <row r="498" spans="1:20" ht="14.1" customHeight="1" x14ac:dyDescent="0.2">
      <c r="A498" s="121" t="s">
        <v>52</v>
      </c>
      <c r="B498" s="121"/>
      <c r="C498" s="121"/>
      <c r="D498" s="121"/>
      <c r="E498" s="121"/>
      <c r="F498" s="121"/>
      <c r="G498" s="121"/>
      <c r="H498" s="121"/>
      <c r="I498" s="121"/>
      <c r="J498" s="121"/>
      <c r="K498" s="121"/>
      <c r="L498" s="121"/>
      <c r="M498" s="121"/>
      <c r="N498" s="121"/>
      <c r="O498" s="121"/>
      <c r="P498" s="121"/>
      <c r="Q498" s="121"/>
      <c r="R498" s="121"/>
      <c r="S498" s="121"/>
    </row>
    <row r="499" spans="1:20" ht="21.6" customHeight="1" x14ac:dyDescent="0.2">
      <c r="A499" s="122" t="s">
        <v>1161</v>
      </c>
      <c r="B499" s="122"/>
      <c r="C499" s="122"/>
      <c r="D499" s="122"/>
      <c r="E499" s="122"/>
      <c r="F499" s="122"/>
      <c r="G499" s="122"/>
      <c r="H499" s="122"/>
      <c r="I499" s="122"/>
      <c r="J499" s="122"/>
      <c r="K499" s="122"/>
      <c r="L499" s="122"/>
      <c r="M499" s="122"/>
      <c r="N499" s="122"/>
      <c r="O499" s="122"/>
      <c r="P499" s="122"/>
      <c r="Q499" s="122"/>
      <c r="R499" s="122"/>
      <c r="S499" s="122"/>
    </row>
    <row r="500" spans="1:20" ht="14.1" customHeight="1" x14ac:dyDescent="0.2">
      <c r="A500" s="120"/>
      <c r="B500" s="120"/>
      <c r="C500" s="120"/>
      <c r="D500" s="120"/>
      <c r="E500" s="120"/>
      <c r="F500" s="120"/>
      <c r="G500" s="120"/>
      <c r="H500" s="120"/>
      <c r="I500" s="120"/>
      <c r="J500" s="120"/>
      <c r="K500" s="120"/>
      <c r="L500" s="120"/>
      <c r="M500" s="120"/>
      <c r="N500" s="120"/>
      <c r="O500" s="120"/>
      <c r="P500" s="120"/>
      <c r="Q500" s="120"/>
      <c r="R500" s="120"/>
      <c r="S500" s="120"/>
    </row>
    <row r="501" spans="1:20" ht="14.1" customHeight="1" x14ac:dyDescent="0.2">
      <c r="A501" s="121" t="s">
        <v>54</v>
      </c>
      <c r="B501" s="121"/>
      <c r="C501" s="121"/>
      <c r="D501" s="121"/>
      <c r="E501" s="121"/>
      <c r="F501" s="121"/>
      <c r="G501" s="121"/>
      <c r="H501" s="121"/>
      <c r="I501" s="121"/>
      <c r="J501" s="121"/>
      <c r="K501" s="121"/>
      <c r="L501" s="121"/>
      <c r="M501" s="121"/>
      <c r="N501" s="121"/>
      <c r="O501" s="121"/>
      <c r="P501" s="121"/>
      <c r="Q501" s="121"/>
      <c r="R501" s="121"/>
      <c r="S501" s="121"/>
    </row>
    <row r="502" spans="1:20" ht="12.15" customHeight="1" x14ac:dyDescent="0.2">
      <c r="A502" s="122" t="s">
        <v>947</v>
      </c>
      <c r="B502" s="122"/>
      <c r="C502" s="122"/>
      <c r="D502" s="122"/>
      <c r="E502" s="122"/>
      <c r="F502" s="122"/>
      <c r="G502" s="122"/>
      <c r="H502" s="122"/>
      <c r="I502" s="122"/>
      <c r="J502" s="122"/>
      <c r="K502" s="122"/>
      <c r="L502" s="122"/>
      <c r="M502" s="122"/>
      <c r="N502" s="122"/>
      <c r="O502" s="122"/>
      <c r="P502" s="122"/>
      <c r="Q502" s="122"/>
      <c r="R502" s="122"/>
      <c r="S502" s="122"/>
    </row>
    <row r="503" spans="1:20" ht="14.1" customHeight="1" x14ac:dyDescent="0.2">
      <c r="A503" s="120"/>
      <c r="B503" s="120"/>
      <c r="C503" s="120"/>
      <c r="D503" s="120"/>
      <c r="E503" s="120"/>
      <c r="F503" s="120"/>
      <c r="G503" s="120"/>
      <c r="H503" s="120"/>
      <c r="I503" s="120"/>
      <c r="J503" s="120"/>
      <c r="K503" s="120"/>
      <c r="L503" s="120"/>
      <c r="M503" s="120"/>
      <c r="N503" s="120"/>
      <c r="O503" s="120"/>
      <c r="P503" s="120"/>
      <c r="Q503" s="120"/>
      <c r="R503" s="120"/>
      <c r="S503" s="120"/>
    </row>
    <row r="504" spans="1:20" ht="14.1" customHeight="1" x14ac:dyDescent="0.2">
      <c r="A504" s="121" t="s">
        <v>56</v>
      </c>
      <c r="B504" s="121"/>
      <c r="C504" s="121"/>
      <c r="D504" s="121"/>
      <c r="E504" s="121"/>
      <c r="F504" s="121"/>
      <c r="G504" s="121"/>
      <c r="H504" s="121"/>
      <c r="I504" s="121"/>
      <c r="J504" s="121"/>
      <c r="K504" s="121"/>
      <c r="L504" s="121"/>
      <c r="M504" s="121"/>
      <c r="N504" s="121"/>
      <c r="O504" s="121"/>
      <c r="P504" s="121"/>
      <c r="Q504" s="121"/>
      <c r="R504" s="121"/>
      <c r="S504" s="121"/>
    </row>
    <row r="505" spans="1:20" ht="49.2" customHeight="1" x14ac:dyDescent="0.2">
      <c r="A505" s="122" t="s">
        <v>1162</v>
      </c>
      <c r="B505" s="122"/>
      <c r="C505" s="122"/>
      <c r="D505" s="122"/>
      <c r="E505" s="122"/>
      <c r="F505" s="122"/>
      <c r="G505" s="122"/>
      <c r="H505" s="122"/>
      <c r="I505" s="122"/>
      <c r="J505" s="122"/>
      <c r="K505" s="122"/>
      <c r="L505" s="122"/>
      <c r="M505" s="122"/>
      <c r="N505" s="122"/>
      <c r="O505" s="122"/>
      <c r="P505" s="122"/>
      <c r="Q505" s="122"/>
      <c r="R505" s="122"/>
      <c r="S505" s="122"/>
    </row>
    <row r="507" spans="1:20" s="1" customFormat="1" ht="72.45" customHeight="1" x14ac:dyDescent="0.25">
      <c r="J507" s="100" t="s">
        <v>0</v>
      </c>
      <c r="K507" s="100"/>
      <c r="L507" s="100"/>
      <c r="M507" s="100"/>
      <c r="N507" s="100"/>
      <c r="O507" s="100"/>
      <c r="P507" s="100"/>
      <c r="Q507" s="100"/>
      <c r="R507" s="100"/>
      <c r="S507" s="100"/>
      <c r="T507" s="100"/>
    </row>
    <row r="508" spans="1:20" ht="7.05" customHeight="1" x14ac:dyDescent="0.2"/>
    <row r="509" spans="1:20" ht="14.1" customHeight="1" x14ac:dyDescent="0.2">
      <c r="B509" s="130" t="s">
        <v>1163</v>
      </c>
      <c r="C509" s="130"/>
      <c r="D509" s="130"/>
      <c r="E509" s="130"/>
      <c r="F509" s="130"/>
      <c r="G509" s="130"/>
      <c r="H509" s="130"/>
      <c r="I509" s="130"/>
      <c r="J509" s="130"/>
      <c r="K509" s="130"/>
      <c r="L509" s="130"/>
      <c r="M509" s="130"/>
      <c r="N509" s="130"/>
      <c r="O509" s="130"/>
      <c r="P509" s="130"/>
      <c r="Q509" s="130"/>
      <c r="R509" s="130"/>
    </row>
    <row r="510" spans="1:20" ht="14.1" customHeight="1" x14ac:dyDescent="0.2"/>
    <row r="511" spans="1:20" ht="14.1" customHeight="1" x14ac:dyDescent="0.2">
      <c r="A511" s="120" t="s">
        <v>2</v>
      </c>
      <c r="B511" s="120"/>
      <c r="C511" s="120"/>
      <c r="D511" s="129" t="s">
        <v>1164</v>
      </c>
      <c r="E511" s="129"/>
      <c r="F511" s="129"/>
      <c r="G511" s="129"/>
      <c r="H511" s="129"/>
      <c r="I511" s="129"/>
      <c r="J511" s="129"/>
      <c r="K511" s="129"/>
      <c r="L511" s="129"/>
      <c r="M511" s="129"/>
      <c r="N511" s="129"/>
      <c r="O511" s="129"/>
      <c r="P511" s="129"/>
      <c r="Q511" s="129"/>
      <c r="R511" s="129"/>
      <c r="S511" s="129"/>
      <c r="T511" s="129"/>
    </row>
    <row r="512" spans="1:20" ht="14.1" customHeight="1" x14ac:dyDescent="0.2">
      <c r="A512" s="120" t="s">
        <v>4</v>
      </c>
      <c r="B512" s="120"/>
      <c r="C512" s="129" t="s">
        <v>1165</v>
      </c>
      <c r="D512" s="129"/>
      <c r="E512" s="129"/>
      <c r="F512" s="129"/>
      <c r="G512" s="129"/>
      <c r="H512" s="129"/>
      <c r="I512" s="129"/>
      <c r="J512" s="129"/>
      <c r="K512" s="129"/>
      <c r="L512" s="129"/>
      <c r="M512" s="129"/>
      <c r="N512" s="129"/>
      <c r="O512" s="129"/>
      <c r="P512" s="129"/>
      <c r="Q512" s="129"/>
      <c r="R512" s="129"/>
      <c r="S512" s="129"/>
      <c r="T512" s="129"/>
    </row>
    <row r="513" spans="1:20" ht="14.1" customHeight="1" x14ac:dyDescent="0.2">
      <c r="A513" s="120" t="s">
        <v>6</v>
      </c>
      <c r="B513" s="120"/>
      <c r="C513" s="120"/>
      <c r="D513" s="120"/>
      <c r="E513" s="120"/>
      <c r="F513" s="129" t="s">
        <v>248</v>
      </c>
      <c r="G513" s="129"/>
      <c r="H513" s="129"/>
      <c r="I513" s="129"/>
      <c r="J513" s="129"/>
      <c r="K513" s="129"/>
      <c r="L513" s="129"/>
      <c r="M513" s="129"/>
      <c r="N513" s="129"/>
      <c r="O513" s="129"/>
      <c r="P513" s="129"/>
      <c r="Q513" s="129"/>
      <c r="R513" s="129"/>
      <c r="S513" s="129"/>
      <c r="T513" s="129"/>
    </row>
    <row r="514" spans="1:20" ht="22.35" customHeight="1" x14ac:dyDescent="0.2">
      <c r="F514" s="129"/>
      <c r="G514" s="129"/>
      <c r="H514" s="129"/>
      <c r="I514" s="129"/>
      <c r="J514" s="129"/>
      <c r="K514" s="129"/>
      <c r="L514" s="129"/>
      <c r="M514" s="129"/>
      <c r="N514" s="129"/>
      <c r="O514" s="129"/>
      <c r="P514" s="129"/>
      <c r="Q514" s="129"/>
      <c r="R514" s="129"/>
      <c r="S514" s="129"/>
      <c r="T514" s="129"/>
    </row>
    <row r="515" spans="1:20" ht="7.05" customHeight="1" x14ac:dyDescent="0.2">
      <c r="A515" s="120"/>
      <c r="B515" s="120"/>
      <c r="C515" s="120"/>
      <c r="D515" s="120"/>
      <c r="E515" s="120"/>
      <c r="F515" s="120"/>
      <c r="G515" s="120"/>
      <c r="H515" s="120"/>
      <c r="I515" s="120"/>
      <c r="J515" s="120"/>
      <c r="K515" s="120"/>
      <c r="L515" s="120"/>
      <c r="M515" s="120"/>
      <c r="N515" s="120"/>
      <c r="O515" s="120"/>
      <c r="P515" s="120"/>
      <c r="Q515" s="75"/>
      <c r="R515" s="120"/>
      <c r="S515" s="120"/>
      <c r="T515" s="120"/>
    </row>
    <row r="516" spans="1:20" ht="16.95" customHeight="1" x14ac:dyDescent="0.2">
      <c r="A516" s="128" t="s">
        <v>8</v>
      </c>
      <c r="B516" s="128"/>
      <c r="C516" s="128"/>
      <c r="D516" s="128"/>
      <c r="E516" s="128"/>
      <c r="F516" s="128"/>
      <c r="G516" s="128"/>
      <c r="H516" s="128"/>
      <c r="I516" s="128"/>
      <c r="J516" s="128"/>
      <c r="K516" s="128"/>
      <c r="L516" s="128"/>
      <c r="M516" s="128" t="s">
        <v>9</v>
      </c>
      <c r="N516" s="128"/>
      <c r="O516" s="128"/>
      <c r="P516" s="128"/>
      <c r="Q516" s="128"/>
      <c r="R516" s="128"/>
      <c r="S516" s="128"/>
      <c r="T516" s="128"/>
    </row>
    <row r="517" spans="1:20" ht="16.95" customHeight="1" x14ac:dyDescent="0.2">
      <c r="A517" s="128"/>
      <c r="B517" s="128"/>
      <c r="C517" s="128"/>
      <c r="D517" s="128"/>
      <c r="E517" s="128"/>
      <c r="F517" s="128"/>
      <c r="G517" s="128"/>
      <c r="H517" s="128"/>
      <c r="I517" s="128"/>
      <c r="J517" s="128"/>
      <c r="K517" s="128"/>
      <c r="L517" s="128"/>
      <c r="M517" s="128" t="s">
        <v>10</v>
      </c>
      <c r="N517" s="128"/>
      <c r="O517" s="128"/>
      <c r="P517" s="128"/>
      <c r="Q517" s="128" t="s">
        <v>11</v>
      </c>
      <c r="R517" s="128"/>
      <c r="S517" s="128"/>
      <c r="T517" s="128"/>
    </row>
    <row r="518" spans="1:20" ht="16.95" customHeight="1" x14ac:dyDescent="0.2">
      <c r="A518" s="128"/>
      <c r="B518" s="128"/>
      <c r="C518" s="128"/>
      <c r="D518" s="128"/>
      <c r="E518" s="128"/>
      <c r="F518" s="128"/>
      <c r="G518" s="128"/>
      <c r="H518" s="128"/>
      <c r="I518" s="128"/>
      <c r="J518" s="128"/>
      <c r="K518" s="128"/>
      <c r="L518" s="128"/>
      <c r="M518" s="128" t="s">
        <v>12</v>
      </c>
      <c r="N518" s="128"/>
      <c r="O518" s="128" t="s">
        <v>13</v>
      </c>
      <c r="P518" s="128"/>
      <c r="Q518" s="76" t="s">
        <v>14</v>
      </c>
      <c r="R518" s="128" t="s">
        <v>15</v>
      </c>
      <c r="S518" s="128"/>
      <c r="T518" s="128"/>
    </row>
    <row r="519" spans="1:20" ht="13.35" customHeight="1" x14ac:dyDescent="0.2">
      <c r="A519" s="124" t="s">
        <v>76</v>
      </c>
      <c r="B519" s="124"/>
      <c r="C519" s="124"/>
      <c r="D519" s="124"/>
      <c r="E519" s="124"/>
      <c r="F519" s="124"/>
      <c r="G519" s="124"/>
      <c r="H519" s="124"/>
      <c r="I519" s="124"/>
      <c r="J519" s="124"/>
      <c r="K519" s="124"/>
      <c r="L519" s="124"/>
      <c r="M519" s="124" t="s">
        <v>125</v>
      </c>
      <c r="N519" s="124"/>
      <c r="O519" s="124" t="s">
        <v>226</v>
      </c>
      <c r="P519" s="124"/>
      <c r="Q519" s="77" t="s">
        <v>1089</v>
      </c>
      <c r="R519" s="124" t="s">
        <v>127</v>
      </c>
      <c r="S519" s="124"/>
      <c r="T519" s="124"/>
    </row>
    <row r="520" spans="1:20" ht="13.35" customHeight="1" x14ac:dyDescent="0.2">
      <c r="A520" s="124" t="s">
        <v>90</v>
      </c>
      <c r="B520" s="124"/>
      <c r="C520" s="124"/>
      <c r="D520" s="124"/>
      <c r="E520" s="124"/>
      <c r="F520" s="124"/>
      <c r="G520" s="124"/>
      <c r="H520" s="124"/>
      <c r="I520" s="124"/>
      <c r="J520" s="124"/>
      <c r="K520" s="124"/>
      <c r="L520" s="124"/>
      <c r="M520" s="124"/>
      <c r="N520" s="124"/>
      <c r="O520" s="124"/>
      <c r="P520" s="124"/>
      <c r="Q520" s="77"/>
      <c r="R520" s="124"/>
      <c r="S520" s="124"/>
      <c r="T520" s="124"/>
    </row>
    <row r="521" spans="1:20" ht="13.35" customHeight="1" x14ac:dyDescent="0.2">
      <c r="A521" s="124" t="s">
        <v>91</v>
      </c>
      <c r="B521" s="124"/>
      <c r="C521" s="124"/>
      <c r="D521" s="124"/>
      <c r="E521" s="124"/>
      <c r="F521" s="124"/>
      <c r="G521" s="124"/>
      <c r="H521" s="124"/>
      <c r="I521" s="124"/>
      <c r="J521" s="124"/>
      <c r="K521" s="124"/>
      <c r="L521" s="124"/>
      <c r="M521" s="124" t="s">
        <v>1166</v>
      </c>
      <c r="N521" s="124"/>
      <c r="O521" s="124" t="s">
        <v>1167</v>
      </c>
      <c r="P521" s="124"/>
      <c r="Q521" s="77" t="s">
        <v>1168</v>
      </c>
      <c r="R521" s="124" t="s">
        <v>435</v>
      </c>
      <c r="S521" s="124"/>
      <c r="T521" s="124"/>
    </row>
    <row r="522" spans="1:20" ht="13.35" customHeight="1" x14ac:dyDescent="0.2">
      <c r="A522" s="124" t="s">
        <v>94</v>
      </c>
      <c r="B522" s="124"/>
      <c r="C522" s="124"/>
      <c r="D522" s="124"/>
      <c r="E522" s="124"/>
      <c r="F522" s="124"/>
      <c r="G522" s="124"/>
      <c r="H522" s="124"/>
      <c r="I522" s="124"/>
      <c r="J522" s="124"/>
      <c r="K522" s="124"/>
      <c r="L522" s="124"/>
      <c r="M522" s="124" t="s">
        <v>1169</v>
      </c>
      <c r="N522" s="124"/>
      <c r="O522" s="124" t="s">
        <v>1167</v>
      </c>
      <c r="P522" s="124"/>
      <c r="Q522" s="77" t="s">
        <v>1170</v>
      </c>
      <c r="R522" s="124" t="s">
        <v>435</v>
      </c>
      <c r="S522" s="124"/>
      <c r="T522" s="124"/>
    </row>
    <row r="523" spans="1:20" ht="13.35" customHeight="1" x14ac:dyDescent="0.2">
      <c r="A523" s="124" t="s">
        <v>18</v>
      </c>
      <c r="B523" s="124"/>
      <c r="C523" s="124"/>
      <c r="D523" s="124"/>
      <c r="E523" s="124"/>
      <c r="F523" s="124"/>
      <c r="G523" s="124"/>
      <c r="H523" s="124"/>
      <c r="I523" s="124"/>
      <c r="J523" s="124"/>
      <c r="K523" s="124"/>
      <c r="L523" s="124"/>
      <c r="M523" s="124" t="s">
        <v>19</v>
      </c>
      <c r="N523" s="124"/>
      <c r="O523" s="124" t="s">
        <v>19</v>
      </c>
      <c r="P523" s="124"/>
      <c r="Q523" s="77" t="s">
        <v>20</v>
      </c>
      <c r="R523" s="124" t="s">
        <v>20</v>
      </c>
      <c r="S523" s="124"/>
      <c r="T523" s="124"/>
    </row>
    <row r="524" spans="1:20" ht="14.1" customHeight="1" x14ac:dyDescent="0.2">
      <c r="A524" s="126" t="s">
        <v>134</v>
      </c>
      <c r="B524" s="126"/>
      <c r="C524" s="126"/>
      <c r="D524" s="126"/>
      <c r="E524" s="126"/>
      <c r="F524" s="126"/>
      <c r="G524" s="126"/>
      <c r="H524" s="126"/>
      <c r="I524" s="126"/>
      <c r="J524" s="126"/>
      <c r="K524" s="126"/>
      <c r="L524" s="126"/>
      <c r="M524" s="126"/>
      <c r="N524" s="126"/>
      <c r="O524" s="126"/>
      <c r="P524" s="126"/>
      <c r="Q524" s="126"/>
      <c r="R524" s="126"/>
      <c r="S524" s="126"/>
      <c r="T524" s="126"/>
    </row>
    <row r="525" spans="1:20" ht="14.1" customHeight="1" x14ac:dyDescent="0.2"/>
    <row r="526" spans="1:20" ht="14.1" customHeight="1" x14ac:dyDescent="0.2">
      <c r="A526" s="121" t="s">
        <v>33</v>
      </c>
      <c r="B526" s="121"/>
      <c r="C526" s="121"/>
      <c r="D526" s="121"/>
      <c r="E526" s="121"/>
      <c r="F526" s="121"/>
      <c r="G526" s="121"/>
      <c r="H526" s="121"/>
      <c r="I526" s="121"/>
      <c r="J526" s="121"/>
      <c r="K526" s="121"/>
      <c r="L526" s="121"/>
      <c r="M526" s="121"/>
      <c r="N526" s="121"/>
    </row>
    <row r="527" spans="1:20" ht="13.35" customHeight="1" x14ac:dyDescent="0.2">
      <c r="A527" s="124" t="s">
        <v>34</v>
      </c>
      <c r="B527" s="124"/>
      <c r="C527" s="124"/>
      <c r="D527" s="124"/>
      <c r="E527" s="125">
        <v>1.47</v>
      </c>
      <c r="F527" s="125"/>
      <c r="G527" s="78"/>
      <c r="H527" s="77" t="s">
        <v>35</v>
      </c>
      <c r="I527" s="125">
        <v>0.02</v>
      </c>
      <c r="J527" s="125"/>
      <c r="K527" s="78"/>
      <c r="L527" s="124" t="s">
        <v>36</v>
      </c>
      <c r="M527" s="124"/>
      <c r="N527" s="125">
        <v>33.43</v>
      </c>
      <c r="O527" s="125"/>
    </row>
    <row r="528" spans="1:20" ht="13.35" customHeight="1" x14ac:dyDescent="0.2">
      <c r="A528" s="124" t="s">
        <v>37</v>
      </c>
      <c r="B528" s="124"/>
      <c r="C528" s="124"/>
      <c r="D528" s="124"/>
      <c r="E528" s="125">
        <v>6.09</v>
      </c>
      <c r="F528" s="125"/>
      <c r="G528" s="78"/>
      <c r="H528" s="77" t="s">
        <v>38</v>
      </c>
      <c r="I528" s="125">
        <v>3.91</v>
      </c>
      <c r="J528" s="125"/>
      <c r="K528" s="78"/>
      <c r="L528" s="124" t="s">
        <v>39</v>
      </c>
      <c r="M528" s="124"/>
      <c r="N528" s="125">
        <v>19.399999999999999</v>
      </c>
      <c r="O528" s="125"/>
    </row>
    <row r="529" spans="1:19" ht="13.35" customHeight="1" x14ac:dyDescent="0.2">
      <c r="A529" s="124" t="s">
        <v>40</v>
      </c>
      <c r="B529" s="124"/>
      <c r="C529" s="124"/>
      <c r="D529" s="124"/>
      <c r="E529" s="125">
        <v>8.48</v>
      </c>
      <c r="F529" s="125"/>
      <c r="G529" s="78"/>
      <c r="H529" s="77" t="s">
        <v>41</v>
      </c>
      <c r="I529" s="125">
        <v>0</v>
      </c>
      <c r="J529" s="125"/>
      <c r="K529" s="78"/>
      <c r="L529" s="124" t="s">
        <v>42</v>
      </c>
      <c r="M529" s="124"/>
      <c r="N529" s="125">
        <v>38.29</v>
      </c>
      <c r="O529" s="125"/>
    </row>
    <row r="530" spans="1:19" ht="13.35" customHeight="1" x14ac:dyDescent="0.2">
      <c r="A530" s="124" t="s">
        <v>43</v>
      </c>
      <c r="B530" s="124"/>
      <c r="C530" s="124"/>
      <c r="D530" s="124"/>
      <c r="E530" s="125">
        <v>94.47</v>
      </c>
      <c r="F530" s="125"/>
      <c r="G530" s="78"/>
      <c r="H530" s="77" t="s">
        <v>44</v>
      </c>
      <c r="I530" s="125">
        <v>2.66</v>
      </c>
      <c r="J530" s="125"/>
      <c r="K530" s="78"/>
      <c r="L530" s="124" t="s">
        <v>45</v>
      </c>
      <c r="M530" s="124"/>
      <c r="N530" s="125">
        <v>1.23</v>
      </c>
      <c r="O530" s="125"/>
    </row>
    <row r="531" spans="1:19" ht="13.35" customHeight="1" x14ac:dyDescent="0.2">
      <c r="A531" s="123"/>
      <c r="B531" s="123"/>
      <c r="C531" s="123"/>
      <c r="D531" s="123"/>
      <c r="E531" s="123"/>
      <c r="F531" s="123"/>
      <c r="G531" s="78"/>
      <c r="H531" s="77" t="s">
        <v>46</v>
      </c>
      <c r="I531" s="125">
        <v>0</v>
      </c>
      <c r="J531" s="125"/>
      <c r="K531" s="78"/>
      <c r="L531" s="124" t="s">
        <v>47</v>
      </c>
      <c r="M531" s="124"/>
      <c r="N531" s="125">
        <v>281.18</v>
      </c>
      <c r="O531" s="125"/>
    </row>
    <row r="532" spans="1:19" ht="13.35" customHeight="1" x14ac:dyDescent="0.2">
      <c r="A532" s="123"/>
      <c r="B532" s="123"/>
      <c r="C532" s="123"/>
      <c r="D532" s="123"/>
      <c r="E532" s="123"/>
      <c r="F532" s="123"/>
      <c r="G532" s="78"/>
      <c r="H532" s="77" t="s">
        <v>48</v>
      </c>
      <c r="I532" s="125">
        <v>0.03</v>
      </c>
      <c r="J532" s="125"/>
      <c r="K532" s="78"/>
      <c r="L532" s="124" t="s">
        <v>49</v>
      </c>
      <c r="M532" s="124"/>
      <c r="N532" s="125">
        <v>6.79</v>
      </c>
      <c r="O532" s="125"/>
    </row>
    <row r="533" spans="1:19" ht="13.35" customHeight="1" x14ac:dyDescent="0.2">
      <c r="A533" s="123"/>
      <c r="B533" s="123"/>
      <c r="C533" s="123"/>
      <c r="D533" s="123"/>
      <c r="E533" s="123"/>
      <c r="F533" s="123"/>
      <c r="G533" s="78"/>
      <c r="H533" s="78"/>
      <c r="I533" s="123"/>
      <c r="J533" s="123"/>
      <c r="K533" s="78"/>
      <c r="L533" s="124" t="s">
        <v>50</v>
      </c>
      <c r="M533" s="124"/>
      <c r="N533" s="125">
        <v>0.02</v>
      </c>
      <c r="O533" s="125"/>
    </row>
    <row r="534" spans="1:19" ht="13.35" customHeight="1" x14ac:dyDescent="0.2">
      <c r="A534" s="123"/>
      <c r="B534" s="123"/>
      <c r="C534" s="123"/>
      <c r="D534" s="123"/>
      <c r="E534" s="123"/>
      <c r="F534" s="123"/>
      <c r="G534" s="78"/>
      <c r="H534" s="78"/>
      <c r="I534" s="123"/>
      <c r="J534" s="123"/>
      <c r="K534" s="78"/>
      <c r="L534" s="124" t="s">
        <v>51</v>
      </c>
      <c r="M534" s="124"/>
      <c r="N534" s="125">
        <v>0</v>
      </c>
      <c r="O534" s="125"/>
    </row>
    <row r="535" spans="1:19" ht="14.1" customHeight="1" x14ac:dyDescent="0.2">
      <c r="A535" s="120"/>
      <c r="B535" s="120"/>
      <c r="C535" s="120"/>
      <c r="D535" s="120"/>
      <c r="E535" s="120"/>
      <c r="F535" s="120"/>
      <c r="G535" s="120"/>
      <c r="H535" s="120"/>
      <c r="I535" s="120"/>
      <c r="J535" s="120"/>
      <c r="K535" s="120"/>
      <c r="L535" s="120"/>
      <c r="M535" s="120"/>
      <c r="N535" s="120"/>
      <c r="O535" s="120"/>
      <c r="P535" s="120"/>
      <c r="Q535" s="120"/>
      <c r="R535" s="120"/>
      <c r="S535" s="120"/>
    </row>
    <row r="536" spans="1:19" ht="14.1" customHeight="1" x14ac:dyDescent="0.2">
      <c r="A536" s="121" t="s">
        <v>52</v>
      </c>
      <c r="B536" s="121"/>
      <c r="C536" s="121"/>
      <c r="D536" s="121"/>
      <c r="E536" s="121"/>
      <c r="F536" s="121"/>
      <c r="G536" s="121"/>
      <c r="H536" s="121"/>
      <c r="I536" s="121"/>
      <c r="J536" s="121"/>
      <c r="K536" s="121"/>
      <c r="L536" s="121"/>
      <c r="M536" s="121"/>
      <c r="N536" s="121"/>
      <c r="O536" s="121"/>
      <c r="P536" s="121"/>
      <c r="Q536" s="121"/>
      <c r="R536" s="121"/>
      <c r="S536" s="121"/>
    </row>
    <row r="537" spans="1:19" ht="21.6" customHeight="1" x14ac:dyDescent="0.2">
      <c r="A537" s="122" t="s">
        <v>1171</v>
      </c>
      <c r="B537" s="122"/>
      <c r="C537" s="122"/>
      <c r="D537" s="122"/>
      <c r="E537" s="122"/>
      <c r="F537" s="122"/>
      <c r="G537" s="122"/>
      <c r="H537" s="122"/>
      <c r="I537" s="122"/>
      <c r="J537" s="122"/>
      <c r="K537" s="122"/>
      <c r="L537" s="122"/>
      <c r="M537" s="122"/>
      <c r="N537" s="122"/>
      <c r="O537" s="122"/>
      <c r="P537" s="122"/>
      <c r="Q537" s="122"/>
      <c r="R537" s="122"/>
      <c r="S537" s="122"/>
    </row>
    <row r="538" spans="1:19" ht="14.1" customHeight="1" x14ac:dyDescent="0.2">
      <c r="A538" s="120"/>
      <c r="B538" s="120"/>
      <c r="C538" s="120"/>
      <c r="D538" s="120"/>
      <c r="E538" s="120"/>
      <c r="F538" s="120"/>
      <c r="G538" s="120"/>
      <c r="H538" s="120"/>
      <c r="I538" s="120"/>
      <c r="J538" s="120"/>
      <c r="K538" s="120"/>
      <c r="L538" s="120"/>
      <c r="M538" s="120"/>
      <c r="N538" s="120"/>
      <c r="O538" s="120"/>
      <c r="P538" s="120"/>
      <c r="Q538" s="120"/>
      <c r="R538" s="120"/>
      <c r="S538" s="120"/>
    </row>
    <row r="539" spans="1:19" ht="14.1" customHeight="1" x14ac:dyDescent="0.2">
      <c r="A539" s="121" t="s">
        <v>54</v>
      </c>
      <c r="B539" s="121"/>
      <c r="C539" s="121"/>
      <c r="D539" s="121"/>
      <c r="E539" s="121"/>
      <c r="F539" s="121"/>
      <c r="G539" s="121"/>
      <c r="H539" s="121"/>
      <c r="I539" s="121"/>
      <c r="J539" s="121"/>
      <c r="K539" s="121"/>
      <c r="L539" s="121"/>
      <c r="M539" s="121"/>
      <c r="N539" s="121"/>
      <c r="O539" s="121"/>
      <c r="P539" s="121"/>
      <c r="Q539" s="121"/>
      <c r="R539" s="121"/>
      <c r="S539" s="121"/>
    </row>
    <row r="540" spans="1:19" ht="12.15" customHeight="1" x14ac:dyDescent="0.2">
      <c r="A540" s="122" t="s">
        <v>1172</v>
      </c>
      <c r="B540" s="122"/>
      <c r="C540" s="122"/>
      <c r="D540" s="122"/>
      <c r="E540" s="122"/>
      <c r="F540" s="122"/>
      <c r="G540" s="122"/>
      <c r="H540" s="122"/>
      <c r="I540" s="122"/>
      <c r="J540" s="122"/>
      <c r="K540" s="122"/>
      <c r="L540" s="122"/>
      <c r="M540" s="122"/>
      <c r="N540" s="122"/>
      <c r="O540" s="122"/>
      <c r="P540" s="122"/>
      <c r="Q540" s="122"/>
      <c r="R540" s="122"/>
      <c r="S540" s="122"/>
    </row>
    <row r="541" spans="1:19" ht="14.1" customHeight="1" x14ac:dyDescent="0.2">
      <c r="A541" s="120"/>
      <c r="B541" s="120"/>
      <c r="C541" s="120"/>
      <c r="D541" s="120"/>
      <c r="E541" s="120"/>
      <c r="F541" s="120"/>
      <c r="G541" s="120"/>
      <c r="H541" s="120"/>
      <c r="I541" s="120"/>
      <c r="J541" s="120"/>
      <c r="K541" s="120"/>
      <c r="L541" s="120"/>
      <c r="M541" s="120"/>
      <c r="N541" s="120"/>
      <c r="O541" s="120"/>
      <c r="P541" s="120"/>
      <c r="Q541" s="120"/>
      <c r="R541" s="120"/>
      <c r="S541" s="120"/>
    </row>
    <row r="542" spans="1:19" ht="14.1" customHeight="1" x14ac:dyDescent="0.2">
      <c r="A542" s="121" t="s">
        <v>56</v>
      </c>
      <c r="B542" s="121"/>
      <c r="C542" s="121"/>
      <c r="D542" s="121"/>
      <c r="E542" s="121"/>
      <c r="F542" s="121"/>
      <c r="G542" s="121"/>
      <c r="H542" s="121"/>
      <c r="I542" s="121"/>
      <c r="J542" s="121"/>
      <c r="K542" s="121"/>
      <c r="L542" s="121"/>
      <c r="M542" s="121"/>
      <c r="N542" s="121"/>
      <c r="O542" s="121"/>
      <c r="P542" s="121"/>
      <c r="Q542" s="121"/>
      <c r="R542" s="121"/>
      <c r="S542" s="121"/>
    </row>
    <row r="543" spans="1:19" ht="40.049999999999997" customHeight="1" x14ac:dyDescent="0.2">
      <c r="A543" s="122" t="s">
        <v>1173</v>
      </c>
      <c r="B543" s="122"/>
      <c r="C543" s="122"/>
      <c r="D543" s="122"/>
      <c r="E543" s="122"/>
      <c r="F543" s="122"/>
      <c r="G543" s="122"/>
      <c r="H543" s="122"/>
      <c r="I543" s="122"/>
      <c r="J543" s="122"/>
      <c r="K543" s="122"/>
      <c r="L543" s="122"/>
      <c r="M543" s="122"/>
      <c r="N543" s="122"/>
      <c r="O543" s="122"/>
      <c r="P543" s="122"/>
      <c r="Q543" s="122"/>
      <c r="R543" s="122"/>
      <c r="S543" s="122"/>
    </row>
    <row r="545" spans="1:20" s="1" customFormat="1" ht="72.45" customHeight="1" x14ac:dyDescent="0.25">
      <c r="J545" s="100" t="s">
        <v>0</v>
      </c>
      <c r="K545" s="100"/>
      <c r="L545" s="100"/>
      <c r="M545" s="100"/>
      <c r="N545" s="100"/>
      <c r="O545" s="100"/>
      <c r="P545" s="100"/>
      <c r="Q545" s="100"/>
      <c r="R545" s="100"/>
      <c r="S545" s="100"/>
      <c r="T545" s="100"/>
    </row>
    <row r="546" spans="1:20" ht="7.05" customHeight="1" x14ac:dyDescent="0.2"/>
    <row r="547" spans="1:20" ht="14.1" customHeight="1" x14ac:dyDescent="0.2">
      <c r="B547" s="130" t="s">
        <v>1174</v>
      </c>
      <c r="C547" s="130"/>
      <c r="D547" s="130"/>
      <c r="E547" s="130"/>
      <c r="F547" s="130"/>
      <c r="G547" s="130"/>
      <c r="H547" s="130"/>
      <c r="I547" s="130"/>
      <c r="J547" s="130"/>
      <c r="K547" s="130"/>
      <c r="L547" s="130"/>
      <c r="M547" s="130"/>
      <c r="N547" s="130"/>
      <c r="O547" s="130"/>
      <c r="P547" s="130"/>
      <c r="Q547" s="130"/>
      <c r="R547" s="130"/>
    </row>
    <row r="548" spans="1:20" ht="14.1" customHeight="1" x14ac:dyDescent="0.2"/>
    <row r="549" spans="1:20" ht="14.1" customHeight="1" x14ac:dyDescent="0.2">
      <c r="A549" s="120" t="s">
        <v>2</v>
      </c>
      <c r="B549" s="120"/>
      <c r="C549" s="120"/>
      <c r="D549" s="129" t="s">
        <v>1175</v>
      </c>
      <c r="E549" s="129"/>
      <c r="F549" s="129"/>
      <c r="G549" s="129"/>
      <c r="H549" s="129"/>
      <c r="I549" s="129"/>
      <c r="J549" s="129"/>
      <c r="K549" s="129"/>
      <c r="L549" s="129"/>
      <c r="M549" s="129"/>
      <c r="N549" s="129"/>
      <c r="O549" s="129"/>
      <c r="P549" s="129"/>
      <c r="Q549" s="129"/>
      <c r="R549" s="129"/>
      <c r="S549" s="129"/>
      <c r="T549" s="129"/>
    </row>
    <row r="550" spans="1:20" ht="14.1" customHeight="1" x14ac:dyDescent="0.2">
      <c r="A550" s="120" t="s">
        <v>4</v>
      </c>
      <c r="B550" s="120"/>
      <c r="C550" s="129" t="s">
        <v>467</v>
      </c>
      <c r="D550" s="129"/>
      <c r="E550" s="129"/>
      <c r="F550" s="129"/>
      <c r="G550" s="129"/>
      <c r="H550" s="129"/>
      <c r="I550" s="129"/>
      <c r="J550" s="129"/>
      <c r="K550" s="129"/>
      <c r="L550" s="129"/>
      <c r="M550" s="129"/>
      <c r="N550" s="129"/>
      <c r="O550" s="129"/>
      <c r="P550" s="129"/>
      <c r="Q550" s="129"/>
      <c r="R550" s="129"/>
      <c r="S550" s="129"/>
      <c r="T550" s="129"/>
    </row>
    <row r="551" spans="1:20" ht="14.1" customHeight="1" x14ac:dyDescent="0.2">
      <c r="A551" s="120" t="s">
        <v>6</v>
      </c>
      <c r="B551" s="120"/>
      <c r="C551" s="120"/>
      <c r="D551" s="120"/>
      <c r="E551" s="120"/>
      <c r="F551" s="129" t="s">
        <v>320</v>
      </c>
      <c r="G551" s="129"/>
      <c r="H551" s="129"/>
      <c r="I551" s="129"/>
      <c r="J551" s="129"/>
      <c r="K551" s="129"/>
      <c r="L551" s="129"/>
      <c r="M551" s="129"/>
      <c r="N551" s="129"/>
      <c r="O551" s="129"/>
      <c r="P551" s="129"/>
      <c r="Q551" s="129"/>
      <c r="R551" s="129"/>
      <c r="S551" s="129"/>
      <c r="T551" s="129"/>
    </row>
    <row r="552" spans="1:20" ht="22.35" customHeight="1" x14ac:dyDescent="0.2">
      <c r="F552" s="129"/>
      <c r="G552" s="129"/>
      <c r="H552" s="129"/>
      <c r="I552" s="129"/>
      <c r="J552" s="129"/>
      <c r="K552" s="129"/>
      <c r="L552" s="129"/>
      <c r="M552" s="129"/>
      <c r="N552" s="129"/>
      <c r="O552" s="129"/>
      <c r="P552" s="129"/>
      <c r="Q552" s="129"/>
      <c r="R552" s="129"/>
      <c r="S552" s="129"/>
      <c r="T552" s="129"/>
    </row>
    <row r="553" spans="1:20" ht="7.05" customHeight="1" x14ac:dyDescent="0.2">
      <c r="A553" s="120"/>
      <c r="B553" s="120"/>
      <c r="C553" s="120"/>
      <c r="D553" s="120"/>
      <c r="E553" s="120"/>
      <c r="F553" s="120"/>
      <c r="G553" s="120"/>
      <c r="H553" s="120"/>
      <c r="I553" s="120"/>
      <c r="J553" s="120"/>
      <c r="K553" s="120"/>
      <c r="L553" s="120"/>
      <c r="M553" s="120"/>
      <c r="N553" s="120"/>
      <c r="O553" s="120"/>
      <c r="P553" s="120"/>
      <c r="Q553" s="75"/>
      <c r="R553" s="120"/>
      <c r="S553" s="120"/>
      <c r="T553" s="120"/>
    </row>
    <row r="554" spans="1:20" ht="16.95" customHeight="1" x14ac:dyDescent="0.2">
      <c r="A554" s="128" t="s">
        <v>8</v>
      </c>
      <c r="B554" s="128"/>
      <c r="C554" s="128"/>
      <c r="D554" s="128"/>
      <c r="E554" s="128"/>
      <c r="F554" s="128"/>
      <c r="G554" s="128"/>
      <c r="H554" s="128"/>
      <c r="I554" s="128"/>
      <c r="J554" s="128"/>
      <c r="K554" s="128"/>
      <c r="L554" s="128"/>
      <c r="M554" s="128" t="s">
        <v>9</v>
      </c>
      <c r="N554" s="128"/>
      <c r="O554" s="128"/>
      <c r="P554" s="128"/>
      <c r="Q554" s="128"/>
      <c r="R554" s="128"/>
      <c r="S554" s="128"/>
      <c r="T554" s="128"/>
    </row>
    <row r="555" spans="1:20" ht="16.95" customHeight="1" x14ac:dyDescent="0.2">
      <c r="A555" s="128"/>
      <c r="B555" s="128"/>
      <c r="C555" s="128"/>
      <c r="D555" s="128"/>
      <c r="E555" s="128"/>
      <c r="F555" s="128"/>
      <c r="G555" s="128"/>
      <c r="H555" s="128"/>
      <c r="I555" s="128"/>
      <c r="J555" s="128"/>
      <c r="K555" s="128"/>
      <c r="L555" s="128"/>
      <c r="M555" s="128" t="s">
        <v>10</v>
      </c>
      <c r="N555" s="128"/>
      <c r="O555" s="128"/>
      <c r="P555" s="128"/>
      <c r="Q555" s="128" t="s">
        <v>11</v>
      </c>
      <c r="R555" s="128"/>
      <c r="S555" s="128"/>
      <c r="T555" s="128"/>
    </row>
    <row r="556" spans="1:20" ht="16.95" customHeight="1" x14ac:dyDescent="0.2">
      <c r="A556" s="128"/>
      <c r="B556" s="128"/>
      <c r="C556" s="128"/>
      <c r="D556" s="128"/>
      <c r="E556" s="128"/>
      <c r="F556" s="128"/>
      <c r="G556" s="128"/>
      <c r="H556" s="128"/>
      <c r="I556" s="128"/>
      <c r="J556" s="128"/>
      <c r="K556" s="128"/>
      <c r="L556" s="128"/>
      <c r="M556" s="128" t="s">
        <v>12</v>
      </c>
      <c r="N556" s="128"/>
      <c r="O556" s="128" t="s">
        <v>13</v>
      </c>
      <c r="P556" s="128"/>
      <c r="Q556" s="76" t="s">
        <v>14</v>
      </c>
      <c r="R556" s="128" t="s">
        <v>15</v>
      </c>
      <c r="S556" s="128"/>
      <c r="T556" s="128"/>
    </row>
    <row r="557" spans="1:20" ht="13.35" customHeight="1" x14ac:dyDescent="0.2">
      <c r="A557" s="124" t="s">
        <v>1176</v>
      </c>
      <c r="B557" s="124"/>
      <c r="C557" s="124"/>
      <c r="D557" s="124"/>
      <c r="E557" s="124"/>
      <c r="F557" s="124"/>
      <c r="G557" s="124"/>
      <c r="H557" s="124"/>
      <c r="I557" s="124"/>
      <c r="J557" s="124"/>
      <c r="K557" s="124"/>
      <c r="L557" s="124"/>
      <c r="M557" s="124" t="s">
        <v>1177</v>
      </c>
      <c r="N557" s="124"/>
      <c r="O557" s="124" t="s">
        <v>1178</v>
      </c>
      <c r="P557" s="124"/>
      <c r="Q557" s="77" t="s">
        <v>1179</v>
      </c>
      <c r="R557" s="124" t="s">
        <v>1180</v>
      </c>
      <c r="S557" s="124"/>
      <c r="T557" s="124"/>
    </row>
    <row r="558" spans="1:20" ht="13.35" customHeight="1" x14ac:dyDescent="0.2">
      <c r="A558" s="124" t="s">
        <v>21</v>
      </c>
      <c r="B558" s="124"/>
      <c r="C558" s="124"/>
      <c r="D558" s="124"/>
      <c r="E558" s="124"/>
      <c r="F558" s="124"/>
      <c r="G558" s="124"/>
      <c r="H558" s="124"/>
      <c r="I558" s="124"/>
      <c r="J558" s="124"/>
      <c r="K558" s="124"/>
      <c r="L558" s="124"/>
      <c r="M558" s="124" t="s">
        <v>1181</v>
      </c>
      <c r="N558" s="124"/>
      <c r="O558" s="124" t="s">
        <v>563</v>
      </c>
      <c r="P558" s="124"/>
      <c r="Q558" s="77" t="s">
        <v>1182</v>
      </c>
      <c r="R558" s="124" t="s">
        <v>991</v>
      </c>
      <c r="S558" s="124"/>
      <c r="T558" s="124"/>
    </row>
    <row r="559" spans="1:20" ht="13.35" customHeight="1" x14ac:dyDescent="0.2">
      <c r="A559" s="124" t="s">
        <v>18</v>
      </c>
      <c r="B559" s="124"/>
      <c r="C559" s="124"/>
      <c r="D559" s="124"/>
      <c r="E559" s="124"/>
      <c r="F559" s="124"/>
      <c r="G559" s="124"/>
      <c r="H559" s="124"/>
      <c r="I559" s="124"/>
      <c r="J559" s="124"/>
      <c r="K559" s="124"/>
      <c r="L559" s="124"/>
      <c r="M559" s="124" t="s">
        <v>178</v>
      </c>
      <c r="N559" s="124"/>
      <c r="O559" s="124" t="s">
        <v>178</v>
      </c>
      <c r="P559" s="124"/>
      <c r="Q559" s="77" t="s">
        <v>179</v>
      </c>
      <c r="R559" s="124" t="s">
        <v>179</v>
      </c>
      <c r="S559" s="124"/>
      <c r="T559" s="124"/>
    </row>
    <row r="560" spans="1:20" ht="14.1" customHeight="1" x14ac:dyDescent="0.2">
      <c r="A560" s="126" t="s">
        <v>134</v>
      </c>
      <c r="B560" s="126"/>
      <c r="C560" s="126"/>
      <c r="D560" s="126"/>
      <c r="E560" s="126"/>
      <c r="F560" s="126"/>
      <c r="G560" s="126"/>
      <c r="H560" s="126"/>
      <c r="I560" s="126"/>
      <c r="J560" s="126"/>
      <c r="K560" s="126"/>
      <c r="L560" s="126"/>
      <c r="M560" s="126"/>
      <c r="N560" s="126"/>
      <c r="O560" s="126"/>
      <c r="P560" s="126"/>
      <c r="Q560" s="126"/>
      <c r="R560" s="126"/>
      <c r="S560" s="126"/>
      <c r="T560" s="126"/>
    </row>
    <row r="561" spans="1:19" ht="14.1" customHeight="1" x14ac:dyDescent="0.2"/>
    <row r="562" spans="1:19" ht="14.1" customHeight="1" x14ac:dyDescent="0.2">
      <c r="A562" s="121" t="s">
        <v>33</v>
      </c>
      <c r="B562" s="121"/>
      <c r="C562" s="121"/>
      <c r="D562" s="121"/>
      <c r="E562" s="121"/>
      <c r="F562" s="121"/>
      <c r="G562" s="121"/>
      <c r="H562" s="121"/>
      <c r="I562" s="121"/>
      <c r="J562" s="121"/>
      <c r="K562" s="121"/>
      <c r="L562" s="121"/>
      <c r="M562" s="121"/>
      <c r="N562" s="121"/>
    </row>
    <row r="563" spans="1:19" ht="13.35" customHeight="1" x14ac:dyDescent="0.2">
      <c r="A563" s="124" t="s">
        <v>34</v>
      </c>
      <c r="B563" s="124"/>
      <c r="C563" s="124"/>
      <c r="D563" s="124"/>
      <c r="E563" s="125">
        <v>1.0900000000000001</v>
      </c>
      <c r="F563" s="125"/>
      <c r="G563" s="78"/>
      <c r="H563" s="77" t="s">
        <v>35</v>
      </c>
      <c r="I563" s="125">
        <v>0.04</v>
      </c>
      <c r="J563" s="125"/>
      <c r="K563" s="78"/>
      <c r="L563" s="124" t="s">
        <v>36</v>
      </c>
      <c r="M563" s="124"/>
      <c r="N563" s="125">
        <v>15.33</v>
      </c>
      <c r="O563" s="125"/>
    </row>
    <row r="564" spans="1:19" ht="13.35" customHeight="1" x14ac:dyDescent="0.2">
      <c r="A564" s="124" t="s">
        <v>37</v>
      </c>
      <c r="B564" s="124"/>
      <c r="C564" s="124"/>
      <c r="D564" s="124"/>
      <c r="E564" s="125">
        <v>5.65</v>
      </c>
      <c r="F564" s="125"/>
      <c r="G564" s="78"/>
      <c r="H564" s="77" t="s">
        <v>38</v>
      </c>
      <c r="I564" s="125">
        <v>8.7200000000000006</v>
      </c>
      <c r="J564" s="125"/>
      <c r="K564" s="78"/>
      <c r="L564" s="124" t="s">
        <v>39</v>
      </c>
      <c r="M564" s="124"/>
      <c r="N564" s="125">
        <v>18.079999999999998</v>
      </c>
      <c r="O564" s="125"/>
    </row>
    <row r="565" spans="1:19" ht="13.35" customHeight="1" x14ac:dyDescent="0.2">
      <c r="A565" s="124" t="s">
        <v>40</v>
      </c>
      <c r="B565" s="124"/>
      <c r="C565" s="124"/>
      <c r="D565" s="124"/>
      <c r="E565" s="125">
        <v>3.08</v>
      </c>
      <c r="F565" s="125"/>
      <c r="G565" s="78"/>
      <c r="H565" s="77" t="s">
        <v>41</v>
      </c>
      <c r="I565" s="125">
        <v>0</v>
      </c>
      <c r="J565" s="125"/>
      <c r="K565" s="78"/>
      <c r="L565" s="124" t="s">
        <v>42</v>
      </c>
      <c r="M565" s="124"/>
      <c r="N565" s="125">
        <v>28.64</v>
      </c>
      <c r="O565" s="125"/>
    </row>
    <row r="566" spans="1:19" ht="13.35" customHeight="1" x14ac:dyDescent="0.2">
      <c r="A566" s="124" t="s">
        <v>43</v>
      </c>
      <c r="B566" s="124"/>
      <c r="C566" s="124"/>
      <c r="D566" s="124"/>
      <c r="E566" s="125">
        <v>67.569999999999993</v>
      </c>
      <c r="F566" s="125"/>
      <c r="G566" s="78"/>
      <c r="H566" s="77" t="s">
        <v>44</v>
      </c>
      <c r="I566" s="125">
        <v>2.4700000000000002</v>
      </c>
      <c r="J566" s="125"/>
      <c r="K566" s="78"/>
      <c r="L566" s="124" t="s">
        <v>45</v>
      </c>
      <c r="M566" s="124"/>
      <c r="N566" s="125">
        <v>0.95</v>
      </c>
      <c r="O566" s="125"/>
    </row>
    <row r="567" spans="1:19" ht="13.35" customHeight="1" x14ac:dyDescent="0.2">
      <c r="A567" s="123"/>
      <c r="B567" s="123"/>
      <c r="C567" s="123"/>
      <c r="D567" s="123"/>
      <c r="E567" s="123"/>
      <c r="F567" s="123"/>
      <c r="G567" s="78"/>
      <c r="H567" s="77" t="s">
        <v>46</v>
      </c>
      <c r="I567" s="125">
        <v>0</v>
      </c>
      <c r="J567" s="125"/>
      <c r="K567" s="78"/>
      <c r="L567" s="124" t="s">
        <v>47</v>
      </c>
      <c r="M567" s="124"/>
      <c r="N567" s="125">
        <v>261.14</v>
      </c>
      <c r="O567" s="125"/>
    </row>
    <row r="568" spans="1:19" ht="13.35" customHeight="1" x14ac:dyDescent="0.2">
      <c r="A568" s="123"/>
      <c r="B568" s="123"/>
      <c r="C568" s="123"/>
      <c r="D568" s="123"/>
      <c r="E568" s="123"/>
      <c r="F568" s="123"/>
      <c r="G568" s="78"/>
      <c r="H568" s="77" t="s">
        <v>48</v>
      </c>
      <c r="I568" s="125">
        <v>0.02</v>
      </c>
      <c r="J568" s="125"/>
      <c r="K568" s="78"/>
      <c r="L568" s="124" t="s">
        <v>49</v>
      </c>
      <c r="M568" s="124"/>
      <c r="N568" s="125">
        <v>0.42</v>
      </c>
      <c r="O568" s="125"/>
    </row>
    <row r="569" spans="1:19" ht="13.35" customHeight="1" x14ac:dyDescent="0.2">
      <c r="A569" s="123"/>
      <c r="B569" s="123"/>
      <c r="C569" s="123"/>
      <c r="D569" s="123"/>
      <c r="E569" s="123"/>
      <c r="F569" s="123"/>
      <c r="G569" s="78"/>
      <c r="H569" s="78"/>
      <c r="I569" s="123"/>
      <c r="J569" s="123"/>
      <c r="K569" s="78"/>
      <c r="L569" s="124" t="s">
        <v>50</v>
      </c>
      <c r="M569" s="124"/>
      <c r="N569" s="125">
        <v>0</v>
      </c>
      <c r="O569" s="125"/>
    </row>
    <row r="570" spans="1:19" ht="13.35" customHeight="1" x14ac:dyDescent="0.2">
      <c r="A570" s="123"/>
      <c r="B570" s="123"/>
      <c r="C570" s="123"/>
      <c r="D570" s="123"/>
      <c r="E570" s="123"/>
      <c r="F570" s="123"/>
      <c r="G570" s="78"/>
      <c r="H570" s="78"/>
      <c r="I570" s="123"/>
      <c r="J570" s="123"/>
      <c r="K570" s="78"/>
      <c r="L570" s="124" t="s">
        <v>51</v>
      </c>
      <c r="M570" s="124"/>
      <c r="N570" s="125">
        <v>0</v>
      </c>
      <c r="O570" s="125"/>
    </row>
    <row r="571" spans="1:19" ht="14.1" customHeight="1" x14ac:dyDescent="0.2">
      <c r="A571" s="120"/>
      <c r="B571" s="120"/>
      <c r="C571" s="120"/>
      <c r="D571" s="120"/>
      <c r="E571" s="120"/>
      <c r="F571" s="120"/>
      <c r="G571" s="120"/>
      <c r="H571" s="120"/>
      <c r="I571" s="120"/>
      <c r="J571" s="120"/>
      <c r="K571" s="120"/>
      <c r="L571" s="120"/>
      <c r="M571" s="120"/>
      <c r="N571" s="120"/>
      <c r="O571" s="120"/>
      <c r="P571" s="120"/>
      <c r="Q571" s="120"/>
      <c r="R571" s="120"/>
      <c r="S571" s="120"/>
    </row>
    <row r="572" spans="1:19" ht="14.1" customHeight="1" x14ac:dyDescent="0.2">
      <c r="A572" s="121" t="s">
        <v>52</v>
      </c>
      <c r="B572" s="121"/>
      <c r="C572" s="121"/>
      <c r="D572" s="121"/>
      <c r="E572" s="121"/>
      <c r="F572" s="121"/>
      <c r="G572" s="121"/>
      <c r="H572" s="121"/>
      <c r="I572" s="121"/>
      <c r="J572" s="121"/>
      <c r="K572" s="121"/>
      <c r="L572" s="121"/>
      <c r="M572" s="121"/>
      <c r="N572" s="121"/>
      <c r="O572" s="121"/>
      <c r="P572" s="121"/>
      <c r="Q572" s="121"/>
      <c r="R572" s="121"/>
      <c r="S572" s="121"/>
    </row>
    <row r="573" spans="1:19" ht="21.6" customHeight="1" x14ac:dyDescent="0.2">
      <c r="A573" s="122" t="s">
        <v>1183</v>
      </c>
      <c r="B573" s="122"/>
      <c r="C573" s="122"/>
      <c r="D573" s="122"/>
      <c r="E573" s="122"/>
      <c r="F573" s="122"/>
      <c r="G573" s="122"/>
      <c r="H573" s="122"/>
      <c r="I573" s="122"/>
      <c r="J573" s="122"/>
      <c r="K573" s="122"/>
      <c r="L573" s="122"/>
      <c r="M573" s="122"/>
      <c r="N573" s="122"/>
      <c r="O573" s="122"/>
      <c r="P573" s="122"/>
      <c r="Q573" s="122"/>
      <c r="R573" s="122"/>
      <c r="S573" s="122"/>
    </row>
    <row r="574" spans="1:19" ht="14.1" customHeight="1" x14ac:dyDescent="0.2">
      <c r="A574" s="120"/>
      <c r="B574" s="120"/>
      <c r="C574" s="120"/>
      <c r="D574" s="120"/>
      <c r="E574" s="120"/>
      <c r="F574" s="120"/>
      <c r="G574" s="120"/>
      <c r="H574" s="120"/>
      <c r="I574" s="120"/>
      <c r="J574" s="120"/>
      <c r="K574" s="120"/>
      <c r="L574" s="120"/>
      <c r="M574" s="120"/>
      <c r="N574" s="120"/>
      <c r="O574" s="120"/>
      <c r="P574" s="120"/>
      <c r="Q574" s="120"/>
      <c r="R574" s="120"/>
      <c r="S574" s="120"/>
    </row>
    <row r="575" spans="1:19" ht="14.1" customHeight="1" x14ac:dyDescent="0.2">
      <c r="A575" s="121" t="s">
        <v>54</v>
      </c>
      <c r="B575" s="121"/>
      <c r="C575" s="121"/>
      <c r="D575" s="121"/>
      <c r="E575" s="121"/>
      <c r="F575" s="121"/>
      <c r="G575" s="121"/>
      <c r="H575" s="121"/>
      <c r="I575" s="121"/>
      <c r="J575" s="121"/>
      <c r="K575" s="121"/>
      <c r="L575" s="121"/>
      <c r="M575" s="121"/>
      <c r="N575" s="121"/>
      <c r="O575" s="121"/>
      <c r="P575" s="121"/>
      <c r="Q575" s="121"/>
      <c r="R575" s="121"/>
      <c r="S575" s="121"/>
    </row>
    <row r="576" spans="1:19" ht="12.15" customHeight="1" x14ac:dyDescent="0.2">
      <c r="A576" s="122" t="s">
        <v>1184</v>
      </c>
      <c r="B576" s="122"/>
      <c r="C576" s="122"/>
      <c r="D576" s="122"/>
      <c r="E576" s="122"/>
      <c r="F576" s="122"/>
      <c r="G576" s="122"/>
      <c r="H576" s="122"/>
      <c r="I576" s="122"/>
      <c r="J576" s="122"/>
      <c r="K576" s="122"/>
      <c r="L576" s="122"/>
      <c r="M576" s="122"/>
      <c r="N576" s="122"/>
      <c r="O576" s="122"/>
      <c r="P576" s="122"/>
      <c r="Q576" s="122"/>
      <c r="R576" s="122"/>
      <c r="S576" s="122"/>
    </row>
    <row r="577" spans="1:20" ht="14.1" customHeight="1" x14ac:dyDescent="0.2">
      <c r="A577" s="120"/>
      <c r="B577" s="120"/>
      <c r="C577" s="120"/>
      <c r="D577" s="120"/>
      <c r="E577" s="120"/>
      <c r="F577" s="120"/>
      <c r="G577" s="120"/>
      <c r="H577" s="120"/>
      <c r="I577" s="120"/>
      <c r="J577" s="120"/>
      <c r="K577" s="120"/>
      <c r="L577" s="120"/>
      <c r="M577" s="120"/>
      <c r="N577" s="120"/>
      <c r="O577" s="120"/>
      <c r="P577" s="120"/>
      <c r="Q577" s="120"/>
      <c r="R577" s="120"/>
      <c r="S577" s="120"/>
    </row>
    <row r="578" spans="1:20" ht="14.1" customHeight="1" x14ac:dyDescent="0.2">
      <c r="A578" s="121" t="s">
        <v>56</v>
      </c>
      <c r="B578" s="121"/>
      <c r="C578" s="121"/>
      <c r="D578" s="121"/>
      <c r="E578" s="121"/>
      <c r="F578" s="121"/>
      <c r="G578" s="121"/>
      <c r="H578" s="121"/>
      <c r="I578" s="121"/>
      <c r="J578" s="121"/>
      <c r="K578" s="121"/>
      <c r="L578" s="121"/>
      <c r="M578" s="121"/>
      <c r="N578" s="121"/>
      <c r="O578" s="121"/>
      <c r="P578" s="121"/>
      <c r="Q578" s="121"/>
      <c r="R578" s="121"/>
      <c r="S578" s="121"/>
    </row>
    <row r="579" spans="1:20" ht="49.2" customHeight="1" x14ac:dyDescent="0.2">
      <c r="A579" s="122" t="s">
        <v>469</v>
      </c>
      <c r="B579" s="122"/>
      <c r="C579" s="122"/>
      <c r="D579" s="122"/>
      <c r="E579" s="122"/>
      <c r="F579" s="122"/>
      <c r="G579" s="122"/>
      <c r="H579" s="122"/>
      <c r="I579" s="122"/>
      <c r="J579" s="122"/>
      <c r="K579" s="122"/>
      <c r="L579" s="122"/>
      <c r="M579" s="122"/>
      <c r="N579" s="122"/>
      <c r="O579" s="122"/>
      <c r="P579" s="122"/>
      <c r="Q579" s="122"/>
      <c r="R579" s="122"/>
      <c r="S579" s="122"/>
    </row>
    <row r="581" spans="1:20" s="1" customFormat="1" ht="72.45" customHeight="1" x14ac:dyDescent="0.25">
      <c r="J581" s="100" t="s">
        <v>0</v>
      </c>
      <c r="K581" s="100"/>
      <c r="L581" s="100"/>
      <c r="M581" s="100"/>
      <c r="N581" s="100"/>
      <c r="O581" s="100"/>
      <c r="P581" s="100"/>
      <c r="Q581" s="100"/>
      <c r="R581" s="100"/>
      <c r="S581" s="100"/>
      <c r="T581" s="100"/>
    </row>
    <row r="582" spans="1:20" ht="7.05" customHeight="1" x14ac:dyDescent="0.2"/>
    <row r="583" spans="1:20" ht="14.1" customHeight="1" x14ac:dyDescent="0.2">
      <c r="B583" s="130" t="s">
        <v>1174</v>
      </c>
      <c r="C583" s="130"/>
      <c r="D583" s="130"/>
      <c r="E583" s="130"/>
      <c r="F583" s="130"/>
      <c r="G583" s="130"/>
      <c r="H583" s="130"/>
      <c r="I583" s="130"/>
      <c r="J583" s="130"/>
      <c r="K583" s="130"/>
      <c r="L583" s="130"/>
      <c r="M583" s="130"/>
      <c r="N583" s="130"/>
      <c r="O583" s="130"/>
      <c r="P583" s="130"/>
      <c r="Q583" s="130"/>
      <c r="R583" s="130"/>
    </row>
    <row r="584" spans="1:20" ht="14.1" customHeight="1" x14ac:dyDescent="0.2"/>
    <row r="585" spans="1:20" ht="14.1" customHeight="1" x14ac:dyDescent="0.2">
      <c r="A585" s="120" t="s">
        <v>2</v>
      </c>
      <c r="B585" s="120"/>
      <c r="C585" s="120"/>
      <c r="D585" s="129" t="s">
        <v>1185</v>
      </c>
      <c r="E585" s="129"/>
      <c r="F585" s="129"/>
      <c r="G585" s="129"/>
      <c r="H585" s="129"/>
      <c r="I585" s="129"/>
      <c r="J585" s="129"/>
      <c r="K585" s="129"/>
      <c r="L585" s="129"/>
      <c r="M585" s="129"/>
      <c r="N585" s="129"/>
      <c r="O585" s="129"/>
      <c r="P585" s="129"/>
      <c r="Q585" s="129"/>
      <c r="R585" s="129"/>
      <c r="S585" s="129"/>
      <c r="T585" s="129"/>
    </row>
    <row r="586" spans="1:20" ht="14.1" customHeight="1" x14ac:dyDescent="0.2">
      <c r="A586" s="120" t="s">
        <v>4</v>
      </c>
      <c r="B586" s="120"/>
      <c r="C586" s="129" t="s">
        <v>467</v>
      </c>
      <c r="D586" s="129"/>
      <c r="E586" s="129"/>
      <c r="F586" s="129"/>
      <c r="G586" s="129"/>
      <c r="H586" s="129"/>
      <c r="I586" s="129"/>
      <c r="J586" s="129"/>
      <c r="K586" s="129"/>
      <c r="L586" s="129"/>
      <c r="M586" s="129"/>
      <c r="N586" s="129"/>
      <c r="O586" s="129"/>
      <c r="P586" s="129"/>
      <c r="Q586" s="129"/>
      <c r="R586" s="129"/>
      <c r="S586" s="129"/>
      <c r="T586" s="129"/>
    </row>
    <row r="587" spans="1:20" ht="14.1" customHeight="1" x14ac:dyDescent="0.2">
      <c r="A587" s="120" t="s">
        <v>6</v>
      </c>
      <c r="B587" s="120"/>
      <c r="C587" s="120"/>
      <c r="D587" s="120"/>
      <c r="E587" s="120"/>
      <c r="F587" s="129" t="s">
        <v>320</v>
      </c>
      <c r="G587" s="129"/>
      <c r="H587" s="129"/>
      <c r="I587" s="129"/>
      <c r="J587" s="129"/>
      <c r="K587" s="129"/>
      <c r="L587" s="129"/>
      <c r="M587" s="129"/>
      <c r="N587" s="129"/>
      <c r="O587" s="129"/>
      <c r="P587" s="129"/>
      <c r="Q587" s="129"/>
      <c r="R587" s="129"/>
      <c r="S587" s="129"/>
      <c r="T587" s="129"/>
    </row>
    <row r="588" spans="1:20" ht="22.35" customHeight="1" x14ac:dyDescent="0.2">
      <c r="F588" s="129"/>
      <c r="G588" s="129"/>
      <c r="H588" s="129"/>
      <c r="I588" s="129"/>
      <c r="J588" s="129"/>
      <c r="K588" s="129"/>
      <c r="L588" s="129"/>
      <c r="M588" s="129"/>
      <c r="N588" s="129"/>
      <c r="O588" s="129"/>
      <c r="P588" s="129"/>
      <c r="Q588" s="129"/>
      <c r="R588" s="129"/>
      <c r="S588" s="129"/>
      <c r="T588" s="129"/>
    </row>
    <row r="589" spans="1:20" ht="7.05" customHeight="1" x14ac:dyDescent="0.2">
      <c r="A589" s="120"/>
      <c r="B589" s="120"/>
      <c r="C589" s="120"/>
      <c r="D589" s="120"/>
      <c r="E589" s="120"/>
      <c r="F589" s="120"/>
      <c r="G589" s="120"/>
      <c r="H589" s="120"/>
      <c r="I589" s="120"/>
      <c r="J589" s="120"/>
      <c r="K589" s="120"/>
      <c r="L589" s="120"/>
      <c r="M589" s="120"/>
      <c r="N589" s="120"/>
      <c r="O589" s="120"/>
      <c r="P589" s="120"/>
      <c r="Q589" s="75"/>
      <c r="R589" s="120"/>
      <c r="S589" s="120"/>
      <c r="T589" s="120"/>
    </row>
    <row r="590" spans="1:20" ht="16.95" customHeight="1" x14ac:dyDescent="0.2">
      <c r="A590" s="128" t="s">
        <v>8</v>
      </c>
      <c r="B590" s="128"/>
      <c r="C590" s="128"/>
      <c r="D590" s="128"/>
      <c r="E590" s="128"/>
      <c r="F590" s="128"/>
      <c r="G590" s="128"/>
      <c r="H590" s="128"/>
      <c r="I590" s="128"/>
      <c r="J590" s="128"/>
      <c r="K590" s="128"/>
      <c r="L590" s="128"/>
      <c r="M590" s="128" t="s">
        <v>9</v>
      </c>
      <c r="N590" s="128"/>
      <c r="O590" s="128"/>
      <c r="P590" s="128"/>
      <c r="Q590" s="128"/>
      <c r="R590" s="128"/>
      <c r="S590" s="128"/>
      <c r="T590" s="128"/>
    </row>
    <row r="591" spans="1:20" ht="16.95" customHeight="1" x14ac:dyDescent="0.2">
      <c r="A591" s="128"/>
      <c r="B591" s="128"/>
      <c r="C591" s="128"/>
      <c r="D591" s="128"/>
      <c r="E591" s="128"/>
      <c r="F591" s="128"/>
      <c r="G591" s="128"/>
      <c r="H591" s="128"/>
      <c r="I591" s="128"/>
      <c r="J591" s="128"/>
      <c r="K591" s="128"/>
      <c r="L591" s="128"/>
      <c r="M591" s="128" t="s">
        <v>10</v>
      </c>
      <c r="N591" s="128"/>
      <c r="O591" s="128"/>
      <c r="P591" s="128"/>
      <c r="Q591" s="128" t="s">
        <v>11</v>
      </c>
      <c r="R591" s="128"/>
      <c r="S591" s="128"/>
      <c r="T591" s="128"/>
    </row>
    <row r="592" spans="1:20" ht="16.95" customHeight="1" x14ac:dyDescent="0.2">
      <c r="A592" s="128"/>
      <c r="B592" s="128"/>
      <c r="C592" s="128"/>
      <c r="D592" s="128"/>
      <c r="E592" s="128"/>
      <c r="F592" s="128"/>
      <c r="G592" s="128"/>
      <c r="H592" s="128"/>
      <c r="I592" s="128"/>
      <c r="J592" s="128"/>
      <c r="K592" s="128"/>
      <c r="L592" s="128"/>
      <c r="M592" s="128" t="s">
        <v>12</v>
      </c>
      <c r="N592" s="128"/>
      <c r="O592" s="128" t="s">
        <v>13</v>
      </c>
      <c r="P592" s="128"/>
      <c r="Q592" s="76" t="s">
        <v>14</v>
      </c>
      <c r="R592" s="128" t="s">
        <v>15</v>
      </c>
      <c r="S592" s="128"/>
      <c r="T592" s="128"/>
    </row>
    <row r="593" spans="1:20" ht="13.35" customHeight="1" x14ac:dyDescent="0.2">
      <c r="A593" s="124" t="s">
        <v>29</v>
      </c>
      <c r="B593" s="124"/>
      <c r="C593" s="124"/>
      <c r="D593" s="124"/>
      <c r="E593" s="124"/>
      <c r="F593" s="124"/>
      <c r="G593" s="124"/>
      <c r="H593" s="124"/>
      <c r="I593" s="124"/>
      <c r="J593" s="124"/>
      <c r="K593" s="124"/>
      <c r="L593" s="124"/>
      <c r="M593" s="124" t="s">
        <v>1186</v>
      </c>
      <c r="N593" s="124"/>
      <c r="O593" s="124" t="s">
        <v>255</v>
      </c>
      <c r="P593" s="124"/>
      <c r="Q593" s="77" t="s">
        <v>1187</v>
      </c>
      <c r="R593" s="124" t="s">
        <v>101</v>
      </c>
      <c r="S593" s="124"/>
      <c r="T593" s="124"/>
    </row>
    <row r="594" spans="1:20" ht="14.1" customHeight="1" x14ac:dyDescent="0.2">
      <c r="A594" s="126" t="s">
        <v>134</v>
      </c>
      <c r="B594" s="126"/>
      <c r="C594" s="126"/>
      <c r="D594" s="126"/>
      <c r="E594" s="126"/>
      <c r="F594" s="126"/>
      <c r="G594" s="126"/>
      <c r="H594" s="126"/>
      <c r="I594" s="126"/>
      <c r="J594" s="126"/>
      <c r="K594" s="126"/>
      <c r="L594" s="126"/>
      <c r="M594" s="126"/>
      <c r="N594" s="126"/>
      <c r="O594" s="126"/>
      <c r="P594" s="126"/>
      <c r="Q594" s="126"/>
      <c r="R594" s="126"/>
      <c r="S594" s="126"/>
      <c r="T594" s="126"/>
    </row>
    <row r="595" spans="1:20" ht="14.1" customHeight="1" x14ac:dyDescent="0.2"/>
    <row r="596" spans="1:20" ht="14.1" customHeight="1" x14ac:dyDescent="0.2">
      <c r="A596" s="121" t="s">
        <v>33</v>
      </c>
      <c r="B596" s="121"/>
      <c r="C596" s="121"/>
      <c r="D596" s="121"/>
      <c r="E596" s="121"/>
      <c r="F596" s="121"/>
      <c r="G596" s="121"/>
      <c r="H596" s="121"/>
      <c r="I596" s="121"/>
      <c r="J596" s="121"/>
      <c r="K596" s="121"/>
      <c r="L596" s="121"/>
      <c r="M596" s="121"/>
      <c r="N596" s="121"/>
    </row>
    <row r="597" spans="1:20" ht="13.35" customHeight="1" x14ac:dyDescent="0.2">
      <c r="A597" s="124" t="s">
        <v>34</v>
      </c>
      <c r="B597" s="124"/>
      <c r="C597" s="124"/>
      <c r="D597" s="124"/>
      <c r="E597" s="125">
        <v>0.8</v>
      </c>
      <c r="F597" s="125"/>
      <c r="G597" s="78"/>
      <c r="H597" s="77" t="s">
        <v>35</v>
      </c>
      <c r="I597" s="125">
        <v>0.02</v>
      </c>
      <c r="J597" s="125"/>
      <c r="K597" s="78"/>
      <c r="L597" s="124" t="s">
        <v>36</v>
      </c>
      <c r="M597" s="124"/>
      <c r="N597" s="125">
        <v>23</v>
      </c>
      <c r="O597" s="125"/>
    </row>
    <row r="598" spans="1:20" ht="13.35" customHeight="1" x14ac:dyDescent="0.2">
      <c r="A598" s="124" t="s">
        <v>37</v>
      </c>
      <c r="B598" s="124"/>
      <c r="C598" s="124"/>
      <c r="D598" s="124"/>
      <c r="E598" s="125">
        <v>0.1</v>
      </c>
      <c r="F598" s="125"/>
      <c r="G598" s="78"/>
      <c r="H598" s="77" t="s">
        <v>38</v>
      </c>
      <c r="I598" s="125">
        <v>5</v>
      </c>
      <c r="J598" s="125"/>
      <c r="K598" s="78"/>
      <c r="L598" s="124" t="s">
        <v>39</v>
      </c>
      <c r="M598" s="124"/>
      <c r="N598" s="125">
        <v>14</v>
      </c>
      <c r="O598" s="125"/>
    </row>
    <row r="599" spans="1:20" ht="13.35" customHeight="1" x14ac:dyDescent="0.2">
      <c r="A599" s="124" t="s">
        <v>40</v>
      </c>
      <c r="B599" s="124"/>
      <c r="C599" s="124"/>
      <c r="D599" s="124"/>
      <c r="E599" s="125">
        <v>1.7</v>
      </c>
      <c r="F599" s="125"/>
      <c r="G599" s="78"/>
      <c r="H599" s="77" t="s">
        <v>41</v>
      </c>
      <c r="I599" s="125">
        <v>0</v>
      </c>
      <c r="J599" s="125"/>
      <c r="K599" s="78"/>
      <c r="L599" s="124" t="s">
        <v>42</v>
      </c>
      <c r="M599" s="124"/>
      <c r="N599" s="125">
        <v>24</v>
      </c>
      <c r="O599" s="125"/>
    </row>
    <row r="600" spans="1:20" ht="13.35" customHeight="1" x14ac:dyDescent="0.2">
      <c r="A600" s="124" t="s">
        <v>43</v>
      </c>
      <c r="B600" s="124"/>
      <c r="C600" s="124"/>
      <c r="D600" s="124"/>
      <c r="E600" s="125">
        <v>13</v>
      </c>
      <c r="F600" s="125"/>
      <c r="G600" s="78"/>
      <c r="H600" s="77" t="s">
        <v>44</v>
      </c>
      <c r="I600" s="125">
        <v>0</v>
      </c>
      <c r="J600" s="125"/>
      <c r="K600" s="78"/>
      <c r="L600" s="124" t="s">
        <v>45</v>
      </c>
      <c r="M600" s="124"/>
      <c r="N600" s="125">
        <v>0.6</v>
      </c>
      <c r="O600" s="125"/>
    </row>
    <row r="601" spans="1:20" ht="13.35" customHeight="1" x14ac:dyDescent="0.2">
      <c r="A601" s="123"/>
      <c r="B601" s="123"/>
      <c r="C601" s="123"/>
      <c r="D601" s="123"/>
      <c r="E601" s="123"/>
      <c r="F601" s="123"/>
      <c r="G601" s="78"/>
      <c r="H601" s="77" t="s">
        <v>46</v>
      </c>
      <c r="I601" s="125">
        <v>0</v>
      </c>
      <c r="J601" s="125"/>
      <c r="K601" s="78"/>
      <c r="L601" s="124" t="s">
        <v>47</v>
      </c>
      <c r="M601" s="124"/>
      <c r="N601" s="125">
        <v>141</v>
      </c>
      <c r="O601" s="125"/>
    </row>
    <row r="602" spans="1:20" ht="13.35" customHeight="1" x14ac:dyDescent="0.2">
      <c r="A602" s="123"/>
      <c r="B602" s="123"/>
      <c r="C602" s="123"/>
      <c r="D602" s="123"/>
      <c r="E602" s="123"/>
      <c r="F602" s="123"/>
      <c r="G602" s="78"/>
      <c r="H602" s="77" t="s">
        <v>48</v>
      </c>
      <c r="I602" s="125">
        <v>0.02</v>
      </c>
      <c r="J602" s="125"/>
      <c r="K602" s="78"/>
      <c r="L602" s="124" t="s">
        <v>49</v>
      </c>
      <c r="M602" s="124"/>
      <c r="N602" s="125">
        <v>0</v>
      </c>
      <c r="O602" s="125"/>
    </row>
    <row r="603" spans="1:20" ht="13.35" customHeight="1" x14ac:dyDescent="0.2">
      <c r="A603" s="123"/>
      <c r="B603" s="123"/>
      <c r="C603" s="123"/>
      <c r="D603" s="123"/>
      <c r="E603" s="123"/>
      <c r="F603" s="123"/>
      <c r="G603" s="78"/>
      <c r="H603" s="78"/>
      <c r="I603" s="123"/>
      <c r="J603" s="123"/>
      <c r="K603" s="78"/>
      <c r="L603" s="124" t="s">
        <v>50</v>
      </c>
      <c r="M603" s="124"/>
      <c r="N603" s="125">
        <v>0</v>
      </c>
      <c r="O603" s="125"/>
    </row>
    <row r="604" spans="1:20" ht="13.35" customHeight="1" x14ac:dyDescent="0.2">
      <c r="A604" s="123"/>
      <c r="B604" s="123"/>
      <c r="C604" s="123"/>
      <c r="D604" s="123"/>
      <c r="E604" s="123"/>
      <c r="F604" s="123"/>
      <c r="G604" s="78"/>
      <c r="H604" s="78"/>
      <c r="I604" s="123"/>
      <c r="J604" s="123"/>
      <c r="K604" s="78"/>
      <c r="L604" s="124" t="s">
        <v>51</v>
      </c>
      <c r="M604" s="124"/>
      <c r="N604" s="125">
        <v>0</v>
      </c>
      <c r="O604" s="125"/>
    </row>
    <row r="605" spans="1:20" ht="14.1" customHeight="1" x14ac:dyDescent="0.2">
      <c r="A605" s="120"/>
      <c r="B605" s="120"/>
      <c r="C605" s="120"/>
      <c r="D605" s="120"/>
      <c r="E605" s="120"/>
      <c r="F605" s="120"/>
      <c r="G605" s="120"/>
      <c r="H605" s="120"/>
      <c r="I605" s="120"/>
      <c r="J605" s="120"/>
      <c r="K605" s="120"/>
      <c r="L605" s="120"/>
      <c r="M605" s="120"/>
      <c r="N605" s="120"/>
      <c r="O605" s="120"/>
      <c r="P605" s="120"/>
      <c r="Q605" s="120"/>
      <c r="R605" s="120"/>
      <c r="S605" s="120"/>
    </row>
    <row r="606" spans="1:20" ht="14.1" customHeight="1" x14ac:dyDescent="0.2">
      <c r="A606" s="121" t="s">
        <v>52</v>
      </c>
      <c r="B606" s="121"/>
      <c r="C606" s="121"/>
      <c r="D606" s="121"/>
      <c r="E606" s="121"/>
      <c r="F606" s="121"/>
      <c r="G606" s="121"/>
      <c r="H606" s="121"/>
      <c r="I606" s="121"/>
      <c r="J606" s="121"/>
      <c r="K606" s="121"/>
      <c r="L606" s="121"/>
      <c r="M606" s="121"/>
      <c r="N606" s="121"/>
      <c r="O606" s="121"/>
      <c r="P606" s="121"/>
      <c r="Q606" s="121"/>
      <c r="R606" s="121"/>
      <c r="S606" s="121"/>
    </row>
    <row r="607" spans="1:20" ht="21.6" customHeight="1" x14ac:dyDescent="0.2">
      <c r="A607" s="122" t="s">
        <v>1183</v>
      </c>
      <c r="B607" s="122"/>
      <c r="C607" s="122"/>
      <c r="D607" s="122"/>
      <c r="E607" s="122"/>
      <c r="F607" s="122"/>
      <c r="G607" s="122"/>
      <c r="H607" s="122"/>
      <c r="I607" s="122"/>
      <c r="J607" s="122"/>
      <c r="K607" s="122"/>
      <c r="L607" s="122"/>
      <c r="M607" s="122"/>
      <c r="N607" s="122"/>
      <c r="O607" s="122"/>
      <c r="P607" s="122"/>
      <c r="Q607" s="122"/>
      <c r="R607" s="122"/>
      <c r="S607" s="122"/>
    </row>
    <row r="608" spans="1:20" ht="14.1" customHeight="1" x14ac:dyDescent="0.2">
      <c r="A608" s="120"/>
      <c r="B608" s="120"/>
      <c r="C608" s="120"/>
      <c r="D608" s="120"/>
      <c r="E608" s="120"/>
      <c r="F608" s="120"/>
      <c r="G608" s="120"/>
      <c r="H608" s="120"/>
      <c r="I608" s="120"/>
      <c r="J608" s="120"/>
      <c r="K608" s="120"/>
      <c r="L608" s="120"/>
      <c r="M608" s="120"/>
      <c r="N608" s="120"/>
      <c r="O608" s="120"/>
      <c r="P608" s="120"/>
      <c r="Q608" s="120"/>
      <c r="R608" s="120"/>
      <c r="S608" s="120"/>
    </row>
    <row r="609" spans="1:20" ht="14.1" customHeight="1" x14ac:dyDescent="0.2">
      <c r="A609" s="121" t="s">
        <v>54</v>
      </c>
      <c r="B609" s="121"/>
      <c r="C609" s="121"/>
      <c r="D609" s="121"/>
      <c r="E609" s="121"/>
      <c r="F609" s="121"/>
      <c r="G609" s="121"/>
      <c r="H609" s="121"/>
      <c r="I609" s="121"/>
      <c r="J609" s="121"/>
      <c r="K609" s="121"/>
      <c r="L609" s="121"/>
      <c r="M609" s="121"/>
      <c r="N609" s="121"/>
      <c r="O609" s="121"/>
      <c r="P609" s="121"/>
      <c r="Q609" s="121"/>
      <c r="R609" s="121"/>
      <c r="S609" s="121"/>
    </row>
    <row r="610" spans="1:20" ht="12.15" customHeight="1" x14ac:dyDescent="0.2">
      <c r="A610" s="122" t="s">
        <v>1184</v>
      </c>
      <c r="B610" s="122"/>
      <c r="C610" s="122"/>
      <c r="D610" s="122"/>
      <c r="E610" s="122"/>
      <c r="F610" s="122"/>
      <c r="G610" s="122"/>
      <c r="H610" s="122"/>
      <c r="I610" s="122"/>
      <c r="J610" s="122"/>
      <c r="K610" s="122"/>
      <c r="L610" s="122"/>
      <c r="M610" s="122"/>
      <c r="N610" s="122"/>
      <c r="O610" s="122"/>
      <c r="P610" s="122"/>
      <c r="Q610" s="122"/>
      <c r="R610" s="122"/>
      <c r="S610" s="122"/>
    </row>
    <row r="611" spans="1:20" ht="14.1" customHeight="1" x14ac:dyDescent="0.2">
      <c r="A611" s="120"/>
      <c r="B611" s="120"/>
      <c r="C611" s="120"/>
      <c r="D611" s="120"/>
      <c r="E611" s="120"/>
      <c r="F611" s="120"/>
      <c r="G611" s="120"/>
      <c r="H611" s="120"/>
      <c r="I611" s="120"/>
      <c r="J611" s="120"/>
      <c r="K611" s="120"/>
      <c r="L611" s="120"/>
      <c r="M611" s="120"/>
      <c r="N611" s="120"/>
      <c r="O611" s="120"/>
      <c r="P611" s="120"/>
      <c r="Q611" s="120"/>
      <c r="R611" s="120"/>
      <c r="S611" s="120"/>
    </row>
    <row r="612" spans="1:20" ht="14.1" customHeight="1" x14ac:dyDescent="0.2">
      <c r="A612" s="121" t="s">
        <v>56</v>
      </c>
      <c r="B612" s="121"/>
      <c r="C612" s="121"/>
      <c r="D612" s="121"/>
      <c r="E612" s="121"/>
      <c r="F612" s="121"/>
      <c r="G612" s="121"/>
      <c r="H612" s="121"/>
      <c r="I612" s="121"/>
      <c r="J612" s="121"/>
      <c r="K612" s="121"/>
      <c r="L612" s="121"/>
      <c r="M612" s="121"/>
      <c r="N612" s="121"/>
      <c r="O612" s="121"/>
      <c r="P612" s="121"/>
      <c r="Q612" s="121"/>
      <c r="R612" s="121"/>
      <c r="S612" s="121"/>
    </row>
    <row r="613" spans="1:20" ht="49.2" customHeight="1" x14ac:dyDescent="0.2">
      <c r="A613" s="122" t="s">
        <v>469</v>
      </c>
      <c r="B613" s="122"/>
      <c r="C613" s="122"/>
      <c r="D613" s="122"/>
      <c r="E613" s="122"/>
      <c r="F613" s="122"/>
      <c r="G613" s="122"/>
      <c r="H613" s="122"/>
      <c r="I613" s="122"/>
      <c r="J613" s="122"/>
      <c r="K613" s="122"/>
      <c r="L613" s="122"/>
      <c r="M613" s="122"/>
      <c r="N613" s="122"/>
      <c r="O613" s="122"/>
      <c r="P613" s="122"/>
      <c r="Q613" s="122"/>
      <c r="R613" s="122"/>
      <c r="S613" s="122"/>
    </row>
    <row r="616" spans="1:20" s="1" customFormat="1" ht="72.45" customHeight="1" x14ac:dyDescent="0.25">
      <c r="J616" s="100" t="s">
        <v>0</v>
      </c>
      <c r="K616" s="100"/>
      <c r="L616" s="100"/>
      <c r="M616" s="100"/>
      <c r="N616" s="100"/>
      <c r="O616" s="100"/>
      <c r="P616" s="100"/>
      <c r="Q616" s="100"/>
      <c r="R616" s="100"/>
      <c r="S616" s="100"/>
      <c r="T616" s="100"/>
    </row>
    <row r="617" spans="1:20" ht="7.05" customHeight="1" x14ac:dyDescent="0.2"/>
    <row r="618" spans="1:20" ht="14.1" customHeight="1" x14ac:dyDescent="0.2">
      <c r="B618" s="130" t="s">
        <v>1174</v>
      </c>
      <c r="C618" s="130"/>
      <c r="D618" s="130"/>
      <c r="E618" s="130"/>
      <c r="F618" s="130"/>
      <c r="G618" s="130"/>
      <c r="H618" s="130"/>
      <c r="I618" s="130"/>
      <c r="J618" s="130"/>
      <c r="K618" s="130"/>
      <c r="L618" s="130"/>
      <c r="M618" s="130"/>
      <c r="N618" s="130"/>
      <c r="O618" s="130"/>
      <c r="P618" s="130"/>
      <c r="Q618" s="130"/>
      <c r="R618" s="130"/>
    </row>
    <row r="619" spans="1:20" ht="14.1" customHeight="1" x14ac:dyDescent="0.2"/>
    <row r="620" spans="1:20" ht="14.1" customHeight="1" x14ac:dyDescent="0.2">
      <c r="A620" s="120" t="s">
        <v>2</v>
      </c>
      <c r="B620" s="120"/>
      <c r="C620" s="120"/>
      <c r="D620" s="129" t="s">
        <v>1188</v>
      </c>
      <c r="E620" s="129"/>
      <c r="F620" s="129"/>
      <c r="G620" s="129"/>
      <c r="H620" s="129"/>
      <c r="I620" s="129"/>
      <c r="J620" s="129"/>
      <c r="K620" s="129"/>
      <c r="L620" s="129"/>
      <c r="M620" s="129"/>
      <c r="N620" s="129"/>
      <c r="O620" s="129"/>
      <c r="P620" s="129"/>
      <c r="Q620" s="129"/>
      <c r="R620" s="129"/>
      <c r="S620" s="129"/>
      <c r="T620" s="129"/>
    </row>
    <row r="621" spans="1:20" ht="14.1" customHeight="1" x14ac:dyDescent="0.2">
      <c r="A621" s="120" t="s">
        <v>4</v>
      </c>
      <c r="B621" s="120"/>
      <c r="C621" s="129" t="s">
        <v>467</v>
      </c>
      <c r="D621" s="129"/>
      <c r="E621" s="129"/>
      <c r="F621" s="129"/>
      <c r="G621" s="129"/>
      <c r="H621" s="129"/>
      <c r="I621" s="129"/>
      <c r="J621" s="129"/>
      <c r="K621" s="129"/>
      <c r="L621" s="129"/>
      <c r="M621" s="129"/>
      <c r="N621" s="129"/>
      <c r="O621" s="129"/>
      <c r="P621" s="129"/>
      <c r="Q621" s="129"/>
      <c r="R621" s="129"/>
      <c r="S621" s="129"/>
      <c r="T621" s="129"/>
    </row>
    <row r="622" spans="1:20" ht="14.1" customHeight="1" x14ac:dyDescent="0.2">
      <c r="A622" s="120" t="s">
        <v>6</v>
      </c>
      <c r="B622" s="120"/>
      <c r="C622" s="120"/>
      <c r="D622" s="120"/>
      <c r="E622" s="120"/>
      <c r="F622" s="129" t="s">
        <v>1189</v>
      </c>
      <c r="G622" s="129"/>
      <c r="H622" s="129"/>
      <c r="I622" s="129"/>
      <c r="J622" s="129"/>
      <c r="K622" s="129"/>
      <c r="L622" s="129"/>
      <c r="M622" s="129"/>
      <c r="N622" s="129"/>
      <c r="O622" s="129"/>
      <c r="P622" s="129"/>
      <c r="Q622" s="129"/>
      <c r="R622" s="129"/>
      <c r="S622" s="129"/>
      <c r="T622" s="129"/>
    </row>
    <row r="623" spans="1:20" ht="22.35" customHeight="1" x14ac:dyDescent="0.2">
      <c r="F623" s="129"/>
      <c r="G623" s="129"/>
      <c r="H623" s="129"/>
      <c r="I623" s="129"/>
      <c r="J623" s="129"/>
      <c r="K623" s="129"/>
      <c r="L623" s="129"/>
      <c r="M623" s="129"/>
      <c r="N623" s="129"/>
      <c r="O623" s="129"/>
      <c r="P623" s="129"/>
      <c r="Q623" s="129"/>
      <c r="R623" s="129"/>
      <c r="S623" s="129"/>
      <c r="T623" s="129"/>
    </row>
    <row r="624" spans="1:20" ht="7.05" customHeight="1" x14ac:dyDescent="0.2">
      <c r="A624" s="120"/>
      <c r="B624" s="120"/>
      <c r="C624" s="120"/>
      <c r="D624" s="120"/>
      <c r="E624" s="120"/>
      <c r="F624" s="120"/>
      <c r="G624" s="120"/>
      <c r="H624" s="120"/>
      <c r="I624" s="120"/>
      <c r="J624" s="120"/>
      <c r="K624" s="120"/>
      <c r="L624" s="120"/>
      <c r="M624" s="120"/>
      <c r="N624" s="120"/>
      <c r="O624" s="120"/>
      <c r="P624" s="120"/>
      <c r="Q624" s="75"/>
      <c r="R624" s="120"/>
      <c r="S624" s="120"/>
      <c r="T624" s="120"/>
    </row>
    <row r="625" spans="1:20" ht="16.95" customHeight="1" x14ac:dyDescent="0.2">
      <c r="A625" s="128" t="s">
        <v>8</v>
      </c>
      <c r="B625" s="128"/>
      <c r="C625" s="128"/>
      <c r="D625" s="128"/>
      <c r="E625" s="128"/>
      <c r="F625" s="128"/>
      <c r="G625" s="128"/>
      <c r="H625" s="128"/>
      <c r="I625" s="128"/>
      <c r="J625" s="128"/>
      <c r="K625" s="128"/>
      <c r="L625" s="128"/>
      <c r="M625" s="128" t="s">
        <v>9</v>
      </c>
      <c r="N625" s="128"/>
      <c r="O625" s="128"/>
      <c r="P625" s="128"/>
      <c r="Q625" s="128"/>
      <c r="R625" s="128"/>
      <c r="S625" s="128"/>
      <c r="T625" s="128"/>
    </row>
    <row r="626" spans="1:20" ht="16.95" customHeight="1" x14ac:dyDescent="0.2">
      <c r="A626" s="128"/>
      <c r="B626" s="128"/>
      <c r="C626" s="128"/>
      <c r="D626" s="128"/>
      <c r="E626" s="128"/>
      <c r="F626" s="128"/>
      <c r="G626" s="128"/>
      <c r="H626" s="128"/>
      <c r="I626" s="128"/>
      <c r="J626" s="128"/>
      <c r="K626" s="128"/>
      <c r="L626" s="128"/>
      <c r="M626" s="128" t="s">
        <v>10</v>
      </c>
      <c r="N626" s="128"/>
      <c r="O626" s="128"/>
      <c r="P626" s="128"/>
      <c r="Q626" s="128" t="s">
        <v>11</v>
      </c>
      <c r="R626" s="128"/>
      <c r="S626" s="128"/>
      <c r="T626" s="128"/>
    </row>
    <row r="627" spans="1:20" ht="16.95" customHeight="1" x14ac:dyDescent="0.2">
      <c r="A627" s="128"/>
      <c r="B627" s="128"/>
      <c r="C627" s="128"/>
      <c r="D627" s="128"/>
      <c r="E627" s="128"/>
      <c r="F627" s="128"/>
      <c r="G627" s="128"/>
      <c r="H627" s="128"/>
      <c r="I627" s="128"/>
      <c r="J627" s="128"/>
      <c r="K627" s="128"/>
      <c r="L627" s="128"/>
      <c r="M627" s="128" t="s">
        <v>12</v>
      </c>
      <c r="N627" s="128"/>
      <c r="O627" s="128" t="s">
        <v>13</v>
      </c>
      <c r="P627" s="128"/>
      <c r="Q627" s="76" t="s">
        <v>14</v>
      </c>
      <c r="R627" s="128" t="s">
        <v>15</v>
      </c>
      <c r="S627" s="128"/>
      <c r="T627" s="128"/>
    </row>
    <row r="628" spans="1:20" ht="13.35" customHeight="1" x14ac:dyDescent="0.2">
      <c r="A628" s="124" t="s">
        <v>1176</v>
      </c>
      <c r="B628" s="124"/>
      <c r="C628" s="124"/>
      <c r="D628" s="124"/>
      <c r="E628" s="124"/>
      <c r="F628" s="124"/>
      <c r="G628" s="124"/>
      <c r="H628" s="124"/>
      <c r="I628" s="124"/>
      <c r="J628" s="124"/>
      <c r="K628" s="124"/>
      <c r="L628" s="124"/>
      <c r="M628" s="124" t="s">
        <v>1186</v>
      </c>
      <c r="N628" s="124"/>
      <c r="O628" s="124" t="s">
        <v>255</v>
      </c>
      <c r="P628" s="124"/>
      <c r="Q628" s="77" t="s">
        <v>1187</v>
      </c>
      <c r="R628" s="124" t="s">
        <v>101</v>
      </c>
      <c r="S628" s="124"/>
      <c r="T628" s="124"/>
    </row>
    <row r="629" spans="1:20" ht="14.1" customHeight="1" x14ac:dyDescent="0.2">
      <c r="A629" s="126" t="s">
        <v>134</v>
      </c>
      <c r="B629" s="126"/>
      <c r="C629" s="126"/>
      <c r="D629" s="126"/>
      <c r="E629" s="126"/>
      <c r="F629" s="126"/>
      <c r="G629" s="126"/>
      <c r="H629" s="126"/>
      <c r="I629" s="126"/>
      <c r="J629" s="126"/>
      <c r="K629" s="126"/>
      <c r="L629" s="126"/>
      <c r="M629" s="126"/>
      <c r="N629" s="126"/>
      <c r="O629" s="126"/>
      <c r="P629" s="126"/>
      <c r="Q629" s="126"/>
      <c r="R629" s="126"/>
      <c r="S629" s="126"/>
      <c r="T629" s="126"/>
    </row>
    <row r="630" spans="1:20" ht="14.1" customHeight="1" x14ac:dyDescent="0.2"/>
    <row r="631" spans="1:20" ht="14.1" customHeight="1" x14ac:dyDescent="0.2">
      <c r="A631" s="121" t="s">
        <v>33</v>
      </c>
      <c r="B631" s="121"/>
      <c r="C631" s="121"/>
      <c r="D631" s="121"/>
      <c r="E631" s="121"/>
      <c r="F631" s="121"/>
      <c r="G631" s="121"/>
      <c r="H631" s="121"/>
      <c r="I631" s="121"/>
      <c r="J631" s="121"/>
      <c r="K631" s="121"/>
      <c r="L631" s="121"/>
      <c r="M631" s="121"/>
      <c r="N631" s="121"/>
    </row>
    <row r="632" spans="1:20" ht="13.35" customHeight="1" x14ac:dyDescent="0.2">
      <c r="A632" s="124" t="s">
        <v>34</v>
      </c>
      <c r="B632" s="124"/>
      <c r="C632" s="124"/>
      <c r="D632" s="124"/>
      <c r="E632" s="125">
        <v>1.1000000000000001</v>
      </c>
      <c r="F632" s="125"/>
      <c r="G632" s="78"/>
      <c r="H632" s="77" t="s">
        <v>35</v>
      </c>
      <c r="I632" s="125">
        <v>0.04</v>
      </c>
      <c r="J632" s="125"/>
      <c r="K632" s="78"/>
      <c r="L632" s="124" t="s">
        <v>36</v>
      </c>
      <c r="M632" s="124"/>
      <c r="N632" s="125">
        <v>14</v>
      </c>
      <c r="O632" s="125"/>
    </row>
    <row r="633" spans="1:20" ht="13.35" customHeight="1" x14ac:dyDescent="0.2">
      <c r="A633" s="124" t="s">
        <v>37</v>
      </c>
      <c r="B633" s="124"/>
      <c r="C633" s="124"/>
      <c r="D633" s="124"/>
      <c r="E633" s="125">
        <v>0</v>
      </c>
      <c r="F633" s="125"/>
      <c r="G633" s="78"/>
      <c r="H633" s="77" t="s">
        <v>38</v>
      </c>
      <c r="I633" s="125">
        <v>10</v>
      </c>
      <c r="J633" s="125"/>
      <c r="K633" s="78"/>
      <c r="L633" s="124" t="s">
        <v>39</v>
      </c>
      <c r="M633" s="124"/>
      <c r="N633" s="125">
        <v>20</v>
      </c>
      <c r="O633" s="125"/>
    </row>
    <row r="634" spans="1:20" ht="13.35" customHeight="1" x14ac:dyDescent="0.2">
      <c r="A634" s="124" t="s">
        <v>40</v>
      </c>
      <c r="B634" s="124"/>
      <c r="C634" s="124"/>
      <c r="D634" s="124"/>
      <c r="E634" s="125">
        <v>2.4</v>
      </c>
      <c r="F634" s="125"/>
      <c r="G634" s="78"/>
      <c r="H634" s="77" t="s">
        <v>41</v>
      </c>
      <c r="I634" s="125">
        <v>0</v>
      </c>
      <c r="J634" s="125"/>
      <c r="K634" s="78"/>
      <c r="L634" s="124" t="s">
        <v>42</v>
      </c>
      <c r="M634" s="124"/>
      <c r="N634" s="125">
        <v>26</v>
      </c>
      <c r="O634" s="125"/>
    </row>
    <row r="635" spans="1:20" ht="13.35" customHeight="1" x14ac:dyDescent="0.2">
      <c r="A635" s="124" t="s">
        <v>43</v>
      </c>
      <c r="B635" s="124"/>
      <c r="C635" s="124"/>
      <c r="D635" s="124"/>
      <c r="E635" s="125">
        <v>14</v>
      </c>
      <c r="F635" s="125"/>
      <c r="G635" s="78"/>
      <c r="H635" s="77" t="s">
        <v>44</v>
      </c>
      <c r="I635" s="125">
        <v>0</v>
      </c>
      <c r="J635" s="125"/>
      <c r="K635" s="78"/>
      <c r="L635" s="124" t="s">
        <v>45</v>
      </c>
      <c r="M635" s="124"/>
      <c r="N635" s="125">
        <v>1</v>
      </c>
      <c r="O635" s="125"/>
    </row>
    <row r="636" spans="1:20" ht="13.35" customHeight="1" x14ac:dyDescent="0.2">
      <c r="A636" s="123"/>
      <c r="B636" s="123"/>
      <c r="C636" s="123"/>
      <c r="D636" s="123"/>
      <c r="E636" s="123"/>
      <c r="F636" s="123"/>
      <c r="G636" s="78"/>
      <c r="H636" s="77" t="s">
        <v>46</v>
      </c>
      <c r="I636" s="125">
        <v>0</v>
      </c>
      <c r="J636" s="125"/>
      <c r="K636" s="78"/>
      <c r="L636" s="124" t="s">
        <v>47</v>
      </c>
      <c r="M636" s="124"/>
      <c r="N636" s="125">
        <v>290</v>
      </c>
      <c r="O636" s="125"/>
    </row>
    <row r="637" spans="1:20" ht="13.35" customHeight="1" x14ac:dyDescent="0.2">
      <c r="A637" s="123"/>
      <c r="B637" s="123"/>
      <c r="C637" s="123"/>
      <c r="D637" s="123"/>
      <c r="E637" s="123"/>
      <c r="F637" s="123"/>
      <c r="G637" s="78"/>
      <c r="H637" s="77" t="s">
        <v>48</v>
      </c>
      <c r="I637" s="125">
        <v>0.03</v>
      </c>
      <c r="J637" s="125"/>
      <c r="K637" s="78"/>
      <c r="L637" s="124" t="s">
        <v>49</v>
      </c>
      <c r="M637" s="124"/>
      <c r="N637" s="125">
        <v>0</v>
      </c>
      <c r="O637" s="125"/>
    </row>
    <row r="638" spans="1:20" ht="13.35" customHeight="1" x14ac:dyDescent="0.2">
      <c r="A638" s="123"/>
      <c r="B638" s="123"/>
      <c r="C638" s="123"/>
      <c r="D638" s="123"/>
      <c r="E638" s="123"/>
      <c r="F638" s="123"/>
      <c r="G638" s="78"/>
      <c r="H638" s="78"/>
      <c r="I638" s="123"/>
      <c r="J638" s="123"/>
      <c r="K638" s="78"/>
      <c r="L638" s="124" t="s">
        <v>50</v>
      </c>
      <c r="M638" s="124"/>
      <c r="N638" s="125">
        <v>0</v>
      </c>
      <c r="O638" s="125"/>
    </row>
    <row r="639" spans="1:20" ht="13.35" customHeight="1" x14ac:dyDescent="0.2">
      <c r="A639" s="123"/>
      <c r="B639" s="123"/>
      <c r="C639" s="123"/>
      <c r="D639" s="123"/>
      <c r="E639" s="123"/>
      <c r="F639" s="123"/>
      <c r="G639" s="78"/>
      <c r="H639" s="78"/>
      <c r="I639" s="123"/>
      <c r="J639" s="123"/>
      <c r="K639" s="78"/>
      <c r="L639" s="124" t="s">
        <v>51</v>
      </c>
      <c r="M639" s="124"/>
      <c r="N639" s="125">
        <v>0</v>
      </c>
      <c r="O639" s="125"/>
    </row>
    <row r="640" spans="1:20" ht="14.1" customHeight="1" x14ac:dyDescent="0.2">
      <c r="A640" s="120"/>
      <c r="B640" s="120"/>
      <c r="C640" s="120"/>
      <c r="D640" s="120"/>
      <c r="E640" s="120"/>
      <c r="F640" s="120"/>
      <c r="G640" s="120"/>
      <c r="H640" s="120"/>
      <c r="I640" s="120"/>
      <c r="J640" s="120"/>
      <c r="K640" s="120"/>
      <c r="L640" s="120"/>
      <c r="M640" s="120"/>
      <c r="N640" s="120"/>
      <c r="O640" s="120"/>
      <c r="P640" s="120"/>
      <c r="Q640" s="120"/>
      <c r="R640" s="120"/>
      <c r="S640" s="120"/>
    </row>
    <row r="641" spans="1:20" ht="14.1" customHeight="1" x14ac:dyDescent="0.2">
      <c r="A641" s="121" t="s">
        <v>52</v>
      </c>
      <c r="B641" s="121"/>
      <c r="C641" s="121"/>
      <c r="D641" s="121"/>
      <c r="E641" s="121"/>
      <c r="F641" s="121"/>
      <c r="G641" s="121"/>
      <c r="H641" s="121"/>
      <c r="I641" s="121"/>
      <c r="J641" s="121"/>
      <c r="K641" s="121"/>
      <c r="L641" s="121"/>
      <c r="M641" s="121"/>
      <c r="N641" s="121"/>
      <c r="O641" s="121"/>
      <c r="P641" s="121"/>
      <c r="Q641" s="121"/>
      <c r="R641" s="121"/>
      <c r="S641" s="121"/>
    </row>
    <row r="642" spans="1:20" ht="21.6" customHeight="1" x14ac:dyDescent="0.2">
      <c r="A642" s="122" t="s">
        <v>1183</v>
      </c>
      <c r="B642" s="122"/>
      <c r="C642" s="122"/>
      <c r="D642" s="122"/>
      <c r="E642" s="122"/>
      <c r="F642" s="122"/>
      <c r="G642" s="122"/>
      <c r="H642" s="122"/>
      <c r="I642" s="122"/>
      <c r="J642" s="122"/>
      <c r="K642" s="122"/>
      <c r="L642" s="122"/>
      <c r="M642" s="122"/>
      <c r="N642" s="122"/>
      <c r="O642" s="122"/>
      <c r="P642" s="122"/>
      <c r="Q642" s="122"/>
      <c r="R642" s="122"/>
      <c r="S642" s="122"/>
    </row>
    <row r="643" spans="1:20" ht="14.1" customHeight="1" x14ac:dyDescent="0.2">
      <c r="A643" s="120"/>
      <c r="B643" s="120"/>
      <c r="C643" s="120"/>
      <c r="D643" s="120"/>
      <c r="E643" s="120"/>
      <c r="F643" s="120"/>
      <c r="G643" s="120"/>
      <c r="H643" s="120"/>
      <c r="I643" s="120"/>
      <c r="J643" s="120"/>
      <c r="K643" s="120"/>
      <c r="L643" s="120"/>
      <c r="M643" s="120"/>
      <c r="N643" s="120"/>
      <c r="O643" s="120"/>
      <c r="P643" s="120"/>
      <c r="Q643" s="120"/>
      <c r="R643" s="120"/>
      <c r="S643" s="120"/>
    </row>
    <row r="644" spans="1:20" ht="14.1" customHeight="1" x14ac:dyDescent="0.2">
      <c r="A644" s="121" t="s">
        <v>54</v>
      </c>
      <c r="B644" s="121"/>
      <c r="C644" s="121"/>
      <c r="D644" s="121"/>
      <c r="E644" s="121"/>
      <c r="F644" s="121"/>
      <c r="G644" s="121"/>
      <c r="H644" s="121"/>
      <c r="I644" s="121"/>
      <c r="J644" s="121"/>
      <c r="K644" s="121"/>
      <c r="L644" s="121"/>
      <c r="M644" s="121"/>
      <c r="N644" s="121"/>
      <c r="O644" s="121"/>
      <c r="P644" s="121"/>
      <c r="Q644" s="121"/>
      <c r="R644" s="121"/>
      <c r="S644" s="121"/>
    </row>
    <row r="645" spans="1:20" ht="12.15" customHeight="1" x14ac:dyDescent="0.2">
      <c r="A645" s="122" t="s">
        <v>1184</v>
      </c>
      <c r="B645" s="122"/>
      <c r="C645" s="122"/>
      <c r="D645" s="122"/>
      <c r="E645" s="122"/>
      <c r="F645" s="122"/>
      <c r="G645" s="122"/>
      <c r="H645" s="122"/>
      <c r="I645" s="122"/>
      <c r="J645" s="122"/>
      <c r="K645" s="122"/>
      <c r="L645" s="122"/>
      <c r="M645" s="122"/>
      <c r="N645" s="122"/>
      <c r="O645" s="122"/>
      <c r="P645" s="122"/>
      <c r="Q645" s="122"/>
      <c r="R645" s="122"/>
      <c r="S645" s="122"/>
    </row>
    <row r="646" spans="1:20" ht="14.1" customHeight="1" x14ac:dyDescent="0.2">
      <c r="A646" s="120"/>
      <c r="B646" s="120"/>
      <c r="C646" s="120"/>
      <c r="D646" s="120"/>
      <c r="E646" s="120"/>
      <c r="F646" s="120"/>
      <c r="G646" s="120"/>
      <c r="H646" s="120"/>
      <c r="I646" s="120"/>
      <c r="J646" s="120"/>
      <c r="K646" s="120"/>
      <c r="L646" s="120"/>
      <c r="M646" s="120"/>
      <c r="N646" s="120"/>
      <c r="O646" s="120"/>
      <c r="P646" s="120"/>
      <c r="Q646" s="120"/>
      <c r="R646" s="120"/>
      <c r="S646" s="120"/>
    </row>
    <row r="647" spans="1:20" ht="14.1" customHeight="1" x14ac:dyDescent="0.2">
      <c r="A647" s="121" t="s">
        <v>56</v>
      </c>
      <c r="B647" s="121"/>
      <c r="C647" s="121"/>
      <c r="D647" s="121"/>
      <c r="E647" s="121"/>
      <c r="F647" s="121"/>
      <c r="G647" s="121"/>
      <c r="H647" s="121"/>
      <c r="I647" s="121"/>
      <c r="J647" s="121"/>
      <c r="K647" s="121"/>
      <c r="L647" s="121"/>
      <c r="M647" s="121"/>
      <c r="N647" s="121"/>
      <c r="O647" s="121"/>
      <c r="P647" s="121"/>
      <c r="Q647" s="121"/>
      <c r="R647" s="121"/>
      <c r="S647" s="121"/>
    </row>
    <row r="648" spans="1:20" ht="49.2" customHeight="1" x14ac:dyDescent="0.2">
      <c r="A648" s="122" t="s">
        <v>469</v>
      </c>
      <c r="B648" s="122"/>
      <c r="C648" s="122"/>
      <c r="D648" s="122"/>
      <c r="E648" s="122"/>
      <c r="F648" s="122"/>
      <c r="G648" s="122"/>
      <c r="H648" s="122"/>
      <c r="I648" s="122"/>
      <c r="J648" s="122"/>
      <c r="K648" s="122"/>
      <c r="L648" s="122"/>
      <c r="M648" s="122"/>
      <c r="N648" s="122"/>
      <c r="O648" s="122"/>
      <c r="P648" s="122"/>
      <c r="Q648" s="122"/>
      <c r="R648" s="122"/>
      <c r="S648" s="122"/>
    </row>
    <row r="650" spans="1:20" s="1" customFormat="1" ht="72.45" customHeight="1" x14ac:dyDescent="0.25">
      <c r="J650" s="100" t="s">
        <v>0</v>
      </c>
      <c r="K650" s="100"/>
      <c r="L650" s="100"/>
      <c r="M650" s="100"/>
      <c r="N650" s="100"/>
      <c r="O650" s="100"/>
      <c r="P650" s="100"/>
      <c r="Q650" s="100"/>
      <c r="R650" s="100"/>
      <c r="S650" s="100"/>
      <c r="T650" s="100"/>
    </row>
    <row r="651" spans="1:20" ht="7.05" customHeight="1" x14ac:dyDescent="0.2"/>
    <row r="652" spans="1:20" ht="14.1" customHeight="1" x14ac:dyDescent="0.2">
      <c r="B652" s="130" t="s">
        <v>1058</v>
      </c>
      <c r="C652" s="130"/>
      <c r="D652" s="130"/>
      <c r="E652" s="130"/>
      <c r="F652" s="130"/>
      <c r="G652" s="130"/>
      <c r="H652" s="130"/>
      <c r="I652" s="130"/>
      <c r="J652" s="130"/>
      <c r="K652" s="130"/>
      <c r="L652" s="130"/>
      <c r="M652" s="130"/>
      <c r="N652" s="130"/>
      <c r="O652" s="130"/>
      <c r="P652" s="130"/>
      <c r="Q652" s="130"/>
      <c r="R652" s="130"/>
    </row>
    <row r="653" spans="1:20" ht="14.1" customHeight="1" x14ac:dyDescent="0.2"/>
    <row r="654" spans="1:20" ht="14.1" customHeight="1" x14ac:dyDescent="0.2">
      <c r="A654" s="120" t="s">
        <v>2</v>
      </c>
      <c r="B654" s="120"/>
      <c r="C654" s="120"/>
      <c r="D654" s="129" t="s">
        <v>1059</v>
      </c>
      <c r="E654" s="129"/>
      <c r="F654" s="129"/>
      <c r="G654" s="129"/>
      <c r="H654" s="129"/>
      <c r="I654" s="129"/>
      <c r="J654" s="129"/>
      <c r="K654" s="129"/>
      <c r="L654" s="129"/>
      <c r="M654" s="129"/>
      <c r="N654" s="129"/>
      <c r="O654" s="129"/>
      <c r="P654" s="129"/>
      <c r="Q654" s="129"/>
      <c r="R654" s="129"/>
      <c r="S654" s="129"/>
      <c r="T654" s="129"/>
    </row>
    <row r="655" spans="1:20" ht="14.1" customHeight="1" x14ac:dyDescent="0.2">
      <c r="A655" s="120" t="s">
        <v>4</v>
      </c>
      <c r="B655" s="120"/>
      <c r="C655" s="129" t="s">
        <v>1060</v>
      </c>
      <c r="D655" s="129"/>
      <c r="E655" s="129"/>
      <c r="F655" s="129"/>
      <c r="G655" s="129"/>
      <c r="H655" s="129"/>
      <c r="I655" s="129"/>
      <c r="J655" s="129"/>
      <c r="K655" s="129"/>
      <c r="L655" s="129"/>
      <c r="M655" s="129"/>
      <c r="N655" s="129"/>
      <c r="O655" s="129"/>
      <c r="P655" s="129"/>
      <c r="Q655" s="129"/>
      <c r="R655" s="129"/>
      <c r="S655" s="129"/>
      <c r="T655" s="129"/>
    </row>
    <row r="656" spans="1:20" ht="14.1" customHeight="1" x14ac:dyDescent="0.2">
      <c r="A656" s="120" t="s">
        <v>6</v>
      </c>
      <c r="B656" s="120"/>
      <c r="C656" s="120"/>
      <c r="D656" s="120"/>
      <c r="E656" s="120"/>
      <c r="F656" s="129" t="s">
        <v>75</v>
      </c>
      <c r="G656" s="129"/>
      <c r="H656" s="129"/>
      <c r="I656" s="129"/>
      <c r="J656" s="129"/>
      <c r="K656" s="129"/>
      <c r="L656" s="129"/>
      <c r="M656" s="129"/>
      <c r="N656" s="129"/>
      <c r="O656" s="129"/>
      <c r="P656" s="129"/>
      <c r="Q656" s="129"/>
      <c r="R656" s="129"/>
      <c r="S656" s="129"/>
      <c r="T656" s="129"/>
    </row>
    <row r="657" spans="1:20" ht="1.35" customHeight="1" x14ac:dyDescent="0.2"/>
    <row r="658" spans="1:20" ht="7.05" customHeight="1" x14ac:dyDescent="0.2">
      <c r="A658" s="120"/>
      <c r="B658" s="120"/>
      <c r="C658" s="120"/>
      <c r="D658" s="120"/>
      <c r="E658" s="120"/>
      <c r="F658" s="120"/>
      <c r="G658" s="120"/>
      <c r="H658" s="120"/>
      <c r="I658" s="120"/>
      <c r="J658" s="120"/>
      <c r="K658" s="120"/>
      <c r="L658" s="120"/>
      <c r="M658" s="120"/>
      <c r="N658" s="120"/>
      <c r="O658" s="120"/>
      <c r="P658" s="120"/>
      <c r="Q658" s="75"/>
      <c r="R658" s="120"/>
      <c r="S658" s="120"/>
      <c r="T658" s="120"/>
    </row>
    <row r="659" spans="1:20" ht="16.95" customHeight="1" x14ac:dyDescent="0.2">
      <c r="A659" s="128" t="s">
        <v>8</v>
      </c>
      <c r="B659" s="128"/>
      <c r="C659" s="128"/>
      <c r="D659" s="128"/>
      <c r="E659" s="128"/>
      <c r="F659" s="128"/>
      <c r="G659" s="128"/>
      <c r="H659" s="128"/>
      <c r="I659" s="128"/>
      <c r="J659" s="128"/>
      <c r="K659" s="128"/>
      <c r="L659" s="128"/>
      <c r="M659" s="128" t="s">
        <v>9</v>
      </c>
      <c r="N659" s="128"/>
      <c r="O659" s="128"/>
      <c r="P659" s="128"/>
      <c r="Q659" s="128"/>
      <c r="R659" s="128"/>
      <c r="S659" s="128"/>
      <c r="T659" s="128"/>
    </row>
    <row r="660" spans="1:20" ht="16.95" customHeight="1" x14ac:dyDescent="0.2">
      <c r="A660" s="128"/>
      <c r="B660" s="128"/>
      <c r="C660" s="128"/>
      <c r="D660" s="128"/>
      <c r="E660" s="128"/>
      <c r="F660" s="128"/>
      <c r="G660" s="128"/>
      <c r="H660" s="128"/>
      <c r="I660" s="128"/>
      <c r="J660" s="128"/>
      <c r="K660" s="128"/>
      <c r="L660" s="128"/>
      <c r="M660" s="128" t="s">
        <v>10</v>
      </c>
      <c r="N660" s="128"/>
      <c r="O660" s="128"/>
      <c r="P660" s="128"/>
      <c r="Q660" s="128" t="s">
        <v>11</v>
      </c>
      <c r="R660" s="128"/>
      <c r="S660" s="128"/>
      <c r="T660" s="128"/>
    </row>
    <row r="661" spans="1:20" ht="16.95" customHeight="1" x14ac:dyDescent="0.2">
      <c r="A661" s="128"/>
      <c r="B661" s="128"/>
      <c r="C661" s="128"/>
      <c r="D661" s="128"/>
      <c r="E661" s="128"/>
      <c r="F661" s="128"/>
      <c r="G661" s="128"/>
      <c r="H661" s="128"/>
      <c r="I661" s="128"/>
      <c r="J661" s="128"/>
      <c r="K661" s="128"/>
      <c r="L661" s="128"/>
      <c r="M661" s="128" t="s">
        <v>12</v>
      </c>
      <c r="N661" s="128"/>
      <c r="O661" s="128" t="s">
        <v>13</v>
      </c>
      <c r="P661" s="128"/>
      <c r="Q661" s="76" t="s">
        <v>14</v>
      </c>
      <c r="R661" s="128" t="s">
        <v>15</v>
      </c>
      <c r="S661" s="128"/>
      <c r="T661" s="128"/>
    </row>
    <row r="662" spans="1:20" ht="13.35" customHeight="1" x14ac:dyDescent="0.2">
      <c r="A662" s="124" t="s">
        <v>191</v>
      </c>
      <c r="B662" s="124"/>
      <c r="C662" s="124"/>
      <c r="D662" s="124"/>
      <c r="E662" s="124"/>
      <c r="F662" s="124"/>
      <c r="G662" s="124"/>
      <c r="H662" s="124"/>
      <c r="I662" s="124"/>
      <c r="J662" s="124"/>
      <c r="K662" s="124"/>
      <c r="L662" s="124"/>
      <c r="M662" s="124" t="s">
        <v>62</v>
      </c>
      <c r="N662" s="124"/>
      <c r="O662" s="124" t="s">
        <v>62</v>
      </c>
      <c r="P662" s="124"/>
      <c r="Q662" s="77" t="s">
        <v>63</v>
      </c>
      <c r="R662" s="124" t="s">
        <v>63</v>
      </c>
      <c r="S662" s="124"/>
      <c r="T662" s="124"/>
    </row>
    <row r="663" spans="1:20" ht="13.35" customHeight="1" x14ac:dyDescent="0.2">
      <c r="A663" s="124" t="s">
        <v>183</v>
      </c>
      <c r="B663" s="124"/>
      <c r="C663" s="124"/>
      <c r="D663" s="124"/>
      <c r="E663" s="124"/>
      <c r="F663" s="124"/>
      <c r="G663" s="124"/>
      <c r="H663" s="124"/>
      <c r="I663" s="124"/>
      <c r="J663" s="124"/>
      <c r="K663" s="124"/>
      <c r="L663" s="124"/>
      <c r="M663" s="124" t="s">
        <v>1061</v>
      </c>
      <c r="N663" s="124"/>
      <c r="O663" s="124" t="s">
        <v>1062</v>
      </c>
      <c r="P663" s="124"/>
      <c r="Q663" s="77" t="s">
        <v>1063</v>
      </c>
      <c r="R663" s="124" t="s">
        <v>1064</v>
      </c>
      <c r="S663" s="124"/>
      <c r="T663" s="124"/>
    </row>
    <row r="664" spans="1:20" ht="13.35" customHeight="1" x14ac:dyDescent="0.2">
      <c r="A664" s="124" t="s">
        <v>31</v>
      </c>
      <c r="B664" s="124"/>
      <c r="C664" s="124"/>
      <c r="D664" s="124"/>
      <c r="E664" s="124"/>
      <c r="F664" s="124"/>
      <c r="G664" s="124"/>
      <c r="H664" s="124"/>
      <c r="I664" s="124"/>
      <c r="J664" s="124"/>
      <c r="K664" s="124"/>
      <c r="L664" s="124"/>
      <c r="M664" s="124"/>
      <c r="N664" s="124"/>
      <c r="O664" s="124"/>
      <c r="P664" s="124"/>
      <c r="Q664" s="77"/>
      <c r="R664" s="124"/>
      <c r="S664" s="124"/>
      <c r="T664" s="124"/>
    </row>
    <row r="665" spans="1:20" ht="13.35" customHeight="1" x14ac:dyDescent="0.2">
      <c r="A665" s="124" t="s">
        <v>1012</v>
      </c>
      <c r="B665" s="124"/>
      <c r="C665" s="124"/>
      <c r="D665" s="124"/>
      <c r="E665" s="124"/>
      <c r="F665" s="124"/>
      <c r="G665" s="124"/>
      <c r="H665" s="124"/>
      <c r="I665" s="124"/>
      <c r="J665" s="124"/>
      <c r="K665" s="124"/>
      <c r="L665" s="124"/>
      <c r="M665" s="124">
        <v>107.33</v>
      </c>
      <c r="N665" s="124"/>
      <c r="O665" s="124">
        <v>80.5</v>
      </c>
      <c r="P665" s="124"/>
      <c r="Q665" s="77">
        <v>10.73</v>
      </c>
      <c r="R665" s="124">
        <v>8.0500000000000007</v>
      </c>
      <c r="S665" s="124"/>
      <c r="T665" s="124"/>
    </row>
    <row r="666" spans="1:20" ht="13.35" customHeight="1" x14ac:dyDescent="0.2">
      <c r="A666" s="124" t="s">
        <v>100</v>
      </c>
      <c r="B666" s="124"/>
      <c r="C666" s="124"/>
      <c r="D666" s="124"/>
      <c r="E666" s="124"/>
      <c r="F666" s="124"/>
      <c r="G666" s="124"/>
      <c r="H666" s="124"/>
      <c r="I666" s="124"/>
      <c r="J666" s="124"/>
      <c r="K666" s="124"/>
      <c r="L666" s="124"/>
      <c r="M666" s="124"/>
      <c r="N666" s="124"/>
      <c r="O666" s="124"/>
      <c r="P666" s="124"/>
      <c r="Q666" s="77"/>
      <c r="R666" s="124"/>
      <c r="S666" s="124"/>
      <c r="T666" s="124"/>
    </row>
    <row r="667" spans="1:20" ht="13.35" customHeight="1" x14ac:dyDescent="0.2">
      <c r="A667" s="124" t="s">
        <v>91</v>
      </c>
      <c r="B667" s="124"/>
      <c r="C667" s="124"/>
      <c r="D667" s="124"/>
      <c r="E667" s="124"/>
      <c r="F667" s="124"/>
      <c r="G667" s="124"/>
      <c r="H667" s="124"/>
      <c r="I667" s="124"/>
      <c r="J667" s="124"/>
      <c r="K667" s="124"/>
      <c r="L667" s="124"/>
      <c r="M667" s="124" t="s">
        <v>85</v>
      </c>
      <c r="N667" s="124"/>
      <c r="O667" s="124" t="s">
        <v>240</v>
      </c>
      <c r="P667" s="124"/>
      <c r="Q667" s="77" t="s">
        <v>77</v>
      </c>
      <c r="R667" s="124" t="s">
        <v>241</v>
      </c>
      <c r="S667" s="124"/>
      <c r="T667" s="124"/>
    </row>
    <row r="668" spans="1:20" ht="13.35" customHeight="1" x14ac:dyDescent="0.2">
      <c r="A668" s="124" t="s">
        <v>94</v>
      </c>
      <c r="B668" s="124"/>
      <c r="C668" s="124"/>
      <c r="D668" s="124"/>
      <c r="E668" s="124"/>
      <c r="F668" s="124"/>
      <c r="G668" s="124"/>
      <c r="H668" s="124"/>
      <c r="I668" s="124"/>
      <c r="J668" s="124"/>
      <c r="K668" s="124"/>
      <c r="L668" s="124"/>
      <c r="M668" s="124" t="s">
        <v>1077</v>
      </c>
      <c r="N668" s="124"/>
      <c r="O668" s="124" t="s">
        <v>240</v>
      </c>
      <c r="P668" s="124"/>
      <c r="Q668" s="77" t="s">
        <v>1078</v>
      </c>
      <c r="R668" s="124" t="s">
        <v>241</v>
      </c>
      <c r="S668" s="124"/>
      <c r="T668" s="124"/>
    </row>
    <row r="669" spans="1:20" ht="13.35" customHeight="1" x14ac:dyDescent="0.2">
      <c r="A669" s="124" t="s">
        <v>21</v>
      </c>
      <c r="B669" s="124"/>
      <c r="C669" s="124"/>
      <c r="D669" s="124"/>
      <c r="E669" s="124"/>
      <c r="F669" s="124"/>
      <c r="G669" s="124"/>
      <c r="H669" s="124"/>
      <c r="I669" s="124"/>
      <c r="J669" s="124"/>
      <c r="K669" s="124"/>
      <c r="L669" s="124"/>
      <c r="M669" s="124" t="s">
        <v>189</v>
      </c>
      <c r="N669" s="124"/>
      <c r="O669" s="124" t="s">
        <v>240</v>
      </c>
      <c r="P669" s="124"/>
      <c r="Q669" s="77" t="s">
        <v>190</v>
      </c>
      <c r="R669" s="124" t="s">
        <v>241</v>
      </c>
      <c r="S669" s="124"/>
      <c r="T669" s="124"/>
    </row>
    <row r="670" spans="1:20" ht="13.35" customHeight="1" x14ac:dyDescent="0.2">
      <c r="A670" s="124" t="s">
        <v>61</v>
      </c>
      <c r="B670" s="124"/>
      <c r="C670" s="124"/>
      <c r="D670" s="124"/>
      <c r="E670" s="124"/>
      <c r="F670" s="124"/>
      <c r="G670" s="124"/>
      <c r="H670" s="124"/>
      <c r="I670" s="124"/>
      <c r="J670" s="124"/>
      <c r="K670" s="124"/>
      <c r="L670" s="124"/>
      <c r="M670" s="124" t="s">
        <v>93</v>
      </c>
      <c r="N670" s="124"/>
      <c r="O670" s="124" t="s">
        <v>93</v>
      </c>
      <c r="P670" s="124"/>
      <c r="Q670" s="77" t="s">
        <v>416</v>
      </c>
      <c r="R670" s="124" t="s">
        <v>416</v>
      </c>
      <c r="S670" s="124"/>
      <c r="T670" s="124"/>
    </row>
    <row r="671" spans="1:20" ht="13.35" customHeight="1" x14ac:dyDescent="0.2">
      <c r="A671" s="124" t="s">
        <v>114</v>
      </c>
      <c r="B671" s="124"/>
      <c r="C671" s="124"/>
      <c r="D671" s="124"/>
      <c r="E671" s="124"/>
      <c r="F671" s="124"/>
      <c r="G671" s="124"/>
      <c r="H671" s="124"/>
      <c r="I671" s="124"/>
      <c r="J671" s="124"/>
      <c r="K671" s="124"/>
      <c r="L671" s="124"/>
      <c r="M671" s="124" t="s">
        <v>1079</v>
      </c>
      <c r="N671" s="124"/>
      <c r="O671" s="124" t="s">
        <v>1079</v>
      </c>
      <c r="P671" s="124"/>
      <c r="Q671" s="77" t="s">
        <v>1080</v>
      </c>
      <c r="R671" s="124" t="s">
        <v>1080</v>
      </c>
      <c r="S671" s="124"/>
      <c r="T671" s="124"/>
    </row>
    <row r="672" spans="1:20" ht="14.1" customHeight="1" x14ac:dyDescent="0.2">
      <c r="A672" s="126" t="s">
        <v>790</v>
      </c>
      <c r="B672" s="126"/>
      <c r="C672" s="126"/>
      <c r="D672" s="126"/>
      <c r="E672" s="126"/>
      <c r="F672" s="126"/>
      <c r="G672" s="126"/>
      <c r="H672" s="126"/>
      <c r="I672" s="126"/>
      <c r="J672" s="126"/>
      <c r="K672" s="126"/>
      <c r="L672" s="126"/>
      <c r="M672" s="126"/>
      <c r="N672" s="126"/>
      <c r="O672" s="126"/>
      <c r="P672" s="126"/>
      <c r="Q672" s="126"/>
      <c r="R672" s="126"/>
      <c r="S672" s="126"/>
      <c r="T672" s="126"/>
    </row>
    <row r="673" spans="1:19" ht="14.1" customHeight="1" x14ac:dyDescent="0.2"/>
    <row r="674" spans="1:19" ht="14.1" customHeight="1" x14ac:dyDescent="0.2">
      <c r="A674" s="121" t="s">
        <v>33</v>
      </c>
      <c r="B674" s="121"/>
      <c r="C674" s="121"/>
      <c r="D674" s="121"/>
      <c r="E674" s="121"/>
      <c r="F674" s="121"/>
      <c r="G674" s="121"/>
      <c r="H674" s="121"/>
      <c r="I674" s="121"/>
      <c r="J674" s="121"/>
      <c r="K674" s="121"/>
      <c r="L674" s="121"/>
      <c r="M674" s="121"/>
      <c r="N674" s="121"/>
    </row>
    <row r="675" spans="1:19" ht="13.35" customHeight="1" x14ac:dyDescent="0.2">
      <c r="A675" s="124" t="s">
        <v>34</v>
      </c>
      <c r="B675" s="124"/>
      <c r="C675" s="124"/>
      <c r="D675" s="124"/>
      <c r="E675" s="125">
        <v>3.88</v>
      </c>
      <c r="F675" s="125"/>
      <c r="G675" s="78"/>
      <c r="H675" s="77" t="s">
        <v>35</v>
      </c>
      <c r="I675" s="125">
        <v>0.12</v>
      </c>
      <c r="J675" s="125"/>
      <c r="K675" s="78"/>
      <c r="L675" s="124" t="s">
        <v>36</v>
      </c>
      <c r="M675" s="124"/>
      <c r="N675" s="125">
        <v>41.2</v>
      </c>
      <c r="O675" s="125"/>
    </row>
    <row r="676" spans="1:19" ht="13.35" customHeight="1" x14ac:dyDescent="0.2">
      <c r="A676" s="124" t="s">
        <v>37</v>
      </c>
      <c r="B676" s="124"/>
      <c r="C676" s="124"/>
      <c r="D676" s="124"/>
      <c r="E676" s="125">
        <v>4.43</v>
      </c>
      <c r="F676" s="125"/>
      <c r="G676" s="78"/>
      <c r="H676" s="77" t="s">
        <v>38</v>
      </c>
      <c r="I676" s="125">
        <v>8.9499999999999993</v>
      </c>
      <c r="J676" s="125"/>
      <c r="K676" s="78"/>
      <c r="L676" s="124" t="s">
        <v>39</v>
      </c>
      <c r="M676" s="124"/>
      <c r="N676" s="125">
        <v>31.94</v>
      </c>
      <c r="O676" s="125"/>
    </row>
    <row r="677" spans="1:19" ht="13.35" customHeight="1" x14ac:dyDescent="0.2">
      <c r="A677" s="124" t="s">
        <v>40</v>
      </c>
      <c r="B677" s="124"/>
      <c r="C677" s="124"/>
      <c r="D677" s="124"/>
      <c r="E677" s="125">
        <v>18.350000000000001</v>
      </c>
      <c r="F677" s="125"/>
      <c r="G677" s="78"/>
      <c r="H677" s="77" t="s">
        <v>41</v>
      </c>
      <c r="I677" s="125">
        <v>0.35</v>
      </c>
      <c r="J677" s="125"/>
      <c r="K677" s="78"/>
      <c r="L677" s="124" t="s">
        <v>42</v>
      </c>
      <c r="M677" s="124"/>
      <c r="N677" s="125">
        <v>90.03</v>
      </c>
      <c r="O677" s="125"/>
    </row>
    <row r="678" spans="1:19" ht="13.35" customHeight="1" x14ac:dyDescent="0.2">
      <c r="A678" s="124" t="s">
        <v>43</v>
      </c>
      <c r="B678" s="124"/>
      <c r="C678" s="124"/>
      <c r="D678" s="124"/>
      <c r="E678" s="125">
        <v>131.47</v>
      </c>
      <c r="F678" s="125"/>
      <c r="G678" s="78"/>
      <c r="H678" s="77" t="s">
        <v>44</v>
      </c>
      <c r="I678" s="125">
        <v>0.51</v>
      </c>
      <c r="J678" s="125"/>
      <c r="K678" s="78"/>
      <c r="L678" s="124" t="s">
        <v>45</v>
      </c>
      <c r="M678" s="124"/>
      <c r="N678" s="125">
        <v>1.46</v>
      </c>
      <c r="O678" s="125"/>
    </row>
    <row r="679" spans="1:19" ht="13.35" customHeight="1" x14ac:dyDescent="0.2">
      <c r="A679" s="123"/>
      <c r="B679" s="123"/>
      <c r="C679" s="123"/>
      <c r="D679" s="123"/>
      <c r="E679" s="123"/>
      <c r="F679" s="123"/>
      <c r="G679" s="78"/>
      <c r="H679" s="77" t="s">
        <v>46</v>
      </c>
      <c r="I679" s="125">
        <v>0.28999999999999998</v>
      </c>
      <c r="J679" s="125"/>
      <c r="K679" s="78"/>
      <c r="L679" s="124" t="s">
        <v>47</v>
      </c>
      <c r="M679" s="124"/>
      <c r="N679" s="125">
        <v>649.6</v>
      </c>
      <c r="O679" s="125"/>
    </row>
    <row r="680" spans="1:19" ht="13.35" customHeight="1" x14ac:dyDescent="0.2">
      <c r="A680" s="123"/>
      <c r="B680" s="123"/>
      <c r="C680" s="123"/>
      <c r="D680" s="123"/>
      <c r="E680" s="123"/>
      <c r="F680" s="123"/>
      <c r="G680" s="78"/>
      <c r="H680" s="77" t="s">
        <v>48</v>
      </c>
      <c r="I680" s="125">
        <v>0.12</v>
      </c>
      <c r="J680" s="125"/>
      <c r="K680" s="78"/>
      <c r="L680" s="124" t="s">
        <v>49</v>
      </c>
      <c r="M680" s="124"/>
      <c r="N680" s="125">
        <v>8.94</v>
      </c>
      <c r="O680" s="125"/>
    </row>
    <row r="681" spans="1:19" ht="13.35" customHeight="1" x14ac:dyDescent="0.2">
      <c r="A681" s="123"/>
      <c r="B681" s="123"/>
      <c r="C681" s="123"/>
      <c r="D681" s="123"/>
      <c r="E681" s="123"/>
      <c r="F681" s="123"/>
      <c r="G681" s="78"/>
      <c r="H681" s="78"/>
      <c r="I681" s="123"/>
      <c r="J681" s="123"/>
      <c r="K681" s="78"/>
      <c r="L681" s="124" t="s">
        <v>50</v>
      </c>
      <c r="M681" s="124"/>
      <c r="N681" s="125">
        <v>0.05</v>
      </c>
      <c r="O681" s="125"/>
    </row>
    <row r="682" spans="1:19" ht="13.35" customHeight="1" x14ac:dyDescent="0.2">
      <c r="A682" s="123"/>
      <c r="B682" s="123"/>
      <c r="C682" s="123"/>
      <c r="D682" s="123"/>
      <c r="E682" s="123"/>
      <c r="F682" s="123"/>
      <c r="G682" s="78"/>
      <c r="H682" s="78"/>
      <c r="I682" s="123"/>
      <c r="J682" s="123"/>
      <c r="K682" s="78"/>
      <c r="L682" s="124" t="s">
        <v>51</v>
      </c>
      <c r="M682" s="124"/>
      <c r="N682" s="125">
        <v>0</v>
      </c>
      <c r="O682" s="125"/>
    </row>
    <row r="683" spans="1:19" ht="14.1" customHeight="1" x14ac:dyDescent="0.2">
      <c r="A683" s="120"/>
      <c r="B683" s="120"/>
      <c r="C683" s="120"/>
      <c r="D683" s="120"/>
      <c r="E683" s="120"/>
      <c r="F683" s="120"/>
      <c r="G683" s="120"/>
      <c r="H683" s="120"/>
      <c r="I683" s="120"/>
      <c r="J683" s="120"/>
      <c r="K683" s="120"/>
      <c r="L683" s="120"/>
      <c r="M683" s="120"/>
      <c r="N683" s="120"/>
      <c r="O683" s="120"/>
      <c r="P683" s="120"/>
      <c r="Q683" s="120"/>
      <c r="R683" s="120"/>
      <c r="S683" s="120"/>
    </row>
    <row r="684" spans="1:19" ht="14.1" customHeight="1" x14ac:dyDescent="0.2">
      <c r="A684" s="121" t="s">
        <v>52</v>
      </c>
      <c r="B684" s="121"/>
      <c r="C684" s="121"/>
      <c r="D684" s="121"/>
      <c r="E684" s="121"/>
      <c r="F684" s="121"/>
      <c r="G684" s="121"/>
      <c r="H684" s="121"/>
      <c r="I684" s="121"/>
      <c r="J684" s="121"/>
      <c r="K684" s="121"/>
      <c r="L684" s="121"/>
      <c r="M684" s="121"/>
      <c r="N684" s="121"/>
      <c r="O684" s="121"/>
      <c r="P684" s="121"/>
      <c r="Q684" s="121"/>
      <c r="R684" s="121"/>
      <c r="S684" s="121"/>
    </row>
    <row r="685" spans="1:19" ht="95.25" customHeight="1" x14ac:dyDescent="0.2">
      <c r="A685" s="122" t="s">
        <v>1081</v>
      </c>
      <c r="B685" s="122"/>
      <c r="C685" s="122"/>
      <c r="D685" s="122"/>
      <c r="E685" s="122"/>
      <c r="F685" s="122"/>
      <c r="G685" s="122"/>
      <c r="H685" s="122"/>
      <c r="I685" s="122"/>
      <c r="J685" s="122"/>
      <c r="K685" s="122"/>
      <c r="L685" s="122"/>
      <c r="M685" s="122"/>
      <c r="N685" s="122"/>
      <c r="O685" s="122"/>
      <c r="P685" s="122"/>
      <c r="Q685" s="122"/>
      <c r="R685" s="122"/>
      <c r="S685" s="122"/>
    </row>
    <row r="686" spans="1:19" ht="14.1" customHeight="1" x14ac:dyDescent="0.2">
      <c r="A686" s="120"/>
      <c r="B686" s="120"/>
      <c r="C686" s="120"/>
      <c r="D686" s="120"/>
      <c r="E686" s="120"/>
      <c r="F686" s="120"/>
      <c r="G686" s="120"/>
      <c r="H686" s="120"/>
      <c r="I686" s="120"/>
      <c r="J686" s="120"/>
      <c r="K686" s="120"/>
      <c r="L686" s="120"/>
      <c r="M686" s="120"/>
      <c r="N686" s="120"/>
      <c r="O686" s="120"/>
      <c r="P686" s="120"/>
      <c r="Q686" s="120"/>
      <c r="R686" s="120"/>
      <c r="S686" s="120"/>
    </row>
    <row r="687" spans="1:19" ht="14.1" customHeight="1" x14ac:dyDescent="0.2">
      <c r="A687" s="121" t="s">
        <v>54</v>
      </c>
      <c r="B687" s="121"/>
      <c r="C687" s="121"/>
      <c r="D687" s="121"/>
      <c r="E687" s="121"/>
      <c r="F687" s="121"/>
      <c r="G687" s="121"/>
      <c r="H687" s="121"/>
      <c r="I687" s="121"/>
      <c r="J687" s="121"/>
      <c r="K687" s="121"/>
      <c r="L687" s="121"/>
      <c r="M687" s="121"/>
      <c r="N687" s="121"/>
      <c r="O687" s="121"/>
      <c r="P687" s="121"/>
      <c r="Q687" s="121"/>
      <c r="R687" s="121"/>
      <c r="S687" s="121"/>
    </row>
    <row r="688" spans="1:19" ht="12.45" customHeight="1" x14ac:dyDescent="0.2">
      <c r="A688" s="122" t="s">
        <v>1190</v>
      </c>
      <c r="B688" s="122"/>
      <c r="C688" s="122"/>
      <c r="D688" s="122"/>
      <c r="E688" s="122"/>
      <c r="F688" s="122"/>
      <c r="G688" s="122"/>
      <c r="H688" s="122"/>
      <c r="I688" s="122"/>
      <c r="J688" s="122"/>
      <c r="K688" s="122"/>
      <c r="L688" s="122"/>
      <c r="M688" s="122"/>
      <c r="N688" s="122"/>
      <c r="O688" s="122"/>
      <c r="P688" s="122"/>
      <c r="Q688" s="122"/>
      <c r="R688" s="122"/>
      <c r="S688" s="122"/>
    </row>
    <row r="689" spans="1:20" ht="14.1" customHeight="1" x14ac:dyDescent="0.2">
      <c r="A689" s="120"/>
      <c r="B689" s="120"/>
      <c r="C689" s="120"/>
      <c r="D689" s="120"/>
      <c r="E689" s="120"/>
      <c r="F689" s="120"/>
      <c r="G689" s="120"/>
      <c r="H689" s="120"/>
      <c r="I689" s="120"/>
      <c r="J689" s="120"/>
      <c r="K689" s="120"/>
      <c r="L689" s="120"/>
      <c r="M689" s="120"/>
      <c r="N689" s="120"/>
      <c r="O689" s="120"/>
      <c r="P689" s="120"/>
      <c r="Q689" s="120"/>
      <c r="R689" s="120"/>
      <c r="S689" s="120"/>
    </row>
    <row r="690" spans="1:20" ht="14.1" customHeight="1" x14ac:dyDescent="0.2">
      <c r="A690" s="121" t="s">
        <v>56</v>
      </c>
      <c r="B690" s="121"/>
      <c r="C690" s="121"/>
      <c r="D690" s="121"/>
      <c r="E690" s="121"/>
      <c r="F690" s="121"/>
      <c r="G690" s="121"/>
      <c r="H690" s="121"/>
      <c r="I690" s="121"/>
      <c r="J690" s="121"/>
      <c r="K690" s="121"/>
      <c r="L690" s="121"/>
      <c r="M690" s="121"/>
      <c r="N690" s="121"/>
      <c r="O690" s="121"/>
      <c r="P690" s="121"/>
      <c r="Q690" s="121"/>
      <c r="R690" s="121"/>
      <c r="S690" s="121"/>
    </row>
    <row r="691" spans="1:20" ht="49.2" customHeight="1" x14ac:dyDescent="0.2">
      <c r="A691" s="122" t="s">
        <v>1191</v>
      </c>
      <c r="B691" s="122"/>
      <c r="C691" s="122"/>
      <c r="D691" s="122"/>
      <c r="E691" s="122"/>
      <c r="F691" s="122"/>
      <c r="G691" s="122"/>
      <c r="H691" s="122"/>
      <c r="I691" s="122"/>
      <c r="J691" s="122"/>
      <c r="K691" s="122"/>
      <c r="L691" s="122"/>
      <c r="M691" s="122"/>
      <c r="N691" s="122"/>
      <c r="O691" s="122"/>
      <c r="P691" s="122"/>
      <c r="Q691" s="122"/>
      <c r="R691" s="122"/>
      <c r="S691" s="122"/>
    </row>
    <row r="692" spans="1:20" s="1" customFormat="1" ht="72.45" customHeight="1" x14ac:dyDescent="0.25">
      <c r="J692" s="100" t="s">
        <v>0</v>
      </c>
      <c r="K692" s="100"/>
      <c r="L692" s="100"/>
      <c r="M692" s="100"/>
      <c r="N692" s="100"/>
      <c r="O692" s="100"/>
      <c r="P692" s="100"/>
      <c r="Q692" s="100"/>
      <c r="R692" s="100"/>
      <c r="S692" s="100"/>
      <c r="T692" s="100"/>
    </row>
    <row r="693" spans="1:20" ht="7.05" customHeight="1" x14ac:dyDescent="0.2"/>
    <row r="694" spans="1:20" ht="14.1" customHeight="1" x14ac:dyDescent="0.2">
      <c r="B694" s="130" t="s">
        <v>1192</v>
      </c>
      <c r="C694" s="130"/>
      <c r="D694" s="130"/>
      <c r="E694" s="130"/>
      <c r="F694" s="130"/>
      <c r="G694" s="130"/>
      <c r="H694" s="130"/>
      <c r="I694" s="130"/>
      <c r="J694" s="130"/>
      <c r="K694" s="130"/>
      <c r="L694" s="130"/>
      <c r="M694" s="130"/>
      <c r="N694" s="130"/>
      <c r="O694" s="130"/>
      <c r="P694" s="130"/>
      <c r="Q694" s="130"/>
      <c r="R694" s="130"/>
    </row>
    <row r="695" spans="1:20" ht="14.1" customHeight="1" x14ac:dyDescent="0.2"/>
    <row r="696" spans="1:20" ht="14.1" customHeight="1" x14ac:dyDescent="0.2">
      <c r="A696" s="120" t="s">
        <v>2</v>
      </c>
      <c r="B696" s="120"/>
      <c r="C696" s="120"/>
      <c r="D696" s="129" t="s">
        <v>1193</v>
      </c>
      <c r="E696" s="129"/>
      <c r="F696" s="129"/>
      <c r="G696" s="129"/>
      <c r="H696" s="129"/>
      <c r="I696" s="129"/>
      <c r="J696" s="129"/>
      <c r="K696" s="129"/>
      <c r="L696" s="129"/>
      <c r="M696" s="129"/>
      <c r="N696" s="129"/>
      <c r="O696" s="129"/>
      <c r="P696" s="129"/>
      <c r="Q696" s="129"/>
      <c r="R696" s="129"/>
      <c r="S696" s="129"/>
      <c r="T696" s="129"/>
    </row>
    <row r="697" spans="1:20" ht="14.1" customHeight="1" x14ac:dyDescent="0.2">
      <c r="A697" s="120" t="s">
        <v>4</v>
      </c>
      <c r="B697" s="120"/>
      <c r="C697" s="129" t="s">
        <v>982</v>
      </c>
      <c r="D697" s="129"/>
      <c r="E697" s="129"/>
      <c r="F697" s="129"/>
      <c r="G697" s="129"/>
      <c r="H697" s="129"/>
      <c r="I697" s="129"/>
      <c r="J697" s="129"/>
      <c r="K697" s="129"/>
      <c r="L697" s="129"/>
      <c r="M697" s="129"/>
      <c r="N697" s="129"/>
      <c r="O697" s="129"/>
      <c r="P697" s="129"/>
      <c r="Q697" s="129"/>
      <c r="R697" s="129"/>
      <c r="S697" s="129"/>
      <c r="T697" s="129"/>
    </row>
    <row r="698" spans="1:20" ht="14.1" customHeight="1" x14ac:dyDescent="0.2">
      <c r="A698" s="120" t="s">
        <v>6</v>
      </c>
      <c r="B698" s="120"/>
      <c r="C698" s="120"/>
      <c r="D698" s="120"/>
      <c r="E698" s="120"/>
      <c r="F698" s="129" t="s">
        <v>248</v>
      </c>
      <c r="G698" s="129"/>
      <c r="H698" s="129"/>
      <c r="I698" s="129"/>
      <c r="J698" s="129"/>
      <c r="K698" s="129"/>
      <c r="L698" s="129"/>
      <c r="M698" s="129"/>
      <c r="N698" s="129"/>
      <c r="O698" s="129"/>
      <c r="P698" s="129"/>
      <c r="Q698" s="129"/>
      <c r="R698" s="129"/>
      <c r="S698" s="129"/>
      <c r="T698" s="129"/>
    </row>
    <row r="699" spans="1:20" ht="22.35" customHeight="1" x14ac:dyDescent="0.2">
      <c r="F699" s="129"/>
      <c r="G699" s="129"/>
      <c r="H699" s="129"/>
      <c r="I699" s="129"/>
      <c r="J699" s="129"/>
      <c r="K699" s="129"/>
      <c r="L699" s="129"/>
      <c r="M699" s="129"/>
      <c r="N699" s="129"/>
      <c r="O699" s="129"/>
      <c r="P699" s="129"/>
      <c r="Q699" s="129"/>
      <c r="R699" s="129"/>
      <c r="S699" s="129"/>
      <c r="T699" s="129"/>
    </row>
    <row r="700" spans="1:20" ht="7.05" customHeight="1" x14ac:dyDescent="0.2">
      <c r="A700" s="120"/>
      <c r="B700" s="120"/>
      <c r="C700" s="120"/>
      <c r="D700" s="120"/>
      <c r="E700" s="120"/>
      <c r="F700" s="120"/>
      <c r="G700" s="120"/>
      <c r="H700" s="120"/>
      <c r="I700" s="120"/>
      <c r="J700" s="120"/>
      <c r="K700" s="120"/>
      <c r="L700" s="120"/>
      <c r="M700" s="120"/>
      <c r="N700" s="120"/>
      <c r="O700" s="120"/>
      <c r="P700" s="120"/>
      <c r="Q700" s="75"/>
      <c r="R700" s="120"/>
      <c r="S700" s="120"/>
      <c r="T700" s="120"/>
    </row>
    <row r="701" spans="1:20" ht="16.95" customHeight="1" x14ac:dyDescent="0.2">
      <c r="A701" s="128" t="s">
        <v>8</v>
      </c>
      <c r="B701" s="128"/>
      <c r="C701" s="128"/>
      <c r="D701" s="128"/>
      <c r="E701" s="128"/>
      <c r="F701" s="128"/>
      <c r="G701" s="128"/>
      <c r="H701" s="128"/>
      <c r="I701" s="128"/>
      <c r="J701" s="128"/>
      <c r="K701" s="128"/>
      <c r="L701" s="128"/>
      <c r="M701" s="128" t="s">
        <v>9</v>
      </c>
      <c r="N701" s="128"/>
      <c r="O701" s="128"/>
      <c r="P701" s="128"/>
      <c r="Q701" s="128"/>
      <c r="R701" s="128"/>
      <c r="S701" s="128"/>
      <c r="T701" s="128"/>
    </row>
    <row r="702" spans="1:20" ht="16.95" customHeight="1" x14ac:dyDescent="0.2">
      <c r="A702" s="128"/>
      <c r="B702" s="128"/>
      <c r="C702" s="128"/>
      <c r="D702" s="128"/>
      <c r="E702" s="128"/>
      <c r="F702" s="128"/>
      <c r="G702" s="128"/>
      <c r="H702" s="128"/>
      <c r="I702" s="128"/>
      <c r="J702" s="128"/>
      <c r="K702" s="128"/>
      <c r="L702" s="128"/>
      <c r="M702" s="128" t="s">
        <v>10</v>
      </c>
      <c r="N702" s="128"/>
      <c r="O702" s="128"/>
      <c r="P702" s="128"/>
      <c r="Q702" s="128" t="s">
        <v>11</v>
      </c>
      <c r="R702" s="128"/>
      <c r="S702" s="128"/>
      <c r="T702" s="128"/>
    </row>
    <row r="703" spans="1:20" ht="16.95" customHeight="1" x14ac:dyDescent="0.2">
      <c r="A703" s="128"/>
      <c r="B703" s="128"/>
      <c r="C703" s="128"/>
      <c r="D703" s="128"/>
      <c r="E703" s="128"/>
      <c r="F703" s="128"/>
      <c r="G703" s="128"/>
      <c r="H703" s="128"/>
      <c r="I703" s="128"/>
      <c r="J703" s="128"/>
      <c r="K703" s="128"/>
      <c r="L703" s="128"/>
      <c r="M703" s="128" t="s">
        <v>12</v>
      </c>
      <c r="N703" s="128"/>
      <c r="O703" s="128" t="s">
        <v>13</v>
      </c>
      <c r="P703" s="128"/>
      <c r="Q703" s="76" t="s">
        <v>14</v>
      </c>
      <c r="R703" s="128" t="s">
        <v>15</v>
      </c>
      <c r="S703" s="128"/>
      <c r="T703" s="128"/>
    </row>
    <row r="704" spans="1:20" ht="13.35" customHeight="1" x14ac:dyDescent="0.2">
      <c r="A704" s="124" t="s">
        <v>1194</v>
      </c>
      <c r="B704" s="124"/>
      <c r="C704" s="124"/>
      <c r="D704" s="124"/>
      <c r="E704" s="124"/>
      <c r="F704" s="124"/>
      <c r="G704" s="124"/>
      <c r="H704" s="124"/>
      <c r="I704" s="124"/>
      <c r="J704" s="124"/>
      <c r="K704" s="124"/>
      <c r="L704" s="124"/>
      <c r="M704" s="124" t="s">
        <v>1195</v>
      </c>
      <c r="N704" s="124"/>
      <c r="O704" s="124" t="s">
        <v>1195</v>
      </c>
      <c r="P704" s="124"/>
      <c r="Q704" s="77" t="s">
        <v>1196</v>
      </c>
      <c r="R704" s="124" t="s">
        <v>1196</v>
      </c>
      <c r="S704" s="124"/>
      <c r="T704" s="124"/>
    </row>
    <row r="705" spans="1:20" ht="13.35" customHeight="1" x14ac:dyDescent="0.2">
      <c r="A705" s="124" t="s">
        <v>66</v>
      </c>
      <c r="B705" s="124"/>
      <c r="C705" s="124"/>
      <c r="D705" s="124"/>
      <c r="E705" s="124"/>
      <c r="F705" s="124"/>
      <c r="G705" s="124"/>
      <c r="H705" s="124"/>
      <c r="I705" s="124"/>
      <c r="J705" s="124"/>
      <c r="K705" s="124"/>
      <c r="L705" s="124"/>
      <c r="M705" s="124" t="s">
        <v>1197</v>
      </c>
      <c r="N705" s="124"/>
      <c r="O705" s="124" t="s">
        <v>1197</v>
      </c>
      <c r="P705" s="124"/>
      <c r="Q705" s="77" t="s">
        <v>1198</v>
      </c>
      <c r="R705" s="124" t="s">
        <v>1198</v>
      </c>
      <c r="S705" s="124"/>
      <c r="T705" s="124"/>
    </row>
    <row r="706" spans="1:20" ht="14.1" customHeight="1" x14ac:dyDescent="0.2">
      <c r="A706" s="126" t="s">
        <v>116</v>
      </c>
      <c r="B706" s="126"/>
      <c r="C706" s="126"/>
      <c r="D706" s="126"/>
      <c r="E706" s="126"/>
      <c r="F706" s="126"/>
      <c r="G706" s="126"/>
      <c r="H706" s="126"/>
      <c r="I706" s="126"/>
      <c r="J706" s="126"/>
      <c r="K706" s="126"/>
      <c r="L706" s="126"/>
      <c r="M706" s="126"/>
      <c r="N706" s="126"/>
      <c r="O706" s="126"/>
      <c r="P706" s="126"/>
      <c r="Q706" s="126"/>
      <c r="R706" s="126"/>
      <c r="S706" s="126"/>
      <c r="T706" s="126"/>
    </row>
    <row r="707" spans="1:20" ht="14.1" customHeight="1" x14ac:dyDescent="0.2"/>
    <row r="708" spans="1:20" ht="14.1" customHeight="1" x14ac:dyDescent="0.2">
      <c r="A708" s="121" t="s">
        <v>33</v>
      </c>
      <c r="B708" s="121"/>
      <c r="C708" s="121"/>
      <c r="D708" s="121"/>
      <c r="E708" s="121"/>
      <c r="F708" s="121"/>
      <c r="G708" s="121"/>
      <c r="H708" s="121"/>
      <c r="I708" s="121"/>
      <c r="J708" s="121"/>
      <c r="K708" s="121"/>
      <c r="L708" s="121"/>
      <c r="M708" s="121"/>
      <c r="N708" s="121"/>
    </row>
    <row r="709" spans="1:20" ht="13.35" customHeight="1" x14ac:dyDescent="0.2">
      <c r="A709" s="124" t="s">
        <v>34</v>
      </c>
      <c r="B709" s="124"/>
      <c r="C709" s="124"/>
      <c r="D709" s="124"/>
      <c r="E709" s="125">
        <v>6.66</v>
      </c>
      <c r="F709" s="125"/>
      <c r="G709" s="78"/>
      <c r="H709" s="77" t="s">
        <v>35</v>
      </c>
      <c r="I709" s="125">
        <v>0.22</v>
      </c>
      <c r="J709" s="125"/>
      <c r="K709" s="78"/>
      <c r="L709" s="124" t="s">
        <v>36</v>
      </c>
      <c r="M709" s="124"/>
      <c r="N709" s="125">
        <v>202.8</v>
      </c>
      <c r="O709" s="125"/>
    </row>
    <row r="710" spans="1:20" ht="13.35" customHeight="1" x14ac:dyDescent="0.2">
      <c r="A710" s="124" t="s">
        <v>37</v>
      </c>
      <c r="B710" s="124"/>
      <c r="C710" s="124"/>
      <c r="D710" s="124"/>
      <c r="E710" s="125">
        <v>4.83</v>
      </c>
      <c r="F710" s="125"/>
      <c r="G710" s="78"/>
      <c r="H710" s="77" t="s">
        <v>38</v>
      </c>
      <c r="I710" s="125">
        <v>1.03</v>
      </c>
      <c r="J710" s="125"/>
      <c r="K710" s="78"/>
      <c r="L710" s="124" t="s">
        <v>39</v>
      </c>
      <c r="M710" s="124"/>
      <c r="N710" s="125">
        <v>24.6</v>
      </c>
      <c r="O710" s="125"/>
    </row>
    <row r="711" spans="1:20" ht="13.35" customHeight="1" x14ac:dyDescent="0.2">
      <c r="A711" s="124" t="s">
        <v>40</v>
      </c>
      <c r="B711" s="124"/>
      <c r="C711" s="124"/>
      <c r="D711" s="124"/>
      <c r="E711" s="125">
        <v>22.41</v>
      </c>
      <c r="F711" s="125"/>
      <c r="G711" s="78"/>
      <c r="H711" s="77" t="s">
        <v>41</v>
      </c>
      <c r="I711" s="125">
        <v>0.13</v>
      </c>
      <c r="J711" s="125"/>
      <c r="K711" s="78"/>
      <c r="L711" s="124" t="s">
        <v>42</v>
      </c>
      <c r="M711" s="124"/>
      <c r="N711" s="125">
        <v>142.83000000000001</v>
      </c>
      <c r="O711" s="125"/>
    </row>
    <row r="712" spans="1:20" ht="13.35" customHeight="1" x14ac:dyDescent="0.2">
      <c r="A712" s="124" t="s">
        <v>43</v>
      </c>
      <c r="B712" s="124"/>
      <c r="C712" s="124"/>
      <c r="D712" s="124"/>
      <c r="E712" s="125">
        <v>161.63999999999999</v>
      </c>
      <c r="F712" s="125"/>
      <c r="G712" s="78"/>
      <c r="H712" s="77" t="s">
        <v>44</v>
      </c>
      <c r="I712" s="125">
        <v>0.04</v>
      </c>
      <c r="J712" s="125"/>
      <c r="K712" s="78"/>
      <c r="L712" s="124" t="s">
        <v>45</v>
      </c>
      <c r="M712" s="124"/>
      <c r="N712" s="125">
        <v>3.03</v>
      </c>
      <c r="O712" s="125"/>
    </row>
    <row r="713" spans="1:20" ht="13.35" customHeight="1" x14ac:dyDescent="0.2">
      <c r="A713" s="123"/>
      <c r="B713" s="123"/>
      <c r="C713" s="123"/>
      <c r="D713" s="123"/>
      <c r="E713" s="123"/>
      <c r="F713" s="123"/>
      <c r="G713" s="78"/>
      <c r="H713" s="77" t="s">
        <v>46</v>
      </c>
      <c r="I713" s="125">
        <v>0.6</v>
      </c>
      <c r="J713" s="125"/>
      <c r="K713" s="78"/>
      <c r="L713" s="124" t="s">
        <v>47</v>
      </c>
      <c r="M713" s="124"/>
      <c r="N713" s="125">
        <v>308.97000000000003</v>
      </c>
      <c r="O713" s="125"/>
    </row>
    <row r="714" spans="1:20" ht="13.35" customHeight="1" x14ac:dyDescent="0.2">
      <c r="A714" s="123"/>
      <c r="B714" s="123"/>
      <c r="C714" s="123"/>
      <c r="D714" s="123"/>
      <c r="E714" s="123"/>
      <c r="F714" s="123"/>
      <c r="G714" s="78"/>
      <c r="H714" s="77" t="s">
        <v>48</v>
      </c>
      <c r="I714" s="125">
        <v>0.42</v>
      </c>
      <c r="J714" s="125"/>
      <c r="K714" s="78"/>
      <c r="L714" s="124" t="s">
        <v>49</v>
      </c>
      <c r="M714" s="124"/>
      <c r="N714" s="125">
        <v>17.850000000000001</v>
      </c>
      <c r="O714" s="125"/>
    </row>
    <row r="715" spans="1:20" ht="13.35" customHeight="1" x14ac:dyDescent="0.2">
      <c r="A715" s="123"/>
      <c r="B715" s="123"/>
      <c r="C715" s="123"/>
      <c r="D715" s="123"/>
      <c r="E715" s="123"/>
      <c r="F715" s="123"/>
      <c r="G715" s="78"/>
      <c r="H715" s="78"/>
      <c r="I715" s="123"/>
      <c r="J715" s="123"/>
      <c r="K715" s="78"/>
      <c r="L715" s="124" t="s">
        <v>50</v>
      </c>
      <c r="M715" s="124"/>
      <c r="N715" s="125">
        <v>0</v>
      </c>
      <c r="O715" s="125"/>
    </row>
    <row r="716" spans="1:20" ht="13.35" customHeight="1" x14ac:dyDescent="0.2">
      <c r="A716" s="123"/>
      <c r="B716" s="123"/>
      <c r="C716" s="123"/>
      <c r="D716" s="123"/>
      <c r="E716" s="123"/>
      <c r="F716" s="123"/>
      <c r="G716" s="78"/>
      <c r="H716" s="78"/>
      <c r="I716" s="123"/>
      <c r="J716" s="123"/>
      <c r="K716" s="78"/>
      <c r="L716" s="124" t="s">
        <v>51</v>
      </c>
      <c r="M716" s="124"/>
      <c r="N716" s="125">
        <v>0</v>
      </c>
      <c r="O716" s="125"/>
    </row>
    <row r="717" spans="1:20" ht="14.1" customHeight="1" x14ac:dyDescent="0.2">
      <c r="A717" s="120"/>
      <c r="B717" s="120"/>
      <c r="C717" s="120"/>
      <c r="D717" s="120"/>
      <c r="E717" s="120"/>
      <c r="F717" s="120"/>
      <c r="G717" s="120"/>
      <c r="H717" s="120"/>
      <c r="I717" s="120"/>
      <c r="J717" s="120"/>
      <c r="K717" s="120"/>
      <c r="L717" s="120"/>
      <c r="M717" s="120"/>
      <c r="N717" s="120"/>
      <c r="O717" s="120"/>
      <c r="P717" s="120"/>
      <c r="Q717" s="120"/>
      <c r="R717" s="120"/>
      <c r="S717" s="120"/>
    </row>
    <row r="718" spans="1:20" ht="14.1" customHeight="1" x14ac:dyDescent="0.2">
      <c r="A718" s="121" t="s">
        <v>52</v>
      </c>
      <c r="B718" s="121"/>
      <c r="C718" s="121"/>
      <c r="D718" s="121"/>
      <c r="E718" s="121"/>
      <c r="F718" s="121"/>
      <c r="G718" s="121"/>
      <c r="H718" s="121"/>
      <c r="I718" s="121"/>
      <c r="J718" s="121"/>
      <c r="K718" s="121"/>
      <c r="L718" s="121"/>
      <c r="M718" s="121"/>
      <c r="N718" s="121"/>
      <c r="O718" s="121"/>
      <c r="P718" s="121"/>
      <c r="Q718" s="121"/>
      <c r="R718" s="121"/>
      <c r="S718" s="121"/>
    </row>
    <row r="719" spans="1:20" ht="12.15" customHeight="1" x14ac:dyDescent="0.2">
      <c r="A719" s="122" t="s">
        <v>1199</v>
      </c>
      <c r="B719" s="122"/>
      <c r="C719" s="122"/>
      <c r="D719" s="122"/>
      <c r="E719" s="122"/>
      <c r="F719" s="122"/>
      <c r="G719" s="122"/>
      <c r="H719" s="122"/>
      <c r="I719" s="122"/>
      <c r="J719" s="122"/>
      <c r="K719" s="122"/>
      <c r="L719" s="122"/>
      <c r="M719" s="122"/>
      <c r="N719" s="122"/>
      <c r="O719" s="122"/>
      <c r="P719" s="122"/>
      <c r="Q719" s="122"/>
      <c r="R719" s="122"/>
      <c r="S719" s="122"/>
    </row>
    <row r="720" spans="1:20" ht="14.1" customHeight="1" x14ac:dyDescent="0.2">
      <c r="A720" s="121" t="s">
        <v>54</v>
      </c>
      <c r="B720" s="121"/>
      <c r="C720" s="121"/>
      <c r="D720" s="121"/>
      <c r="E720" s="121"/>
      <c r="F720" s="121"/>
      <c r="G720" s="121"/>
      <c r="H720" s="121"/>
      <c r="I720" s="121"/>
      <c r="J720" s="121"/>
      <c r="K720" s="121"/>
      <c r="L720" s="121"/>
      <c r="M720" s="121"/>
      <c r="N720" s="121"/>
      <c r="O720" s="121"/>
      <c r="P720" s="121"/>
      <c r="Q720" s="121"/>
      <c r="R720" s="121"/>
      <c r="S720" s="121"/>
    </row>
    <row r="721" spans="1:20" ht="12.45" customHeight="1" x14ac:dyDescent="0.2">
      <c r="A721" s="122" t="s">
        <v>1201</v>
      </c>
      <c r="B721" s="122"/>
      <c r="C721" s="122"/>
      <c r="D721" s="122"/>
      <c r="E721" s="122"/>
      <c r="F721" s="122"/>
      <c r="G721" s="122"/>
      <c r="H721" s="122"/>
      <c r="I721" s="122"/>
      <c r="J721" s="122"/>
      <c r="K721" s="122"/>
      <c r="L721" s="122"/>
      <c r="M721" s="122"/>
      <c r="N721" s="122"/>
      <c r="O721" s="122"/>
      <c r="P721" s="122"/>
      <c r="Q721" s="122"/>
      <c r="R721" s="122"/>
      <c r="S721" s="122"/>
    </row>
    <row r="722" spans="1:20" ht="14.1" customHeight="1" x14ac:dyDescent="0.2">
      <c r="A722" s="120"/>
      <c r="B722" s="120"/>
      <c r="C722" s="120"/>
      <c r="D722" s="120"/>
      <c r="E722" s="120"/>
      <c r="F722" s="120"/>
      <c r="G722" s="120"/>
      <c r="H722" s="120"/>
      <c r="I722" s="120"/>
      <c r="J722" s="120"/>
      <c r="K722" s="120"/>
      <c r="L722" s="120"/>
      <c r="M722" s="120"/>
      <c r="N722" s="120"/>
      <c r="O722" s="120"/>
      <c r="P722" s="120"/>
      <c r="Q722" s="120"/>
      <c r="R722" s="120"/>
      <c r="S722" s="120"/>
    </row>
    <row r="723" spans="1:20" ht="14.1" customHeight="1" x14ac:dyDescent="0.2">
      <c r="A723" s="121" t="s">
        <v>56</v>
      </c>
      <c r="B723" s="121"/>
      <c r="C723" s="121"/>
      <c r="D723" s="121"/>
      <c r="E723" s="121"/>
      <c r="F723" s="121"/>
      <c r="G723" s="121"/>
      <c r="H723" s="121"/>
      <c r="I723" s="121"/>
      <c r="J723" s="121"/>
      <c r="K723" s="121"/>
      <c r="L723" s="121"/>
      <c r="M723" s="121"/>
      <c r="N723" s="121"/>
      <c r="O723" s="121"/>
      <c r="P723" s="121"/>
      <c r="Q723" s="121"/>
      <c r="R723" s="121"/>
      <c r="S723" s="121"/>
    </row>
    <row r="724" spans="1:20" ht="49.2" customHeight="1" x14ac:dyDescent="0.2">
      <c r="A724" s="122" t="s">
        <v>1200</v>
      </c>
      <c r="B724" s="122"/>
      <c r="C724" s="122"/>
      <c r="D724" s="122"/>
      <c r="E724" s="122"/>
      <c r="F724" s="122"/>
      <c r="G724" s="122"/>
      <c r="H724" s="122"/>
      <c r="I724" s="122"/>
      <c r="J724" s="122"/>
      <c r="K724" s="122"/>
      <c r="L724" s="122"/>
      <c r="M724" s="122"/>
      <c r="N724" s="122"/>
      <c r="O724" s="122"/>
      <c r="P724" s="122"/>
      <c r="Q724" s="122"/>
      <c r="R724" s="122"/>
      <c r="S724" s="122"/>
    </row>
    <row r="726" spans="1:20" s="1" customFormat="1" ht="72.45" customHeight="1" x14ac:dyDescent="0.25">
      <c r="J726" s="100" t="s">
        <v>0</v>
      </c>
      <c r="K726" s="100"/>
      <c r="L726" s="100"/>
      <c r="M726" s="100"/>
      <c r="N726" s="100"/>
      <c r="O726" s="100"/>
      <c r="P726" s="100"/>
      <c r="Q726" s="100"/>
      <c r="R726" s="100"/>
      <c r="S726" s="100"/>
      <c r="T726" s="100"/>
    </row>
    <row r="727" spans="1:20" ht="7.05" customHeight="1" x14ac:dyDescent="0.2"/>
    <row r="728" spans="1:20" ht="14.1" customHeight="1" x14ac:dyDescent="0.2">
      <c r="B728" s="130" t="s">
        <v>1202</v>
      </c>
      <c r="C728" s="130"/>
      <c r="D728" s="130"/>
      <c r="E728" s="130"/>
      <c r="F728" s="130"/>
      <c r="G728" s="130"/>
      <c r="H728" s="130"/>
      <c r="I728" s="130"/>
      <c r="J728" s="130"/>
      <c r="K728" s="130"/>
      <c r="L728" s="130"/>
      <c r="M728" s="130"/>
      <c r="N728" s="130"/>
      <c r="O728" s="130"/>
      <c r="P728" s="130"/>
      <c r="Q728" s="130"/>
      <c r="R728" s="130"/>
    </row>
    <row r="729" spans="1:20" ht="14.1" customHeight="1" x14ac:dyDescent="0.2"/>
    <row r="730" spans="1:20" ht="14.1" customHeight="1" x14ac:dyDescent="0.2">
      <c r="A730" s="120" t="s">
        <v>2</v>
      </c>
      <c r="B730" s="120"/>
      <c r="C730" s="120"/>
      <c r="D730" s="129" t="s">
        <v>1203</v>
      </c>
      <c r="E730" s="129"/>
      <c r="F730" s="129"/>
      <c r="G730" s="129"/>
      <c r="H730" s="129"/>
      <c r="I730" s="129"/>
      <c r="J730" s="129"/>
      <c r="K730" s="129"/>
      <c r="L730" s="129"/>
      <c r="M730" s="129"/>
      <c r="N730" s="129"/>
      <c r="O730" s="129"/>
      <c r="P730" s="129"/>
      <c r="Q730" s="129"/>
      <c r="R730" s="129"/>
      <c r="S730" s="129"/>
      <c r="T730" s="129"/>
    </row>
    <row r="731" spans="1:20" ht="14.1" customHeight="1" x14ac:dyDescent="0.2">
      <c r="A731" s="120" t="s">
        <v>4</v>
      </c>
      <c r="B731" s="120"/>
      <c r="C731" s="129" t="s">
        <v>1204</v>
      </c>
      <c r="D731" s="129"/>
      <c r="E731" s="129"/>
      <c r="F731" s="129"/>
      <c r="G731" s="129"/>
      <c r="H731" s="129"/>
      <c r="I731" s="129"/>
      <c r="J731" s="129"/>
      <c r="K731" s="129"/>
      <c r="L731" s="129"/>
      <c r="M731" s="129"/>
      <c r="N731" s="129"/>
      <c r="O731" s="129"/>
      <c r="P731" s="129"/>
      <c r="Q731" s="129"/>
      <c r="R731" s="129"/>
      <c r="S731" s="129"/>
      <c r="T731" s="129"/>
    </row>
    <row r="732" spans="1:20" ht="14.1" customHeight="1" x14ac:dyDescent="0.2">
      <c r="A732" s="120" t="s">
        <v>6</v>
      </c>
      <c r="B732" s="120"/>
      <c r="C732" s="120"/>
      <c r="D732" s="120"/>
      <c r="E732" s="120"/>
      <c r="F732" s="129" t="s">
        <v>248</v>
      </c>
      <c r="G732" s="129"/>
      <c r="H732" s="129"/>
      <c r="I732" s="129"/>
      <c r="J732" s="129"/>
      <c r="K732" s="129"/>
      <c r="L732" s="129"/>
      <c r="M732" s="129"/>
      <c r="N732" s="129"/>
      <c r="O732" s="129"/>
      <c r="P732" s="129"/>
      <c r="Q732" s="129"/>
      <c r="R732" s="129"/>
      <c r="S732" s="129"/>
      <c r="T732" s="129"/>
    </row>
    <row r="733" spans="1:20" ht="22.35" customHeight="1" x14ac:dyDescent="0.2">
      <c r="F733" s="129"/>
      <c r="G733" s="129"/>
      <c r="H733" s="129"/>
      <c r="I733" s="129"/>
      <c r="J733" s="129"/>
      <c r="K733" s="129"/>
      <c r="L733" s="129"/>
      <c r="M733" s="129"/>
      <c r="N733" s="129"/>
      <c r="O733" s="129"/>
      <c r="P733" s="129"/>
      <c r="Q733" s="129"/>
      <c r="R733" s="129"/>
      <c r="S733" s="129"/>
      <c r="T733" s="129"/>
    </row>
    <row r="734" spans="1:20" ht="7.05" customHeight="1" x14ac:dyDescent="0.2">
      <c r="A734" s="120"/>
      <c r="B734" s="120"/>
      <c r="C734" s="120"/>
      <c r="D734" s="120"/>
      <c r="E734" s="120"/>
      <c r="F734" s="120"/>
      <c r="G734" s="120"/>
      <c r="H734" s="120"/>
      <c r="I734" s="120"/>
      <c r="J734" s="120"/>
      <c r="K734" s="120"/>
      <c r="L734" s="120"/>
      <c r="M734" s="120"/>
      <c r="N734" s="120"/>
      <c r="O734" s="120"/>
      <c r="P734" s="120"/>
      <c r="Q734" s="75"/>
      <c r="R734" s="120"/>
      <c r="S734" s="120"/>
      <c r="T734" s="120"/>
    </row>
    <row r="735" spans="1:20" ht="16.95" customHeight="1" x14ac:dyDescent="0.2">
      <c r="A735" s="128" t="s">
        <v>8</v>
      </c>
      <c r="B735" s="128"/>
      <c r="C735" s="128"/>
      <c r="D735" s="128"/>
      <c r="E735" s="128"/>
      <c r="F735" s="128"/>
      <c r="G735" s="128"/>
      <c r="H735" s="128"/>
      <c r="I735" s="128"/>
      <c r="J735" s="128"/>
      <c r="K735" s="128"/>
      <c r="L735" s="128"/>
      <c r="M735" s="128" t="s">
        <v>9</v>
      </c>
      <c r="N735" s="128"/>
      <c r="O735" s="128"/>
      <c r="P735" s="128"/>
      <c r="Q735" s="128"/>
      <c r="R735" s="128"/>
      <c r="S735" s="128"/>
      <c r="T735" s="128"/>
    </row>
    <row r="736" spans="1:20" ht="16.95" customHeight="1" x14ac:dyDescent="0.2">
      <c r="A736" s="128"/>
      <c r="B736" s="128"/>
      <c r="C736" s="128"/>
      <c r="D736" s="128"/>
      <c r="E736" s="128"/>
      <c r="F736" s="128"/>
      <c r="G736" s="128"/>
      <c r="H736" s="128"/>
      <c r="I736" s="128"/>
      <c r="J736" s="128"/>
      <c r="K736" s="128"/>
      <c r="L736" s="128"/>
      <c r="M736" s="128" t="s">
        <v>10</v>
      </c>
      <c r="N736" s="128"/>
      <c r="O736" s="128"/>
      <c r="P736" s="128"/>
      <c r="Q736" s="128" t="s">
        <v>11</v>
      </c>
      <c r="R736" s="128"/>
      <c r="S736" s="128"/>
      <c r="T736" s="128"/>
    </row>
    <row r="737" spans="1:20" ht="16.95" customHeight="1" x14ac:dyDescent="0.2">
      <c r="A737" s="128"/>
      <c r="B737" s="128"/>
      <c r="C737" s="128"/>
      <c r="D737" s="128"/>
      <c r="E737" s="128"/>
      <c r="F737" s="128"/>
      <c r="G737" s="128"/>
      <c r="H737" s="128"/>
      <c r="I737" s="128"/>
      <c r="J737" s="128"/>
      <c r="K737" s="128"/>
      <c r="L737" s="128"/>
      <c r="M737" s="128" t="s">
        <v>12</v>
      </c>
      <c r="N737" s="128"/>
      <c r="O737" s="128" t="s">
        <v>13</v>
      </c>
      <c r="P737" s="128"/>
      <c r="Q737" s="76" t="s">
        <v>14</v>
      </c>
      <c r="R737" s="128" t="s">
        <v>15</v>
      </c>
      <c r="S737" s="128"/>
      <c r="T737" s="128"/>
    </row>
    <row r="738" spans="1:20" ht="13.35" customHeight="1" x14ac:dyDescent="0.2">
      <c r="A738" s="124" t="s">
        <v>183</v>
      </c>
      <c r="B738" s="124"/>
      <c r="C738" s="124"/>
      <c r="D738" s="124"/>
      <c r="E738" s="124"/>
      <c r="F738" s="124"/>
      <c r="G738" s="124"/>
      <c r="H738" s="124"/>
      <c r="I738" s="124"/>
      <c r="J738" s="124"/>
      <c r="K738" s="124"/>
      <c r="L738" s="124"/>
      <c r="M738" s="124" t="s">
        <v>443</v>
      </c>
      <c r="N738" s="124"/>
      <c r="O738" s="124" t="s">
        <v>1205</v>
      </c>
      <c r="P738" s="124"/>
      <c r="Q738" s="77" t="s">
        <v>444</v>
      </c>
      <c r="R738" s="124" t="s">
        <v>1206</v>
      </c>
      <c r="S738" s="124"/>
      <c r="T738" s="124"/>
    </row>
    <row r="739" spans="1:20" ht="14.1" customHeight="1" x14ac:dyDescent="0.2">
      <c r="A739" s="126" t="s">
        <v>626</v>
      </c>
      <c r="B739" s="126"/>
      <c r="C739" s="126"/>
      <c r="D739" s="126"/>
      <c r="E739" s="126"/>
      <c r="F739" s="126"/>
      <c r="G739" s="126"/>
      <c r="H739" s="126"/>
      <c r="I739" s="126"/>
      <c r="J739" s="126"/>
      <c r="K739" s="126"/>
      <c r="L739" s="126"/>
      <c r="M739" s="126"/>
      <c r="N739" s="126"/>
      <c r="O739" s="126"/>
      <c r="P739" s="126"/>
      <c r="Q739" s="126"/>
      <c r="R739" s="126"/>
      <c r="S739" s="126"/>
      <c r="T739" s="126"/>
    </row>
    <row r="740" spans="1:20" ht="14.1" customHeight="1" x14ac:dyDescent="0.2"/>
    <row r="741" spans="1:20" ht="14.1" customHeight="1" x14ac:dyDescent="0.2">
      <c r="A741" s="121" t="s">
        <v>33</v>
      </c>
      <c r="B741" s="121"/>
      <c r="C741" s="121"/>
      <c r="D741" s="121"/>
      <c r="E741" s="121"/>
      <c r="F741" s="121"/>
      <c r="G741" s="121"/>
      <c r="H741" s="121"/>
      <c r="I741" s="121"/>
      <c r="J741" s="121"/>
      <c r="K741" s="121"/>
      <c r="L741" s="121"/>
      <c r="M741" s="121"/>
      <c r="N741" s="121"/>
    </row>
    <row r="742" spans="1:20" ht="13.35" customHeight="1" x14ac:dyDescent="0.2">
      <c r="A742" s="124" t="s">
        <v>34</v>
      </c>
      <c r="B742" s="124"/>
      <c r="C742" s="124"/>
      <c r="D742" s="124"/>
      <c r="E742" s="125">
        <v>4.96</v>
      </c>
      <c r="F742" s="125"/>
      <c r="G742" s="78"/>
      <c r="H742" s="77" t="s">
        <v>35</v>
      </c>
      <c r="I742" s="125">
        <v>0.02</v>
      </c>
      <c r="J742" s="125"/>
      <c r="K742" s="78"/>
      <c r="L742" s="124" t="s">
        <v>36</v>
      </c>
      <c r="M742" s="124"/>
      <c r="N742" s="125">
        <v>19.93</v>
      </c>
      <c r="O742" s="125"/>
    </row>
    <row r="743" spans="1:20" ht="13.35" customHeight="1" x14ac:dyDescent="0.2">
      <c r="A743" s="124" t="s">
        <v>37</v>
      </c>
      <c r="B743" s="124"/>
      <c r="C743" s="124"/>
      <c r="D743" s="124"/>
      <c r="E743" s="125">
        <v>4.49</v>
      </c>
      <c r="F743" s="125"/>
      <c r="G743" s="78"/>
      <c r="H743" s="77" t="s">
        <v>38</v>
      </c>
      <c r="I743" s="125">
        <v>0</v>
      </c>
      <c r="J743" s="125"/>
      <c r="K743" s="78"/>
      <c r="L743" s="124" t="s">
        <v>39</v>
      </c>
      <c r="M743" s="124"/>
      <c r="N743" s="125">
        <v>4.3499999999999996</v>
      </c>
      <c r="O743" s="125"/>
    </row>
    <row r="744" spans="1:20" ht="13.35" customHeight="1" x14ac:dyDescent="0.2">
      <c r="A744" s="124" t="s">
        <v>40</v>
      </c>
      <c r="B744" s="124"/>
      <c r="C744" s="124"/>
      <c r="D744" s="124"/>
      <c r="E744" s="125">
        <v>0.27</v>
      </c>
      <c r="F744" s="125"/>
      <c r="G744" s="78"/>
      <c r="H744" s="77" t="s">
        <v>41</v>
      </c>
      <c r="I744" s="125">
        <v>0.1</v>
      </c>
      <c r="J744" s="125"/>
      <c r="K744" s="78"/>
      <c r="L744" s="124" t="s">
        <v>42</v>
      </c>
      <c r="M744" s="124"/>
      <c r="N744" s="125">
        <v>69.55</v>
      </c>
      <c r="O744" s="125"/>
    </row>
    <row r="745" spans="1:20" ht="13.35" customHeight="1" x14ac:dyDescent="0.2">
      <c r="A745" s="124" t="s">
        <v>43</v>
      </c>
      <c r="B745" s="124"/>
      <c r="C745" s="124"/>
      <c r="D745" s="124"/>
      <c r="E745" s="125">
        <v>61.29</v>
      </c>
      <c r="F745" s="125"/>
      <c r="G745" s="78"/>
      <c r="H745" s="77" t="s">
        <v>44</v>
      </c>
      <c r="I745" s="125">
        <v>0.81</v>
      </c>
      <c r="J745" s="125"/>
      <c r="K745" s="78"/>
      <c r="L745" s="124" t="s">
        <v>45</v>
      </c>
      <c r="M745" s="124"/>
      <c r="N745" s="125">
        <v>0.91</v>
      </c>
      <c r="O745" s="125"/>
    </row>
    <row r="746" spans="1:20" ht="13.35" customHeight="1" x14ac:dyDescent="0.2">
      <c r="A746" s="123"/>
      <c r="B746" s="123"/>
      <c r="C746" s="123"/>
      <c r="D746" s="123"/>
      <c r="E746" s="123"/>
      <c r="F746" s="123"/>
      <c r="G746" s="78"/>
      <c r="H746" s="77" t="s">
        <v>46</v>
      </c>
      <c r="I746" s="125">
        <v>0.89</v>
      </c>
      <c r="J746" s="125"/>
      <c r="K746" s="78"/>
      <c r="L746" s="124" t="s">
        <v>47</v>
      </c>
      <c r="M746" s="124"/>
      <c r="N746" s="125">
        <v>56.35</v>
      </c>
      <c r="O746" s="125"/>
    </row>
    <row r="747" spans="1:20" ht="13.35" customHeight="1" x14ac:dyDescent="0.2">
      <c r="A747" s="123"/>
      <c r="B747" s="123"/>
      <c r="C747" s="123"/>
      <c r="D747" s="123"/>
      <c r="E747" s="123"/>
      <c r="F747" s="123"/>
      <c r="G747" s="78"/>
      <c r="H747" s="77" t="s">
        <v>48</v>
      </c>
      <c r="I747" s="125">
        <v>0.15</v>
      </c>
      <c r="J747" s="125"/>
      <c r="K747" s="78"/>
      <c r="L747" s="124" t="s">
        <v>49</v>
      </c>
      <c r="M747" s="124"/>
      <c r="N747" s="125">
        <v>8.0500000000000007</v>
      </c>
      <c r="O747" s="125"/>
    </row>
    <row r="748" spans="1:20" ht="13.35" customHeight="1" x14ac:dyDescent="0.2">
      <c r="A748" s="123"/>
      <c r="B748" s="123"/>
      <c r="C748" s="123"/>
      <c r="D748" s="123"/>
      <c r="E748" s="123"/>
      <c r="F748" s="123"/>
      <c r="G748" s="78"/>
      <c r="H748" s="78"/>
      <c r="I748" s="123"/>
      <c r="J748" s="123"/>
      <c r="K748" s="78"/>
      <c r="L748" s="124" t="s">
        <v>50</v>
      </c>
      <c r="M748" s="124"/>
      <c r="N748" s="125">
        <v>0.02</v>
      </c>
      <c r="O748" s="125"/>
    </row>
    <row r="749" spans="1:20" ht="13.35" customHeight="1" x14ac:dyDescent="0.2">
      <c r="A749" s="123"/>
      <c r="B749" s="123"/>
      <c r="C749" s="123"/>
      <c r="D749" s="123"/>
      <c r="E749" s="123"/>
      <c r="F749" s="123"/>
      <c r="G749" s="78"/>
      <c r="H749" s="78"/>
      <c r="I749" s="123"/>
      <c r="J749" s="123"/>
      <c r="K749" s="78"/>
      <c r="L749" s="124" t="s">
        <v>51</v>
      </c>
      <c r="M749" s="124"/>
      <c r="N749" s="125">
        <v>0.01</v>
      </c>
      <c r="O749" s="125"/>
    </row>
    <row r="750" spans="1:20" ht="14.1" customHeight="1" x14ac:dyDescent="0.2">
      <c r="A750" s="120"/>
      <c r="B750" s="120"/>
      <c r="C750" s="120"/>
      <c r="D750" s="120"/>
      <c r="E750" s="120"/>
      <c r="F750" s="120"/>
      <c r="G750" s="120"/>
      <c r="H750" s="120"/>
      <c r="I750" s="120"/>
      <c r="J750" s="120"/>
      <c r="K750" s="120"/>
      <c r="L750" s="120"/>
      <c r="M750" s="120"/>
      <c r="N750" s="120"/>
      <c r="O750" s="120"/>
      <c r="P750" s="120"/>
      <c r="Q750" s="120"/>
      <c r="R750" s="120"/>
      <c r="S750" s="120"/>
    </row>
    <row r="751" spans="1:20" ht="14.1" customHeight="1" x14ac:dyDescent="0.2">
      <c r="A751" s="121" t="s">
        <v>52</v>
      </c>
      <c r="B751" s="121"/>
      <c r="C751" s="121"/>
      <c r="D751" s="121"/>
      <c r="E751" s="121"/>
      <c r="F751" s="121"/>
      <c r="G751" s="121"/>
      <c r="H751" s="121"/>
      <c r="I751" s="121"/>
      <c r="J751" s="121"/>
      <c r="K751" s="121"/>
      <c r="L751" s="121"/>
      <c r="M751" s="121"/>
      <c r="N751" s="121"/>
      <c r="O751" s="121"/>
      <c r="P751" s="121"/>
      <c r="Q751" s="121"/>
      <c r="R751" s="121"/>
      <c r="S751" s="121"/>
    </row>
    <row r="752" spans="1:20" ht="21.6" customHeight="1" x14ac:dyDescent="0.2">
      <c r="A752" s="122" t="s">
        <v>1207</v>
      </c>
      <c r="B752" s="122"/>
      <c r="C752" s="122"/>
      <c r="D752" s="122"/>
      <c r="E752" s="122"/>
      <c r="F752" s="122"/>
      <c r="G752" s="122"/>
      <c r="H752" s="122"/>
      <c r="I752" s="122"/>
      <c r="J752" s="122"/>
      <c r="K752" s="122"/>
      <c r="L752" s="122"/>
      <c r="M752" s="122"/>
      <c r="N752" s="122"/>
      <c r="O752" s="122"/>
      <c r="P752" s="122"/>
      <c r="Q752" s="122"/>
      <c r="R752" s="122"/>
      <c r="S752" s="122"/>
    </row>
    <row r="753" spans="1:20" ht="14.1" customHeight="1" x14ac:dyDescent="0.2">
      <c r="A753" s="120"/>
      <c r="B753" s="120"/>
      <c r="C753" s="120"/>
      <c r="D753" s="120"/>
      <c r="E753" s="120"/>
      <c r="F753" s="120"/>
      <c r="G753" s="120"/>
      <c r="H753" s="120"/>
      <c r="I753" s="120"/>
      <c r="J753" s="120"/>
      <c r="K753" s="120"/>
      <c r="L753" s="120"/>
      <c r="M753" s="120"/>
      <c r="N753" s="120"/>
      <c r="O753" s="120"/>
      <c r="P753" s="120"/>
      <c r="Q753" s="120"/>
      <c r="R753" s="120"/>
      <c r="S753" s="120"/>
    </row>
    <row r="754" spans="1:20" ht="14.1" customHeight="1" x14ac:dyDescent="0.2">
      <c r="A754" s="121" t="s">
        <v>56</v>
      </c>
      <c r="B754" s="121"/>
      <c r="C754" s="121"/>
      <c r="D754" s="121"/>
      <c r="E754" s="121"/>
      <c r="F754" s="121"/>
      <c r="G754" s="121"/>
      <c r="H754" s="121"/>
      <c r="I754" s="121"/>
      <c r="J754" s="121"/>
      <c r="K754" s="121"/>
      <c r="L754" s="121"/>
      <c r="M754" s="121"/>
      <c r="N754" s="121"/>
      <c r="O754" s="121"/>
      <c r="P754" s="121"/>
      <c r="Q754" s="121"/>
      <c r="R754" s="121"/>
      <c r="S754" s="121"/>
    </row>
    <row r="755" spans="1:20" ht="49.2" customHeight="1" x14ac:dyDescent="0.2">
      <c r="A755" s="122" t="s">
        <v>1208</v>
      </c>
      <c r="B755" s="122"/>
      <c r="C755" s="122"/>
      <c r="D755" s="122"/>
      <c r="E755" s="122"/>
      <c r="F755" s="122"/>
      <c r="G755" s="122"/>
      <c r="H755" s="122"/>
      <c r="I755" s="122"/>
      <c r="J755" s="122"/>
      <c r="K755" s="122"/>
      <c r="L755" s="122"/>
      <c r="M755" s="122"/>
      <c r="N755" s="122"/>
      <c r="O755" s="122"/>
      <c r="P755" s="122"/>
      <c r="Q755" s="122"/>
      <c r="R755" s="122"/>
      <c r="S755" s="122"/>
    </row>
    <row r="757" spans="1:20" s="1" customFormat="1" ht="72.45" customHeight="1" x14ac:dyDescent="0.25">
      <c r="J757" s="100" t="s">
        <v>0</v>
      </c>
      <c r="K757" s="100"/>
      <c r="L757" s="100"/>
      <c r="M757" s="100"/>
      <c r="N757" s="100"/>
      <c r="O757" s="100"/>
      <c r="P757" s="100"/>
      <c r="Q757" s="100"/>
      <c r="R757" s="100"/>
      <c r="S757" s="100"/>
      <c r="T757" s="100"/>
    </row>
    <row r="758" spans="1:20" ht="7.05" customHeight="1" x14ac:dyDescent="0.2"/>
    <row r="759" spans="1:20" ht="14.1" customHeight="1" x14ac:dyDescent="0.2">
      <c r="B759" s="130" t="s">
        <v>1209</v>
      </c>
      <c r="C759" s="130"/>
      <c r="D759" s="130"/>
      <c r="E759" s="130"/>
      <c r="F759" s="130"/>
      <c r="G759" s="130"/>
      <c r="H759" s="130"/>
      <c r="I759" s="130"/>
      <c r="J759" s="130"/>
      <c r="K759" s="130"/>
      <c r="L759" s="130"/>
      <c r="M759" s="130"/>
      <c r="N759" s="130"/>
      <c r="O759" s="130"/>
      <c r="P759" s="130"/>
      <c r="Q759" s="130"/>
      <c r="R759" s="130"/>
    </row>
    <row r="760" spans="1:20" ht="14.1" customHeight="1" x14ac:dyDescent="0.2"/>
    <row r="761" spans="1:20" ht="14.1" customHeight="1" x14ac:dyDescent="0.2">
      <c r="A761" s="120" t="s">
        <v>2</v>
      </c>
      <c r="B761" s="120"/>
      <c r="C761" s="120"/>
      <c r="D761" s="129" t="s">
        <v>1210</v>
      </c>
      <c r="E761" s="129"/>
      <c r="F761" s="129"/>
      <c r="G761" s="129"/>
      <c r="H761" s="129"/>
      <c r="I761" s="129"/>
      <c r="J761" s="129"/>
      <c r="K761" s="129"/>
      <c r="L761" s="129"/>
      <c r="M761" s="129"/>
      <c r="N761" s="129"/>
      <c r="O761" s="129"/>
      <c r="P761" s="129"/>
      <c r="Q761" s="129"/>
      <c r="R761" s="129"/>
      <c r="S761" s="129"/>
      <c r="T761" s="129"/>
    </row>
    <row r="762" spans="1:20" ht="14.1" customHeight="1" x14ac:dyDescent="0.2">
      <c r="A762" s="120" t="s">
        <v>4</v>
      </c>
      <c r="B762" s="120"/>
      <c r="C762" s="129" t="s">
        <v>1211</v>
      </c>
      <c r="D762" s="129"/>
      <c r="E762" s="129"/>
      <c r="F762" s="129"/>
      <c r="G762" s="129"/>
      <c r="H762" s="129"/>
      <c r="I762" s="129"/>
      <c r="J762" s="129"/>
      <c r="K762" s="129"/>
      <c r="L762" s="129"/>
      <c r="M762" s="129"/>
      <c r="N762" s="129"/>
      <c r="O762" s="129"/>
      <c r="P762" s="129"/>
      <c r="Q762" s="129"/>
      <c r="R762" s="129"/>
      <c r="S762" s="129"/>
      <c r="T762" s="129"/>
    </row>
    <row r="763" spans="1:20" ht="14.1" customHeight="1" x14ac:dyDescent="0.2">
      <c r="A763" s="120" t="s">
        <v>6</v>
      </c>
      <c r="B763" s="120"/>
      <c r="C763" s="120"/>
      <c r="D763" s="120"/>
      <c r="E763" s="120"/>
      <c r="F763" s="129" t="s">
        <v>75</v>
      </c>
      <c r="G763" s="129"/>
      <c r="H763" s="129"/>
      <c r="I763" s="129"/>
      <c r="J763" s="129"/>
      <c r="K763" s="129"/>
      <c r="L763" s="129"/>
      <c r="M763" s="129"/>
      <c r="N763" s="129"/>
      <c r="O763" s="129"/>
      <c r="P763" s="129"/>
      <c r="Q763" s="129"/>
      <c r="R763" s="129"/>
      <c r="S763" s="129"/>
      <c r="T763" s="129"/>
    </row>
    <row r="764" spans="1:20" ht="1.35" customHeight="1" x14ac:dyDescent="0.2"/>
    <row r="765" spans="1:20" ht="7.05" customHeight="1" x14ac:dyDescent="0.2">
      <c r="A765" s="120"/>
      <c r="B765" s="120"/>
      <c r="C765" s="120"/>
      <c r="D765" s="120"/>
      <c r="E765" s="120"/>
      <c r="F765" s="120"/>
      <c r="G765" s="120"/>
      <c r="H765" s="120"/>
      <c r="I765" s="120"/>
      <c r="J765" s="120"/>
      <c r="K765" s="120"/>
      <c r="L765" s="120"/>
      <c r="M765" s="120"/>
      <c r="N765" s="120"/>
      <c r="O765" s="120"/>
      <c r="P765" s="120"/>
      <c r="Q765" s="75"/>
      <c r="R765" s="120"/>
      <c r="S765" s="120"/>
      <c r="T765" s="120"/>
    </row>
    <row r="766" spans="1:20" ht="16.95" customHeight="1" x14ac:dyDescent="0.2">
      <c r="A766" s="128" t="s">
        <v>8</v>
      </c>
      <c r="B766" s="128"/>
      <c r="C766" s="128"/>
      <c r="D766" s="128"/>
      <c r="E766" s="128"/>
      <c r="F766" s="128"/>
      <c r="G766" s="128"/>
      <c r="H766" s="128"/>
      <c r="I766" s="128"/>
      <c r="J766" s="128"/>
      <c r="K766" s="128"/>
      <c r="L766" s="128"/>
      <c r="M766" s="128" t="s">
        <v>9</v>
      </c>
      <c r="N766" s="128"/>
      <c r="O766" s="128"/>
      <c r="P766" s="128"/>
      <c r="Q766" s="128"/>
      <c r="R766" s="128"/>
      <c r="S766" s="128"/>
      <c r="T766" s="128"/>
    </row>
    <row r="767" spans="1:20" ht="16.95" customHeight="1" x14ac:dyDescent="0.2">
      <c r="A767" s="128"/>
      <c r="B767" s="128"/>
      <c r="C767" s="128"/>
      <c r="D767" s="128"/>
      <c r="E767" s="128"/>
      <c r="F767" s="128"/>
      <c r="G767" s="128"/>
      <c r="H767" s="128"/>
      <c r="I767" s="128"/>
      <c r="J767" s="128"/>
      <c r="K767" s="128"/>
      <c r="L767" s="128"/>
      <c r="M767" s="128" t="s">
        <v>10</v>
      </c>
      <c r="N767" s="128"/>
      <c r="O767" s="128"/>
      <c r="P767" s="128"/>
      <c r="Q767" s="128" t="s">
        <v>11</v>
      </c>
      <c r="R767" s="128"/>
      <c r="S767" s="128"/>
      <c r="T767" s="128"/>
    </row>
    <row r="768" spans="1:20" ht="16.95" customHeight="1" x14ac:dyDescent="0.2">
      <c r="A768" s="128"/>
      <c r="B768" s="128"/>
      <c r="C768" s="128"/>
      <c r="D768" s="128"/>
      <c r="E768" s="128"/>
      <c r="F768" s="128"/>
      <c r="G768" s="128"/>
      <c r="H768" s="128"/>
      <c r="I768" s="128"/>
      <c r="J768" s="128"/>
      <c r="K768" s="128"/>
      <c r="L768" s="128"/>
      <c r="M768" s="128" t="s">
        <v>12</v>
      </c>
      <c r="N768" s="128"/>
      <c r="O768" s="128" t="s">
        <v>13</v>
      </c>
      <c r="P768" s="128"/>
      <c r="Q768" s="76" t="s">
        <v>14</v>
      </c>
      <c r="R768" s="128" t="s">
        <v>15</v>
      </c>
      <c r="S768" s="128"/>
      <c r="T768" s="128"/>
    </row>
    <row r="769" spans="1:20" ht="13.35" customHeight="1" x14ac:dyDescent="0.2">
      <c r="A769" s="127" t="s">
        <v>1212</v>
      </c>
      <c r="B769" s="127"/>
      <c r="C769" s="127"/>
      <c r="D769" s="127"/>
      <c r="E769" s="127"/>
      <c r="F769" s="127"/>
      <c r="G769" s="127"/>
      <c r="H769" s="127"/>
      <c r="I769" s="127"/>
      <c r="J769" s="127"/>
      <c r="K769" s="127"/>
      <c r="L769" s="127"/>
      <c r="M769" s="127"/>
      <c r="N769" s="127"/>
      <c r="O769" s="127" t="s">
        <v>255</v>
      </c>
      <c r="P769" s="127"/>
      <c r="Q769" s="79"/>
      <c r="R769" s="127" t="s">
        <v>101</v>
      </c>
      <c r="S769" s="127"/>
      <c r="T769" s="127"/>
    </row>
    <row r="770" spans="1:20" ht="13.35" customHeight="1" x14ac:dyDescent="0.2">
      <c r="A770" s="124" t="s">
        <v>293</v>
      </c>
      <c r="B770" s="124"/>
      <c r="C770" s="124"/>
      <c r="D770" s="124"/>
      <c r="E770" s="124"/>
      <c r="F770" s="124"/>
      <c r="G770" s="124"/>
      <c r="H770" s="124"/>
      <c r="I770" s="124"/>
      <c r="J770" s="124"/>
      <c r="K770" s="124"/>
      <c r="L770" s="124"/>
      <c r="M770" s="124" t="s">
        <v>1213</v>
      </c>
      <c r="N770" s="124"/>
      <c r="O770" s="124" t="s">
        <v>1214</v>
      </c>
      <c r="P770" s="124"/>
      <c r="Q770" s="77" t="s">
        <v>1215</v>
      </c>
      <c r="R770" s="124" t="s">
        <v>1216</v>
      </c>
      <c r="S770" s="124"/>
      <c r="T770" s="124"/>
    </row>
    <row r="771" spans="1:20" ht="13.35" customHeight="1" x14ac:dyDescent="0.2">
      <c r="A771" s="124" t="s">
        <v>114</v>
      </c>
      <c r="B771" s="124"/>
      <c r="C771" s="124"/>
      <c r="D771" s="124"/>
      <c r="E771" s="124"/>
      <c r="F771" s="124"/>
      <c r="G771" s="124"/>
      <c r="H771" s="124"/>
      <c r="I771" s="124"/>
      <c r="J771" s="124"/>
      <c r="K771" s="124"/>
      <c r="L771" s="124"/>
      <c r="M771" s="124" t="s">
        <v>1217</v>
      </c>
      <c r="N771" s="124"/>
      <c r="O771" s="124" t="s">
        <v>1217</v>
      </c>
      <c r="P771" s="124"/>
      <c r="Q771" s="77" t="s">
        <v>1218</v>
      </c>
      <c r="R771" s="124" t="s">
        <v>1218</v>
      </c>
      <c r="S771" s="124"/>
      <c r="T771" s="124"/>
    </row>
    <row r="772" spans="1:20" ht="13.35" customHeight="1" x14ac:dyDescent="0.2">
      <c r="A772" s="124" t="s">
        <v>70</v>
      </c>
      <c r="B772" s="124"/>
      <c r="C772" s="124"/>
      <c r="D772" s="124"/>
      <c r="E772" s="124"/>
      <c r="F772" s="124"/>
      <c r="G772" s="124"/>
      <c r="H772" s="124"/>
      <c r="I772" s="124"/>
      <c r="J772" s="124"/>
      <c r="K772" s="124"/>
      <c r="L772" s="124"/>
      <c r="M772" s="124" t="s">
        <v>24</v>
      </c>
      <c r="N772" s="124"/>
      <c r="O772" s="124" t="s">
        <v>24</v>
      </c>
      <c r="P772" s="124"/>
      <c r="Q772" s="77" t="s">
        <v>648</v>
      </c>
      <c r="R772" s="124" t="s">
        <v>648</v>
      </c>
      <c r="S772" s="124"/>
      <c r="T772" s="124"/>
    </row>
    <row r="773" spans="1:20" ht="13.35" customHeight="1" x14ac:dyDescent="0.2">
      <c r="A773" s="124" t="s">
        <v>61</v>
      </c>
      <c r="B773" s="124"/>
      <c r="C773" s="124"/>
      <c r="D773" s="124"/>
      <c r="E773" s="124"/>
      <c r="F773" s="124"/>
      <c r="G773" s="124"/>
      <c r="H773" s="124"/>
      <c r="I773" s="124"/>
      <c r="J773" s="124"/>
      <c r="K773" s="124"/>
      <c r="L773" s="124"/>
      <c r="M773" s="124" t="s">
        <v>456</v>
      </c>
      <c r="N773" s="124"/>
      <c r="O773" s="124" t="s">
        <v>456</v>
      </c>
      <c r="P773" s="124"/>
      <c r="Q773" s="77" t="s">
        <v>457</v>
      </c>
      <c r="R773" s="124" t="s">
        <v>457</v>
      </c>
      <c r="S773" s="124"/>
      <c r="T773" s="124"/>
    </row>
    <row r="774" spans="1:20" ht="13.35" customHeight="1" x14ac:dyDescent="0.2">
      <c r="A774" s="124" t="s">
        <v>404</v>
      </c>
      <c r="B774" s="124"/>
      <c r="C774" s="124"/>
      <c r="D774" s="124"/>
      <c r="E774" s="124"/>
      <c r="F774" s="124"/>
      <c r="G774" s="124"/>
      <c r="H774" s="124"/>
      <c r="I774" s="124"/>
      <c r="J774" s="124"/>
      <c r="K774" s="124"/>
      <c r="L774" s="124"/>
      <c r="M774" s="124" t="s">
        <v>467</v>
      </c>
      <c r="N774" s="124"/>
      <c r="O774" s="124" t="s">
        <v>1108</v>
      </c>
      <c r="P774" s="124"/>
      <c r="Q774" s="77" t="s">
        <v>479</v>
      </c>
      <c r="R774" s="124" t="s">
        <v>19</v>
      </c>
      <c r="S774" s="124"/>
      <c r="T774" s="124"/>
    </row>
    <row r="775" spans="1:20" ht="13.35" customHeight="1" x14ac:dyDescent="0.2">
      <c r="A775" s="124" t="s">
        <v>18</v>
      </c>
      <c r="B775" s="124"/>
      <c r="C775" s="124"/>
      <c r="D775" s="124"/>
      <c r="E775" s="124"/>
      <c r="F775" s="124"/>
      <c r="G775" s="124"/>
      <c r="H775" s="124"/>
      <c r="I775" s="124"/>
      <c r="J775" s="124"/>
      <c r="K775" s="124"/>
      <c r="L775" s="124"/>
      <c r="M775" s="124" t="s">
        <v>62</v>
      </c>
      <c r="N775" s="124"/>
      <c r="O775" s="124" t="s">
        <v>62</v>
      </c>
      <c r="P775" s="124"/>
      <c r="Q775" s="77" t="s">
        <v>63</v>
      </c>
      <c r="R775" s="124" t="s">
        <v>63</v>
      </c>
      <c r="S775" s="124"/>
      <c r="T775" s="124"/>
    </row>
    <row r="776" spans="1:20" ht="13.35" customHeight="1" x14ac:dyDescent="0.2">
      <c r="A776" s="124" t="s">
        <v>21</v>
      </c>
      <c r="B776" s="124"/>
      <c r="C776" s="124"/>
      <c r="D776" s="124"/>
      <c r="E776" s="124"/>
      <c r="F776" s="124"/>
      <c r="G776" s="124"/>
      <c r="H776" s="124"/>
      <c r="I776" s="124"/>
      <c r="J776" s="124"/>
      <c r="K776" s="124"/>
      <c r="L776" s="124"/>
      <c r="M776" s="124" t="s">
        <v>563</v>
      </c>
      <c r="N776" s="124"/>
      <c r="O776" s="124" t="s">
        <v>162</v>
      </c>
      <c r="P776" s="124"/>
      <c r="Q776" s="77" t="s">
        <v>991</v>
      </c>
      <c r="R776" s="124" t="s">
        <v>128</v>
      </c>
      <c r="S776" s="124"/>
      <c r="T776" s="124"/>
    </row>
    <row r="777" spans="1:20" ht="13.35" customHeight="1" x14ac:dyDescent="0.2">
      <c r="A777" s="124" t="s">
        <v>25</v>
      </c>
      <c r="B777" s="124"/>
      <c r="C777" s="124"/>
      <c r="D777" s="124"/>
      <c r="E777" s="124"/>
      <c r="F777" s="124"/>
      <c r="G777" s="124"/>
      <c r="H777" s="124"/>
      <c r="I777" s="124"/>
      <c r="J777" s="124"/>
      <c r="K777" s="124"/>
      <c r="L777" s="124"/>
      <c r="M777" s="124" t="s">
        <v>477</v>
      </c>
      <c r="N777" s="124"/>
      <c r="O777" s="124" t="s">
        <v>477</v>
      </c>
      <c r="P777" s="124"/>
      <c r="Q777" s="77" t="s">
        <v>1219</v>
      </c>
      <c r="R777" s="124" t="s">
        <v>1219</v>
      </c>
      <c r="S777" s="124"/>
      <c r="T777" s="124"/>
    </row>
    <row r="778" spans="1:20" ht="13.35" customHeight="1" x14ac:dyDescent="0.2">
      <c r="A778" s="124" t="s">
        <v>28</v>
      </c>
      <c r="B778" s="124"/>
      <c r="C778" s="124"/>
      <c r="D778" s="124"/>
      <c r="E778" s="124"/>
      <c r="F778" s="124"/>
      <c r="G778" s="124"/>
      <c r="H778" s="124"/>
      <c r="I778" s="124"/>
      <c r="J778" s="124"/>
      <c r="K778" s="124"/>
      <c r="L778" s="124"/>
      <c r="M778" s="124" t="s">
        <v>77</v>
      </c>
      <c r="N778" s="124"/>
      <c r="O778" s="124" t="s">
        <v>77</v>
      </c>
      <c r="P778" s="124"/>
      <c r="Q778" s="77" t="s">
        <v>79</v>
      </c>
      <c r="R778" s="124" t="s">
        <v>79</v>
      </c>
      <c r="S778" s="124"/>
      <c r="T778" s="124"/>
    </row>
    <row r="779" spans="1:20" ht="13.35" customHeight="1" x14ac:dyDescent="0.2">
      <c r="A779" s="124" t="s">
        <v>29</v>
      </c>
      <c r="B779" s="124"/>
      <c r="C779" s="124"/>
      <c r="D779" s="124"/>
      <c r="E779" s="124"/>
      <c r="F779" s="124"/>
      <c r="G779" s="124"/>
      <c r="H779" s="124"/>
      <c r="I779" s="124"/>
      <c r="J779" s="124"/>
      <c r="K779" s="124"/>
      <c r="L779" s="124"/>
      <c r="M779" s="124" t="s">
        <v>1220</v>
      </c>
      <c r="N779" s="124"/>
      <c r="O779" s="124" t="s">
        <v>162</v>
      </c>
      <c r="P779" s="124"/>
      <c r="Q779" s="77" t="s">
        <v>1085</v>
      </c>
      <c r="R779" s="124" t="s">
        <v>128</v>
      </c>
      <c r="S779" s="124"/>
      <c r="T779" s="124"/>
    </row>
    <row r="780" spans="1:20" ht="14.1" customHeight="1" x14ac:dyDescent="0.2">
      <c r="A780" s="126" t="s">
        <v>116</v>
      </c>
      <c r="B780" s="126"/>
      <c r="C780" s="126"/>
      <c r="D780" s="126"/>
      <c r="E780" s="126"/>
      <c r="F780" s="126"/>
      <c r="G780" s="126"/>
      <c r="H780" s="126"/>
      <c r="I780" s="126"/>
      <c r="J780" s="126"/>
      <c r="K780" s="126"/>
      <c r="L780" s="126"/>
      <c r="M780" s="126"/>
      <c r="N780" s="126"/>
      <c r="O780" s="126"/>
      <c r="P780" s="126"/>
      <c r="Q780" s="126"/>
      <c r="R780" s="126"/>
      <c r="S780" s="126"/>
      <c r="T780" s="126"/>
    </row>
    <row r="781" spans="1:20" ht="14.1" customHeight="1" x14ac:dyDescent="0.2"/>
    <row r="782" spans="1:20" ht="14.1" customHeight="1" x14ac:dyDescent="0.2">
      <c r="A782" s="121" t="s">
        <v>33</v>
      </c>
      <c r="B782" s="121"/>
      <c r="C782" s="121"/>
      <c r="D782" s="121"/>
      <c r="E782" s="121"/>
      <c r="F782" s="121"/>
      <c r="G782" s="121"/>
      <c r="H782" s="121"/>
      <c r="I782" s="121"/>
      <c r="J782" s="121"/>
      <c r="K782" s="121"/>
      <c r="L782" s="121"/>
      <c r="M782" s="121"/>
      <c r="N782" s="121"/>
    </row>
    <row r="783" spans="1:20" ht="13.35" customHeight="1" x14ac:dyDescent="0.2">
      <c r="A783" s="124" t="s">
        <v>34</v>
      </c>
      <c r="B783" s="124"/>
      <c r="C783" s="124"/>
      <c r="D783" s="124"/>
      <c r="E783" s="125">
        <v>15.4</v>
      </c>
      <c r="F783" s="125"/>
      <c r="G783" s="78"/>
      <c r="H783" s="77" t="s">
        <v>35</v>
      </c>
      <c r="I783" s="125">
        <v>0.16</v>
      </c>
      <c r="J783" s="125"/>
      <c r="K783" s="78"/>
      <c r="L783" s="124" t="s">
        <v>36</v>
      </c>
      <c r="M783" s="124"/>
      <c r="N783" s="125">
        <v>30.79</v>
      </c>
      <c r="O783" s="125"/>
    </row>
    <row r="784" spans="1:20" ht="13.35" customHeight="1" x14ac:dyDescent="0.2">
      <c r="A784" s="124" t="s">
        <v>37</v>
      </c>
      <c r="B784" s="124"/>
      <c r="C784" s="124"/>
      <c r="D784" s="124"/>
      <c r="E784" s="125">
        <v>17.600000000000001</v>
      </c>
      <c r="F784" s="125"/>
      <c r="G784" s="78"/>
      <c r="H784" s="77" t="s">
        <v>38</v>
      </c>
      <c r="I784" s="125">
        <v>1.65</v>
      </c>
      <c r="J784" s="125"/>
      <c r="K784" s="78"/>
      <c r="L784" s="124" t="s">
        <v>39</v>
      </c>
      <c r="M784" s="124"/>
      <c r="N784" s="125">
        <v>43.1</v>
      </c>
      <c r="O784" s="125"/>
    </row>
    <row r="785" spans="1:19" ht="13.35" customHeight="1" x14ac:dyDescent="0.2">
      <c r="A785" s="124" t="s">
        <v>40</v>
      </c>
      <c r="B785" s="124"/>
      <c r="C785" s="124"/>
      <c r="D785" s="124"/>
      <c r="E785" s="125">
        <v>18.600000000000001</v>
      </c>
      <c r="F785" s="125"/>
      <c r="G785" s="78"/>
      <c r="H785" s="77" t="s">
        <v>41</v>
      </c>
      <c r="I785" s="125">
        <v>0.08</v>
      </c>
      <c r="J785" s="125"/>
      <c r="K785" s="78"/>
      <c r="L785" s="124" t="s">
        <v>42</v>
      </c>
      <c r="M785" s="124"/>
      <c r="N785" s="125">
        <v>181.54</v>
      </c>
      <c r="O785" s="125"/>
    </row>
    <row r="786" spans="1:19" ht="13.35" customHeight="1" x14ac:dyDescent="0.2">
      <c r="A786" s="124" t="s">
        <v>43</v>
      </c>
      <c r="B786" s="124"/>
      <c r="C786" s="124"/>
      <c r="D786" s="124"/>
      <c r="E786" s="125">
        <v>225.7</v>
      </c>
      <c r="F786" s="125"/>
      <c r="G786" s="78"/>
      <c r="H786" s="77" t="s">
        <v>44</v>
      </c>
      <c r="I786" s="125">
        <v>3.39</v>
      </c>
      <c r="J786" s="125"/>
      <c r="K786" s="78"/>
      <c r="L786" s="124" t="s">
        <v>45</v>
      </c>
      <c r="M786" s="124"/>
      <c r="N786" s="125">
        <v>2.16</v>
      </c>
      <c r="O786" s="125"/>
    </row>
    <row r="787" spans="1:19" ht="13.35" customHeight="1" x14ac:dyDescent="0.2">
      <c r="A787" s="123"/>
      <c r="B787" s="123"/>
      <c r="C787" s="123"/>
      <c r="D787" s="123"/>
      <c r="E787" s="123"/>
      <c r="F787" s="123"/>
      <c r="G787" s="78"/>
      <c r="H787" s="77" t="s">
        <v>46</v>
      </c>
      <c r="I787" s="125">
        <v>0.1</v>
      </c>
      <c r="J787" s="125"/>
      <c r="K787" s="78"/>
      <c r="L787" s="124" t="s">
        <v>47</v>
      </c>
      <c r="M787" s="124"/>
      <c r="N787" s="125">
        <v>261.64999999999998</v>
      </c>
      <c r="O787" s="125"/>
    </row>
    <row r="788" spans="1:19" ht="13.35" customHeight="1" x14ac:dyDescent="0.2">
      <c r="A788" s="123"/>
      <c r="B788" s="123"/>
      <c r="C788" s="123"/>
      <c r="D788" s="123"/>
      <c r="E788" s="123"/>
      <c r="F788" s="123"/>
      <c r="G788" s="78"/>
      <c r="H788" s="77" t="s">
        <v>48</v>
      </c>
      <c r="I788" s="125">
        <v>0.11</v>
      </c>
      <c r="J788" s="125"/>
      <c r="K788" s="78"/>
      <c r="L788" s="124" t="s">
        <v>49</v>
      </c>
      <c r="M788" s="124"/>
      <c r="N788" s="125">
        <v>5.93</v>
      </c>
      <c r="O788" s="125"/>
    </row>
    <row r="789" spans="1:19" ht="13.35" customHeight="1" x14ac:dyDescent="0.2">
      <c r="A789" s="123"/>
      <c r="B789" s="123"/>
      <c r="C789" s="123"/>
      <c r="D789" s="123"/>
      <c r="E789" s="123"/>
      <c r="F789" s="123"/>
      <c r="G789" s="78"/>
      <c r="H789" s="78"/>
      <c r="I789" s="123"/>
      <c r="J789" s="123"/>
      <c r="K789" s="78"/>
      <c r="L789" s="124" t="s">
        <v>50</v>
      </c>
      <c r="M789" s="124"/>
      <c r="N789" s="125">
        <v>0.08</v>
      </c>
      <c r="O789" s="125"/>
    </row>
    <row r="790" spans="1:19" ht="13.35" customHeight="1" x14ac:dyDescent="0.2">
      <c r="A790" s="123"/>
      <c r="B790" s="123"/>
      <c r="C790" s="123"/>
      <c r="D790" s="123"/>
      <c r="E790" s="123"/>
      <c r="F790" s="123"/>
      <c r="G790" s="78"/>
      <c r="H790" s="78"/>
      <c r="I790" s="123"/>
      <c r="J790" s="123"/>
      <c r="K790" s="78"/>
      <c r="L790" s="124" t="s">
        <v>51</v>
      </c>
      <c r="M790" s="124"/>
      <c r="N790" s="125">
        <v>0.01</v>
      </c>
      <c r="O790" s="125"/>
    </row>
    <row r="791" spans="1:19" ht="14.1" customHeight="1" x14ac:dyDescent="0.2">
      <c r="A791" s="120"/>
      <c r="B791" s="120"/>
      <c r="C791" s="120"/>
      <c r="D791" s="120"/>
      <c r="E791" s="120"/>
      <c r="F791" s="120"/>
      <c r="G791" s="120"/>
      <c r="H791" s="120"/>
      <c r="I791" s="120"/>
      <c r="J791" s="120"/>
      <c r="K791" s="120"/>
      <c r="L791" s="120"/>
      <c r="M791" s="120"/>
      <c r="N791" s="120"/>
      <c r="O791" s="120"/>
      <c r="P791" s="120"/>
      <c r="Q791" s="120"/>
      <c r="R791" s="120"/>
      <c r="S791" s="120"/>
    </row>
    <row r="792" spans="1:19" ht="14.1" customHeight="1" x14ac:dyDescent="0.2">
      <c r="A792" s="121" t="s">
        <v>52</v>
      </c>
      <c r="B792" s="121"/>
      <c r="C792" s="121"/>
      <c r="D792" s="121"/>
      <c r="E792" s="121"/>
      <c r="F792" s="121"/>
      <c r="G792" s="121"/>
      <c r="H792" s="121"/>
      <c r="I792" s="121"/>
      <c r="J792" s="121"/>
      <c r="K792" s="121"/>
      <c r="L792" s="121"/>
      <c r="M792" s="121"/>
      <c r="N792" s="121"/>
      <c r="O792" s="121"/>
      <c r="P792" s="121"/>
      <c r="Q792" s="121"/>
      <c r="R792" s="121"/>
      <c r="S792" s="121"/>
    </row>
    <row r="793" spans="1:19" ht="104.4" customHeight="1" x14ac:dyDescent="0.2">
      <c r="A793" s="122" t="s">
        <v>1221</v>
      </c>
      <c r="B793" s="122"/>
      <c r="C793" s="122"/>
      <c r="D793" s="122"/>
      <c r="E793" s="122"/>
      <c r="F793" s="122"/>
      <c r="G793" s="122"/>
      <c r="H793" s="122"/>
      <c r="I793" s="122"/>
      <c r="J793" s="122"/>
      <c r="K793" s="122"/>
      <c r="L793" s="122"/>
      <c r="M793" s="122"/>
      <c r="N793" s="122"/>
      <c r="O793" s="122"/>
      <c r="P793" s="122"/>
      <c r="Q793" s="122"/>
      <c r="R793" s="122"/>
      <c r="S793" s="122"/>
    </row>
    <row r="794" spans="1:19" ht="14.1" customHeight="1" x14ac:dyDescent="0.2">
      <c r="A794" s="120"/>
      <c r="B794" s="120"/>
      <c r="C794" s="120"/>
      <c r="D794" s="120"/>
      <c r="E794" s="120"/>
      <c r="F794" s="120"/>
      <c r="G794" s="120"/>
      <c r="H794" s="120"/>
      <c r="I794" s="120"/>
      <c r="J794" s="120"/>
      <c r="K794" s="120"/>
      <c r="L794" s="120"/>
      <c r="M794" s="120"/>
      <c r="N794" s="120"/>
      <c r="O794" s="120"/>
      <c r="P794" s="120"/>
      <c r="Q794" s="120"/>
      <c r="R794" s="120"/>
      <c r="S794" s="120"/>
    </row>
    <row r="795" spans="1:19" ht="14.1" customHeight="1" x14ac:dyDescent="0.2">
      <c r="A795" s="121" t="s">
        <v>54</v>
      </c>
      <c r="B795" s="121"/>
      <c r="C795" s="121"/>
      <c r="D795" s="121"/>
      <c r="E795" s="121"/>
      <c r="F795" s="121"/>
      <c r="G795" s="121"/>
      <c r="H795" s="121"/>
      <c r="I795" s="121"/>
      <c r="J795" s="121"/>
      <c r="K795" s="121"/>
      <c r="L795" s="121"/>
      <c r="M795" s="121"/>
      <c r="N795" s="121"/>
      <c r="O795" s="121"/>
      <c r="P795" s="121"/>
      <c r="Q795" s="121"/>
      <c r="R795" s="121"/>
      <c r="S795" s="121"/>
    </row>
    <row r="796" spans="1:19" ht="21.6" customHeight="1" x14ac:dyDescent="0.2">
      <c r="A796" s="122" t="s">
        <v>55</v>
      </c>
      <c r="B796" s="122"/>
      <c r="C796" s="122"/>
      <c r="D796" s="122"/>
      <c r="E796" s="122"/>
      <c r="F796" s="122"/>
      <c r="G796" s="122"/>
      <c r="H796" s="122"/>
      <c r="I796" s="122"/>
      <c r="J796" s="122"/>
      <c r="K796" s="122"/>
      <c r="L796" s="122"/>
      <c r="M796" s="122"/>
      <c r="N796" s="122"/>
      <c r="O796" s="122"/>
      <c r="P796" s="122"/>
      <c r="Q796" s="122"/>
      <c r="R796" s="122"/>
      <c r="S796" s="122"/>
    </row>
    <row r="797" spans="1:19" ht="14.1" customHeight="1" x14ac:dyDescent="0.2">
      <c r="A797" s="120"/>
      <c r="B797" s="120"/>
      <c r="C797" s="120"/>
      <c r="D797" s="120"/>
      <c r="E797" s="120"/>
      <c r="F797" s="120"/>
      <c r="G797" s="120"/>
      <c r="H797" s="120"/>
      <c r="I797" s="120"/>
      <c r="J797" s="120"/>
      <c r="K797" s="120"/>
      <c r="L797" s="120"/>
      <c r="M797" s="120"/>
      <c r="N797" s="120"/>
      <c r="O797" s="120"/>
      <c r="P797" s="120"/>
      <c r="Q797" s="120"/>
      <c r="R797" s="120"/>
      <c r="S797" s="120"/>
    </row>
    <row r="798" spans="1:19" ht="14.1" customHeight="1" x14ac:dyDescent="0.2">
      <c r="A798" s="121" t="s">
        <v>56</v>
      </c>
      <c r="B798" s="121"/>
      <c r="C798" s="121"/>
      <c r="D798" s="121"/>
      <c r="E798" s="121"/>
      <c r="F798" s="121"/>
      <c r="G798" s="121"/>
      <c r="H798" s="121"/>
      <c r="I798" s="121"/>
      <c r="J798" s="121"/>
      <c r="K798" s="121"/>
      <c r="L798" s="121"/>
      <c r="M798" s="121"/>
      <c r="N798" s="121"/>
      <c r="O798" s="121"/>
      <c r="P798" s="121"/>
      <c r="Q798" s="121"/>
      <c r="R798" s="121"/>
      <c r="S798" s="121"/>
    </row>
    <row r="799" spans="1:19" ht="40.049999999999997" customHeight="1" x14ac:dyDescent="0.2">
      <c r="A799" s="122" t="s">
        <v>57</v>
      </c>
      <c r="B799" s="122"/>
      <c r="C799" s="122"/>
      <c r="D799" s="122"/>
      <c r="E799" s="122"/>
      <c r="F799" s="122"/>
      <c r="G799" s="122"/>
      <c r="H799" s="122"/>
      <c r="I799" s="122"/>
      <c r="J799" s="122"/>
      <c r="K799" s="122"/>
      <c r="L799" s="122"/>
      <c r="M799" s="122"/>
      <c r="N799" s="122"/>
      <c r="O799" s="122"/>
      <c r="P799" s="122"/>
      <c r="Q799" s="122"/>
      <c r="R799" s="122"/>
      <c r="S799" s="122"/>
    </row>
  </sheetData>
  <mergeCells count="1952">
    <mergeCell ref="A7:E7"/>
    <mergeCell ref="F7:T8"/>
    <mergeCell ref="A9:L9"/>
    <mergeCell ref="M9:N9"/>
    <mergeCell ref="O9:P9"/>
    <mergeCell ref="R9:T9"/>
    <mergeCell ref="J1:T1"/>
    <mergeCell ref="B3:R3"/>
    <mergeCell ref="A5:C5"/>
    <mergeCell ref="D5:T5"/>
    <mergeCell ref="A6:B6"/>
    <mergeCell ref="C6:T6"/>
    <mergeCell ref="A15:L15"/>
    <mergeCell ref="M15:N15"/>
    <mergeCell ref="O15:P15"/>
    <mergeCell ref="R15:T15"/>
    <mergeCell ref="A16:L16"/>
    <mergeCell ref="M16:N16"/>
    <mergeCell ref="O16:P16"/>
    <mergeCell ref="R16:T16"/>
    <mergeCell ref="A13:L13"/>
    <mergeCell ref="M13:N13"/>
    <mergeCell ref="O13:P13"/>
    <mergeCell ref="R13:T13"/>
    <mergeCell ref="A14:L14"/>
    <mergeCell ref="M14:N14"/>
    <mergeCell ref="O14:P14"/>
    <mergeCell ref="R14:T14"/>
    <mergeCell ref="A10:L12"/>
    <mergeCell ref="M10:T10"/>
    <mergeCell ref="M11:P11"/>
    <mergeCell ref="Q11:T11"/>
    <mergeCell ref="M12:N12"/>
    <mergeCell ref="O12:P12"/>
    <mergeCell ref="R12:T12"/>
    <mergeCell ref="A21:L21"/>
    <mergeCell ref="M21:N21"/>
    <mergeCell ref="O21:P21"/>
    <mergeCell ref="R21:T21"/>
    <mergeCell ref="A22:L22"/>
    <mergeCell ref="M22:N22"/>
    <mergeCell ref="O22:P22"/>
    <mergeCell ref="R22:T22"/>
    <mergeCell ref="A19:L19"/>
    <mergeCell ref="M19:N19"/>
    <mergeCell ref="O19:P19"/>
    <mergeCell ref="R19:T19"/>
    <mergeCell ref="A20:L20"/>
    <mergeCell ref="M20:N20"/>
    <mergeCell ref="O20:P20"/>
    <mergeCell ref="R20:T20"/>
    <mergeCell ref="A17:L17"/>
    <mergeCell ref="M17:N17"/>
    <mergeCell ref="O17:P17"/>
    <mergeCell ref="R17:T17"/>
    <mergeCell ref="A18:L18"/>
    <mergeCell ref="M18:N18"/>
    <mergeCell ref="O18:P18"/>
    <mergeCell ref="R18:T18"/>
    <mergeCell ref="A29:D29"/>
    <mergeCell ref="E29:F29"/>
    <mergeCell ref="I29:J29"/>
    <mergeCell ref="L29:M29"/>
    <mergeCell ref="N29:O29"/>
    <mergeCell ref="A30:D30"/>
    <mergeCell ref="E30:F30"/>
    <mergeCell ref="I30:J30"/>
    <mergeCell ref="L30:M30"/>
    <mergeCell ref="N30:O30"/>
    <mergeCell ref="A25:L25"/>
    <mergeCell ref="M25:N25"/>
    <mergeCell ref="O25:P25"/>
    <mergeCell ref="R25:T25"/>
    <mergeCell ref="A26:T26"/>
    <mergeCell ref="A28:N28"/>
    <mergeCell ref="A23:L23"/>
    <mergeCell ref="M23:N23"/>
    <mergeCell ref="O23:P23"/>
    <mergeCell ref="R23:T23"/>
    <mergeCell ref="A24:L24"/>
    <mergeCell ref="M24:N24"/>
    <mergeCell ref="O24:P24"/>
    <mergeCell ref="R24:T24"/>
    <mergeCell ref="A33:D33"/>
    <mergeCell ref="E33:F33"/>
    <mergeCell ref="I33:J33"/>
    <mergeCell ref="L33:M33"/>
    <mergeCell ref="N33:O33"/>
    <mergeCell ref="A34:D34"/>
    <mergeCell ref="E34:F34"/>
    <mergeCell ref="I34:J34"/>
    <mergeCell ref="L34:M34"/>
    <mergeCell ref="N34:O34"/>
    <mergeCell ref="A31:D31"/>
    <mergeCell ref="E31:F31"/>
    <mergeCell ref="I31:J31"/>
    <mergeCell ref="L31:M31"/>
    <mergeCell ref="N31:O31"/>
    <mergeCell ref="A32:D32"/>
    <mergeCell ref="E32:F32"/>
    <mergeCell ref="I32:J32"/>
    <mergeCell ref="L32:M32"/>
    <mergeCell ref="N32:O32"/>
    <mergeCell ref="J48:T48"/>
    <mergeCell ref="B50:R50"/>
    <mergeCell ref="A52:C52"/>
    <mergeCell ref="D52:T52"/>
    <mergeCell ref="A53:B53"/>
    <mergeCell ref="C53:T53"/>
    <mergeCell ref="A37:S37"/>
    <mergeCell ref="A38:S38"/>
    <mergeCell ref="A39:S39"/>
    <mergeCell ref="A42:S42"/>
    <mergeCell ref="A43:S43"/>
    <mergeCell ref="A44:S44"/>
    <mergeCell ref="A40:S40"/>
    <mergeCell ref="A41:S41"/>
    <mergeCell ref="A35:D35"/>
    <mergeCell ref="E35:F35"/>
    <mergeCell ref="I35:J35"/>
    <mergeCell ref="L35:M35"/>
    <mergeCell ref="N35:O35"/>
    <mergeCell ref="A36:D36"/>
    <mergeCell ref="E36:F36"/>
    <mergeCell ref="I36:J36"/>
    <mergeCell ref="L36:M36"/>
    <mergeCell ref="N36:O36"/>
    <mergeCell ref="A60:L60"/>
    <mergeCell ref="M60:N60"/>
    <mergeCell ref="O60:P60"/>
    <mergeCell ref="R60:T60"/>
    <mergeCell ref="A61:L61"/>
    <mergeCell ref="M61:N61"/>
    <mergeCell ref="O61:P61"/>
    <mergeCell ref="R61:T61"/>
    <mergeCell ref="A57:L59"/>
    <mergeCell ref="M57:T57"/>
    <mergeCell ref="M58:P58"/>
    <mergeCell ref="Q58:T58"/>
    <mergeCell ref="M59:N59"/>
    <mergeCell ref="O59:P59"/>
    <mergeCell ref="R59:T59"/>
    <mergeCell ref="A54:E54"/>
    <mergeCell ref="F54:T55"/>
    <mergeCell ref="A56:L56"/>
    <mergeCell ref="M56:N56"/>
    <mergeCell ref="O56:P56"/>
    <mergeCell ref="R56:T56"/>
    <mergeCell ref="A66:L66"/>
    <mergeCell ref="M66:N66"/>
    <mergeCell ref="O66:P66"/>
    <mergeCell ref="R66:T66"/>
    <mergeCell ref="A67:L67"/>
    <mergeCell ref="M67:N67"/>
    <mergeCell ref="O67:P67"/>
    <mergeCell ref="R67:T67"/>
    <mergeCell ref="A64:L64"/>
    <mergeCell ref="M64:N64"/>
    <mergeCell ref="O64:P64"/>
    <mergeCell ref="R64:T64"/>
    <mergeCell ref="A65:L65"/>
    <mergeCell ref="M65:N65"/>
    <mergeCell ref="O65:P65"/>
    <mergeCell ref="R65:T65"/>
    <mergeCell ref="A62:L62"/>
    <mergeCell ref="M62:N62"/>
    <mergeCell ref="O62:P62"/>
    <mergeCell ref="R62:T62"/>
    <mergeCell ref="A63:L63"/>
    <mergeCell ref="M63:N63"/>
    <mergeCell ref="O63:P63"/>
    <mergeCell ref="R63:T63"/>
    <mergeCell ref="A72:L72"/>
    <mergeCell ref="M72:N72"/>
    <mergeCell ref="O72:P72"/>
    <mergeCell ref="R72:T72"/>
    <mergeCell ref="A73:L73"/>
    <mergeCell ref="M73:N73"/>
    <mergeCell ref="O73:P73"/>
    <mergeCell ref="R73:T73"/>
    <mergeCell ref="A70:L70"/>
    <mergeCell ref="M70:N70"/>
    <mergeCell ref="O70:P70"/>
    <mergeCell ref="R70:T70"/>
    <mergeCell ref="A71:L71"/>
    <mergeCell ref="M71:N71"/>
    <mergeCell ref="O71:P71"/>
    <mergeCell ref="R71:T71"/>
    <mergeCell ref="A68:L68"/>
    <mergeCell ref="M68:N68"/>
    <mergeCell ref="O68:P68"/>
    <mergeCell ref="R68:T68"/>
    <mergeCell ref="A69:L69"/>
    <mergeCell ref="M69:N69"/>
    <mergeCell ref="O69:P69"/>
    <mergeCell ref="R69:T69"/>
    <mergeCell ref="A78:D78"/>
    <mergeCell ref="E78:F78"/>
    <mergeCell ref="I78:J78"/>
    <mergeCell ref="L78:M78"/>
    <mergeCell ref="N78:O78"/>
    <mergeCell ref="A79:D79"/>
    <mergeCell ref="E79:F79"/>
    <mergeCell ref="I79:J79"/>
    <mergeCell ref="L79:M79"/>
    <mergeCell ref="N79:O79"/>
    <mergeCell ref="A74:T74"/>
    <mergeCell ref="A76:N76"/>
    <mergeCell ref="A77:D77"/>
    <mergeCell ref="E77:F77"/>
    <mergeCell ref="I77:J77"/>
    <mergeCell ref="L77:M77"/>
    <mergeCell ref="N77:O77"/>
    <mergeCell ref="A84:D84"/>
    <mergeCell ref="E84:F84"/>
    <mergeCell ref="I84:J84"/>
    <mergeCell ref="L84:M84"/>
    <mergeCell ref="N84:O84"/>
    <mergeCell ref="A85:S85"/>
    <mergeCell ref="A82:D82"/>
    <mergeCell ref="E82:F82"/>
    <mergeCell ref="I82:J82"/>
    <mergeCell ref="L82:M82"/>
    <mergeCell ref="N82:O82"/>
    <mergeCell ref="A83:D83"/>
    <mergeCell ref="E83:F83"/>
    <mergeCell ref="I83:J83"/>
    <mergeCell ref="L83:M83"/>
    <mergeCell ref="N83:O83"/>
    <mergeCell ref="A80:D80"/>
    <mergeCell ref="E80:F80"/>
    <mergeCell ref="I80:J80"/>
    <mergeCell ref="L80:M80"/>
    <mergeCell ref="N80:O80"/>
    <mergeCell ref="A81:D81"/>
    <mergeCell ref="E81:F81"/>
    <mergeCell ref="I81:J81"/>
    <mergeCell ref="L81:M81"/>
    <mergeCell ref="N81:O81"/>
    <mergeCell ref="A101:B101"/>
    <mergeCell ref="C101:T101"/>
    <mergeCell ref="A102:E102"/>
    <mergeCell ref="F102:T103"/>
    <mergeCell ref="A104:L104"/>
    <mergeCell ref="M104:N104"/>
    <mergeCell ref="O104:P104"/>
    <mergeCell ref="R104:T104"/>
    <mergeCell ref="A92:S92"/>
    <mergeCell ref="A93:S93"/>
    <mergeCell ref="J96:T96"/>
    <mergeCell ref="B98:R98"/>
    <mergeCell ref="A100:C100"/>
    <mergeCell ref="D100:T100"/>
    <mergeCell ref="A86:S86"/>
    <mergeCell ref="A87:S87"/>
    <mergeCell ref="A88:S88"/>
    <mergeCell ref="A89:S89"/>
    <mergeCell ref="A90:S90"/>
    <mergeCell ref="A91:S91"/>
    <mergeCell ref="A110:L110"/>
    <mergeCell ref="M110:N110"/>
    <mergeCell ref="O110:P110"/>
    <mergeCell ref="R110:T110"/>
    <mergeCell ref="A111:L111"/>
    <mergeCell ref="M111:N111"/>
    <mergeCell ref="O111:P111"/>
    <mergeCell ref="R111:T111"/>
    <mergeCell ref="A108:L108"/>
    <mergeCell ref="M108:N108"/>
    <mergeCell ref="O108:P108"/>
    <mergeCell ref="R108:T108"/>
    <mergeCell ref="A109:L109"/>
    <mergeCell ref="M109:N109"/>
    <mergeCell ref="O109:P109"/>
    <mergeCell ref="R109:T109"/>
    <mergeCell ref="A105:L107"/>
    <mergeCell ref="M105:T105"/>
    <mergeCell ref="M106:P106"/>
    <mergeCell ref="Q106:T106"/>
    <mergeCell ref="M107:N107"/>
    <mergeCell ref="O107:P107"/>
    <mergeCell ref="R107:T107"/>
    <mergeCell ref="A116:D116"/>
    <mergeCell ref="E116:F116"/>
    <mergeCell ref="I116:J116"/>
    <mergeCell ref="L116:M116"/>
    <mergeCell ref="N116:O116"/>
    <mergeCell ref="A117:D117"/>
    <mergeCell ref="E117:F117"/>
    <mergeCell ref="I117:J117"/>
    <mergeCell ref="L117:M117"/>
    <mergeCell ref="N117:O117"/>
    <mergeCell ref="A112:T112"/>
    <mergeCell ref="A114:N114"/>
    <mergeCell ref="A115:D115"/>
    <mergeCell ref="E115:F115"/>
    <mergeCell ref="I115:J115"/>
    <mergeCell ref="L115:M115"/>
    <mergeCell ref="N115:O115"/>
    <mergeCell ref="A122:D122"/>
    <mergeCell ref="E122:F122"/>
    <mergeCell ref="I122:J122"/>
    <mergeCell ref="L122:M122"/>
    <mergeCell ref="N122:O122"/>
    <mergeCell ref="A123:S123"/>
    <mergeCell ref="A120:D120"/>
    <mergeCell ref="E120:F120"/>
    <mergeCell ref="I120:J120"/>
    <mergeCell ref="L120:M120"/>
    <mergeCell ref="N120:O120"/>
    <mergeCell ref="A121:D121"/>
    <mergeCell ref="E121:F121"/>
    <mergeCell ref="I121:J121"/>
    <mergeCell ref="L121:M121"/>
    <mergeCell ref="N121:O121"/>
    <mergeCell ref="A118:D118"/>
    <mergeCell ref="E118:F118"/>
    <mergeCell ref="I118:J118"/>
    <mergeCell ref="L118:M118"/>
    <mergeCell ref="N118:O118"/>
    <mergeCell ref="A119:D119"/>
    <mergeCell ref="E119:F119"/>
    <mergeCell ref="I119:J119"/>
    <mergeCell ref="L119:M119"/>
    <mergeCell ref="N119:O119"/>
    <mergeCell ref="A139:B139"/>
    <mergeCell ref="C139:T139"/>
    <mergeCell ref="A140:E140"/>
    <mergeCell ref="F140:T141"/>
    <mergeCell ref="A142:L142"/>
    <mergeCell ref="M142:N142"/>
    <mergeCell ref="O142:P142"/>
    <mergeCell ref="R142:T142"/>
    <mergeCell ref="A130:S130"/>
    <mergeCell ref="A131:S131"/>
    <mergeCell ref="J134:T134"/>
    <mergeCell ref="B136:R136"/>
    <mergeCell ref="A138:C138"/>
    <mergeCell ref="D138:T138"/>
    <mergeCell ref="A124:S124"/>
    <mergeCell ref="A125:S125"/>
    <mergeCell ref="A126:S126"/>
    <mergeCell ref="A127:S127"/>
    <mergeCell ref="A128:S128"/>
    <mergeCell ref="A129:S129"/>
    <mergeCell ref="A148:L148"/>
    <mergeCell ref="M148:N148"/>
    <mergeCell ref="O148:P148"/>
    <mergeCell ref="R148:T148"/>
    <mergeCell ref="A149:L149"/>
    <mergeCell ref="M149:N149"/>
    <mergeCell ref="O149:P149"/>
    <mergeCell ref="R149:T149"/>
    <mergeCell ref="A146:L146"/>
    <mergeCell ref="M146:N146"/>
    <mergeCell ref="O146:P146"/>
    <mergeCell ref="R146:T146"/>
    <mergeCell ref="A147:L147"/>
    <mergeCell ref="M147:N147"/>
    <mergeCell ref="O147:P147"/>
    <mergeCell ref="R147:T147"/>
    <mergeCell ref="A143:L145"/>
    <mergeCell ref="M143:T143"/>
    <mergeCell ref="M144:P144"/>
    <mergeCell ref="Q144:T144"/>
    <mergeCell ref="M145:N145"/>
    <mergeCell ref="O145:P145"/>
    <mergeCell ref="R145:T145"/>
    <mergeCell ref="A154:D154"/>
    <mergeCell ref="E154:F154"/>
    <mergeCell ref="I154:J154"/>
    <mergeCell ref="L154:M154"/>
    <mergeCell ref="N154:O154"/>
    <mergeCell ref="A155:D155"/>
    <mergeCell ref="E155:F155"/>
    <mergeCell ref="I155:J155"/>
    <mergeCell ref="L155:M155"/>
    <mergeCell ref="N155:O155"/>
    <mergeCell ref="A150:T150"/>
    <mergeCell ref="A152:N152"/>
    <mergeCell ref="A153:D153"/>
    <mergeCell ref="E153:F153"/>
    <mergeCell ref="I153:J153"/>
    <mergeCell ref="L153:M153"/>
    <mergeCell ref="N153:O153"/>
    <mergeCell ref="A158:D158"/>
    <mergeCell ref="E158:F158"/>
    <mergeCell ref="I158:J158"/>
    <mergeCell ref="L158:M158"/>
    <mergeCell ref="N158:O158"/>
    <mergeCell ref="A159:D159"/>
    <mergeCell ref="E159:F159"/>
    <mergeCell ref="I159:J159"/>
    <mergeCell ref="L159:M159"/>
    <mergeCell ref="N159:O159"/>
    <mergeCell ref="A156:D156"/>
    <mergeCell ref="E156:F156"/>
    <mergeCell ref="I156:J156"/>
    <mergeCell ref="L156:M156"/>
    <mergeCell ref="N156:O156"/>
    <mergeCell ref="A157:D157"/>
    <mergeCell ref="E157:F157"/>
    <mergeCell ref="I157:J157"/>
    <mergeCell ref="L157:M157"/>
    <mergeCell ref="N157:O157"/>
    <mergeCell ref="J170:T170"/>
    <mergeCell ref="B172:R172"/>
    <mergeCell ref="A174:C174"/>
    <mergeCell ref="D174:T174"/>
    <mergeCell ref="A175:B175"/>
    <mergeCell ref="C175:T175"/>
    <mergeCell ref="A162:S162"/>
    <mergeCell ref="A163:S163"/>
    <mergeCell ref="A166:S166"/>
    <mergeCell ref="A167:S167"/>
    <mergeCell ref="A168:S168"/>
    <mergeCell ref="A164:S164"/>
    <mergeCell ref="A165:S165"/>
    <mergeCell ref="A160:D160"/>
    <mergeCell ref="E160:F160"/>
    <mergeCell ref="I160:J160"/>
    <mergeCell ref="L160:M160"/>
    <mergeCell ref="N160:O160"/>
    <mergeCell ref="A161:S161"/>
    <mergeCell ref="A182:L182"/>
    <mergeCell ref="M182:N182"/>
    <mergeCell ref="O182:P182"/>
    <mergeCell ref="R182:T182"/>
    <mergeCell ref="A183:L183"/>
    <mergeCell ref="M183:N183"/>
    <mergeCell ref="O183:P183"/>
    <mergeCell ref="R183:T183"/>
    <mergeCell ref="A179:L181"/>
    <mergeCell ref="M179:T179"/>
    <mergeCell ref="M180:P180"/>
    <mergeCell ref="Q180:T180"/>
    <mergeCell ref="M181:N181"/>
    <mergeCell ref="O181:P181"/>
    <mergeCell ref="R181:T181"/>
    <mergeCell ref="A176:E176"/>
    <mergeCell ref="F176:T177"/>
    <mergeCell ref="A178:L178"/>
    <mergeCell ref="M178:N178"/>
    <mergeCell ref="O178:P178"/>
    <mergeCell ref="R178:T178"/>
    <mergeCell ref="A188:L188"/>
    <mergeCell ref="M188:N188"/>
    <mergeCell ref="O188:P188"/>
    <mergeCell ref="R188:T188"/>
    <mergeCell ref="A189:T189"/>
    <mergeCell ref="A191:N191"/>
    <mergeCell ref="A186:L186"/>
    <mergeCell ref="M186:N186"/>
    <mergeCell ref="O186:P186"/>
    <mergeCell ref="R186:T186"/>
    <mergeCell ref="A187:L187"/>
    <mergeCell ref="M187:N187"/>
    <mergeCell ref="O187:P187"/>
    <mergeCell ref="R187:T187"/>
    <mergeCell ref="A184:L184"/>
    <mergeCell ref="M184:N184"/>
    <mergeCell ref="O184:P184"/>
    <mergeCell ref="R184:T184"/>
    <mergeCell ref="A185:L185"/>
    <mergeCell ref="M185:N185"/>
    <mergeCell ref="O185:P185"/>
    <mergeCell ref="R185:T185"/>
    <mergeCell ref="A194:D194"/>
    <mergeCell ref="E194:F194"/>
    <mergeCell ref="I194:J194"/>
    <mergeCell ref="L194:M194"/>
    <mergeCell ref="N194:O194"/>
    <mergeCell ref="A195:D195"/>
    <mergeCell ref="E195:F195"/>
    <mergeCell ref="I195:J195"/>
    <mergeCell ref="L195:M195"/>
    <mergeCell ref="N195:O195"/>
    <mergeCell ref="A192:D192"/>
    <mergeCell ref="E192:F192"/>
    <mergeCell ref="I192:J192"/>
    <mergeCell ref="L192:M192"/>
    <mergeCell ref="N192:O192"/>
    <mergeCell ref="A193:D193"/>
    <mergeCell ref="E193:F193"/>
    <mergeCell ref="I193:J193"/>
    <mergeCell ref="L193:M193"/>
    <mergeCell ref="N193:O193"/>
    <mergeCell ref="A198:D198"/>
    <mergeCell ref="E198:F198"/>
    <mergeCell ref="I198:J198"/>
    <mergeCell ref="L198:M198"/>
    <mergeCell ref="N198:O198"/>
    <mergeCell ref="A199:D199"/>
    <mergeCell ref="E199:F199"/>
    <mergeCell ref="I199:J199"/>
    <mergeCell ref="L199:M199"/>
    <mergeCell ref="N199:O199"/>
    <mergeCell ref="A196:D196"/>
    <mergeCell ref="E196:F196"/>
    <mergeCell ref="I196:J196"/>
    <mergeCell ref="L196:M196"/>
    <mergeCell ref="N196:O196"/>
    <mergeCell ref="A197:D197"/>
    <mergeCell ref="E197:F197"/>
    <mergeCell ref="I197:J197"/>
    <mergeCell ref="L197:M197"/>
    <mergeCell ref="N197:O197"/>
    <mergeCell ref="A215:B215"/>
    <mergeCell ref="C215:T215"/>
    <mergeCell ref="A216:E216"/>
    <mergeCell ref="F216:T216"/>
    <mergeCell ref="A218:L218"/>
    <mergeCell ref="M218:N218"/>
    <mergeCell ref="O218:P218"/>
    <mergeCell ref="R218:T218"/>
    <mergeCell ref="A206:S206"/>
    <mergeCell ref="A207:S207"/>
    <mergeCell ref="A208:S208"/>
    <mergeCell ref="J210:T210"/>
    <mergeCell ref="B212:R212"/>
    <mergeCell ref="A214:C214"/>
    <mergeCell ref="D214:T214"/>
    <mergeCell ref="A200:S200"/>
    <mergeCell ref="A201:S201"/>
    <mergeCell ref="A202:S202"/>
    <mergeCell ref="A203:S203"/>
    <mergeCell ref="A204:S204"/>
    <mergeCell ref="A205:S205"/>
    <mergeCell ref="A224:L224"/>
    <mergeCell ref="M224:N224"/>
    <mergeCell ref="O224:P224"/>
    <mergeCell ref="R224:T224"/>
    <mergeCell ref="A225:L225"/>
    <mergeCell ref="M225:N225"/>
    <mergeCell ref="O225:P225"/>
    <mergeCell ref="R225:T225"/>
    <mergeCell ref="A222:L222"/>
    <mergeCell ref="M222:N222"/>
    <mergeCell ref="O222:P222"/>
    <mergeCell ref="R222:T222"/>
    <mergeCell ref="A223:L223"/>
    <mergeCell ref="M223:N223"/>
    <mergeCell ref="O223:P223"/>
    <mergeCell ref="R223:T223"/>
    <mergeCell ref="A219:L221"/>
    <mergeCell ref="M219:T219"/>
    <mergeCell ref="M220:P220"/>
    <mergeCell ref="Q220:T220"/>
    <mergeCell ref="M221:N221"/>
    <mergeCell ref="O221:P221"/>
    <mergeCell ref="R221:T221"/>
    <mergeCell ref="A230:L230"/>
    <mergeCell ref="M230:N230"/>
    <mergeCell ref="O230:P230"/>
    <mergeCell ref="R230:T230"/>
    <mergeCell ref="A231:L231"/>
    <mergeCell ref="M231:N231"/>
    <mergeCell ref="O231:P231"/>
    <mergeCell ref="R231:T231"/>
    <mergeCell ref="A228:L228"/>
    <mergeCell ref="M228:N228"/>
    <mergeCell ref="O228:P228"/>
    <mergeCell ref="R228:T228"/>
    <mergeCell ref="A229:L229"/>
    <mergeCell ref="M229:N229"/>
    <mergeCell ref="O229:P229"/>
    <mergeCell ref="R229:T229"/>
    <mergeCell ref="A226:L226"/>
    <mergeCell ref="M226:N226"/>
    <mergeCell ref="O226:P226"/>
    <mergeCell ref="R226:T226"/>
    <mergeCell ref="A227:L227"/>
    <mergeCell ref="M227:N227"/>
    <mergeCell ref="O227:P227"/>
    <mergeCell ref="R227:T227"/>
    <mergeCell ref="A236:T236"/>
    <mergeCell ref="A238:N238"/>
    <mergeCell ref="A239:D239"/>
    <mergeCell ref="E239:F239"/>
    <mergeCell ref="I239:J239"/>
    <mergeCell ref="L239:M239"/>
    <mergeCell ref="N239:O239"/>
    <mergeCell ref="A234:L234"/>
    <mergeCell ref="M234:N234"/>
    <mergeCell ref="O234:P234"/>
    <mergeCell ref="R234:T234"/>
    <mergeCell ref="A235:L235"/>
    <mergeCell ref="M235:N235"/>
    <mergeCell ref="O235:P235"/>
    <mergeCell ref="R235:T235"/>
    <mergeCell ref="A232:L232"/>
    <mergeCell ref="M232:N232"/>
    <mergeCell ref="O232:P232"/>
    <mergeCell ref="R232:T232"/>
    <mergeCell ref="A233:L233"/>
    <mergeCell ref="M233:N233"/>
    <mergeCell ref="O233:P233"/>
    <mergeCell ref="R233:T233"/>
    <mergeCell ref="A242:D242"/>
    <mergeCell ref="E242:F242"/>
    <mergeCell ref="I242:J242"/>
    <mergeCell ref="L242:M242"/>
    <mergeCell ref="N242:O242"/>
    <mergeCell ref="A243:D243"/>
    <mergeCell ref="E243:F243"/>
    <mergeCell ref="I243:J243"/>
    <mergeCell ref="L243:M243"/>
    <mergeCell ref="N243:O243"/>
    <mergeCell ref="A240:D240"/>
    <mergeCell ref="E240:F240"/>
    <mergeCell ref="I240:J240"/>
    <mergeCell ref="L240:M240"/>
    <mergeCell ref="N240:O240"/>
    <mergeCell ref="A241:D241"/>
    <mergeCell ref="E241:F241"/>
    <mergeCell ref="I241:J241"/>
    <mergeCell ref="L241:M241"/>
    <mergeCell ref="N241:O241"/>
    <mergeCell ref="A248:S248"/>
    <mergeCell ref="A249:S249"/>
    <mergeCell ref="A251:S251"/>
    <mergeCell ref="A252:S252"/>
    <mergeCell ref="A254:S254"/>
    <mergeCell ref="A255:S255"/>
    <mergeCell ref="A246:D246"/>
    <mergeCell ref="E246:F246"/>
    <mergeCell ref="I246:J246"/>
    <mergeCell ref="L246:M246"/>
    <mergeCell ref="N246:O246"/>
    <mergeCell ref="A247:S247"/>
    <mergeCell ref="A244:D244"/>
    <mergeCell ref="E244:F244"/>
    <mergeCell ref="I244:J244"/>
    <mergeCell ref="L244:M244"/>
    <mergeCell ref="N244:O244"/>
    <mergeCell ref="A245:D245"/>
    <mergeCell ref="E245:F245"/>
    <mergeCell ref="I245:J245"/>
    <mergeCell ref="L245:M245"/>
    <mergeCell ref="N245:O245"/>
    <mergeCell ref="A267:L269"/>
    <mergeCell ref="M267:T267"/>
    <mergeCell ref="M268:P268"/>
    <mergeCell ref="Q268:T268"/>
    <mergeCell ref="M269:N269"/>
    <mergeCell ref="O269:P269"/>
    <mergeCell ref="R269:T269"/>
    <mergeCell ref="A264:E264"/>
    <mergeCell ref="F264:T265"/>
    <mergeCell ref="A266:L266"/>
    <mergeCell ref="M266:N266"/>
    <mergeCell ref="O266:P266"/>
    <mergeCell ref="R266:T266"/>
    <mergeCell ref="J258:T258"/>
    <mergeCell ref="B260:R260"/>
    <mergeCell ref="A262:C262"/>
    <mergeCell ref="D262:T262"/>
    <mergeCell ref="A263:B263"/>
    <mergeCell ref="C263:T263"/>
    <mergeCell ref="A274:T274"/>
    <mergeCell ref="A276:N276"/>
    <mergeCell ref="A277:D277"/>
    <mergeCell ref="E277:F277"/>
    <mergeCell ref="I277:J277"/>
    <mergeCell ref="L277:M277"/>
    <mergeCell ref="N277:O277"/>
    <mergeCell ref="A272:L272"/>
    <mergeCell ref="M272:N272"/>
    <mergeCell ref="O272:P272"/>
    <mergeCell ref="R272:T272"/>
    <mergeCell ref="A273:L273"/>
    <mergeCell ref="M273:N273"/>
    <mergeCell ref="O273:P273"/>
    <mergeCell ref="R273:T273"/>
    <mergeCell ref="A270:L270"/>
    <mergeCell ref="M270:N270"/>
    <mergeCell ref="O270:P270"/>
    <mergeCell ref="R270:T270"/>
    <mergeCell ref="A271:L271"/>
    <mergeCell ref="M271:N271"/>
    <mergeCell ref="O271:P271"/>
    <mergeCell ref="R271:T271"/>
    <mergeCell ref="A280:D280"/>
    <mergeCell ref="E280:F280"/>
    <mergeCell ref="I280:J280"/>
    <mergeCell ref="L280:M280"/>
    <mergeCell ref="N280:O280"/>
    <mergeCell ref="A281:D281"/>
    <mergeCell ref="E281:F281"/>
    <mergeCell ref="I281:J281"/>
    <mergeCell ref="L281:M281"/>
    <mergeCell ref="N281:O281"/>
    <mergeCell ref="A278:D278"/>
    <mergeCell ref="E278:F278"/>
    <mergeCell ref="I278:J278"/>
    <mergeCell ref="L278:M278"/>
    <mergeCell ref="N278:O278"/>
    <mergeCell ref="A279:D279"/>
    <mergeCell ref="E279:F279"/>
    <mergeCell ref="I279:J279"/>
    <mergeCell ref="L279:M279"/>
    <mergeCell ref="N279:O279"/>
    <mergeCell ref="A286:S286"/>
    <mergeCell ref="A287:S287"/>
    <mergeCell ref="A290:S290"/>
    <mergeCell ref="A291:S291"/>
    <mergeCell ref="A292:S292"/>
    <mergeCell ref="A288:S288"/>
    <mergeCell ref="A289:S289"/>
    <mergeCell ref="A284:D284"/>
    <mergeCell ref="E284:F284"/>
    <mergeCell ref="I284:J284"/>
    <mergeCell ref="L284:M284"/>
    <mergeCell ref="N284:O284"/>
    <mergeCell ref="A285:S285"/>
    <mergeCell ref="A282:D282"/>
    <mergeCell ref="E282:F282"/>
    <mergeCell ref="I282:J282"/>
    <mergeCell ref="L282:M282"/>
    <mergeCell ref="N282:O282"/>
    <mergeCell ref="A283:D283"/>
    <mergeCell ref="E283:F283"/>
    <mergeCell ref="I283:J283"/>
    <mergeCell ref="L283:M283"/>
    <mergeCell ref="N283:O283"/>
    <mergeCell ref="A304:L306"/>
    <mergeCell ref="M304:T304"/>
    <mergeCell ref="M305:P305"/>
    <mergeCell ref="Q305:T305"/>
    <mergeCell ref="M306:N306"/>
    <mergeCell ref="O306:P306"/>
    <mergeCell ref="R306:T306"/>
    <mergeCell ref="A301:E301"/>
    <mergeCell ref="F301:T302"/>
    <mergeCell ref="A303:L303"/>
    <mergeCell ref="M303:N303"/>
    <mergeCell ref="O303:P303"/>
    <mergeCell ref="R303:T303"/>
    <mergeCell ref="J295:T295"/>
    <mergeCell ref="B297:R297"/>
    <mergeCell ref="A299:C299"/>
    <mergeCell ref="D299:T299"/>
    <mergeCell ref="A300:B300"/>
    <mergeCell ref="C300:T300"/>
    <mergeCell ref="A311:L311"/>
    <mergeCell ref="M311:N311"/>
    <mergeCell ref="O311:P311"/>
    <mergeCell ref="R311:T311"/>
    <mergeCell ref="A312:L312"/>
    <mergeCell ref="M312:N312"/>
    <mergeCell ref="O312:P312"/>
    <mergeCell ref="R312:T312"/>
    <mergeCell ref="A309:L309"/>
    <mergeCell ref="M309:N309"/>
    <mergeCell ref="O309:P309"/>
    <mergeCell ref="R309:T309"/>
    <mergeCell ref="A310:L310"/>
    <mergeCell ref="M310:N310"/>
    <mergeCell ref="O310:P310"/>
    <mergeCell ref="R310:T310"/>
    <mergeCell ref="A307:L307"/>
    <mergeCell ref="M307:N307"/>
    <mergeCell ref="O307:P307"/>
    <mergeCell ref="R307:T307"/>
    <mergeCell ref="A308:L308"/>
    <mergeCell ref="M308:N308"/>
    <mergeCell ref="O308:P308"/>
    <mergeCell ref="R308:T308"/>
    <mergeCell ref="A317:L317"/>
    <mergeCell ref="M317:N317"/>
    <mergeCell ref="O317:P317"/>
    <mergeCell ref="R317:T317"/>
    <mergeCell ref="A318:L318"/>
    <mergeCell ref="M318:N318"/>
    <mergeCell ref="O318:P318"/>
    <mergeCell ref="R318:T318"/>
    <mergeCell ref="A315:L315"/>
    <mergeCell ref="M315:N315"/>
    <mergeCell ref="O315:P315"/>
    <mergeCell ref="R315:T315"/>
    <mergeCell ref="A316:L316"/>
    <mergeCell ref="M316:N316"/>
    <mergeCell ref="O316:P316"/>
    <mergeCell ref="R316:T316"/>
    <mergeCell ref="A313:L313"/>
    <mergeCell ref="M313:N313"/>
    <mergeCell ref="O313:P313"/>
    <mergeCell ref="R313:T313"/>
    <mergeCell ref="A314:L314"/>
    <mergeCell ref="M314:N314"/>
    <mergeCell ref="O314:P314"/>
    <mergeCell ref="R314:T314"/>
    <mergeCell ref="A323:L323"/>
    <mergeCell ref="M323:N323"/>
    <mergeCell ref="O323:P323"/>
    <mergeCell ref="R323:T323"/>
    <mergeCell ref="A324:L324"/>
    <mergeCell ref="M324:N324"/>
    <mergeCell ref="O324:P324"/>
    <mergeCell ref="R324:T324"/>
    <mergeCell ref="A321:L321"/>
    <mergeCell ref="M321:N321"/>
    <mergeCell ref="O321:P321"/>
    <mergeCell ref="R321:T321"/>
    <mergeCell ref="A322:L322"/>
    <mergeCell ref="M322:N322"/>
    <mergeCell ref="O322:P322"/>
    <mergeCell ref="R322:T322"/>
    <mergeCell ref="A319:L319"/>
    <mergeCell ref="M319:N319"/>
    <mergeCell ref="O319:P319"/>
    <mergeCell ref="R319:T319"/>
    <mergeCell ref="A320:L320"/>
    <mergeCell ref="M320:N320"/>
    <mergeCell ref="O320:P320"/>
    <mergeCell ref="R320:T320"/>
    <mergeCell ref="A329:D329"/>
    <mergeCell ref="E329:F329"/>
    <mergeCell ref="I329:J329"/>
    <mergeCell ref="L329:M329"/>
    <mergeCell ref="N329:O329"/>
    <mergeCell ref="A330:D330"/>
    <mergeCell ref="E330:F330"/>
    <mergeCell ref="I330:J330"/>
    <mergeCell ref="L330:M330"/>
    <mergeCell ref="N330:O330"/>
    <mergeCell ref="A325:T325"/>
    <mergeCell ref="A327:N327"/>
    <mergeCell ref="A328:D328"/>
    <mergeCell ref="E328:F328"/>
    <mergeCell ref="I328:J328"/>
    <mergeCell ref="L328:M328"/>
    <mergeCell ref="N328:O328"/>
    <mergeCell ref="A333:D333"/>
    <mergeCell ref="E333:F333"/>
    <mergeCell ref="I333:J333"/>
    <mergeCell ref="L333:M333"/>
    <mergeCell ref="N333:O333"/>
    <mergeCell ref="A334:D334"/>
    <mergeCell ref="E334:F334"/>
    <mergeCell ref="I334:J334"/>
    <mergeCell ref="L334:M334"/>
    <mergeCell ref="N334:O334"/>
    <mergeCell ref="A331:D331"/>
    <mergeCell ref="E331:F331"/>
    <mergeCell ref="I331:J331"/>
    <mergeCell ref="L331:M331"/>
    <mergeCell ref="N331:O331"/>
    <mergeCell ref="A332:D332"/>
    <mergeCell ref="E332:F332"/>
    <mergeCell ref="I332:J332"/>
    <mergeCell ref="L332:M332"/>
    <mergeCell ref="N332:O332"/>
    <mergeCell ref="A343:S343"/>
    <mergeCell ref="A344:S344"/>
    <mergeCell ref="J348:T348"/>
    <mergeCell ref="B350:R350"/>
    <mergeCell ref="A352:C352"/>
    <mergeCell ref="D352:T352"/>
    <mergeCell ref="A337:S337"/>
    <mergeCell ref="A338:S338"/>
    <mergeCell ref="A339:S339"/>
    <mergeCell ref="A340:S340"/>
    <mergeCell ref="A341:S341"/>
    <mergeCell ref="A342:S342"/>
    <mergeCell ref="A335:D335"/>
    <mergeCell ref="E335:F335"/>
    <mergeCell ref="I335:J335"/>
    <mergeCell ref="L335:M335"/>
    <mergeCell ref="N335:O335"/>
    <mergeCell ref="A336:S336"/>
    <mergeCell ref="A360:L360"/>
    <mergeCell ref="M360:N360"/>
    <mergeCell ref="O360:P360"/>
    <mergeCell ref="R360:T360"/>
    <mergeCell ref="A361:L361"/>
    <mergeCell ref="M361:N361"/>
    <mergeCell ref="O361:P361"/>
    <mergeCell ref="R361:T361"/>
    <mergeCell ref="A357:L359"/>
    <mergeCell ref="M357:T357"/>
    <mergeCell ref="M358:P358"/>
    <mergeCell ref="Q358:T358"/>
    <mergeCell ref="M359:N359"/>
    <mergeCell ref="O359:P359"/>
    <mergeCell ref="R359:T359"/>
    <mergeCell ref="A353:B353"/>
    <mergeCell ref="C353:T353"/>
    <mergeCell ref="A354:E354"/>
    <mergeCell ref="F354:T355"/>
    <mergeCell ref="A356:L356"/>
    <mergeCell ref="M356:N356"/>
    <mergeCell ref="O356:P356"/>
    <mergeCell ref="R356:T356"/>
    <mergeCell ref="A366:L366"/>
    <mergeCell ref="M366:N366"/>
    <mergeCell ref="O366:P366"/>
    <mergeCell ref="R366:T366"/>
    <mergeCell ref="A367:L367"/>
    <mergeCell ref="M367:N367"/>
    <mergeCell ref="O367:P367"/>
    <mergeCell ref="R367:T367"/>
    <mergeCell ref="A364:L364"/>
    <mergeCell ref="M364:N364"/>
    <mergeCell ref="O364:P364"/>
    <mergeCell ref="R364:T364"/>
    <mergeCell ref="A365:L365"/>
    <mergeCell ref="M365:N365"/>
    <mergeCell ref="O365:P365"/>
    <mergeCell ref="R365:T365"/>
    <mergeCell ref="A362:L362"/>
    <mergeCell ref="M362:N362"/>
    <mergeCell ref="O362:P362"/>
    <mergeCell ref="R362:T362"/>
    <mergeCell ref="A363:L363"/>
    <mergeCell ref="M363:N363"/>
    <mergeCell ref="O363:P363"/>
    <mergeCell ref="R363:T363"/>
    <mergeCell ref="A372:L372"/>
    <mergeCell ref="M372:N372"/>
    <mergeCell ref="O372:P372"/>
    <mergeCell ref="R372:T372"/>
    <mergeCell ref="A373:L373"/>
    <mergeCell ref="M373:N373"/>
    <mergeCell ref="O373:P373"/>
    <mergeCell ref="R373:T373"/>
    <mergeCell ref="A370:L370"/>
    <mergeCell ref="M370:N370"/>
    <mergeCell ref="O370:P370"/>
    <mergeCell ref="R370:T370"/>
    <mergeCell ref="A371:L371"/>
    <mergeCell ref="M371:N371"/>
    <mergeCell ref="O371:P371"/>
    <mergeCell ref="R371:T371"/>
    <mergeCell ref="A368:L368"/>
    <mergeCell ref="M368:N368"/>
    <mergeCell ref="O368:P368"/>
    <mergeCell ref="R368:T368"/>
    <mergeCell ref="A369:L369"/>
    <mergeCell ref="M369:N369"/>
    <mergeCell ref="O369:P369"/>
    <mergeCell ref="R369:T369"/>
    <mergeCell ref="A378:D378"/>
    <mergeCell ref="E378:F378"/>
    <mergeCell ref="I378:J378"/>
    <mergeCell ref="L378:M378"/>
    <mergeCell ref="N378:O378"/>
    <mergeCell ref="A379:D379"/>
    <mergeCell ref="E379:F379"/>
    <mergeCell ref="I379:J379"/>
    <mergeCell ref="L379:M379"/>
    <mergeCell ref="N379:O379"/>
    <mergeCell ref="A374:T374"/>
    <mergeCell ref="A376:N376"/>
    <mergeCell ref="A377:D377"/>
    <mergeCell ref="E377:F377"/>
    <mergeCell ref="I377:J377"/>
    <mergeCell ref="L377:M377"/>
    <mergeCell ref="N377:O377"/>
    <mergeCell ref="A384:D384"/>
    <mergeCell ref="E384:F384"/>
    <mergeCell ref="I384:J384"/>
    <mergeCell ref="L384:M384"/>
    <mergeCell ref="N384:O384"/>
    <mergeCell ref="A385:S385"/>
    <mergeCell ref="A382:D382"/>
    <mergeCell ref="E382:F382"/>
    <mergeCell ref="I382:J382"/>
    <mergeCell ref="L382:M382"/>
    <mergeCell ref="N382:O382"/>
    <mergeCell ref="A383:D383"/>
    <mergeCell ref="E383:F383"/>
    <mergeCell ref="I383:J383"/>
    <mergeCell ref="L383:M383"/>
    <mergeCell ref="N383:O383"/>
    <mergeCell ref="A380:D380"/>
    <mergeCell ref="E380:F380"/>
    <mergeCell ref="I380:J380"/>
    <mergeCell ref="L380:M380"/>
    <mergeCell ref="N380:O380"/>
    <mergeCell ref="A381:D381"/>
    <mergeCell ref="E381:F381"/>
    <mergeCell ref="I381:J381"/>
    <mergeCell ref="L381:M381"/>
    <mergeCell ref="N381:O381"/>
    <mergeCell ref="A401:E401"/>
    <mergeCell ref="F401:T402"/>
    <mergeCell ref="A403:L403"/>
    <mergeCell ref="M403:N403"/>
    <mergeCell ref="O403:P403"/>
    <mergeCell ref="R403:T403"/>
    <mergeCell ref="J395:T395"/>
    <mergeCell ref="B397:R397"/>
    <mergeCell ref="A399:C399"/>
    <mergeCell ref="D399:T399"/>
    <mergeCell ref="A400:B400"/>
    <mergeCell ref="C400:T400"/>
    <mergeCell ref="A386:S386"/>
    <mergeCell ref="A387:S387"/>
    <mergeCell ref="A390:S390"/>
    <mergeCell ref="A391:S391"/>
    <mergeCell ref="A392:S392"/>
    <mergeCell ref="A388:S388"/>
    <mergeCell ref="A389:S389"/>
    <mergeCell ref="A409:L409"/>
    <mergeCell ref="M409:N409"/>
    <mergeCell ref="O409:P409"/>
    <mergeCell ref="R409:T409"/>
    <mergeCell ref="A410:L410"/>
    <mergeCell ref="M410:N410"/>
    <mergeCell ref="O410:P410"/>
    <mergeCell ref="R410:T410"/>
    <mergeCell ref="A407:L407"/>
    <mergeCell ref="M407:N407"/>
    <mergeCell ref="O407:P407"/>
    <mergeCell ref="R407:T407"/>
    <mergeCell ref="A408:L408"/>
    <mergeCell ref="M408:N408"/>
    <mergeCell ref="O408:P408"/>
    <mergeCell ref="R408:T408"/>
    <mergeCell ref="A404:L406"/>
    <mergeCell ref="M404:T404"/>
    <mergeCell ref="M405:P405"/>
    <mergeCell ref="Q405:T405"/>
    <mergeCell ref="M406:N406"/>
    <mergeCell ref="O406:P406"/>
    <mergeCell ref="R406:T406"/>
    <mergeCell ref="A415:D415"/>
    <mergeCell ref="E415:F415"/>
    <mergeCell ref="I415:J415"/>
    <mergeCell ref="L415:M415"/>
    <mergeCell ref="N415:O415"/>
    <mergeCell ref="A416:D416"/>
    <mergeCell ref="E416:F416"/>
    <mergeCell ref="I416:J416"/>
    <mergeCell ref="L416:M416"/>
    <mergeCell ref="N416:O416"/>
    <mergeCell ref="A411:T411"/>
    <mergeCell ref="A413:N413"/>
    <mergeCell ref="A414:D414"/>
    <mergeCell ref="E414:F414"/>
    <mergeCell ref="I414:J414"/>
    <mergeCell ref="L414:M414"/>
    <mergeCell ref="N414:O414"/>
    <mergeCell ref="A419:D419"/>
    <mergeCell ref="E419:F419"/>
    <mergeCell ref="I419:J419"/>
    <mergeCell ref="L419:M419"/>
    <mergeCell ref="N419:O419"/>
    <mergeCell ref="A420:D420"/>
    <mergeCell ref="E420:F420"/>
    <mergeCell ref="I420:J420"/>
    <mergeCell ref="L420:M420"/>
    <mergeCell ref="N420:O420"/>
    <mergeCell ref="A417:D417"/>
    <mergeCell ref="E417:F417"/>
    <mergeCell ref="I417:J417"/>
    <mergeCell ref="L417:M417"/>
    <mergeCell ref="N417:O417"/>
    <mergeCell ref="A418:D418"/>
    <mergeCell ref="E418:F418"/>
    <mergeCell ref="I418:J418"/>
    <mergeCell ref="L418:M418"/>
    <mergeCell ref="N418:O418"/>
    <mergeCell ref="J431:T431"/>
    <mergeCell ref="B433:R433"/>
    <mergeCell ref="A435:C435"/>
    <mergeCell ref="D435:T435"/>
    <mergeCell ref="A436:B436"/>
    <mergeCell ref="C436:T436"/>
    <mergeCell ref="A423:S423"/>
    <mergeCell ref="A424:S424"/>
    <mergeCell ref="A427:S427"/>
    <mergeCell ref="A428:S428"/>
    <mergeCell ref="A429:S429"/>
    <mergeCell ref="A425:S425"/>
    <mergeCell ref="A426:S426"/>
    <mergeCell ref="A421:D421"/>
    <mergeCell ref="E421:F421"/>
    <mergeCell ref="I421:J421"/>
    <mergeCell ref="L421:M421"/>
    <mergeCell ref="N421:O421"/>
    <mergeCell ref="A422:S422"/>
    <mergeCell ref="A443:L443"/>
    <mergeCell ref="M443:N443"/>
    <mergeCell ref="O443:P443"/>
    <mergeCell ref="R443:T443"/>
    <mergeCell ref="A444:L444"/>
    <mergeCell ref="M444:N444"/>
    <mergeCell ref="O444:P444"/>
    <mergeCell ref="R444:T444"/>
    <mergeCell ref="A440:L442"/>
    <mergeCell ref="M440:T440"/>
    <mergeCell ref="M441:P441"/>
    <mergeCell ref="Q441:T441"/>
    <mergeCell ref="M442:N442"/>
    <mergeCell ref="O442:P442"/>
    <mergeCell ref="R442:T442"/>
    <mergeCell ref="A437:E437"/>
    <mergeCell ref="F437:T438"/>
    <mergeCell ref="A439:L439"/>
    <mergeCell ref="M439:N439"/>
    <mergeCell ref="O439:P439"/>
    <mergeCell ref="R439:T439"/>
    <mergeCell ref="A451:D451"/>
    <mergeCell ref="E451:F451"/>
    <mergeCell ref="I451:J451"/>
    <mergeCell ref="L451:M451"/>
    <mergeCell ref="N451:O451"/>
    <mergeCell ref="A452:D452"/>
    <mergeCell ref="E452:F452"/>
    <mergeCell ref="I452:J452"/>
    <mergeCell ref="L452:M452"/>
    <mergeCell ref="N452:O452"/>
    <mergeCell ref="A447:L447"/>
    <mergeCell ref="M447:N447"/>
    <mergeCell ref="O447:P447"/>
    <mergeCell ref="R447:T447"/>
    <mergeCell ref="A448:T448"/>
    <mergeCell ref="A450:N450"/>
    <mergeCell ref="A445:L445"/>
    <mergeCell ref="M445:N445"/>
    <mergeCell ref="O445:P445"/>
    <mergeCell ref="R445:T445"/>
    <mergeCell ref="A446:L446"/>
    <mergeCell ref="M446:N446"/>
    <mergeCell ref="O446:P446"/>
    <mergeCell ref="R446:T446"/>
    <mergeCell ref="A455:D455"/>
    <mergeCell ref="E455:F455"/>
    <mergeCell ref="I455:J455"/>
    <mergeCell ref="L455:M455"/>
    <mergeCell ref="N455:O455"/>
    <mergeCell ref="A456:D456"/>
    <mergeCell ref="E456:F456"/>
    <mergeCell ref="I456:J456"/>
    <mergeCell ref="L456:M456"/>
    <mergeCell ref="N456:O456"/>
    <mergeCell ref="A453:D453"/>
    <mergeCell ref="E453:F453"/>
    <mergeCell ref="I453:J453"/>
    <mergeCell ref="L453:M453"/>
    <mergeCell ref="N453:O453"/>
    <mergeCell ref="A454:D454"/>
    <mergeCell ref="E454:F454"/>
    <mergeCell ref="I454:J454"/>
    <mergeCell ref="L454:M454"/>
    <mergeCell ref="N454:O454"/>
    <mergeCell ref="J468:T468"/>
    <mergeCell ref="B470:R470"/>
    <mergeCell ref="A472:C472"/>
    <mergeCell ref="D472:T472"/>
    <mergeCell ref="A473:B473"/>
    <mergeCell ref="C473:T473"/>
    <mergeCell ref="A459:S459"/>
    <mergeCell ref="A460:S460"/>
    <mergeCell ref="A461:S461"/>
    <mergeCell ref="A464:S464"/>
    <mergeCell ref="A465:S465"/>
    <mergeCell ref="A466:S466"/>
    <mergeCell ref="A462:S462"/>
    <mergeCell ref="A463:S463"/>
    <mergeCell ref="A457:D457"/>
    <mergeCell ref="E457:F457"/>
    <mergeCell ref="I457:J457"/>
    <mergeCell ref="L457:M457"/>
    <mergeCell ref="N457:O457"/>
    <mergeCell ref="A458:D458"/>
    <mergeCell ref="E458:F458"/>
    <mergeCell ref="I458:J458"/>
    <mergeCell ref="L458:M458"/>
    <mergeCell ref="N458:O458"/>
    <mergeCell ref="A480:L480"/>
    <mergeCell ref="M480:N480"/>
    <mergeCell ref="O480:P480"/>
    <mergeCell ref="R480:T480"/>
    <mergeCell ref="A481:L481"/>
    <mergeCell ref="M481:N481"/>
    <mergeCell ref="O481:P481"/>
    <mergeCell ref="R481:T481"/>
    <mergeCell ref="A477:L479"/>
    <mergeCell ref="M477:T477"/>
    <mergeCell ref="M478:P478"/>
    <mergeCell ref="Q478:T478"/>
    <mergeCell ref="M479:N479"/>
    <mergeCell ref="O479:P479"/>
    <mergeCell ref="R479:T479"/>
    <mergeCell ref="A474:E474"/>
    <mergeCell ref="F474:T474"/>
    <mergeCell ref="A476:L476"/>
    <mergeCell ref="M476:N476"/>
    <mergeCell ref="O476:P476"/>
    <mergeCell ref="R476:T476"/>
    <mergeCell ref="A486:T486"/>
    <mergeCell ref="A488:N488"/>
    <mergeCell ref="A489:D489"/>
    <mergeCell ref="E489:F489"/>
    <mergeCell ref="I489:J489"/>
    <mergeCell ref="L489:M489"/>
    <mergeCell ref="N489:O489"/>
    <mergeCell ref="A484:L484"/>
    <mergeCell ref="M484:N484"/>
    <mergeCell ref="O484:P484"/>
    <mergeCell ref="R484:T484"/>
    <mergeCell ref="A485:L485"/>
    <mergeCell ref="M485:N485"/>
    <mergeCell ref="O485:P485"/>
    <mergeCell ref="R485:T485"/>
    <mergeCell ref="A482:L482"/>
    <mergeCell ref="M482:N482"/>
    <mergeCell ref="O482:P482"/>
    <mergeCell ref="R482:T482"/>
    <mergeCell ref="A483:L483"/>
    <mergeCell ref="M483:N483"/>
    <mergeCell ref="O483:P483"/>
    <mergeCell ref="R483:T483"/>
    <mergeCell ref="A492:D492"/>
    <mergeCell ref="E492:F492"/>
    <mergeCell ref="I492:J492"/>
    <mergeCell ref="L492:M492"/>
    <mergeCell ref="N492:O492"/>
    <mergeCell ref="A493:D493"/>
    <mergeCell ref="E493:F493"/>
    <mergeCell ref="I493:J493"/>
    <mergeCell ref="L493:M493"/>
    <mergeCell ref="N493:O493"/>
    <mergeCell ref="A490:D490"/>
    <mergeCell ref="E490:F490"/>
    <mergeCell ref="I490:J490"/>
    <mergeCell ref="L490:M490"/>
    <mergeCell ref="N490:O490"/>
    <mergeCell ref="A491:D491"/>
    <mergeCell ref="E491:F491"/>
    <mergeCell ref="I491:J491"/>
    <mergeCell ref="L491:M491"/>
    <mergeCell ref="N491:O491"/>
    <mergeCell ref="A498:S498"/>
    <mergeCell ref="A499:S499"/>
    <mergeCell ref="A500:S500"/>
    <mergeCell ref="A501:S501"/>
    <mergeCell ref="A502:S502"/>
    <mergeCell ref="A503:S503"/>
    <mergeCell ref="A496:D496"/>
    <mergeCell ref="E496:F496"/>
    <mergeCell ref="I496:J496"/>
    <mergeCell ref="L496:M496"/>
    <mergeCell ref="N496:O496"/>
    <mergeCell ref="A497:S497"/>
    <mergeCell ref="A494:D494"/>
    <mergeCell ref="E494:F494"/>
    <mergeCell ref="I494:J494"/>
    <mergeCell ref="L494:M494"/>
    <mergeCell ref="N494:O494"/>
    <mergeCell ref="A495:D495"/>
    <mergeCell ref="E495:F495"/>
    <mergeCell ref="I495:J495"/>
    <mergeCell ref="L495:M495"/>
    <mergeCell ref="N495:O495"/>
    <mergeCell ref="A516:L518"/>
    <mergeCell ref="M516:T516"/>
    <mergeCell ref="M517:P517"/>
    <mergeCell ref="Q517:T517"/>
    <mergeCell ref="M518:N518"/>
    <mergeCell ref="O518:P518"/>
    <mergeCell ref="R518:T518"/>
    <mergeCell ref="A512:B512"/>
    <mergeCell ref="C512:T512"/>
    <mergeCell ref="A513:E513"/>
    <mergeCell ref="F513:T514"/>
    <mergeCell ref="A515:L515"/>
    <mergeCell ref="M515:N515"/>
    <mergeCell ref="O515:P515"/>
    <mergeCell ref="R515:T515"/>
    <mergeCell ref="A504:S504"/>
    <mergeCell ref="A505:S505"/>
    <mergeCell ref="J507:T507"/>
    <mergeCell ref="B509:R509"/>
    <mergeCell ref="A511:C511"/>
    <mergeCell ref="D511:T511"/>
    <mergeCell ref="A523:L523"/>
    <mergeCell ref="M523:N523"/>
    <mergeCell ref="O523:P523"/>
    <mergeCell ref="R523:T523"/>
    <mergeCell ref="A524:T524"/>
    <mergeCell ref="A526:N526"/>
    <mergeCell ref="A521:L521"/>
    <mergeCell ref="M521:N521"/>
    <mergeCell ref="O521:P521"/>
    <mergeCell ref="R521:T521"/>
    <mergeCell ref="A522:L522"/>
    <mergeCell ref="M522:N522"/>
    <mergeCell ref="O522:P522"/>
    <mergeCell ref="R522:T522"/>
    <mergeCell ref="A519:L519"/>
    <mergeCell ref="M519:N519"/>
    <mergeCell ref="O519:P519"/>
    <mergeCell ref="R519:T519"/>
    <mergeCell ref="A520:L520"/>
    <mergeCell ref="M520:N520"/>
    <mergeCell ref="O520:P520"/>
    <mergeCell ref="R520:T520"/>
    <mergeCell ref="A529:D529"/>
    <mergeCell ref="E529:F529"/>
    <mergeCell ref="I529:J529"/>
    <mergeCell ref="L529:M529"/>
    <mergeCell ref="N529:O529"/>
    <mergeCell ref="A530:D530"/>
    <mergeCell ref="E530:F530"/>
    <mergeCell ref="I530:J530"/>
    <mergeCell ref="L530:M530"/>
    <mergeCell ref="N530:O530"/>
    <mergeCell ref="A527:D527"/>
    <mergeCell ref="E527:F527"/>
    <mergeCell ref="I527:J527"/>
    <mergeCell ref="L527:M527"/>
    <mergeCell ref="N527:O527"/>
    <mergeCell ref="A528:D528"/>
    <mergeCell ref="E528:F528"/>
    <mergeCell ref="I528:J528"/>
    <mergeCell ref="L528:M528"/>
    <mergeCell ref="N528:O528"/>
    <mergeCell ref="A533:D533"/>
    <mergeCell ref="E533:F533"/>
    <mergeCell ref="I533:J533"/>
    <mergeCell ref="L533:M533"/>
    <mergeCell ref="N533:O533"/>
    <mergeCell ref="A534:D534"/>
    <mergeCell ref="E534:F534"/>
    <mergeCell ref="I534:J534"/>
    <mergeCell ref="L534:M534"/>
    <mergeCell ref="N534:O534"/>
    <mergeCell ref="A531:D531"/>
    <mergeCell ref="E531:F531"/>
    <mergeCell ref="I531:J531"/>
    <mergeCell ref="L531:M531"/>
    <mergeCell ref="N531:O531"/>
    <mergeCell ref="A532:D532"/>
    <mergeCell ref="E532:F532"/>
    <mergeCell ref="I532:J532"/>
    <mergeCell ref="L532:M532"/>
    <mergeCell ref="N532:O532"/>
    <mergeCell ref="A550:B550"/>
    <mergeCell ref="C550:T550"/>
    <mergeCell ref="A551:E551"/>
    <mergeCell ref="F551:T552"/>
    <mergeCell ref="A553:L553"/>
    <mergeCell ref="M553:N553"/>
    <mergeCell ref="O553:P553"/>
    <mergeCell ref="R553:T553"/>
    <mergeCell ref="A541:S541"/>
    <mergeCell ref="A542:S542"/>
    <mergeCell ref="A543:S543"/>
    <mergeCell ref="J545:T545"/>
    <mergeCell ref="B547:R547"/>
    <mergeCell ref="A549:C549"/>
    <mergeCell ref="D549:T549"/>
    <mergeCell ref="A535:S535"/>
    <mergeCell ref="A536:S536"/>
    <mergeCell ref="A537:S537"/>
    <mergeCell ref="A538:S538"/>
    <mergeCell ref="A539:S539"/>
    <mergeCell ref="A540:S540"/>
    <mergeCell ref="A559:L559"/>
    <mergeCell ref="M559:N559"/>
    <mergeCell ref="O559:P559"/>
    <mergeCell ref="R559:T559"/>
    <mergeCell ref="A560:T560"/>
    <mergeCell ref="A562:N562"/>
    <mergeCell ref="A557:L557"/>
    <mergeCell ref="M557:N557"/>
    <mergeCell ref="O557:P557"/>
    <mergeCell ref="R557:T557"/>
    <mergeCell ref="A558:L558"/>
    <mergeCell ref="M558:N558"/>
    <mergeCell ref="O558:P558"/>
    <mergeCell ref="R558:T558"/>
    <mergeCell ref="A554:L556"/>
    <mergeCell ref="M554:T554"/>
    <mergeCell ref="M555:P555"/>
    <mergeCell ref="Q555:T555"/>
    <mergeCell ref="M556:N556"/>
    <mergeCell ref="O556:P556"/>
    <mergeCell ref="R556:T556"/>
    <mergeCell ref="A565:D565"/>
    <mergeCell ref="E565:F565"/>
    <mergeCell ref="I565:J565"/>
    <mergeCell ref="L565:M565"/>
    <mergeCell ref="N565:O565"/>
    <mergeCell ref="A566:D566"/>
    <mergeCell ref="E566:F566"/>
    <mergeCell ref="I566:J566"/>
    <mergeCell ref="L566:M566"/>
    <mergeCell ref="N566:O566"/>
    <mergeCell ref="A563:D563"/>
    <mergeCell ref="E563:F563"/>
    <mergeCell ref="I563:J563"/>
    <mergeCell ref="L563:M563"/>
    <mergeCell ref="N563:O563"/>
    <mergeCell ref="A564:D564"/>
    <mergeCell ref="E564:F564"/>
    <mergeCell ref="I564:J564"/>
    <mergeCell ref="L564:M564"/>
    <mergeCell ref="N564:O564"/>
    <mergeCell ref="A569:D569"/>
    <mergeCell ref="E569:F569"/>
    <mergeCell ref="I569:J569"/>
    <mergeCell ref="L569:M569"/>
    <mergeCell ref="N569:O569"/>
    <mergeCell ref="A570:D570"/>
    <mergeCell ref="E570:F570"/>
    <mergeCell ref="I570:J570"/>
    <mergeCell ref="L570:M570"/>
    <mergeCell ref="N570:O570"/>
    <mergeCell ref="A567:D567"/>
    <mergeCell ref="E567:F567"/>
    <mergeCell ref="I567:J567"/>
    <mergeCell ref="L567:M567"/>
    <mergeCell ref="N567:O567"/>
    <mergeCell ref="A568:D568"/>
    <mergeCell ref="E568:F568"/>
    <mergeCell ref="I568:J568"/>
    <mergeCell ref="L568:M568"/>
    <mergeCell ref="N568:O568"/>
    <mergeCell ref="A586:B586"/>
    <mergeCell ref="C586:T586"/>
    <mergeCell ref="A587:E587"/>
    <mergeCell ref="F587:T588"/>
    <mergeCell ref="A589:L589"/>
    <mergeCell ref="M589:N589"/>
    <mergeCell ref="O589:P589"/>
    <mergeCell ref="R589:T589"/>
    <mergeCell ref="A577:S577"/>
    <mergeCell ref="A578:S578"/>
    <mergeCell ref="A579:S579"/>
    <mergeCell ref="J581:T581"/>
    <mergeCell ref="B583:R583"/>
    <mergeCell ref="A585:C585"/>
    <mergeCell ref="D585:T585"/>
    <mergeCell ref="A571:S571"/>
    <mergeCell ref="A572:S572"/>
    <mergeCell ref="A573:S573"/>
    <mergeCell ref="A574:S574"/>
    <mergeCell ref="A575:S575"/>
    <mergeCell ref="A576:S576"/>
    <mergeCell ref="A597:D597"/>
    <mergeCell ref="E597:F597"/>
    <mergeCell ref="I597:J597"/>
    <mergeCell ref="L597:M597"/>
    <mergeCell ref="N597:O597"/>
    <mergeCell ref="A598:D598"/>
    <mergeCell ref="E598:F598"/>
    <mergeCell ref="I598:J598"/>
    <mergeCell ref="L598:M598"/>
    <mergeCell ref="N598:O598"/>
    <mergeCell ref="A593:L593"/>
    <mergeCell ref="M593:N593"/>
    <mergeCell ref="O593:P593"/>
    <mergeCell ref="R593:T593"/>
    <mergeCell ref="A594:T594"/>
    <mergeCell ref="A596:N596"/>
    <mergeCell ref="A590:L592"/>
    <mergeCell ref="M590:T590"/>
    <mergeCell ref="M591:P591"/>
    <mergeCell ref="Q591:T591"/>
    <mergeCell ref="M592:N592"/>
    <mergeCell ref="O592:P592"/>
    <mergeCell ref="R592:T592"/>
    <mergeCell ref="A601:D601"/>
    <mergeCell ref="E601:F601"/>
    <mergeCell ref="I601:J601"/>
    <mergeCell ref="L601:M601"/>
    <mergeCell ref="N601:O601"/>
    <mergeCell ref="A602:D602"/>
    <mergeCell ref="E602:F602"/>
    <mergeCell ref="I602:J602"/>
    <mergeCell ref="L602:M602"/>
    <mergeCell ref="N602:O602"/>
    <mergeCell ref="A599:D599"/>
    <mergeCell ref="E599:F599"/>
    <mergeCell ref="I599:J599"/>
    <mergeCell ref="L599:M599"/>
    <mergeCell ref="N599:O599"/>
    <mergeCell ref="A600:D600"/>
    <mergeCell ref="E600:F600"/>
    <mergeCell ref="I600:J600"/>
    <mergeCell ref="L600:M600"/>
    <mergeCell ref="N600:O600"/>
    <mergeCell ref="A611:S611"/>
    <mergeCell ref="A612:S612"/>
    <mergeCell ref="A613:S613"/>
    <mergeCell ref="J616:T616"/>
    <mergeCell ref="B618:R618"/>
    <mergeCell ref="A620:C620"/>
    <mergeCell ref="D620:T620"/>
    <mergeCell ref="A605:S605"/>
    <mergeCell ref="A606:S606"/>
    <mergeCell ref="A607:S607"/>
    <mergeCell ref="A608:S608"/>
    <mergeCell ref="A609:S609"/>
    <mergeCell ref="A610:S610"/>
    <mergeCell ref="A603:D603"/>
    <mergeCell ref="E603:F603"/>
    <mergeCell ref="I603:J603"/>
    <mergeCell ref="L603:M603"/>
    <mergeCell ref="N603:O603"/>
    <mergeCell ref="A604:D604"/>
    <mergeCell ref="E604:F604"/>
    <mergeCell ref="I604:J604"/>
    <mergeCell ref="L604:M604"/>
    <mergeCell ref="N604:O604"/>
    <mergeCell ref="A628:L628"/>
    <mergeCell ref="M628:N628"/>
    <mergeCell ref="O628:P628"/>
    <mergeCell ref="R628:T628"/>
    <mergeCell ref="A629:T629"/>
    <mergeCell ref="A631:N631"/>
    <mergeCell ref="A625:L627"/>
    <mergeCell ref="M625:T625"/>
    <mergeCell ref="M626:P626"/>
    <mergeCell ref="Q626:T626"/>
    <mergeCell ref="M627:N627"/>
    <mergeCell ref="O627:P627"/>
    <mergeCell ref="R627:T627"/>
    <mergeCell ref="A621:B621"/>
    <mergeCell ref="C621:T621"/>
    <mergeCell ref="A622:E622"/>
    <mergeCell ref="F622:T623"/>
    <mergeCell ref="A624:L624"/>
    <mergeCell ref="M624:N624"/>
    <mergeCell ref="O624:P624"/>
    <mergeCell ref="R624:T624"/>
    <mergeCell ref="A634:D634"/>
    <mergeCell ref="E634:F634"/>
    <mergeCell ref="I634:J634"/>
    <mergeCell ref="L634:M634"/>
    <mergeCell ref="N634:O634"/>
    <mergeCell ref="A635:D635"/>
    <mergeCell ref="E635:F635"/>
    <mergeCell ref="I635:J635"/>
    <mergeCell ref="L635:M635"/>
    <mergeCell ref="N635:O635"/>
    <mergeCell ref="A632:D632"/>
    <mergeCell ref="E632:F632"/>
    <mergeCell ref="I632:J632"/>
    <mergeCell ref="L632:M632"/>
    <mergeCell ref="N632:O632"/>
    <mergeCell ref="A633:D633"/>
    <mergeCell ref="E633:F633"/>
    <mergeCell ref="I633:J633"/>
    <mergeCell ref="L633:M633"/>
    <mergeCell ref="N633:O633"/>
    <mergeCell ref="A638:D638"/>
    <mergeCell ref="E638:F638"/>
    <mergeCell ref="I638:J638"/>
    <mergeCell ref="L638:M638"/>
    <mergeCell ref="N638:O638"/>
    <mergeCell ref="A639:D639"/>
    <mergeCell ref="E639:F639"/>
    <mergeCell ref="I639:J639"/>
    <mergeCell ref="L639:M639"/>
    <mergeCell ref="N639:O639"/>
    <mergeCell ref="A636:D636"/>
    <mergeCell ref="E636:F636"/>
    <mergeCell ref="I636:J636"/>
    <mergeCell ref="L636:M636"/>
    <mergeCell ref="N636:O636"/>
    <mergeCell ref="A637:D637"/>
    <mergeCell ref="E637:F637"/>
    <mergeCell ref="I637:J637"/>
    <mergeCell ref="L637:M637"/>
    <mergeCell ref="N637:O637"/>
    <mergeCell ref="A655:B655"/>
    <mergeCell ref="C655:T655"/>
    <mergeCell ref="A656:E656"/>
    <mergeCell ref="F656:T656"/>
    <mergeCell ref="A658:L658"/>
    <mergeCell ref="M658:N658"/>
    <mergeCell ref="O658:P658"/>
    <mergeCell ref="R658:T658"/>
    <mergeCell ref="A646:S646"/>
    <mergeCell ref="A647:S647"/>
    <mergeCell ref="A648:S648"/>
    <mergeCell ref="J650:T650"/>
    <mergeCell ref="B652:R652"/>
    <mergeCell ref="A654:C654"/>
    <mergeCell ref="D654:T654"/>
    <mergeCell ref="A640:S640"/>
    <mergeCell ref="A641:S641"/>
    <mergeCell ref="A642:S642"/>
    <mergeCell ref="A643:S643"/>
    <mergeCell ref="A644:S644"/>
    <mergeCell ref="A645:S645"/>
    <mergeCell ref="A664:L664"/>
    <mergeCell ref="M664:N664"/>
    <mergeCell ref="O664:P664"/>
    <mergeCell ref="R664:T664"/>
    <mergeCell ref="A665:L665"/>
    <mergeCell ref="M665:N665"/>
    <mergeCell ref="O665:P665"/>
    <mergeCell ref="R665:T665"/>
    <mergeCell ref="A662:L662"/>
    <mergeCell ref="M662:N662"/>
    <mergeCell ref="O662:P662"/>
    <mergeCell ref="R662:T662"/>
    <mergeCell ref="A663:L663"/>
    <mergeCell ref="M663:N663"/>
    <mergeCell ref="O663:P663"/>
    <mergeCell ref="R663:T663"/>
    <mergeCell ref="A659:L661"/>
    <mergeCell ref="M659:T659"/>
    <mergeCell ref="M660:P660"/>
    <mergeCell ref="Q660:T660"/>
    <mergeCell ref="M661:N661"/>
    <mergeCell ref="O661:P661"/>
    <mergeCell ref="R661:T661"/>
    <mergeCell ref="A670:L670"/>
    <mergeCell ref="M670:N670"/>
    <mergeCell ref="O670:P670"/>
    <mergeCell ref="R670:T670"/>
    <mergeCell ref="A671:L671"/>
    <mergeCell ref="M671:N671"/>
    <mergeCell ref="O671:P671"/>
    <mergeCell ref="R671:T671"/>
    <mergeCell ref="A668:L668"/>
    <mergeCell ref="M668:N668"/>
    <mergeCell ref="O668:P668"/>
    <mergeCell ref="R668:T668"/>
    <mergeCell ref="A669:L669"/>
    <mergeCell ref="M669:N669"/>
    <mergeCell ref="O669:P669"/>
    <mergeCell ref="R669:T669"/>
    <mergeCell ref="A666:L666"/>
    <mergeCell ref="M666:N666"/>
    <mergeCell ref="O666:P666"/>
    <mergeCell ref="R666:T666"/>
    <mergeCell ref="A667:L667"/>
    <mergeCell ref="M667:N667"/>
    <mergeCell ref="O667:P667"/>
    <mergeCell ref="R667:T667"/>
    <mergeCell ref="A676:D676"/>
    <mergeCell ref="E676:F676"/>
    <mergeCell ref="I676:J676"/>
    <mergeCell ref="L676:M676"/>
    <mergeCell ref="N676:O676"/>
    <mergeCell ref="A677:D677"/>
    <mergeCell ref="E677:F677"/>
    <mergeCell ref="I677:J677"/>
    <mergeCell ref="L677:M677"/>
    <mergeCell ref="N677:O677"/>
    <mergeCell ref="A672:T672"/>
    <mergeCell ref="A674:N674"/>
    <mergeCell ref="A675:D675"/>
    <mergeCell ref="E675:F675"/>
    <mergeCell ref="I675:J675"/>
    <mergeCell ref="L675:M675"/>
    <mergeCell ref="N675:O675"/>
    <mergeCell ref="A680:D680"/>
    <mergeCell ref="E680:F680"/>
    <mergeCell ref="I680:J680"/>
    <mergeCell ref="L680:M680"/>
    <mergeCell ref="N680:O680"/>
    <mergeCell ref="A681:D681"/>
    <mergeCell ref="E681:F681"/>
    <mergeCell ref="I681:J681"/>
    <mergeCell ref="L681:M681"/>
    <mergeCell ref="N681:O681"/>
    <mergeCell ref="A678:D678"/>
    <mergeCell ref="E678:F678"/>
    <mergeCell ref="I678:J678"/>
    <mergeCell ref="L678:M678"/>
    <mergeCell ref="N678:O678"/>
    <mergeCell ref="A679:D679"/>
    <mergeCell ref="E679:F679"/>
    <mergeCell ref="I679:J679"/>
    <mergeCell ref="L679:M679"/>
    <mergeCell ref="N679:O679"/>
    <mergeCell ref="A690:S690"/>
    <mergeCell ref="A691:S691"/>
    <mergeCell ref="J692:T692"/>
    <mergeCell ref="B694:R694"/>
    <mergeCell ref="A696:C696"/>
    <mergeCell ref="D696:T696"/>
    <mergeCell ref="A684:S684"/>
    <mergeCell ref="A685:S685"/>
    <mergeCell ref="A686:S686"/>
    <mergeCell ref="A687:S687"/>
    <mergeCell ref="A688:S688"/>
    <mergeCell ref="A689:S689"/>
    <mergeCell ref="A682:D682"/>
    <mergeCell ref="E682:F682"/>
    <mergeCell ref="I682:J682"/>
    <mergeCell ref="L682:M682"/>
    <mergeCell ref="N682:O682"/>
    <mergeCell ref="A683:S683"/>
    <mergeCell ref="A704:L704"/>
    <mergeCell ref="M704:N704"/>
    <mergeCell ref="O704:P704"/>
    <mergeCell ref="R704:T704"/>
    <mergeCell ref="A705:L705"/>
    <mergeCell ref="M705:N705"/>
    <mergeCell ref="O705:P705"/>
    <mergeCell ref="R705:T705"/>
    <mergeCell ref="A701:L703"/>
    <mergeCell ref="M701:T701"/>
    <mergeCell ref="M702:P702"/>
    <mergeCell ref="Q702:T702"/>
    <mergeCell ref="M703:N703"/>
    <mergeCell ref="O703:P703"/>
    <mergeCell ref="R703:T703"/>
    <mergeCell ref="A697:B697"/>
    <mergeCell ref="C697:T697"/>
    <mergeCell ref="A698:E698"/>
    <mergeCell ref="F698:T699"/>
    <mergeCell ref="A700:L700"/>
    <mergeCell ref="M700:N700"/>
    <mergeCell ref="O700:P700"/>
    <mergeCell ref="R700:T700"/>
    <mergeCell ref="A710:D710"/>
    <mergeCell ref="E710:F710"/>
    <mergeCell ref="I710:J710"/>
    <mergeCell ref="L710:M710"/>
    <mergeCell ref="N710:O710"/>
    <mergeCell ref="A711:D711"/>
    <mergeCell ref="E711:F711"/>
    <mergeCell ref="I711:J711"/>
    <mergeCell ref="L711:M711"/>
    <mergeCell ref="N711:O711"/>
    <mergeCell ref="A706:T706"/>
    <mergeCell ref="A708:N708"/>
    <mergeCell ref="A709:D709"/>
    <mergeCell ref="E709:F709"/>
    <mergeCell ref="I709:J709"/>
    <mergeCell ref="L709:M709"/>
    <mergeCell ref="N709:O709"/>
    <mergeCell ref="A716:D716"/>
    <mergeCell ref="E716:F716"/>
    <mergeCell ref="I716:J716"/>
    <mergeCell ref="L716:M716"/>
    <mergeCell ref="N716:O716"/>
    <mergeCell ref="A717:S717"/>
    <mergeCell ref="A714:D714"/>
    <mergeCell ref="E714:F714"/>
    <mergeCell ref="I714:J714"/>
    <mergeCell ref="L714:M714"/>
    <mergeCell ref="N714:O714"/>
    <mergeCell ref="A715:D715"/>
    <mergeCell ref="E715:F715"/>
    <mergeCell ref="I715:J715"/>
    <mergeCell ref="L715:M715"/>
    <mergeCell ref="N715:O715"/>
    <mergeCell ref="A712:D712"/>
    <mergeCell ref="E712:F712"/>
    <mergeCell ref="I712:J712"/>
    <mergeCell ref="L712:M712"/>
    <mergeCell ref="N712:O712"/>
    <mergeCell ref="A713:D713"/>
    <mergeCell ref="E713:F713"/>
    <mergeCell ref="I713:J713"/>
    <mergeCell ref="L713:M713"/>
    <mergeCell ref="N713:O713"/>
    <mergeCell ref="A732:E732"/>
    <mergeCell ref="F732:T733"/>
    <mergeCell ref="A734:L734"/>
    <mergeCell ref="M734:N734"/>
    <mergeCell ref="O734:P734"/>
    <mergeCell ref="R734:T734"/>
    <mergeCell ref="J726:T726"/>
    <mergeCell ref="B728:R728"/>
    <mergeCell ref="A730:C730"/>
    <mergeCell ref="D730:T730"/>
    <mergeCell ref="A731:B731"/>
    <mergeCell ref="C731:T731"/>
    <mergeCell ref="A718:S718"/>
    <mergeCell ref="A719:S719"/>
    <mergeCell ref="A722:S722"/>
    <mergeCell ref="A723:S723"/>
    <mergeCell ref="A724:S724"/>
    <mergeCell ref="A720:S720"/>
    <mergeCell ref="A721:S721"/>
    <mergeCell ref="A742:D742"/>
    <mergeCell ref="E742:F742"/>
    <mergeCell ref="I742:J742"/>
    <mergeCell ref="L742:M742"/>
    <mergeCell ref="N742:O742"/>
    <mergeCell ref="A743:D743"/>
    <mergeCell ref="E743:F743"/>
    <mergeCell ref="I743:J743"/>
    <mergeCell ref="L743:M743"/>
    <mergeCell ref="N743:O743"/>
    <mergeCell ref="A738:L738"/>
    <mergeCell ref="M738:N738"/>
    <mergeCell ref="O738:P738"/>
    <mergeCell ref="R738:T738"/>
    <mergeCell ref="A739:T739"/>
    <mergeCell ref="A741:N741"/>
    <mergeCell ref="A735:L737"/>
    <mergeCell ref="M735:T735"/>
    <mergeCell ref="M736:P736"/>
    <mergeCell ref="Q736:T736"/>
    <mergeCell ref="M737:N737"/>
    <mergeCell ref="O737:P737"/>
    <mergeCell ref="R737:T737"/>
    <mergeCell ref="A746:D746"/>
    <mergeCell ref="E746:F746"/>
    <mergeCell ref="I746:J746"/>
    <mergeCell ref="L746:M746"/>
    <mergeCell ref="N746:O746"/>
    <mergeCell ref="A747:D747"/>
    <mergeCell ref="E747:F747"/>
    <mergeCell ref="I747:J747"/>
    <mergeCell ref="L747:M747"/>
    <mergeCell ref="N747:O747"/>
    <mergeCell ref="A744:D744"/>
    <mergeCell ref="E744:F744"/>
    <mergeCell ref="I744:J744"/>
    <mergeCell ref="L744:M744"/>
    <mergeCell ref="N744:O744"/>
    <mergeCell ref="A745:D745"/>
    <mergeCell ref="E745:F745"/>
    <mergeCell ref="I745:J745"/>
    <mergeCell ref="L745:M745"/>
    <mergeCell ref="N745:O745"/>
    <mergeCell ref="J757:T757"/>
    <mergeCell ref="B759:R759"/>
    <mergeCell ref="A761:C761"/>
    <mergeCell ref="D761:T761"/>
    <mergeCell ref="A762:B762"/>
    <mergeCell ref="C762:T762"/>
    <mergeCell ref="A750:S750"/>
    <mergeCell ref="A751:S751"/>
    <mergeCell ref="A752:S752"/>
    <mergeCell ref="A753:S753"/>
    <mergeCell ref="A754:S754"/>
    <mergeCell ref="A755:S755"/>
    <mergeCell ref="A748:D748"/>
    <mergeCell ref="E748:F748"/>
    <mergeCell ref="I748:J748"/>
    <mergeCell ref="L748:M748"/>
    <mergeCell ref="N748:O748"/>
    <mergeCell ref="A749:D749"/>
    <mergeCell ref="E749:F749"/>
    <mergeCell ref="I749:J749"/>
    <mergeCell ref="L749:M749"/>
    <mergeCell ref="N749:O749"/>
    <mergeCell ref="A769:L769"/>
    <mergeCell ref="M769:N769"/>
    <mergeCell ref="O769:P769"/>
    <mergeCell ref="R769:T769"/>
    <mergeCell ref="A770:L770"/>
    <mergeCell ref="M770:N770"/>
    <mergeCell ref="O770:P770"/>
    <mergeCell ref="R770:T770"/>
    <mergeCell ref="A766:L768"/>
    <mergeCell ref="M766:T766"/>
    <mergeCell ref="M767:P767"/>
    <mergeCell ref="Q767:T767"/>
    <mergeCell ref="M768:N768"/>
    <mergeCell ref="O768:P768"/>
    <mergeCell ref="R768:T768"/>
    <mergeCell ref="A763:E763"/>
    <mergeCell ref="F763:T763"/>
    <mergeCell ref="A765:L765"/>
    <mergeCell ref="M765:N765"/>
    <mergeCell ref="O765:P765"/>
    <mergeCell ref="R765:T765"/>
    <mergeCell ref="A775:L775"/>
    <mergeCell ref="M775:N775"/>
    <mergeCell ref="O775:P775"/>
    <mergeCell ref="R775:T775"/>
    <mergeCell ref="A776:L776"/>
    <mergeCell ref="M776:N776"/>
    <mergeCell ref="O776:P776"/>
    <mergeCell ref="R776:T776"/>
    <mergeCell ref="A773:L773"/>
    <mergeCell ref="M773:N773"/>
    <mergeCell ref="O773:P773"/>
    <mergeCell ref="R773:T773"/>
    <mergeCell ref="A774:L774"/>
    <mergeCell ref="M774:N774"/>
    <mergeCell ref="O774:P774"/>
    <mergeCell ref="R774:T774"/>
    <mergeCell ref="A771:L771"/>
    <mergeCell ref="M771:N771"/>
    <mergeCell ref="O771:P771"/>
    <mergeCell ref="R771:T771"/>
    <mergeCell ref="A772:L772"/>
    <mergeCell ref="M772:N772"/>
    <mergeCell ref="O772:P772"/>
    <mergeCell ref="R772:T772"/>
    <mergeCell ref="A783:D783"/>
    <mergeCell ref="E783:F783"/>
    <mergeCell ref="I783:J783"/>
    <mergeCell ref="L783:M783"/>
    <mergeCell ref="N783:O783"/>
    <mergeCell ref="A784:D784"/>
    <mergeCell ref="E784:F784"/>
    <mergeCell ref="I784:J784"/>
    <mergeCell ref="L784:M784"/>
    <mergeCell ref="N784:O784"/>
    <mergeCell ref="A779:L779"/>
    <mergeCell ref="M779:N779"/>
    <mergeCell ref="O779:P779"/>
    <mergeCell ref="R779:T779"/>
    <mergeCell ref="A780:T780"/>
    <mergeCell ref="A782:N782"/>
    <mergeCell ref="A777:L777"/>
    <mergeCell ref="M777:N777"/>
    <mergeCell ref="O777:P777"/>
    <mergeCell ref="R777:T777"/>
    <mergeCell ref="A778:L778"/>
    <mergeCell ref="M778:N778"/>
    <mergeCell ref="O778:P778"/>
    <mergeCell ref="R778:T778"/>
    <mergeCell ref="A787:D787"/>
    <mergeCell ref="E787:F787"/>
    <mergeCell ref="I787:J787"/>
    <mergeCell ref="L787:M787"/>
    <mergeCell ref="N787:O787"/>
    <mergeCell ref="A788:D788"/>
    <mergeCell ref="E788:F788"/>
    <mergeCell ref="I788:J788"/>
    <mergeCell ref="L788:M788"/>
    <mergeCell ref="N788:O788"/>
    <mergeCell ref="A785:D785"/>
    <mergeCell ref="E785:F785"/>
    <mergeCell ref="I785:J785"/>
    <mergeCell ref="L785:M785"/>
    <mergeCell ref="N785:O785"/>
    <mergeCell ref="A786:D786"/>
    <mergeCell ref="E786:F786"/>
    <mergeCell ref="I786:J786"/>
    <mergeCell ref="L786:M786"/>
    <mergeCell ref="N786:O786"/>
    <mergeCell ref="A797:S797"/>
    <mergeCell ref="A798:S798"/>
    <mergeCell ref="A799:S799"/>
    <mergeCell ref="A791:S791"/>
    <mergeCell ref="A792:S792"/>
    <mergeCell ref="A793:S793"/>
    <mergeCell ref="A794:S794"/>
    <mergeCell ref="A795:S795"/>
    <mergeCell ref="A796:S796"/>
    <mergeCell ref="A789:D789"/>
    <mergeCell ref="E789:F789"/>
    <mergeCell ref="I789:J789"/>
    <mergeCell ref="L789:M789"/>
    <mergeCell ref="N789:O789"/>
    <mergeCell ref="A790:D790"/>
    <mergeCell ref="E790:F790"/>
    <mergeCell ref="I790:J790"/>
    <mergeCell ref="L790:M790"/>
    <mergeCell ref="N790:O79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6"/>
  <sheetViews>
    <sheetView topLeftCell="A148" workbookViewId="0">
      <selection activeCell="Y161" sqref="Y161"/>
    </sheetView>
  </sheetViews>
  <sheetFormatPr defaultRowHeight="10.199999999999999" x14ac:dyDescent="0.2"/>
  <cols>
    <col min="9" max="9" width="9.7109375" customWidth="1"/>
    <col min="10" max="11" width="9.140625" hidden="1" customWidth="1"/>
    <col min="12" max="12" width="5" customWidth="1"/>
    <col min="18" max="18" width="8.140625" customWidth="1"/>
    <col min="19" max="19" width="8.28515625" hidden="1" customWidth="1"/>
    <col min="20" max="20" width="9.140625" hidden="1" customWidth="1"/>
  </cols>
  <sheetData>
    <row r="1" spans="1:20" s="1" customFormat="1" ht="72.45" customHeight="1" x14ac:dyDescent="0.25">
      <c r="J1" s="100" t="s">
        <v>0</v>
      </c>
      <c r="K1" s="100"/>
      <c r="L1" s="100"/>
      <c r="M1" s="100"/>
      <c r="N1" s="100"/>
      <c r="O1" s="100"/>
      <c r="P1" s="100"/>
      <c r="Q1" s="100"/>
      <c r="R1" s="100"/>
      <c r="S1" s="100"/>
      <c r="T1" s="100"/>
    </row>
    <row r="2" spans="1:20" s="1" customFormat="1" ht="7.05" customHeight="1" x14ac:dyDescent="0.25"/>
    <row r="3" spans="1:20" s="1" customFormat="1" ht="14.1" customHeight="1" x14ac:dyDescent="0.25">
      <c r="B3" s="101" t="s">
        <v>288</v>
      </c>
      <c r="C3" s="101"/>
      <c r="D3" s="101"/>
      <c r="E3" s="101"/>
      <c r="F3" s="101"/>
      <c r="G3" s="101"/>
      <c r="H3" s="101"/>
      <c r="I3" s="101"/>
      <c r="J3" s="101"/>
      <c r="K3" s="101"/>
      <c r="L3" s="101"/>
      <c r="M3" s="101"/>
      <c r="N3" s="101"/>
      <c r="O3" s="101"/>
      <c r="P3" s="101"/>
      <c r="Q3" s="101"/>
      <c r="R3" s="101"/>
    </row>
    <row r="4" spans="1:20" s="1" customFormat="1" ht="14.1" customHeight="1" x14ac:dyDescent="0.25"/>
    <row r="5" spans="1:20" s="1" customFormat="1" ht="14.1" customHeight="1" x14ac:dyDescent="0.25">
      <c r="A5" s="102" t="s">
        <v>2</v>
      </c>
      <c r="B5" s="102"/>
      <c r="C5" s="102"/>
      <c r="D5" s="103" t="s">
        <v>289</v>
      </c>
      <c r="E5" s="103"/>
      <c r="F5" s="103"/>
      <c r="G5" s="103"/>
      <c r="H5" s="103"/>
      <c r="I5" s="103"/>
      <c r="J5" s="103"/>
      <c r="K5" s="103"/>
      <c r="L5" s="103"/>
      <c r="M5" s="103"/>
      <c r="N5" s="103"/>
      <c r="O5" s="103"/>
      <c r="P5" s="103"/>
      <c r="Q5" s="103"/>
      <c r="R5" s="103"/>
      <c r="S5" s="103"/>
      <c r="T5" s="103"/>
    </row>
    <row r="6" spans="1:20" s="1" customFormat="1" ht="14.1" customHeight="1" x14ac:dyDescent="0.25">
      <c r="A6" s="102" t="s">
        <v>4</v>
      </c>
      <c r="B6" s="102"/>
      <c r="C6" s="103" t="s">
        <v>290</v>
      </c>
      <c r="D6" s="103"/>
      <c r="E6" s="103"/>
      <c r="F6" s="103"/>
      <c r="G6" s="103"/>
      <c r="H6" s="103"/>
      <c r="I6" s="103"/>
      <c r="J6" s="103"/>
      <c r="K6" s="103"/>
      <c r="L6" s="103"/>
      <c r="M6" s="103"/>
      <c r="N6" s="103"/>
      <c r="O6" s="103"/>
      <c r="P6" s="103"/>
      <c r="Q6" s="103"/>
      <c r="R6" s="103"/>
      <c r="S6" s="103"/>
      <c r="T6" s="103"/>
    </row>
    <row r="7" spans="1:20" s="1" customFormat="1" ht="14.1" customHeight="1" x14ac:dyDescent="0.25">
      <c r="A7" s="102" t="s">
        <v>6</v>
      </c>
      <c r="B7" s="102"/>
      <c r="C7" s="102"/>
      <c r="D7" s="102"/>
      <c r="E7" s="102"/>
      <c r="F7" s="103" t="s">
        <v>291</v>
      </c>
      <c r="G7" s="103"/>
      <c r="H7" s="103"/>
      <c r="I7" s="103"/>
      <c r="J7" s="103"/>
      <c r="K7" s="103"/>
      <c r="L7" s="103"/>
      <c r="M7" s="103"/>
      <c r="N7" s="103"/>
      <c r="O7" s="103"/>
      <c r="P7" s="103"/>
      <c r="Q7" s="103"/>
      <c r="R7" s="103"/>
      <c r="S7" s="103"/>
      <c r="T7" s="103"/>
    </row>
    <row r="8" spans="1:20" s="1" customFormat="1" ht="22.35" customHeight="1" x14ac:dyDescent="0.25">
      <c r="F8" s="103"/>
      <c r="G8" s="103"/>
      <c r="H8" s="103"/>
      <c r="I8" s="103"/>
      <c r="J8" s="103"/>
      <c r="K8" s="103"/>
      <c r="L8" s="103"/>
      <c r="M8" s="103"/>
      <c r="N8" s="103"/>
      <c r="O8" s="103"/>
      <c r="P8" s="103"/>
      <c r="Q8" s="103"/>
      <c r="R8" s="103"/>
      <c r="S8" s="103"/>
      <c r="T8" s="103"/>
    </row>
    <row r="9" spans="1:20" s="1" customFormat="1" ht="7.05" customHeight="1" x14ac:dyDescent="0.25">
      <c r="A9" s="86"/>
      <c r="B9" s="86"/>
      <c r="C9" s="86"/>
      <c r="D9" s="86"/>
      <c r="E9" s="86"/>
      <c r="F9" s="86"/>
      <c r="G9" s="86"/>
      <c r="H9" s="86"/>
      <c r="I9" s="86"/>
      <c r="J9" s="86"/>
      <c r="K9" s="86"/>
      <c r="L9" s="86"/>
      <c r="M9" s="86"/>
      <c r="N9" s="86"/>
      <c r="O9" s="86"/>
      <c r="P9" s="86"/>
      <c r="Q9" s="16"/>
      <c r="R9" s="86"/>
      <c r="S9" s="86"/>
      <c r="T9" s="86"/>
    </row>
    <row r="10" spans="1:20" s="1" customFormat="1" ht="16.95" customHeight="1" x14ac:dyDescent="0.25">
      <c r="A10" s="94" t="s">
        <v>8</v>
      </c>
      <c r="B10" s="94"/>
      <c r="C10" s="94"/>
      <c r="D10" s="94"/>
      <c r="E10" s="94"/>
      <c r="F10" s="94"/>
      <c r="G10" s="94"/>
      <c r="H10" s="94"/>
      <c r="I10" s="94"/>
      <c r="J10" s="94"/>
      <c r="K10" s="94"/>
      <c r="L10" s="94"/>
      <c r="M10" s="95" t="s">
        <v>9</v>
      </c>
      <c r="N10" s="95"/>
      <c r="O10" s="95"/>
      <c r="P10" s="95"/>
      <c r="Q10" s="95"/>
      <c r="R10" s="95"/>
      <c r="S10" s="95"/>
      <c r="T10" s="95"/>
    </row>
    <row r="11" spans="1:20" s="1" customFormat="1" ht="16.95" customHeight="1" x14ac:dyDescent="0.25">
      <c r="A11" s="94"/>
      <c r="B11" s="94"/>
      <c r="C11" s="94"/>
      <c r="D11" s="94"/>
      <c r="E11" s="94"/>
      <c r="F11" s="94"/>
      <c r="G11" s="94"/>
      <c r="H11" s="94"/>
      <c r="I11" s="94"/>
      <c r="J11" s="94"/>
      <c r="K11" s="94"/>
      <c r="L11" s="94"/>
      <c r="M11" s="96" t="s">
        <v>10</v>
      </c>
      <c r="N11" s="96"/>
      <c r="O11" s="96"/>
      <c r="P11" s="96"/>
      <c r="Q11" s="97" t="s">
        <v>11</v>
      </c>
      <c r="R11" s="97"/>
      <c r="S11" s="97"/>
      <c r="T11" s="97"/>
    </row>
    <row r="12" spans="1:20" s="1" customFormat="1" ht="16.95" customHeight="1" x14ac:dyDescent="0.25">
      <c r="A12" s="94"/>
      <c r="B12" s="94"/>
      <c r="C12" s="94"/>
      <c r="D12" s="94"/>
      <c r="E12" s="94"/>
      <c r="F12" s="94"/>
      <c r="G12" s="94"/>
      <c r="H12" s="94"/>
      <c r="I12" s="94"/>
      <c r="J12" s="94"/>
      <c r="K12" s="94"/>
      <c r="L12" s="94"/>
      <c r="M12" s="98" t="s">
        <v>12</v>
      </c>
      <c r="N12" s="98"/>
      <c r="O12" s="98" t="s">
        <v>13</v>
      </c>
      <c r="P12" s="98"/>
      <c r="Q12" s="13" t="s">
        <v>14</v>
      </c>
      <c r="R12" s="99" t="s">
        <v>15</v>
      </c>
      <c r="S12" s="99"/>
      <c r="T12" s="99"/>
    </row>
    <row r="13" spans="1:20" s="1" customFormat="1" ht="13.35" customHeight="1" x14ac:dyDescent="0.25">
      <c r="A13" s="131" t="s">
        <v>292</v>
      </c>
      <c r="B13" s="131"/>
      <c r="C13" s="131"/>
      <c r="D13" s="131"/>
      <c r="E13" s="131"/>
      <c r="F13" s="131"/>
      <c r="G13" s="131"/>
      <c r="H13" s="131"/>
      <c r="I13" s="131"/>
      <c r="J13" s="131"/>
      <c r="K13" s="131"/>
      <c r="L13" s="131"/>
      <c r="M13" s="131"/>
      <c r="N13" s="131"/>
      <c r="O13" s="131">
        <v>185</v>
      </c>
      <c r="P13" s="131"/>
      <c r="Q13" s="15"/>
      <c r="R13" s="131">
        <v>18.5</v>
      </c>
      <c r="S13" s="131"/>
      <c r="T13" s="131"/>
    </row>
    <row r="14" spans="1:20" s="1" customFormat="1" ht="13.35" customHeight="1" x14ac:dyDescent="0.25">
      <c r="A14" s="88" t="s">
        <v>293</v>
      </c>
      <c r="B14" s="88"/>
      <c r="C14" s="88"/>
      <c r="D14" s="88"/>
      <c r="E14" s="88"/>
      <c r="F14" s="88"/>
      <c r="G14" s="88"/>
      <c r="H14" s="88"/>
      <c r="I14" s="88"/>
      <c r="J14" s="88"/>
      <c r="K14" s="88"/>
      <c r="L14" s="88"/>
      <c r="M14" s="88">
        <v>34.299999999999997</v>
      </c>
      <c r="N14" s="88"/>
      <c r="O14" s="88">
        <v>33.9</v>
      </c>
      <c r="P14" s="88"/>
      <c r="Q14" s="6">
        <v>3.43</v>
      </c>
      <c r="R14" s="88">
        <v>3.39</v>
      </c>
      <c r="S14" s="88"/>
      <c r="T14" s="88"/>
    </row>
    <row r="15" spans="1:20" s="1" customFormat="1" ht="13.35" customHeight="1" x14ac:dyDescent="0.25">
      <c r="A15" s="88" t="s">
        <v>66</v>
      </c>
      <c r="B15" s="88"/>
      <c r="C15" s="88"/>
      <c r="D15" s="88"/>
      <c r="E15" s="88"/>
      <c r="F15" s="88"/>
      <c r="G15" s="88"/>
      <c r="H15" s="88"/>
      <c r="I15" s="88"/>
      <c r="J15" s="88"/>
      <c r="K15" s="88"/>
      <c r="L15" s="88"/>
      <c r="M15" s="88">
        <v>102.8</v>
      </c>
      <c r="N15" s="88"/>
      <c r="O15" s="88">
        <v>102.8</v>
      </c>
      <c r="P15" s="88"/>
      <c r="Q15" s="6">
        <v>10.28</v>
      </c>
      <c r="R15" s="88">
        <v>10.28</v>
      </c>
      <c r="S15" s="88"/>
      <c r="T15" s="88"/>
    </row>
    <row r="16" spans="1:20" s="1" customFormat="1" ht="13.35" customHeight="1" x14ac:dyDescent="0.25">
      <c r="A16" s="131" t="s">
        <v>294</v>
      </c>
      <c r="B16" s="131"/>
      <c r="C16" s="131"/>
      <c r="D16" s="131"/>
      <c r="E16" s="131"/>
      <c r="F16" s="131"/>
      <c r="G16" s="131"/>
      <c r="H16" s="131"/>
      <c r="I16" s="131"/>
      <c r="J16" s="131"/>
      <c r="K16" s="131"/>
      <c r="L16" s="131"/>
      <c r="M16" s="131"/>
      <c r="N16" s="131"/>
      <c r="O16" s="131">
        <v>156.80000000000001</v>
      </c>
      <c r="P16" s="131"/>
      <c r="Q16" s="15"/>
      <c r="R16" s="131">
        <v>15.68</v>
      </c>
      <c r="S16" s="131"/>
      <c r="T16" s="131"/>
    </row>
    <row r="17" spans="1:20" s="1" customFormat="1" ht="13.35" customHeight="1" x14ac:dyDescent="0.25">
      <c r="A17" s="131" t="s">
        <v>295</v>
      </c>
      <c r="B17" s="131"/>
      <c r="C17" s="131"/>
      <c r="D17" s="131"/>
      <c r="E17" s="131"/>
      <c r="F17" s="131"/>
      <c r="G17" s="131"/>
      <c r="H17" s="131"/>
      <c r="I17" s="131"/>
      <c r="J17" s="131"/>
      <c r="K17" s="131"/>
      <c r="L17" s="131"/>
      <c r="M17" s="131"/>
      <c r="N17" s="131"/>
      <c r="O17" s="131"/>
      <c r="P17" s="131"/>
      <c r="Q17" s="15"/>
      <c r="R17" s="131"/>
      <c r="S17" s="131"/>
      <c r="T17" s="131"/>
    </row>
    <row r="18" spans="1:20" s="1" customFormat="1" ht="13.35" customHeight="1" x14ac:dyDescent="0.25">
      <c r="A18" s="88" t="s">
        <v>114</v>
      </c>
      <c r="B18" s="88"/>
      <c r="C18" s="88"/>
      <c r="D18" s="88"/>
      <c r="E18" s="88"/>
      <c r="F18" s="88"/>
      <c r="G18" s="88"/>
      <c r="H18" s="88"/>
      <c r="I18" s="88"/>
      <c r="J18" s="88"/>
      <c r="K18" s="88"/>
      <c r="L18" s="88"/>
      <c r="M18" s="88">
        <v>24</v>
      </c>
      <c r="N18" s="88"/>
      <c r="O18" s="88">
        <v>24</v>
      </c>
      <c r="P18" s="88"/>
      <c r="Q18" s="6">
        <v>2.4</v>
      </c>
      <c r="R18" s="88">
        <v>2.4</v>
      </c>
      <c r="S18" s="88"/>
      <c r="T18" s="88"/>
    </row>
    <row r="19" spans="1:20" s="1" customFormat="1" ht="13.35" customHeight="1" x14ac:dyDescent="0.25">
      <c r="A19" s="88" t="s">
        <v>109</v>
      </c>
      <c r="B19" s="88"/>
      <c r="C19" s="88"/>
      <c r="D19" s="88"/>
      <c r="E19" s="88"/>
      <c r="F19" s="88"/>
      <c r="G19" s="88"/>
      <c r="H19" s="88"/>
      <c r="I19" s="88"/>
      <c r="J19" s="88"/>
      <c r="K19" s="88"/>
      <c r="L19" s="88"/>
      <c r="M19" s="88">
        <v>4.8</v>
      </c>
      <c r="N19" s="88"/>
      <c r="O19" s="88">
        <v>4.8</v>
      </c>
      <c r="P19" s="88"/>
      <c r="Q19" s="6">
        <v>0.48</v>
      </c>
      <c r="R19" s="88">
        <v>0.48</v>
      </c>
      <c r="S19" s="88"/>
      <c r="T19" s="88"/>
    </row>
    <row r="20" spans="1:20" s="1" customFormat="1" ht="13.35" customHeight="1" x14ac:dyDescent="0.25">
      <c r="A20" s="131" t="s">
        <v>296</v>
      </c>
      <c r="B20" s="131"/>
      <c r="C20" s="131"/>
      <c r="D20" s="131"/>
      <c r="E20" s="131"/>
      <c r="F20" s="131"/>
      <c r="G20" s="131"/>
      <c r="H20" s="131"/>
      <c r="I20" s="131"/>
      <c r="J20" s="131"/>
      <c r="K20" s="131"/>
      <c r="L20" s="131"/>
      <c r="M20" s="131"/>
      <c r="N20" s="131"/>
      <c r="O20" s="131">
        <v>24</v>
      </c>
      <c r="P20" s="131"/>
      <c r="Q20" s="15"/>
      <c r="R20" s="131">
        <v>2.4</v>
      </c>
      <c r="S20" s="131"/>
      <c r="T20" s="131"/>
    </row>
    <row r="21" spans="1:20" s="1" customFormat="1" ht="13.35" customHeight="1" x14ac:dyDescent="0.25">
      <c r="A21" s="88" t="s">
        <v>269</v>
      </c>
      <c r="B21" s="88"/>
      <c r="C21" s="88"/>
      <c r="D21" s="88"/>
      <c r="E21" s="88"/>
      <c r="F21" s="88"/>
      <c r="G21" s="88"/>
      <c r="H21" s="88"/>
      <c r="I21" s="88"/>
      <c r="J21" s="88"/>
      <c r="K21" s="88"/>
      <c r="L21" s="88"/>
      <c r="M21" s="88">
        <v>35.200000000000003</v>
      </c>
      <c r="N21" s="88"/>
      <c r="O21" s="88">
        <v>30.9</v>
      </c>
      <c r="P21" s="88"/>
      <c r="Q21" s="6">
        <v>3.52</v>
      </c>
      <c r="R21" s="88">
        <v>3.09</v>
      </c>
      <c r="S21" s="88"/>
      <c r="T21" s="88"/>
    </row>
    <row r="22" spans="1:20" s="1" customFormat="1" ht="13.35" customHeight="1" x14ac:dyDescent="0.25">
      <c r="A22" s="131" t="s">
        <v>297</v>
      </c>
      <c r="B22" s="131"/>
      <c r="C22" s="131"/>
      <c r="D22" s="131"/>
      <c r="E22" s="131"/>
      <c r="F22" s="131"/>
      <c r="G22" s="131"/>
      <c r="H22" s="131"/>
      <c r="I22" s="131"/>
      <c r="J22" s="131"/>
      <c r="K22" s="131"/>
      <c r="L22" s="131"/>
      <c r="M22" s="131"/>
      <c r="N22" s="131"/>
      <c r="O22" s="131">
        <v>44.8</v>
      </c>
      <c r="P22" s="131"/>
      <c r="Q22" s="15"/>
      <c r="R22" s="131">
        <v>4.4800000000000004</v>
      </c>
      <c r="S22" s="131"/>
      <c r="T22" s="131"/>
    </row>
    <row r="23" spans="1:20" s="1" customFormat="1" ht="13.35" customHeight="1" x14ac:dyDescent="0.25">
      <c r="A23" s="88" t="s">
        <v>61</v>
      </c>
      <c r="B23" s="88"/>
      <c r="C23" s="88"/>
      <c r="D23" s="88"/>
      <c r="E23" s="88"/>
      <c r="F23" s="88"/>
      <c r="G23" s="88"/>
      <c r="H23" s="88"/>
      <c r="I23" s="88"/>
      <c r="J23" s="88"/>
      <c r="K23" s="88"/>
      <c r="L23" s="88"/>
      <c r="M23" s="88">
        <v>8</v>
      </c>
      <c r="N23" s="88"/>
      <c r="O23" s="88">
        <v>8</v>
      </c>
      <c r="P23" s="88"/>
      <c r="Q23" s="6">
        <v>0.8</v>
      </c>
      <c r="R23" s="88">
        <v>0.8</v>
      </c>
      <c r="S23" s="88"/>
      <c r="T23" s="88"/>
    </row>
    <row r="24" spans="1:20" s="1" customFormat="1" ht="13.35" customHeight="1" x14ac:dyDescent="0.25">
      <c r="A24" s="88" t="s">
        <v>129</v>
      </c>
      <c r="B24" s="88"/>
      <c r="C24" s="88"/>
      <c r="D24" s="88"/>
      <c r="E24" s="88"/>
      <c r="F24" s="88"/>
      <c r="G24" s="88"/>
      <c r="H24" s="88"/>
      <c r="I24" s="88"/>
      <c r="J24" s="88"/>
      <c r="K24" s="88"/>
      <c r="L24" s="88"/>
      <c r="M24" s="88">
        <v>8</v>
      </c>
      <c r="N24" s="88"/>
      <c r="O24" s="88">
        <v>8</v>
      </c>
      <c r="P24" s="88"/>
      <c r="Q24" s="6">
        <v>0.8</v>
      </c>
      <c r="R24" s="88">
        <v>0.8</v>
      </c>
      <c r="S24" s="88"/>
      <c r="T24" s="88"/>
    </row>
    <row r="25" spans="1:20" s="1" customFormat="1" ht="14.1" customHeight="1" x14ac:dyDescent="0.25">
      <c r="A25" s="90" t="s">
        <v>116</v>
      </c>
      <c r="B25" s="90"/>
      <c r="C25" s="90"/>
      <c r="D25" s="90"/>
      <c r="E25" s="90"/>
      <c r="F25" s="90"/>
      <c r="G25" s="90"/>
      <c r="H25" s="90"/>
      <c r="I25" s="90"/>
      <c r="J25" s="90"/>
      <c r="K25" s="90"/>
      <c r="L25" s="90"/>
      <c r="M25" s="90"/>
      <c r="N25" s="90"/>
      <c r="O25" s="90"/>
      <c r="P25" s="90"/>
      <c r="Q25" s="90"/>
      <c r="R25" s="90"/>
      <c r="S25" s="90"/>
      <c r="T25" s="90"/>
    </row>
    <row r="26" spans="1:20" s="1" customFormat="1" ht="21.3" customHeight="1" x14ac:dyDescent="0.25"/>
    <row r="27" spans="1:20" s="1" customFormat="1" ht="14.1" customHeight="1" x14ac:dyDescent="0.25">
      <c r="A27" s="91" t="s">
        <v>33</v>
      </c>
      <c r="B27" s="91"/>
      <c r="C27" s="91"/>
      <c r="D27" s="91"/>
      <c r="E27" s="91"/>
      <c r="F27" s="91"/>
      <c r="G27" s="91"/>
      <c r="H27" s="91"/>
      <c r="I27" s="91"/>
      <c r="J27" s="91"/>
      <c r="K27" s="91"/>
      <c r="L27" s="91"/>
      <c r="M27" s="91"/>
      <c r="N27" s="91"/>
    </row>
    <row r="28" spans="1:20" s="1" customFormat="1" ht="13.35" customHeight="1" x14ac:dyDescent="0.25">
      <c r="A28" s="88" t="s">
        <v>34</v>
      </c>
      <c r="B28" s="88"/>
      <c r="C28" s="88"/>
      <c r="D28" s="88"/>
      <c r="E28" s="89">
        <f>6.1*200/150</f>
        <v>8.1333333333333329</v>
      </c>
      <c r="F28" s="89"/>
      <c r="G28" s="17"/>
      <c r="H28" s="6" t="s">
        <v>35</v>
      </c>
      <c r="I28" s="89">
        <v>0.13</v>
      </c>
      <c r="J28" s="89"/>
      <c r="K28" s="17"/>
      <c r="L28" s="88" t="s">
        <v>36</v>
      </c>
      <c r="M28" s="88"/>
      <c r="N28" s="89">
        <v>108.15</v>
      </c>
      <c r="O28" s="89"/>
    </row>
    <row r="29" spans="1:20" s="1" customFormat="1" ht="13.35" customHeight="1" x14ac:dyDescent="0.25">
      <c r="A29" s="88" t="s">
        <v>37</v>
      </c>
      <c r="B29" s="88"/>
      <c r="C29" s="88"/>
      <c r="D29" s="88"/>
      <c r="E29" s="89">
        <v>8.1300000000000008</v>
      </c>
      <c r="F29" s="89"/>
      <c r="G29" s="17"/>
      <c r="H29" s="6" t="s">
        <v>38</v>
      </c>
      <c r="I29" s="89">
        <v>1.41</v>
      </c>
      <c r="J29" s="89"/>
      <c r="K29" s="17"/>
      <c r="L29" s="88" t="s">
        <v>39</v>
      </c>
      <c r="M29" s="88"/>
      <c r="N29" s="89">
        <v>34.479999999999997</v>
      </c>
      <c r="O29" s="89"/>
    </row>
    <row r="30" spans="1:20" s="1" customFormat="1" ht="13.35" customHeight="1" x14ac:dyDescent="0.25">
      <c r="A30" s="88" t="s">
        <v>40</v>
      </c>
      <c r="B30" s="88"/>
      <c r="C30" s="88"/>
      <c r="D30" s="88"/>
      <c r="E30" s="89">
        <v>29.52</v>
      </c>
      <c r="F30" s="89"/>
      <c r="G30" s="17"/>
      <c r="H30" s="6" t="s">
        <v>41</v>
      </c>
      <c r="I30" s="89">
        <v>0.04</v>
      </c>
      <c r="J30" s="89"/>
      <c r="K30" s="17"/>
      <c r="L30" s="88" t="s">
        <v>42</v>
      </c>
      <c r="M30" s="88"/>
      <c r="N30" s="89">
        <v>133.16999999999999</v>
      </c>
      <c r="O30" s="89"/>
    </row>
    <row r="31" spans="1:20" s="1" customFormat="1" ht="13.35" customHeight="1" x14ac:dyDescent="0.25">
      <c r="A31" s="88" t="s">
        <v>43</v>
      </c>
      <c r="B31" s="88"/>
      <c r="C31" s="88"/>
      <c r="D31" s="88"/>
      <c r="E31" s="89">
        <v>253.27</v>
      </c>
      <c r="F31" s="89"/>
      <c r="G31" s="17"/>
      <c r="H31" s="6" t="s">
        <v>44</v>
      </c>
      <c r="I31" s="89">
        <v>1.05</v>
      </c>
      <c r="J31" s="89"/>
      <c r="K31" s="17"/>
      <c r="L31" s="88" t="s">
        <v>45</v>
      </c>
      <c r="M31" s="88"/>
      <c r="N31" s="89">
        <v>1.35</v>
      </c>
      <c r="O31" s="89"/>
    </row>
    <row r="32" spans="1:20" s="1" customFormat="1" ht="13.35" customHeight="1" x14ac:dyDescent="0.25">
      <c r="A32" s="87"/>
      <c r="B32" s="87"/>
      <c r="C32" s="87"/>
      <c r="D32" s="87"/>
      <c r="E32" s="87"/>
      <c r="F32" s="87"/>
      <c r="G32" s="17"/>
      <c r="H32" s="6" t="s">
        <v>46</v>
      </c>
      <c r="I32" s="89">
        <v>0.09</v>
      </c>
      <c r="J32" s="89"/>
      <c r="K32" s="17"/>
      <c r="L32" s="88" t="s">
        <v>47</v>
      </c>
      <c r="M32" s="88"/>
      <c r="N32" s="89">
        <v>266.17</v>
      </c>
      <c r="O32" s="89"/>
    </row>
    <row r="33" spans="1:20" s="1" customFormat="1" ht="13.35" customHeight="1" x14ac:dyDescent="0.25">
      <c r="A33" s="87"/>
      <c r="B33" s="87"/>
      <c r="C33" s="87"/>
      <c r="D33" s="87"/>
      <c r="E33" s="87"/>
      <c r="F33" s="87"/>
      <c r="G33" s="17"/>
      <c r="H33" s="6" t="s">
        <v>48</v>
      </c>
      <c r="I33" s="89">
        <v>0.13</v>
      </c>
      <c r="J33" s="89"/>
      <c r="K33" s="17"/>
      <c r="L33" s="88" t="s">
        <v>49</v>
      </c>
      <c r="M33" s="88"/>
      <c r="N33" s="89">
        <v>10.44</v>
      </c>
      <c r="O33" s="89"/>
    </row>
    <row r="34" spans="1:20" s="1" customFormat="1" ht="13.35" customHeight="1" x14ac:dyDescent="0.25">
      <c r="A34" s="87"/>
      <c r="B34" s="87"/>
      <c r="C34" s="87"/>
      <c r="D34" s="87"/>
      <c r="E34" s="87"/>
      <c r="F34" s="87"/>
      <c r="G34" s="17"/>
      <c r="H34" s="17"/>
      <c r="I34" s="87"/>
      <c r="J34" s="87"/>
      <c r="K34" s="17"/>
      <c r="L34" s="88" t="s">
        <v>50</v>
      </c>
      <c r="M34" s="88"/>
      <c r="N34" s="89">
        <v>0.01</v>
      </c>
      <c r="O34" s="89"/>
    </row>
    <row r="35" spans="1:20" s="1" customFormat="1" ht="13.35" customHeight="1" x14ac:dyDescent="0.25">
      <c r="A35" s="87"/>
      <c r="B35" s="87"/>
      <c r="C35" s="87"/>
      <c r="D35" s="87"/>
      <c r="E35" s="87"/>
      <c r="F35" s="87"/>
      <c r="G35" s="17"/>
      <c r="H35" s="17"/>
      <c r="I35" s="87"/>
      <c r="J35" s="87"/>
      <c r="K35" s="17"/>
      <c r="L35" s="88" t="s">
        <v>51</v>
      </c>
      <c r="M35" s="88"/>
      <c r="N35" s="89">
        <v>0</v>
      </c>
      <c r="O35" s="89"/>
    </row>
    <row r="36" spans="1:20" s="1" customFormat="1" ht="14.1" customHeight="1" x14ac:dyDescent="0.25">
      <c r="A36" s="86"/>
      <c r="B36" s="86"/>
      <c r="C36" s="86"/>
      <c r="D36" s="86"/>
      <c r="E36" s="86"/>
      <c r="F36" s="86"/>
      <c r="G36" s="86"/>
      <c r="H36" s="86"/>
      <c r="I36" s="86"/>
      <c r="J36" s="86"/>
      <c r="K36" s="86"/>
      <c r="L36" s="86"/>
      <c r="M36" s="86"/>
      <c r="N36" s="86"/>
      <c r="O36" s="86"/>
      <c r="P36" s="86"/>
      <c r="Q36" s="86"/>
      <c r="R36" s="86"/>
      <c r="S36" s="86"/>
    </row>
    <row r="37" spans="1:20" s="1" customFormat="1" ht="14.1" customHeight="1" x14ac:dyDescent="0.25">
      <c r="A37" s="84" t="s">
        <v>52</v>
      </c>
      <c r="B37" s="84"/>
      <c r="C37" s="84"/>
      <c r="D37" s="84"/>
      <c r="E37" s="84"/>
      <c r="F37" s="84"/>
      <c r="G37" s="84"/>
      <c r="H37" s="84"/>
      <c r="I37" s="84"/>
      <c r="J37" s="84"/>
      <c r="K37" s="84"/>
      <c r="L37" s="84"/>
      <c r="M37" s="84"/>
      <c r="N37" s="84"/>
      <c r="O37" s="84"/>
      <c r="P37" s="84"/>
      <c r="Q37" s="84"/>
      <c r="R37" s="84"/>
      <c r="S37" s="84"/>
    </row>
    <row r="38" spans="1:20" s="1" customFormat="1" ht="40.049999999999997" customHeight="1" x14ac:dyDescent="0.25">
      <c r="A38" s="85" t="s">
        <v>298</v>
      </c>
      <c r="B38" s="85"/>
      <c r="C38" s="85"/>
      <c r="D38" s="85"/>
      <c r="E38" s="85"/>
      <c r="F38" s="85"/>
      <c r="G38" s="85"/>
      <c r="H38" s="85"/>
      <c r="I38" s="85"/>
      <c r="J38" s="85"/>
      <c r="K38" s="85"/>
      <c r="L38" s="85"/>
      <c r="M38" s="85"/>
      <c r="N38" s="85"/>
      <c r="O38" s="85"/>
      <c r="P38" s="85"/>
      <c r="Q38" s="85"/>
      <c r="R38" s="85"/>
      <c r="S38" s="85"/>
    </row>
    <row r="39" spans="1:20" s="1" customFormat="1" ht="14.1" customHeight="1" x14ac:dyDescent="0.25">
      <c r="A39" s="84" t="s">
        <v>54</v>
      </c>
      <c r="B39" s="84"/>
      <c r="C39" s="84"/>
      <c r="D39" s="84"/>
      <c r="E39" s="84"/>
      <c r="F39" s="84"/>
      <c r="G39" s="84"/>
      <c r="H39" s="84"/>
      <c r="I39" s="84"/>
      <c r="J39" s="84"/>
      <c r="K39" s="84"/>
      <c r="L39" s="84"/>
      <c r="M39" s="84"/>
      <c r="N39" s="84"/>
      <c r="O39" s="84"/>
      <c r="P39" s="84"/>
      <c r="Q39" s="84"/>
      <c r="R39" s="84"/>
      <c r="S39" s="84"/>
    </row>
    <row r="40" spans="1:20" s="1" customFormat="1" ht="12.15" customHeight="1" x14ac:dyDescent="0.25">
      <c r="A40" s="85" t="s">
        <v>281</v>
      </c>
      <c r="B40" s="85"/>
      <c r="C40" s="85"/>
      <c r="D40" s="85"/>
      <c r="E40" s="85"/>
      <c r="F40" s="85"/>
      <c r="G40" s="85"/>
      <c r="H40" s="85"/>
      <c r="I40" s="85"/>
      <c r="J40" s="85"/>
      <c r="K40" s="85"/>
      <c r="L40" s="85"/>
      <c r="M40" s="85"/>
      <c r="N40" s="85"/>
      <c r="O40" s="85"/>
      <c r="P40" s="85"/>
      <c r="Q40" s="85"/>
      <c r="R40" s="85"/>
      <c r="S40" s="85"/>
    </row>
    <row r="41" spans="1:20" s="1" customFormat="1" ht="14.1" customHeight="1" x14ac:dyDescent="0.25">
      <c r="A41" s="86"/>
      <c r="B41" s="86"/>
      <c r="C41" s="86"/>
      <c r="D41" s="86"/>
      <c r="E41" s="86"/>
      <c r="F41" s="86"/>
      <c r="G41" s="86"/>
      <c r="H41" s="86"/>
      <c r="I41" s="86"/>
      <c r="J41" s="86"/>
      <c r="K41" s="86"/>
      <c r="L41" s="86"/>
      <c r="M41" s="86"/>
      <c r="N41" s="86"/>
      <c r="O41" s="86"/>
      <c r="P41" s="86"/>
      <c r="Q41" s="86"/>
      <c r="R41" s="86"/>
      <c r="S41" s="86"/>
    </row>
    <row r="42" spans="1:20" s="1" customFormat="1" ht="14.1" customHeight="1" x14ac:dyDescent="0.25">
      <c r="A42" s="84" t="s">
        <v>56</v>
      </c>
      <c r="B42" s="84"/>
      <c r="C42" s="84"/>
      <c r="D42" s="84"/>
      <c r="E42" s="84"/>
      <c r="F42" s="84"/>
      <c r="G42" s="84"/>
      <c r="H42" s="84"/>
      <c r="I42" s="84"/>
      <c r="J42" s="84"/>
      <c r="K42" s="84"/>
      <c r="L42" s="84"/>
      <c r="M42" s="84"/>
      <c r="N42" s="84"/>
      <c r="O42" s="84"/>
      <c r="P42" s="84"/>
      <c r="Q42" s="84"/>
      <c r="R42" s="84"/>
      <c r="S42" s="84"/>
    </row>
    <row r="43" spans="1:20" s="1" customFormat="1" ht="49.2" customHeight="1" x14ac:dyDescent="0.25">
      <c r="A43" s="85" t="s">
        <v>299</v>
      </c>
      <c r="B43" s="85"/>
      <c r="C43" s="85"/>
      <c r="D43" s="85"/>
      <c r="E43" s="85"/>
      <c r="F43" s="85"/>
      <c r="G43" s="85"/>
      <c r="H43" s="85"/>
      <c r="I43" s="85"/>
      <c r="J43" s="85"/>
      <c r="K43" s="85"/>
      <c r="L43" s="85"/>
      <c r="M43" s="85"/>
      <c r="N43" s="85"/>
      <c r="O43" s="85"/>
      <c r="P43" s="85"/>
      <c r="Q43" s="85"/>
      <c r="R43" s="85"/>
      <c r="S43" s="85"/>
    </row>
    <row r="44" spans="1:20" s="1" customFormat="1" ht="72.45" customHeight="1" x14ac:dyDescent="0.25">
      <c r="J44" s="100" t="s">
        <v>0</v>
      </c>
      <c r="K44" s="100"/>
      <c r="L44" s="100"/>
      <c r="M44" s="100"/>
      <c r="N44" s="100"/>
      <c r="O44" s="100"/>
      <c r="P44" s="100"/>
      <c r="Q44" s="100"/>
      <c r="R44" s="100"/>
      <c r="S44" s="100"/>
      <c r="T44" s="100"/>
    </row>
    <row r="45" spans="1:20" s="1" customFormat="1" ht="7.05" customHeight="1" x14ac:dyDescent="0.25"/>
    <row r="46" spans="1:20" s="1" customFormat="1" ht="14.1" customHeight="1" x14ac:dyDescent="0.25">
      <c r="B46" s="101" t="s">
        <v>300</v>
      </c>
      <c r="C46" s="101"/>
      <c r="D46" s="101"/>
      <c r="E46" s="101"/>
      <c r="F46" s="101"/>
      <c r="G46" s="101"/>
      <c r="H46" s="101"/>
      <c r="I46" s="101"/>
      <c r="J46" s="101"/>
      <c r="K46" s="101"/>
      <c r="L46" s="101"/>
      <c r="M46" s="101"/>
      <c r="N46" s="101"/>
      <c r="O46" s="101"/>
      <c r="P46" s="101"/>
      <c r="Q46" s="101"/>
      <c r="R46" s="101"/>
    </row>
    <row r="47" spans="1:20" s="1" customFormat="1" ht="14.1" customHeight="1" x14ac:dyDescent="0.25"/>
    <row r="48" spans="1:20" s="1" customFormat="1" ht="14.1" customHeight="1" x14ac:dyDescent="0.25">
      <c r="A48" s="102" t="s">
        <v>2</v>
      </c>
      <c r="B48" s="102"/>
      <c r="C48" s="102"/>
      <c r="D48" s="103" t="s">
        <v>301</v>
      </c>
      <c r="E48" s="103"/>
      <c r="F48" s="103"/>
      <c r="G48" s="103"/>
      <c r="H48" s="103"/>
      <c r="I48" s="103"/>
      <c r="J48" s="103"/>
      <c r="K48" s="103"/>
      <c r="L48" s="103"/>
      <c r="M48" s="103"/>
      <c r="N48" s="103"/>
      <c r="O48" s="103"/>
      <c r="P48" s="103"/>
      <c r="Q48" s="103"/>
      <c r="R48" s="103"/>
      <c r="S48" s="103"/>
      <c r="T48" s="103"/>
    </row>
    <row r="49" spans="1:20" s="1" customFormat="1" ht="14.1" customHeight="1" x14ac:dyDescent="0.25">
      <c r="A49" s="102" t="s">
        <v>4</v>
      </c>
      <c r="B49" s="102"/>
      <c r="C49" s="103" t="s">
        <v>302</v>
      </c>
      <c r="D49" s="103"/>
      <c r="E49" s="103"/>
      <c r="F49" s="103"/>
      <c r="G49" s="103"/>
      <c r="H49" s="103"/>
      <c r="I49" s="103"/>
      <c r="J49" s="103"/>
      <c r="K49" s="103"/>
      <c r="L49" s="103"/>
      <c r="M49" s="103"/>
      <c r="N49" s="103"/>
      <c r="O49" s="103"/>
      <c r="P49" s="103"/>
      <c r="Q49" s="103"/>
      <c r="R49" s="103"/>
      <c r="S49" s="103"/>
      <c r="T49" s="103"/>
    </row>
    <row r="50" spans="1:20" s="1" customFormat="1" ht="14.1" customHeight="1" x14ac:dyDescent="0.25">
      <c r="A50" s="102" t="s">
        <v>6</v>
      </c>
      <c r="B50" s="102"/>
      <c r="C50" s="102"/>
      <c r="D50" s="102"/>
      <c r="E50" s="102"/>
      <c r="F50" s="103" t="s">
        <v>248</v>
      </c>
      <c r="G50" s="103"/>
      <c r="H50" s="103"/>
      <c r="I50" s="103"/>
      <c r="J50" s="103"/>
      <c r="K50" s="103"/>
      <c r="L50" s="103"/>
      <c r="M50" s="103"/>
      <c r="N50" s="103"/>
      <c r="O50" s="103"/>
      <c r="P50" s="103"/>
      <c r="Q50" s="103"/>
      <c r="R50" s="103"/>
      <c r="S50" s="103"/>
      <c r="T50" s="103"/>
    </row>
    <row r="51" spans="1:20" s="1" customFormat="1" ht="22.35" customHeight="1" x14ac:dyDescent="0.25">
      <c r="F51" s="103"/>
      <c r="G51" s="103"/>
      <c r="H51" s="103"/>
      <c r="I51" s="103"/>
      <c r="J51" s="103"/>
      <c r="K51" s="103"/>
      <c r="L51" s="103"/>
      <c r="M51" s="103"/>
      <c r="N51" s="103"/>
      <c r="O51" s="103"/>
      <c r="P51" s="103"/>
      <c r="Q51" s="103"/>
      <c r="R51" s="103"/>
      <c r="S51" s="103"/>
      <c r="T51" s="103"/>
    </row>
    <row r="52" spans="1:20" s="1" customFormat="1" ht="7.05" customHeight="1" x14ac:dyDescent="0.25">
      <c r="A52" s="86"/>
      <c r="B52" s="86"/>
      <c r="C52" s="86"/>
      <c r="D52" s="86"/>
      <c r="E52" s="86"/>
      <c r="F52" s="86"/>
      <c r="G52" s="86"/>
      <c r="H52" s="86"/>
      <c r="I52" s="86"/>
      <c r="J52" s="86"/>
      <c r="K52" s="86"/>
      <c r="L52" s="86"/>
      <c r="M52" s="86"/>
      <c r="N52" s="86"/>
      <c r="O52" s="86"/>
      <c r="P52" s="86"/>
      <c r="Q52" s="16"/>
      <c r="R52" s="86"/>
      <c r="S52" s="86"/>
      <c r="T52" s="86"/>
    </row>
    <row r="53" spans="1:20" s="1" customFormat="1" ht="16.95" customHeight="1" x14ac:dyDescent="0.25">
      <c r="A53" s="94" t="s">
        <v>8</v>
      </c>
      <c r="B53" s="94"/>
      <c r="C53" s="94"/>
      <c r="D53" s="94"/>
      <c r="E53" s="94"/>
      <c r="F53" s="94"/>
      <c r="G53" s="94"/>
      <c r="H53" s="94"/>
      <c r="I53" s="94"/>
      <c r="J53" s="94"/>
      <c r="K53" s="94"/>
      <c r="L53" s="94"/>
      <c r="M53" s="95" t="s">
        <v>9</v>
      </c>
      <c r="N53" s="95"/>
      <c r="O53" s="95"/>
      <c r="P53" s="95"/>
      <c r="Q53" s="95"/>
      <c r="R53" s="95"/>
      <c r="S53" s="95"/>
      <c r="T53" s="95"/>
    </row>
    <row r="54" spans="1:20" s="1" customFormat="1" ht="16.95" customHeight="1" x14ac:dyDescent="0.25">
      <c r="A54" s="94"/>
      <c r="B54" s="94"/>
      <c r="C54" s="94"/>
      <c r="D54" s="94"/>
      <c r="E54" s="94"/>
      <c r="F54" s="94"/>
      <c r="G54" s="94"/>
      <c r="H54" s="94"/>
      <c r="I54" s="94"/>
      <c r="J54" s="94"/>
      <c r="K54" s="94"/>
      <c r="L54" s="94"/>
      <c r="M54" s="96" t="s">
        <v>10</v>
      </c>
      <c r="N54" s="96"/>
      <c r="O54" s="96"/>
      <c r="P54" s="96"/>
      <c r="Q54" s="97" t="s">
        <v>11</v>
      </c>
      <c r="R54" s="97"/>
      <c r="S54" s="97"/>
      <c r="T54" s="97"/>
    </row>
    <row r="55" spans="1:20" s="1" customFormat="1" ht="16.95" customHeight="1" x14ac:dyDescent="0.25">
      <c r="A55" s="94"/>
      <c r="B55" s="94"/>
      <c r="C55" s="94"/>
      <c r="D55" s="94"/>
      <c r="E55" s="94"/>
      <c r="F55" s="94"/>
      <c r="G55" s="94"/>
      <c r="H55" s="94"/>
      <c r="I55" s="94"/>
      <c r="J55" s="94"/>
      <c r="K55" s="94"/>
      <c r="L55" s="94"/>
      <c r="M55" s="98" t="s">
        <v>12</v>
      </c>
      <c r="N55" s="98"/>
      <c r="O55" s="98" t="s">
        <v>13</v>
      </c>
      <c r="P55" s="98"/>
      <c r="Q55" s="13" t="s">
        <v>14</v>
      </c>
      <c r="R55" s="99" t="s">
        <v>15</v>
      </c>
      <c r="S55" s="99"/>
      <c r="T55" s="99"/>
    </row>
    <row r="56" spans="1:20" s="1" customFormat="1" ht="13.35" customHeight="1" x14ac:dyDescent="0.25">
      <c r="A56" s="88" t="s">
        <v>195</v>
      </c>
      <c r="B56" s="88"/>
      <c r="C56" s="88"/>
      <c r="D56" s="88"/>
      <c r="E56" s="88"/>
      <c r="F56" s="88"/>
      <c r="G56" s="88"/>
      <c r="H56" s="88"/>
      <c r="I56" s="88"/>
      <c r="J56" s="88"/>
      <c r="K56" s="88"/>
      <c r="L56" s="88"/>
      <c r="M56" s="132">
        <f>10.1*200/150</f>
        <v>13.466666666666667</v>
      </c>
      <c r="N56" s="132"/>
      <c r="O56" s="132">
        <f>10*200/150</f>
        <v>13.333333333333334</v>
      </c>
      <c r="P56" s="132"/>
      <c r="Q56" s="25">
        <v>1.34</v>
      </c>
      <c r="R56" s="132">
        <v>1.33</v>
      </c>
      <c r="S56" s="132"/>
      <c r="T56" s="132"/>
    </row>
    <row r="57" spans="1:20" s="1" customFormat="1" ht="13.35" customHeight="1" x14ac:dyDescent="0.25">
      <c r="A57" s="88" t="s">
        <v>293</v>
      </c>
      <c r="B57" s="88"/>
      <c r="C57" s="88"/>
      <c r="D57" s="88"/>
      <c r="E57" s="88"/>
      <c r="F57" s="88"/>
      <c r="G57" s="88"/>
      <c r="H57" s="88"/>
      <c r="I57" s="88"/>
      <c r="J57" s="88"/>
      <c r="K57" s="88"/>
      <c r="L57" s="88"/>
      <c r="M57" s="132">
        <f>13.7*200/150</f>
        <v>18.266666666666666</v>
      </c>
      <c r="N57" s="132"/>
      <c r="O57" s="132">
        <f>13.6*200/150</f>
        <v>18.133333333333333</v>
      </c>
      <c r="P57" s="132"/>
      <c r="Q57" s="25">
        <v>1.82</v>
      </c>
      <c r="R57" s="132">
        <v>1.181</v>
      </c>
      <c r="S57" s="132"/>
      <c r="T57" s="132"/>
    </row>
    <row r="58" spans="1:20" s="1" customFormat="1" ht="13.35" customHeight="1" x14ac:dyDescent="0.25">
      <c r="A58" s="88" t="s">
        <v>66</v>
      </c>
      <c r="B58" s="88"/>
      <c r="C58" s="88"/>
      <c r="D58" s="88"/>
      <c r="E58" s="88"/>
      <c r="F58" s="88"/>
      <c r="G58" s="88"/>
      <c r="H58" s="88"/>
      <c r="I58" s="88"/>
      <c r="J58" s="88"/>
      <c r="K58" s="88"/>
      <c r="L58" s="88"/>
      <c r="M58" s="132">
        <f>71.4*200/150</f>
        <v>95.200000000000017</v>
      </c>
      <c r="N58" s="132"/>
      <c r="O58" s="132">
        <f>71.4*200/150</f>
        <v>95.200000000000017</v>
      </c>
      <c r="P58" s="132"/>
      <c r="Q58" s="25">
        <v>9.52</v>
      </c>
      <c r="R58" s="132">
        <v>9.52</v>
      </c>
      <c r="S58" s="132"/>
      <c r="T58" s="132"/>
    </row>
    <row r="59" spans="1:20" s="1" customFormat="1" ht="13.35" customHeight="1" x14ac:dyDescent="0.25">
      <c r="A59" s="88" t="s">
        <v>114</v>
      </c>
      <c r="B59" s="88"/>
      <c r="C59" s="88"/>
      <c r="D59" s="88"/>
      <c r="E59" s="88"/>
      <c r="F59" s="88"/>
      <c r="G59" s="88"/>
      <c r="H59" s="88"/>
      <c r="I59" s="88"/>
      <c r="J59" s="88"/>
      <c r="K59" s="88"/>
      <c r="L59" s="88"/>
      <c r="M59" s="132">
        <f>46.4*200/150</f>
        <v>61.866666666666667</v>
      </c>
      <c r="N59" s="132"/>
      <c r="O59" s="132">
        <f>46.4*200/150</f>
        <v>61.866666666666667</v>
      </c>
      <c r="P59" s="132"/>
      <c r="Q59" s="25">
        <v>6.18</v>
      </c>
      <c r="R59" s="132">
        <v>6.18</v>
      </c>
      <c r="S59" s="132"/>
      <c r="T59" s="132"/>
    </row>
    <row r="60" spans="1:20" s="1" customFormat="1" ht="13.35" customHeight="1" x14ac:dyDescent="0.25">
      <c r="A60" s="88" t="s">
        <v>109</v>
      </c>
      <c r="B60" s="88"/>
      <c r="C60" s="88"/>
      <c r="D60" s="88"/>
      <c r="E60" s="88"/>
      <c r="F60" s="88"/>
      <c r="G60" s="88"/>
      <c r="H60" s="88"/>
      <c r="I60" s="88"/>
      <c r="J60" s="88"/>
      <c r="K60" s="88"/>
      <c r="L60" s="88"/>
      <c r="M60" s="132">
        <f>4.1*200/150</f>
        <v>5.4666666666666659</v>
      </c>
      <c r="N60" s="132"/>
      <c r="O60" s="132">
        <v>5.46</v>
      </c>
      <c r="P60" s="132"/>
      <c r="Q60" s="25">
        <v>0.54</v>
      </c>
      <c r="R60" s="132">
        <v>0.54</v>
      </c>
      <c r="S60" s="132"/>
      <c r="T60" s="132"/>
    </row>
    <row r="61" spans="1:20" s="1" customFormat="1" ht="13.35" customHeight="1" x14ac:dyDescent="0.25">
      <c r="A61" s="88" t="s">
        <v>61</v>
      </c>
      <c r="B61" s="88"/>
      <c r="C61" s="88"/>
      <c r="D61" s="88"/>
      <c r="E61" s="88"/>
      <c r="F61" s="88"/>
      <c r="G61" s="88"/>
      <c r="H61" s="88"/>
      <c r="I61" s="88"/>
      <c r="J61" s="88"/>
      <c r="K61" s="88"/>
      <c r="L61" s="88"/>
      <c r="M61" s="132">
        <f>7.1*200/150</f>
        <v>9.4666666666666668</v>
      </c>
      <c r="N61" s="132"/>
      <c r="O61" s="132">
        <v>9.4600000000000009</v>
      </c>
      <c r="P61" s="132"/>
      <c r="Q61" s="25">
        <v>0.94</v>
      </c>
      <c r="R61" s="132">
        <v>0.94</v>
      </c>
      <c r="S61" s="132"/>
      <c r="T61" s="132"/>
    </row>
    <row r="62" spans="1:20" s="1" customFormat="1" ht="14.1" customHeight="1" x14ac:dyDescent="0.25">
      <c r="A62" s="90" t="s">
        <v>789</v>
      </c>
      <c r="B62" s="90"/>
      <c r="C62" s="90"/>
      <c r="D62" s="90"/>
      <c r="E62" s="90"/>
      <c r="F62" s="90"/>
      <c r="G62" s="90"/>
      <c r="H62" s="90"/>
      <c r="I62" s="90"/>
      <c r="J62" s="90"/>
      <c r="K62" s="90"/>
      <c r="L62" s="90"/>
      <c r="M62" s="90"/>
      <c r="N62" s="90"/>
      <c r="O62" s="90"/>
      <c r="P62" s="90"/>
      <c r="Q62" s="90"/>
      <c r="R62" s="90"/>
      <c r="S62" s="90"/>
      <c r="T62" s="90"/>
    </row>
    <row r="63" spans="1:20" s="1" customFormat="1" ht="21.3" customHeight="1" x14ac:dyDescent="0.25"/>
    <row r="64" spans="1:20" s="1" customFormat="1" ht="14.1" customHeight="1" x14ac:dyDescent="0.25">
      <c r="A64" s="91" t="s">
        <v>33</v>
      </c>
      <c r="B64" s="91"/>
      <c r="C64" s="91"/>
      <c r="D64" s="91"/>
      <c r="E64" s="91"/>
      <c r="F64" s="91"/>
      <c r="G64" s="91"/>
      <c r="H64" s="91"/>
      <c r="I64" s="91"/>
      <c r="J64" s="91"/>
      <c r="K64" s="91"/>
      <c r="L64" s="91"/>
      <c r="M64" s="91"/>
      <c r="N64" s="91"/>
    </row>
    <row r="65" spans="1:19" s="1" customFormat="1" ht="13.35" customHeight="1" x14ac:dyDescent="0.25">
      <c r="A65" s="88" t="s">
        <v>34</v>
      </c>
      <c r="B65" s="88"/>
      <c r="C65" s="88"/>
      <c r="D65" s="88"/>
      <c r="E65" s="89">
        <f>6.08*200/150</f>
        <v>8.1066666666666674</v>
      </c>
      <c r="F65" s="89"/>
      <c r="G65" s="17"/>
      <c r="H65" s="6" t="s">
        <v>35</v>
      </c>
      <c r="I65" s="89">
        <v>0.08</v>
      </c>
      <c r="J65" s="89"/>
      <c r="K65" s="17"/>
      <c r="L65" s="88" t="s">
        <v>36</v>
      </c>
      <c r="M65" s="88"/>
      <c r="N65" s="89">
        <v>79.53</v>
      </c>
      <c r="O65" s="89"/>
    </row>
    <row r="66" spans="1:19" s="1" customFormat="1" ht="13.35" customHeight="1" x14ac:dyDescent="0.25">
      <c r="A66" s="88" t="s">
        <v>37</v>
      </c>
      <c r="B66" s="88"/>
      <c r="C66" s="88"/>
      <c r="D66" s="88"/>
      <c r="E66" s="89">
        <f>7.99*200/150</f>
        <v>10.653333333333334</v>
      </c>
      <c r="F66" s="89"/>
      <c r="G66" s="17"/>
      <c r="H66" s="6" t="s">
        <v>38</v>
      </c>
      <c r="I66" s="89">
        <v>0.37</v>
      </c>
      <c r="J66" s="89"/>
      <c r="K66" s="17"/>
      <c r="L66" s="88" t="s">
        <v>39</v>
      </c>
      <c r="M66" s="88"/>
      <c r="N66" s="89">
        <v>23.07</v>
      </c>
      <c r="O66" s="89"/>
    </row>
    <row r="67" spans="1:19" s="1" customFormat="1" ht="13.35" customHeight="1" x14ac:dyDescent="0.25">
      <c r="A67" s="88" t="s">
        <v>40</v>
      </c>
      <c r="B67" s="88"/>
      <c r="C67" s="88"/>
      <c r="D67" s="88"/>
      <c r="E67" s="89">
        <f>23.91*200/150</f>
        <v>31.88</v>
      </c>
      <c r="F67" s="89"/>
      <c r="G67" s="17"/>
      <c r="H67" s="6" t="s">
        <v>41</v>
      </c>
      <c r="I67" s="89">
        <v>0.04</v>
      </c>
      <c r="J67" s="89"/>
      <c r="K67" s="17"/>
      <c r="L67" s="88" t="s">
        <v>42</v>
      </c>
      <c r="M67" s="88"/>
      <c r="N67" s="89">
        <v>94.51</v>
      </c>
      <c r="O67" s="89"/>
    </row>
    <row r="68" spans="1:19" s="1" customFormat="1" ht="13.35" customHeight="1" x14ac:dyDescent="0.25">
      <c r="A68" s="88" t="s">
        <v>43</v>
      </c>
      <c r="B68" s="88"/>
      <c r="C68" s="88"/>
      <c r="D68" s="88"/>
      <c r="E68" s="89">
        <f>185.71*200/150</f>
        <v>247.61333333333334</v>
      </c>
      <c r="F68" s="89"/>
      <c r="G68" s="17"/>
      <c r="H68" s="6" t="s">
        <v>44</v>
      </c>
      <c r="I68" s="89">
        <v>0.56000000000000005</v>
      </c>
      <c r="J68" s="89"/>
      <c r="K68" s="17"/>
      <c r="L68" s="88" t="s">
        <v>45</v>
      </c>
      <c r="M68" s="88"/>
      <c r="N68" s="89">
        <v>0.53</v>
      </c>
      <c r="O68" s="89"/>
    </row>
    <row r="69" spans="1:19" s="1" customFormat="1" ht="13.35" customHeight="1" x14ac:dyDescent="0.25">
      <c r="A69" s="87"/>
      <c r="B69" s="87"/>
      <c r="C69" s="87"/>
      <c r="D69" s="87"/>
      <c r="E69" s="87"/>
      <c r="F69" s="87"/>
      <c r="G69" s="17"/>
      <c r="H69" s="6" t="s">
        <v>46</v>
      </c>
      <c r="I69" s="89">
        <v>0.11</v>
      </c>
      <c r="J69" s="89"/>
      <c r="K69" s="17"/>
      <c r="L69" s="88" t="s">
        <v>47</v>
      </c>
      <c r="M69" s="88"/>
      <c r="N69" s="89">
        <v>144.28</v>
      </c>
      <c r="O69" s="89"/>
    </row>
    <row r="70" spans="1:19" s="1" customFormat="1" ht="13.35" customHeight="1" x14ac:dyDescent="0.25">
      <c r="A70" s="87"/>
      <c r="B70" s="87"/>
      <c r="C70" s="87"/>
      <c r="D70" s="87"/>
      <c r="E70" s="87"/>
      <c r="F70" s="87"/>
      <c r="G70" s="17"/>
      <c r="H70" s="6" t="s">
        <v>48</v>
      </c>
      <c r="I70" s="89">
        <v>0.1</v>
      </c>
      <c r="J70" s="89"/>
      <c r="K70" s="17"/>
      <c r="L70" s="88" t="s">
        <v>49</v>
      </c>
      <c r="M70" s="88"/>
      <c r="N70" s="89">
        <v>7.18</v>
      </c>
      <c r="O70" s="89"/>
    </row>
    <row r="71" spans="1:19" s="1" customFormat="1" ht="13.35" customHeight="1" x14ac:dyDescent="0.25">
      <c r="A71" s="87"/>
      <c r="B71" s="87"/>
      <c r="C71" s="87"/>
      <c r="D71" s="87"/>
      <c r="E71" s="87"/>
      <c r="F71" s="87"/>
      <c r="G71" s="17"/>
      <c r="H71" s="17"/>
      <c r="I71" s="87"/>
      <c r="J71" s="87"/>
      <c r="K71" s="17"/>
      <c r="L71" s="88" t="s">
        <v>50</v>
      </c>
      <c r="M71" s="88"/>
      <c r="N71" s="89">
        <v>0.01</v>
      </c>
      <c r="O71" s="89"/>
    </row>
    <row r="72" spans="1:19" s="1" customFormat="1" ht="13.35" customHeight="1" x14ac:dyDescent="0.25">
      <c r="A72" s="87"/>
      <c r="B72" s="87"/>
      <c r="C72" s="87"/>
      <c r="D72" s="87"/>
      <c r="E72" s="87"/>
      <c r="F72" s="87"/>
      <c r="G72" s="17"/>
      <c r="H72" s="17"/>
      <c r="I72" s="87"/>
      <c r="J72" s="87"/>
      <c r="K72" s="17"/>
      <c r="L72" s="88" t="s">
        <v>51</v>
      </c>
      <c r="M72" s="88"/>
      <c r="N72" s="89">
        <v>0</v>
      </c>
      <c r="O72" s="89"/>
    </row>
    <row r="73" spans="1:19" s="1" customFormat="1" ht="14.1" customHeight="1" x14ac:dyDescent="0.25">
      <c r="A73" s="86"/>
      <c r="B73" s="86"/>
      <c r="C73" s="86"/>
      <c r="D73" s="86"/>
      <c r="E73" s="86"/>
      <c r="F73" s="86"/>
      <c r="G73" s="86"/>
      <c r="H73" s="86"/>
      <c r="I73" s="86"/>
      <c r="J73" s="86"/>
      <c r="K73" s="86"/>
      <c r="L73" s="86"/>
      <c r="M73" s="86"/>
      <c r="N73" s="86"/>
      <c r="O73" s="86"/>
      <c r="P73" s="86"/>
      <c r="Q73" s="86"/>
      <c r="R73" s="86"/>
      <c r="S73" s="86"/>
    </row>
    <row r="74" spans="1:19" s="1" customFormat="1" ht="14.1" customHeight="1" x14ac:dyDescent="0.25">
      <c r="A74" s="84" t="s">
        <v>52</v>
      </c>
      <c r="B74" s="84"/>
      <c r="C74" s="84"/>
      <c r="D74" s="84"/>
      <c r="E74" s="84"/>
      <c r="F74" s="84"/>
      <c r="G74" s="84"/>
      <c r="H74" s="84"/>
      <c r="I74" s="84"/>
      <c r="J74" s="84"/>
      <c r="K74" s="84"/>
      <c r="L74" s="84"/>
      <c r="M74" s="84"/>
      <c r="N74" s="84"/>
      <c r="O74" s="84"/>
      <c r="P74" s="84"/>
      <c r="Q74" s="84"/>
      <c r="R74" s="84"/>
      <c r="S74" s="84"/>
    </row>
    <row r="75" spans="1:19" s="1" customFormat="1" ht="30.9" customHeight="1" x14ac:dyDescent="0.25">
      <c r="A75" s="85" t="s">
        <v>304</v>
      </c>
      <c r="B75" s="85"/>
      <c r="C75" s="85"/>
      <c r="D75" s="85"/>
      <c r="E75" s="85"/>
      <c r="F75" s="85"/>
      <c r="G75" s="85"/>
      <c r="H75" s="85"/>
      <c r="I75" s="85"/>
      <c r="J75" s="85"/>
      <c r="K75" s="85"/>
      <c r="L75" s="85"/>
      <c r="M75" s="85"/>
      <c r="N75" s="85"/>
      <c r="O75" s="85"/>
      <c r="P75" s="85"/>
      <c r="Q75" s="85"/>
      <c r="R75" s="85"/>
      <c r="S75" s="85"/>
    </row>
    <row r="76" spans="1:19" s="1" customFormat="1" ht="14.1" customHeight="1" x14ac:dyDescent="0.25">
      <c r="A76" s="84" t="s">
        <v>54</v>
      </c>
      <c r="B76" s="84"/>
      <c r="C76" s="84"/>
      <c r="D76" s="84"/>
      <c r="E76" s="84"/>
      <c r="F76" s="84"/>
      <c r="G76" s="84"/>
      <c r="H76" s="84"/>
      <c r="I76" s="84"/>
      <c r="J76" s="84"/>
      <c r="K76" s="84"/>
      <c r="L76" s="84"/>
      <c r="M76" s="84"/>
      <c r="N76" s="84"/>
      <c r="O76" s="84"/>
      <c r="P76" s="84"/>
      <c r="Q76" s="84"/>
      <c r="R76" s="84"/>
      <c r="S76" s="84"/>
    </row>
    <row r="77" spans="1:19" s="1" customFormat="1" ht="21.6" customHeight="1" x14ac:dyDescent="0.25">
      <c r="A77" s="85" t="s">
        <v>680</v>
      </c>
      <c r="B77" s="85"/>
      <c r="C77" s="85"/>
      <c r="D77" s="85"/>
      <c r="E77" s="85"/>
      <c r="F77" s="85"/>
      <c r="G77" s="85"/>
      <c r="H77" s="85"/>
      <c r="I77" s="85"/>
      <c r="J77" s="85"/>
      <c r="K77" s="85"/>
      <c r="L77" s="85"/>
      <c r="M77" s="85"/>
      <c r="N77" s="85"/>
      <c r="O77" s="85"/>
      <c r="P77" s="85"/>
      <c r="Q77" s="85"/>
      <c r="R77" s="85"/>
      <c r="S77" s="85"/>
    </row>
    <row r="78" spans="1:19" s="1" customFormat="1" ht="14.1" customHeight="1" x14ac:dyDescent="0.25">
      <c r="A78" s="86"/>
      <c r="B78" s="86"/>
      <c r="C78" s="86"/>
      <c r="D78" s="86"/>
      <c r="E78" s="86"/>
      <c r="F78" s="86"/>
      <c r="G78" s="86"/>
      <c r="H78" s="86"/>
      <c r="I78" s="86"/>
      <c r="J78" s="86"/>
      <c r="K78" s="86"/>
      <c r="L78" s="86"/>
      <c r="M78" s="86"/>
      <c r="N78" s="86"/>
      <c r="O78" s="86"/>
      <c r="P78" s="86"/>
      <c r="Q78" s="86"/>
      <c r="R78" s="86"/>
      <c r="S78" s="86"/>
    </row>
    <row r="79" spans="1:19" s="1" customFormat="1" ht="14.1" customHeight="1" x14ac:dyDescent="0.25">
      <c r="A79" s="84" t="s">
        <v>56</v>
      </c>
      <c r="B79" s="84"/>
      <c r="C79" s="84"/>
      <c r="D79" s="84"/>
      <c r="E79" s="84"/>
      <c r="F79" s="84"/>
      <c r="G79" s="84"/>
      <c r="H79" s="84"/>
      <c r="I79" s="84"/>
      <c r="J79" s="84"/>
      <c r="K79" s="84"/>
      <c r="L79" s="84"/>
      <c r="M79" s="84"/>
      <c r="N79" s="84"/>
      <c r="O79" s="84"/>
      <c r="P79" s="84"/>
      <c r="Q79" s="84"/>
      <c r="R79" s="84"/>
      <c r="S79" s="84"/>
    </row>
    <row r="80" spans="1:19" s="1" customFormat="1" ht="58.5" customHeight="1" x14ac:dyDescent="0.25">
      <c r="A80" s="85" t="s">
        <v>305</v>
      </c>
      <c r="B80" s="85"/>
      <c r="C80" s="85"/>
      <c r="D80" s="85"/>
      <c r="E80" s="85"/>
      <c r="F80" s="85"/>
      <c r="G80" s="85"/>
      <c r="H80" s="85"/>
      <c r="I80" s="85"/>
      <c r="J80" s="85"/>
      <c r="K80" s="85"/>
      <c r="L80" s="85"/>
      <c r="M80" s="85"/>
      <c r="N80" s="85"/>
      <c r="O80" s="85"/>
      <c r="P80" s="85"/>
      <c r="Q80" s="85"/>
      <c r="R80" s="85"/>
      <c r="S80" s="85"/>
    </row>
    <row r="82" spans="1:20" s="1" customFormat="1" ht="72.45" customHeight="1" x14ac:dyDescent="0.25">
      <c r="J82" s="100" t="s">
        <v>0</v>
      </c>
      <c r="K82" s="100"/>
      <c r="L82" s="100"/>
      <c r="M82" s="100"/>
      <c r="N82" s="100"/>
      <c r="O82" s="100"/>
      <c r="P82" s="100"/>
      <c r="Q82" s="100"/>
      <c r="R82" s="100"/>
      <c r="S82" s="100"/>
      <c r="T82" s="100"/>
    </row>
    <row r="83" spans="1:20" s="1" customFormat="1" ht="7.05" customHeight="1" x14ac:dyDescent="0.25"/>
    <row r="84" spans="1:20" s="1" customFormat="1" ht="14.1" customHeight="1" x14ac:dyDescent="0.25">
      <c r="B84" s="101" t="s">
        <v>445</v>
      </c>
      <c r="C84" s="101"/>
      <c r="D84" s="101"/>
      <c r="E84" s="101"/>
      <c r="F84" s="101"/>
      <c r="G84" s="101"/>
      <c r="H84" s="101"/>
      <c r="I84" s="101"/>
      <c r="J84" s="101"/>
      <c r="K84" s="101"/>
      <c r="L84" s="101"/>
      <c r="M84" s="101"/>
      <c r="N84" s="101"/>
      <c r="O84" s="101"/>
      <c r="P84" s="101"/>
      <c r="Q84" s="101"/>
      <c r="R84" s="101"/>
    </row>
    <row r="85" spans="1:20" s="1" customFormat="1" ht="14.1" customHeight="1" x14ac:dyDescent="0.25"/>
    <row r="86" spans="1:20" s="1" customFormat="1" ht="14.1" customHeight="1" x14ac:dyDescent="0.25">
      <c r="A86" s="102" t="s">
        <v>2</v>
      </c>
      <c r="B86" s="102"/>
      <c r="C86" s="102"/>
      <c r="D86" s="103" t="s">
        <v>701</v>
      </c>
      <c r="E86" s="103"/>
      <c r="F86" s="103"/>
      <c r="G86" s="103"/>
      <c r="H86" s="103"/>
      <c r="I86" s="103"/>
      <c r="J86" s="103"/>
      <c r="K86" s="103"/>
      <c r="L86" s="103"/>
      <c r="M86" s="103"/>
      <c r="N86" s="103"/>
      <c r="O86" s="103"/>
      <c r="P86" s="103"/>
      <c r="Q86" s="103"/>
      <c r="R86" s="103"/>
      <c r="S86" s="103"/>
      <c r="T86" s="103"/>
    </row>
    <row r="87" spans="1:20" s="1" customFormat="1" ht="14.1" customHeight="1" x14ac:dyDescent="0.25">
      <c r="A87" s="102" t="s">
        <v>4</v>
      </c>
      <c r="B87" s="102"/>
      <c r="C87" s="103" t="s">
        <v>446</v>
      </c>
      <c r="D87" s="103"/>
      <c r="E87" s="103"/>
      <c r="F87" s="103"/>
      <c r="G87" s="103"/>
      <c r="H87" s="103"/>
      <c r="I87" s="103"/>
      <c r="J87" s="103"/>
      <c r="K87" s="103"/>
      <c r="L87" s="103"/>
      <c r="M87" s="103"/>
      <c r="N87" s="103"/>
      <c r="O87" s="103"/>
      <c r="P87" s="103"/>
      <c r="Q87" s="103"/>
      <c r="R87" s="103"/>
      <c r="S87" s="103"/>
      <c r="T87" s="103"/>
    </row>
    <row r="88" spans="1:20" s="1" customFormat="1" ht="14.1" customHeight="1" x14ac:dyDescent="0.25">
      <c r="A88" s="102" t="s">
        <v>6</v>
      </c>
      <c r="B88" s="102"/>
      <c r="C88" s="102"/>
      <c r="D88" s="102"/>
      <c r="E88" s="102"/>
      <c r="F88" s="103" t="s">
        <v>60</v>
      </c>
      <c r="G88" s="103"/>
      <c r="H88" s="103"/>
      <c r="I88" s="103"/>
      <c r="J88" s="103"/>
      <c r="K88" s="103"/>
      <c r="L88" s="103"/>
      <c r="M88" s="103"/>
      <c r="N88" s="103"/>
      <c r="O88" s="103"/>
      <c r="P88" s="103"/>
      <c r="Q88" s="103"/>
      <c r="R88" s="103"/>
      <c r="S88" s="103"/>
      <c r="T88" s="103"/>
    </row>
    <row r="89" spans="1:20" s="1" customFormat="1" ht="22.35" customHeight="1" x14ac:dyDescent="0.25">
      <c r="F89" s="103"/>
      <c r="G89" s="103"/>
      <c r="H89" s="103"/>
      <c r="I89" s="103"/>
      <c r="J89" s="103"/>
      <c r="K89" s="103"/>
      <c r="L89" s="103"/>
      <c r="M89" s="103"/>
      <c r="N89" s="103"/>
      <c r="O89" s="103"/>
      <c r="P89" s="103"/>
      <c r="Q89" s="103"/>
      <c r="R89" s="103"/>
      <c r="S89" s="103"/>
      <c r="T89" s="103"/>
    </row>
    <row r="90" spans="1:20" s="1" customFormat="1" ht="7.05" customHeight="1" x14ac:dyDescent="0.25">
      <c r="A90" s="86"/>
      <c r="B90" s="86"/>
      <c r="C90" s="86"/>
      <c r="D90" s="86"/>
      <c r="E90" s="86"/>
      <c r="F90" s="86"/>
      <c r="G90" s="86"/>
      <c r="H90" s="86"/>
      <c r="I90" s="86"/>
      <c r="J90" s="86"/>
      <c r="K90" s="86"/>
      <c r="L90" s="86"/>
      <c r="M90" s="86"/>
      <c r="N90" s="86"/>
      <c r="O90" s="86"/>
      <c r="P90" s="86"/>
      <c r="Q90" s="16"/>
      <c r="R90" s="86"/>
      <c r="S90" s="86"/>
      <c r="T90" s="86"/>
    </row>
    <row r="91" spans="1:20" s="1" customFormat="1" ht="16.95" customHeight="1" x14ac:dyDescent="0.25">
      <c r="A91" s="94" t="s">
        <v>8</v>
      </c>
      <c r="B91" s="94"/>
      <c r="C91" s="94"/>
      <c r="D91" s="94"/>
      <c r="E91" s="94"/>
      <c r="F91" s="94"/>
      <c r="G91" s="94"/>
      <c r="H91" s="94"/>
      <c r="I91" s="94"/>
      <c r="J91" s="94"/>
      <c r="K91" s="94"/>
      <c r="L91" s="94"/>
      <c r="M91" s="95" t="s">
        <v>9</v>
      </c>
      <c r="N91" s="95"/>
      <c r="O91" s="95"/>
      <c r="P91" s="95"/>
      <c r="Q91" s="95"/>
      <c r="R91" s="95"/>
      <c r="S91" s="95"/>
      <c r="T91" s="95"/>
    </row>
    <row r="92" spans="1:20" s="1" customFormat="1" ht="16.95" customHeight="1" x14ac:dyDescent="0.25">
      <c r="A92" s="94"/>
      <c r="B92" s="94"/>
      <c r="C92" s="94"/>
      <c r="D92" s="94"/>
      <c r="E92" s="94"/>
      <c r="F92" s="94"/>
      <c r="G92" s="94"/>
      <c r="H92" s="94"/>
      <c r="I92" s="94"/>
      <c r="J92" s="94"/>
      <c r="K92" s="94"/>
      <c r="L92" s="94"/>
      <c r="M92" s="96" t="s">
        <v>10</v>
      </c>
      <c r="N92" s="96"/>
      <c r="O92" s="96"/>
      <c r="P92" s="96"/>
      <c r="Q92" s="97" t="s">
        <v>11</v>
      </c>
      <c r="R92" s="97"/>
      <c r="S92" s="97"/>
      <c r="T92" s="97"/>
    </row>
    <row r="93" spans="1:20" s="1" customFormat="1" ht="16.95" customHeight="1" x14ac:dyDescent="0.25">
      <c r="A93" s="94"/>
      <c r="B93" s="94"/>
      <c r="C93" s="94"/>
      <c r="D93" s="94"/>
      <c r="E93" s="94"/>
      <c r="F93" s="94"/>
      <c r="G93" s="94"/>
      <c r="H93" s="94"/>
      <c r="I93" s="94"/>
      <c r="J93" s="94"/>
      <c r="K93" s="94"/>
      <c r="L93" s="94"/>
      <c r="M93" s="98" t="s">
        <v>12</v>
      </c>
      <c r="N93" s="98"/>
      <c r="O93" s="98" t="s">
        <v>13</v>
      </c>
      <c r="P93" s="98"/>
      <c r="Q93" s="13" t="s">
        <v>14</v>
      </c>
      <c r="R93" s="99" t="s">
        <v>15</v>
      </c>
      <c r="S93" s="99"/>
      <c r="T93" s="99"/>
    </row>
    <row r="94" spans="1:20" s="1" customFormat="1" ht="13.35" customHeight="1" x14ac:dyDescent="0.25">
      <c r="A94" s="88" t="s">
        <v>700</v>
      </c>
      <c r="B94" s="88"/>
      <c r="C94" s="88"/>
      <c r="D94" s="88"/>
      <c r="E94" s="88"/>
      <c r="F94" s="88"/>
      <c r="G94" s="88"/>
      <c r="H94" s="88"/>
      <c r="I94" s="88"/>
      <c r="J94" s="88"/>
      <c r="K94" s="88"/>
      <c r="L94" s="88"/>
      <c r="M94" s="88">
        <v>54.85</v>
      </c>
      <c r="N94" s="88"/>
      <c r="O94" s="88">
        <v>54.85</v>
      </c>
      <c r="P94" s="88"/>
      <c r="Q94" s="6">
        <v>5.48</v>
      </c>
      <c r="R94" s="88">
        <v>5.48</v>
      </c>
      <c r="S94" s="88"/>
      <c r="T94" s="88"/>
    </row>
    <row r="95" spans="1:20" s="1" customFormat="1" ht="13.35" customHeight="1" x14ac:dyDescent="0.25">
      <c r="A95" s="88" t="s">
        <v>66</v>
      </c>
      <c r="B95" s="88"/>
      <c r="C95" s="88"/>
      <c r="D95" s="88"/>
      <c r="E95" s="88"/>
      <c r="F95" s="88"/>
      <c r="G95" s="88"/>
      <c r="H95" s="88"/>
      <c r="I95" s="88"/>
      <c r="J95" s="88"/>
      <c r="K95" s="88"/>
      <c r="L95" s="88"/>
      <c r="M95" s="88">
        <v>155.5</v>
      </c>
      <c r="N95" s="88"/>
      <c r="O95" s="88">
        <v>155.5</v>
      </c>
      <c r="P95" s="88"/>
      <c r="Q95" s="6">
        <v>15.55</v>
      </c>
      <c r="R95" s="88">
        <v>15.55</v>
      </c>
      <c r="S95" s="88"/>
      <c r="T95" s="88"/>
    </row>
    <row r="96" spans="1:20" s="1" customFormat="1" ht="14.1" customHeight="1" x14ac:dyDescent="0.25">
      <c r="A96" s="90" t="s">
        <v>789</v>
      </c>
      <c r="B96" s="90"/>
      <c r="C96" s="90"/>
      <c r="D96" s="90"/>
      <c r="E96" s="90"/>
      <c r="F96" s="90"/>
      <c r="G96" s="90"/>
      <c r="H96" s="90"/>
      <c r="I96" s="90"/>
      <c r="J96" s="90"/>
      <c r="K96" s="90"/>
      <c r="L96" s="90"/>
      <c r="M96" s="90"/>
      <c r="N96" s="90"/>
      <c r="O96" s="90"/>
      <c r="P96" s="90"/>
      <c r="Q96" s="90"/>
      <c r="R96" s="90"/>
      <c r="S96" s="90"/>
      <c r="T96" s="90"/>
    </row>
    <row r="97" spans="1:19" s="1" customFormat="1" ht="21.3" customHeight="1" x14ac:dyDescent="0.25"/>
    <row r="98" spans="1:19" s="1" customFormat="1" ht="14.1" customHeight="1" x14ac:dyDescent="0.25">
      <c r="A98" s="91" t="s">
        <v>33</v>
      </c>
      <c r="B98" s="91"/>
      <c r="C98" s="91"/>
      <c r="D98" s="91"/>
      <c r="E98" s="91"/>
      <c r="F98" s="91"/>
      <c r="G98" s="91"/>
      <c r="H98" s="91"/>
      <c r="I98" s="91"/>
      <c r="J98" s="91"/>
      <c r="K98" s="91"/>
      <c r="L98" s="91"/>
      <c r="M98" s="91"/>
      <c r="N98" s="91"/>
    </row>
    <row r="99" spans="1:19" s="1" customFormat="1" ht="13.35" customHeight="1" x14ac:dyDescent="0.25">
      <c r="A99" s="88" t="s">
        <v>34</v>
      </c>
      <c r="B99" s="88"/>
      <c r="C99" s="88"/>
      <c r="D99" s="88"/>
      <c r="E99" s="89">
        <f>8.4*200/155</f>
        <v>10.838709677419354</v>
      </c>
      <c r="F99" s="89"/>
      <c r="G99" s="17"/>
      <c r="H99" s="6" t="s">
        <v>35</v>
      </c>
      <c r="I99" s="89">
        <v>0.44</v>
      </c>
      <c r="J99" s="89"/>
      <c r="K99" s="17"/>
      <c r="L99" s="88" t="s">
        <v>36</v>
      </c>
      <c r="M99" s="88"/>
      <c r="N99" s="89">
        <v>124</v>
      </c>
      <c r="O99" s="89"/>
    </row>
    <row r="100" spans="1:19" s="1" customFormat="1" ht="13.35" customHeight="1" x14ac:dyDescent="0.25">
      <c r="A100" s="88" t="s">
        <v>37</v>
      </c>
      <c r="B100" s="88"/>
      <c r="C100" s="88"/>
      <c r="D100" s="88"/>
      <c r="E100" s="89">
        <f>6.31*200/155</f>
        <v>8.1419354838709683</v>
      </c>
      <c r="F100" s="89"/>
      <c r="G100" s="17"/>
      <c r="H100" s="6" t="s">
        <v>38</v>
      </c>
      <c r="I100" s="89">
        <v>0.63</v>
      </c>
      <c r="J100" s="89"/>
      <c r="K100" s="17"/>
      <c r="L100" s="88" t="s">
        <v>39</v>
      </c>
      <c r="M100" s="88"/>
      <c r="N100" s="89">
        <v>19.29</v>
      </c>
      <c r="O100" s="89"/>
    </row>
    <row r="101" spans="1:19" s="1" customFormat="1" ht="13.35" customHeight="1" x14ac:dyDescent="0.25">
      <c r="A101" s="88" t="s">
        <v>40</v>
      </c>
      <c r="B101" s="88"/>
      <c r="C101" s="88"/>
      <c r="D101" s="88"/>
      <c r="E101" s="89">
        <f>30.45*200/155</f>
        <v>39.29032258064516</v>
      </c>
      <c r="F101" s="89"/>
      <c r="G101" s="17"/>
      <c r="H101" s="6" t="s">
        <v>41</v>
      </c>
      <c r="I101" s="89">
        <v>0.27</v>
      </c>
      <c r="J101" s="89"/>
      <c r="K101" s="17"/>
      <c r="L101" s="88" t="s">
        <v>42</v>
      </c>
      <c r="M101" s="88"/>
      <c r="N101" s="89">
        <v>86.76</v>
      </c>
      <c r="O101" s="89"/>
    </row>
    <row r="102" spans="1:19" s="1" customFormat="1" ht="13.35" customHeight="1" x14ac:dyDescent="0.25">
      <c r="A102" s="88" t="s">
        <v>43</v>
      </c>
      <c r="B102" s="88"/>
      <c r="C102" s="88"/>
      <c r="D102" s="88"/>
      <c r="E102" s="89">
        <f>156.15*200/155</f>
        <v>201.48387096774192</v>
      </c>
      <c r="F102" s="89"/>
      <c r="G102" s="17"/>
      <c r="H102" s="6" t="s">
        <v>44</v>
      </c>
      <c r="I102" s="89">
        <v>0.1</v>
      </c>
      <c r="J102" s="89"/>
      <c r="K102" s="17"/>
      <c r="L102" s="88" t="s">
        <v>45</v>
      </c>
      <c r="M102" s="88"/>
      <c r="N102" s="89">
        <v>7.08</v>
      </c>
      <c r="O102" s="89"/>
    </row>
    <row r="103" spans="1:19" s="1" customFormat="1" ht="13.35" customHeight="1" x14ac:dyDescent="0.25">
      <c r="A103" s="87"/>
      <c r="B103" s="87"/>
      <c r="C103" s="87"/>
      <c r="D103" s="87"/>
      <c r="E103" s="87"/>
      <c r="F103" s="87"/>
      <c r="G103" s="17"/>
      <c r="H103" s="6" t="s">
        <v>46</v>
      </c>
      <c r="I103" s="89">
        <v>1.45</v>
      </c>
      <c r="J103" s="89"/>
      <c r="K103" s="17"/>
      <c r="L103" s="88" t="s">
        <v>47</v>
      </c>
      <c r="M103" s="88"/>
      <c r="N103" s="89">
        <v>222.94</v>
      </c>
      <c r="O103" s="89"/>
    </row>
    <row r="104" spans="1:19" s="1" customFormat="1" ht="13.35" customHeight="1" x14ac:dyDescent="0.25">
      <c r="A104" s="87"/>
      <c r="B104" s="87"/>
      <c r="C104" s="87"/>
      <c r="D104" s="87"/>
      <c r="E104" s="87"/>
      <c r="F104" s="87"/>
      <c r="G104" s="17"/>
      <c r="H104" s="6" t="s">
        <v>48</v>
      </c>
      <c r="I104" s="89">
        <v>0.65</v>
      </c>
      <c r="J104" s="89"/>
      <c r="K104" s="17"/>
      <c r="L104" s="88" t="s">
        <v>49</v>
      </c>
      <c r="M104" s="88"/>
      <c r="N104" s="89">
        <v>10.85</v>
      </c>
      <c r="O104" s="89"/>
    </row>
    <row r="105" spans="1:19" s="1" customFormat="1" ht="13.35" customHeight="1" x14ac:dyDescent="0.25">
      <c r="A105" s="87"/>
      <c r="B105" s="87"/>
      <c r="C105" s="87"/>
      <c r="D105" s="87"/>
      <c r="E105" s="87"/>
      <c r="F105" s="87"/>
      <c r="G105" s="17"/>
      <c r="H105" s="17"/>
      <c r="I105" s="87"/>
      <c r="J105" s="87"/>
      <c r="K105" s="17"/>
      <c r="L105" s="88" t="s">
        <v>50</v>
      </c>
      <c r="M105" s="88"/>
      <c r="N105" s="89">
        <v>0</v>
      </c>
      <c r="O105" s="89"/>
    </row>
    <row r="106" spans="1:19" s="1" customFormat="1" ht="13.35" customHeight="1" x14ac:dyDescent="0.25">
      <c r="A106" s="87"/>
      <c r="B106" s="87"/>
      <c r="C106" s="87"/>
      <c r="D106" s="87"/>
      <c r="E106" s="87"/>
      <c r="F106" s="87"/>
      <c r="G106" s="17"/>
      <c r="H106" s="17"/>
      <c r="I106" s="87"/>
      <c r="J106" s="87"/>
      <c r="K106" s="17"/>
      <c r="L106" s="88" t="s">
        <v>51</v>
      </c>
      <c r="M106" s="88"/>
      <c r="N106" s="89">
        <v>0</v>
      </c>
      <c r="O106" s="89"/>
    </row>
    <row r="107" spans="1:19" s="1" customFormat="1" ht="14.1" customHeight="1" x14ac:dyDescent="0.25">
      <c r="A107" s="86"/>
      <c r="B107" s="86"/>
      <c r="C107" s="86"/>
      <c r="D107" s="86"/>
      <c r="E107" s="86"/>
      <c r="F107" s="86"/>
      <c r="G107" s="86"/>
      <c r="H107" s="86"/>
      <c r="I107" s="86"/>
      <c r="J107" s="86"/>
      <c r="K107" s="86"/>
      <c r="L107" s="86"/>
      <c r="M107" s="86"/>
      <c r="N107" s="86"/>
      <c r="O107" s="86"/>
      <c r="P107" s="86"/>
      <c r="Q107" s="86"/>
      <c r="R107" s="86"/>
      <c r="S107" s="86"/>
    </row>
    <row r="108" spans="1:19" s="1" customFormat="1" ht="14.1" customHeight="1" x14ac:dyDescent="0.25">
      <c r="A108" s="84" t="s">
        <v>52</v>
      </c>
      <c r="B108" s="84"/>
      <c r="C108" s="84"/>
      <c r="D108" s="84"/>
      <c r="E108" s="84"/>
      <c r="F108" s="84"/>
      <c r="G108" s="84"/>
      <c r="H108" s="84"/>
      <c r="I108" s="84"/>
      <c r="J108" s="84"/>
      <c r="K108" s="84"/>
      <c r="L108" s="84"/>
      <c r="M108" s="84"/>
      <c r="N108" s="84"/>
      <c r="O108" s="84"/>
      <c r="P108" s="84"/>
      <c r="Q108" s="84"/>
      <c r="R108" s="84"/>
      <c r="S108" s="84"/>
    </row>
    <row r="109" spans="1:19" s="1" customFormat="1" ht="12.15" customHeight="1" x14ac:dyDescent="0.25">
      <c r="A109" s="85" t="s">
        <v>448</v>
      </c>
      <c r="B109" s="85"/>
      <c r="C109" s="85"/>
      <c r="D109" s="85"/>
      <c r="E109" s="85"/>
      <c r="F109" s="85"/>
      <c r="G109" s="85"/>
      <c r="H109" s="85"/>
      <c r="I109" s="85"/>
      <c r="J109" s="85"/>
      <c r="K109" s="85"/>
      <c r="L109" s="85"/>
      <c r="M109" s="85"/>
      <c r="N109" s="85"/>
      <c r="O109" s="85"/>
      <c r="P109" s="85"/>
      <c r="Q109" s="85"/>
      <c r="R109" s="85"/>
      <c r="S109" s="85"/>
    </row>
    <row r="110" spans="1:19" s="1" customFormat="1" ht="14.1" customHeight="1" x14ac:dyDescent="0.25">
      <c r="A110" s="86"/>
      <c r="B110" s="86"/>
      <c r="C110" s="86"/>
      <c r="D110" s="86"/>
      <c r="E110" s="86"/>
      <c r="F110" s="86"/>
      <c r="G110" s="86"/>
      <c r="H110" s="86"/>
      <c r="I110" s="86"/>
      <c r="J110" s="86"/>
      <c r="K110" s="86"/>
      <c r="L110" s="86"/>
      <c r="M110" s="86"/>
      <c r="N110" s="86"/>
      <c r="O110" s="86"/>
      <c r="P110" s="86"/>
      <c r="Q110" s="86"/>
      <c r="R110" s="86"/>
      <c r="S110" s="86"/>
    </row>
    <row r="111" spans="1:19" s="1" customFormat="1" ht="14.1" customHeight="1" x14ac:dyDescent="0.25">
      <c r="A111" s="84" t="s">
        <v>54</v>
      </c>
      <c r="B111" s="84"/>
      <c r="C111" s="84"/>
      <c r="D111" s="84"/>
      <c r="E111" s="84"/>
      <c r="F111" s="84"/>
      <c r="G111" s="84"/>
      <c r="H111" s="84"/>
      <c r="I111" s="84"/>
      <c r="J111" s="84"/>
      <c r="K111" s="84"/>
      <c r="L111" s="84"/>
      <c r="M111" s="84"/>
      <c r="N111" s="84"/>
      <c r="O111" s="84"/>
      <c r="P111" s="84"/>
      <c r="Q111" s="84"/>
      <c r="R111" s="84"/>
      <c r="S111" s="84"/>
    </row>
    <row r="112" spans="1:19" s="1" customFormat="1" ht="12.15" customHeight="1" x14ac:dyDescent="0.25">
      <c r="A112" s="85" t="s">
        <v>449</v>
      </c>
      <c r="B112" s="85"/>
      <c r="C112" s="85"/>
      <c r="D112" s="85"/>
      <c r="E112" s="85"/>
      <c r="F112" s="85"/>
      <c r="G112" s="85"/>
      <c r="H112" s="85"/>
      <c r="I112" s="85"/>
      <c r="J112" s="85"/>
      <c r="K112" s="85"/>
      <c r="L112" s="85"/>
      <c r="M112" s="85"/>
      <c r="N112" s="85"/>
      <c r="O112" s="85"/>
      <c r="P112" s="85"/>
      <c r="Q112" s="85"/>
      <c r="R112" s="85"/>
      <c r="S112" s="85"/>
    </row>
    <row r="113" spans="1:20" s="1" customFormat="1" ht="14.1" customHeight="1" x14ac:dyDescent="0.25">
      <c r="A113" s="86"/>
      <c r="B113" s="86"/>
      <c r="C113" s="86"/>
      <c r="D113" s="86"/>
      <c r="E113" s="86"/>
      <c r="F113" s="86"/>
      <c r="G113" s="86"/>
      <c r="H113" s="86"/>
      <c r="I113" s="86"/>
      <c r="J113" s="86"/>
      <c r="K113" s="86"/>
      <c r="L113" s="86"/>
      <c r="M113" s="86"/>
      <c r="N113" s="86"/>
      <c r="O113" s="86"/>
      <c r="P113" s="86"/>
      <c r="Q113" s="86"/>
      <c r="R113" s="86"/>
      <c r="S113" s="86"/>
    </row>
    <row r="114" spans="1:20" s="1" customFormat="1" ht="14.1" customHeight="1" x14ac:dyDescent="0.25">
      <c r="A114" s="84" t="s">
        <v>56</v>
      </c>
      <c r="B114" s="84"/>
      <c r="C114" s="84"/>
      <c r="D114" s="84"/>
      <c r="E114" s="84"/>
      <c r="F114" s="84"/>
      <c r="G114" s="84"/>
      <c r="H114" s="84"/>
      <c r="I114" s="84"/>
      <c r="J114" s="84"/>
      <c r="K114" s="84"/>
      <c r="L114" s="84"/>
      <c r="M114" s="84"/>
      <c r="N114" s="84"/>
      <c r="O114" s="84"/>
      <c r="P114" s="84"/>
      <c r="Q114" s="84"/>
      <c r="R114" s="84"/>
      <c r="S114" s="84"/>
    </row>
    <row r="115" spans="1:20" s="1" customFormat="1" ht="49.2" customHeight="1" x14ac:dyDescent="0.25">
      <c r="A115" s="85" t="s">
        <v>450</v>
      </c>
      <c r="B115" s="85"/>
      <c r="C115" s="85"/>
      <c r="D115" s="85"/>
      <c r="E115" s="85"/>
      <c r="F115" s="85"/>
      <c r="G115" s="85"/>
      <c r="H115" s="85"/>
      <c r="I115" s="85"/>
      <c r="J115" s="85"/>
      <c r="K115" s="85"/>
      <c r="L115" s="85"/>
      <c r="M115" s="85"/>
      <c r="N115" s="85"/>
      <c r="O115" s="85"/>
      <c r="P115" s="85"/>
      <c r="Q115" s="85"/>
      <c r="R115" s="85"/>
      <c r="S115" s="85"/>
    </row>
    <row r="117" spans="1:20" s="1" customFormat="1" ht="72.45" customHeight="1" x14ac:dyDescent="0.25">
      <c r="J117" s="100" t="s">
        <v>0</v>
      </c>
      <c r="K117" s="100"/>
      <c r="L117" s="100"/>
      <c r="M117" s="100"/>
      <c r="N117" s="100"/>
      <c r="O117" s="100"/>
      <c r="P117" s="100"/>
      <c r="Q117" s="100"/>
      <c r="R117" s="100"/>
      <c r="S117" s="100"/>
      <c r="T117" s="100"/>
    </row>
    <row r="118" spans="1:20" ht="7.05" customHeight="1" x14ac:dyDescent="0.2"/>
    <row r="119" spans="1:20" ht="14.1" customHeight="1" x14ac:dyDescent="0.2">
      <c r="B119" s="105" t="s">
        <v>911</v>
      </c>
      <c r="C119" s="105"/>
      <c r="D119" s="105"/>
      <c r="E119" s="105"/>
      <c r="F119" s="105"/>
      <c r="G119" s="105"/>
      <c r="H119" s="105"/>
      <c r="I119" s="105"/>
      <c r="J119" s="105"/>
      <c r="K119" s="105"/>
      <c r="L119" s="105"/>
      <c r="M119" s="105"/>
      <c r="N119" s="105"/>
      <c r="O119" s="105"/>
      <c r="P119" s="105"/>
      <c r="Q119" s="105"/>
      <c r="R119" s="105"/>
    </row>
    <row r="120" spans="1:20" ht="14.1" customHeight="1" x14ac:dyDescent="0.2"/>
    <row r="121" spans="1:20" ht="14.1" customHeight="1" x14ac:dyDescent="0.2">
      <c r="A121" s="106" t="s">
        <v>2</v>
      </c>
      <c r="B121" s="106"/>
      <c r="C121" s="106"/>
      <c r="D121" s="107" t="s">
        <v>912</v>
      </c>
      <c r="E121" s="107"/>
      <c r="F121" s="107"/>
      <c r="G121" s="107"/>
      <c r="H121" s="107"/>
      <c r="I121" s="107"/>
      <c r="J121" s="107"/>
      <c r="K121" s="107"/>
      <c r="L121" s="107"/>
      <c r="M121" s="107"/>
      <c r="N121" s="107"/>
      <c r="O121" s="107"/>
      <c r="P121" s="107"/>
      <c r="Q121" s="107"/>
      <c r="R121" s="107"/>
      <c r="S121" s="107"/>
      <c r="T121" s="107"/>
    </row>
    <row r="122" spans="1:20" ht="14.1" customHeight="1" x14ac:dyDescent="0.2">
      <c r="A122" s="106" t="s">
        <v>4</v>
      </c>
      <c r="B122" s="106"/>
      <c r="C122" s="107" t="s">
        <v>913</v>
      </c>
      <c r="D122" s="107"/>
      <c r="E122" s="107"/>
      <c r="F122" s="107"/>
      <c r="G122" s="107"/>
      <c r="H122" s="107"/>
      <c r="I122" s="107"/>
      <c r="J122" s="107"/>
      <c r="K122" s="107"/>
      <c r="L122" s="107"/>
      <c r="M122" s="107"/>
      <c r="N122" s="107"/>
      <c r="O122" s="107"/>
      <c r="P122" s="107"/>
      <c r="Q122" s="107"/>
      <c r="R122" s="107"/>
      <c r="S122" s="107"/>
      <c r="T122" s="107"/>
    </row>
    <row r="123" spans="1:20" ht="14.1" customHeight="1" x14ac:dyDescent="0.2">
      <c r="A123" s="106" t="s">
        <v>6</v>
      </c>
      <c r="B123" s="106"/>
      <c r="C123" s="106"/>
      <c r="D123" s="106"/>
      <c r="E123" s="106"/>
      <c r="F123" s="107" t="s">
        <v>7</v>
      </c>
      <c r="G123" s="107"/>
      <c r="H123" s="107"/>
      <c r="I123" s="107"/>
      <c r="J123" s="107"/>
      <c r="K123" s="107"/>
      <c r="L123" s="107"/>
      <c r="M123" s="107"/>
      <c r="N123" s="107"/>
      <c r="O123" s="107"/>
      <c r="P123" s="107"/>
      <c r="Q123" s="107"/>
      <c r="R123" s="107"/>
      <c r="S123" s="107"/>
      <c r="T123" s="107"/>
    </row>
    <row r="124" spans="1:20" ht="22.35" customHeight="1" x14ac:dyDescent="0.2">
      <c r="F124" s="107"/>
      <c r="G124" s="107"/>
      <c r="H124" s="107"/>
      <c r="I124" s="107"/>
      <c r="J124" s="107"/>
      <c r="K124" s="107"/>
      <c r="L124" s="107"/>
      <c r="M124" s="107"/>
      <c r="N124" s="107"/>
      <c r="O124" s="107"/>
      <c r="P124" s="107"/>
      <c r="Q124" s="107"/>
      <c r="R124" s="107"/>
      <c r="S124" s="107"/>
      <c r="T124" s="107"/>
    </row>
    <row r="125" spans="1:20" ht="7.05" customHeight="1" x14ac:dyDescent="0.2">
      <c r="A125" s="106"/>
      <c r="B125" s="106"/>
      <c r="C125" s="106"/>
      <c r="D125" s="106"/>
      <c r="E125" s="106"/>
      <c r="F125" s="106"/>
      <c r="G125" s="106"/>
      <c r="H125" s="106"/>
      <c r="I125" s="106"/>
      <c r="J125" s="106"/>
      <c r="K125" s="106"/>
      <c r="L125" s="106"/>
      <c r="M125" s="106"/>
      <c r="N125" s="106"/>
      <c r="O125" s="106"/>
      <c r="P125" s="106"/>
      <c r="Q125" s="57"/>
      <c r="R125" s="106"/>
      <c r="S125" s="106"/>
      <c r="T125" s="106"/>
    </row>
    <row r="126" spans="1:20" ht="16.95" customHeight="1" x14ac:dyDescent="0.2">
      <c r="A126" s="108" t="s">
        <v>8</v>
      </c>
      <c r="B126" s="108"/>
      <c r="C126" s="108"/>
      <c r="D126" s="108"/>
      <c r="E126" s="108"/>
      <c r="F126" s="108"/>
      <c r="G126" s="108"/>
      <c r="H126" s="108"/>
      <c r="I126" s="108"/>
      <c r="J126" s="108"/>
      <c r="K126" s="108"/>
      <c r="L126" s="108"/>
      <c r="M126" s="108" t="s">
        <v>9</v>
      </c>
      <c r="N126" s="108"/>
      <c r="O126" s="108"/>
      <c r="P126" s="108"/>
      <c r="Q126" s="108"/>
      <c r="R126" s="108"/>
      <c r="S126" s="108"/>
      <c r="T126" s="108"/>
    </row>
    <row r="127" spans="1:20" ht="16.95" customHeight="1" x14ac:dyDescent="0.2">
      <c r="A127" s="108"/>
      <c r="B127" s="108"/>
      <c r="C127" s="108"/>
      <c r="D127" s="108"/>
      <c r="E127" s="108"/>
      <c r="F127" s="108"/>
      <c r="G127" s="108"/>
      <c r="H127" s="108"/>
      <c r="I127" s="108"/>
      <c r="J127" s="108"/>
      <c r="K127" s="108"/>
      <c r="L127" s="108"/>
      <c r="M127" s="108" t="s">
        <v>10</v>
      </c>
      <c r="N127" s="108"/>
      <c r="O127" s="108"/>
      <c r="P127" s="108"/>
      <c r="Q127" s="108" t="s">
        <v>11</v>
      </c>
      <c r="R127" s="108"/>
      <c r="S127" s="108"/>
      <c r="T127" s="108"/>
    </row>
    <row r="128" spans="1:20" ht="16.95" customHeight="1" x14ac:dyDescent="0.2">
      <c r="A128" s="108"/>
      <c r="B128" s="108"/>
      <c r="C128" s="108"/>
      <c r="D128" s="108"/>
      <c r="E128" s="108"/>
      <c r="F128" s="108"/>
      <c r="G128" s="108"/>
      <c r="H128" s="108"/>
      <c r="I128" s="108"/>
      <c r="J128" s="108"/>
      <c r="K128" s="108"/>
      <c r="L128" s="108"/>
      <c r="M128" s="108" t="s">
        <v>12</v>
      </c>
      <c r="N128" s="108"/>
      <c r="O128" s="108" t="s">
        <v>13</v>
      </c>
      <c r="P128" s="108"/>
      <c r="Q128" s="58" t="s">
        <v>14</v>
      </c>
      <c r="R128" s="108" t="s">
        <v>15</v>
      </c>
      <c r="S128" s="108"/>
      <c r="T128" s="108"/>
    </row>
    <row r="129" spans="1:20" ht="13.35" customHeight="1" x14ac:dyDescent="0.2">
      <c r="A129" s="109" t="s">
        <v>914</v>
      </c>
      <c r="B129" s="109"/>
      <c r="C129" s="109"/>
      <c r="D129" s="109"/>
      <c r="E129" s="109"/>
      <c r="F129" s="109"/>
      <c r="G129" s="109"/>
      <c r="H129" s="109"/>
      <c r="I129" s="109"/>
      <c r="J129" s="109"/>
      <c r="K129" s="109"/>
      <c r="L129" s="109"/>
      <c r="M129" s="109" t="s">
        <v>915</v>
      </c>
      <c r="N129" s="109"/>
      <c r="O129" s="109" t="s">
        <v>915</v>
      </c>
      <c r="P129" s="109"/>
      <c r="Q129" s="59" t="s">
        <v>916</v>
      </c>
      <c r="R129" s="109" t="s">
        <v>916</v>
      </c>
      <c r="S129" s="109"/>
      <c r="T129" s="109"/>
    </row>
    <row r="130" spans="1:20" ht="13.35" customHeight="1" x14ac:dyDescent="0.2">
      <c r="A130" s="109" t="s">
        <v>114</v>
      </c>
      <c r="B130" s="109"/>
      <c r="C130" s="109"/>
      <c r="D130" s="109"/>
      <c r="E130" s="109"/>
      <c r="F130" s="109"/>
      <c r="G130" s="109"/>
      <c r="H130" s="109"/>
      <c r="I130" s="109"/>
      <c r="J130" s="109"/>
      <c r="K130" s="109"/>
      <c r="L130" s="109"/>
      <c r="M130" s="109" t="s">
        <v>232</v>
      </c>
      <c r="N130" s="109"/>
      <c r="O130" s="109" t="s">
        <v>232</v>
      </c>
      <c r="P130" s="109"/>
      <c r="Q130" s="59" t="s">
        <v>233</v>
      </c>
      <c r="R130" s="109" t="s">
        <v>233</v>
      </c>
      <c r="S130" s="109"/>
      <c r="T130" s="109"/>
    </row>
    <row r="131" spans="1:20" ht="13.35" customHeight="1" x14ac:dyDescent="0.2">
      <c r="A131" s="109" t="s">
        <v>66</v>
      </c>
      <c r="B131" s="109"/>
      <c r="C131" s="109"/>
      <c r="D131" s="109"/>
      <c r="E131" s="109"/>
      <c r="F131" s="109"/>
      <c r="G131" s="109"/>
      <c r="H131" s="109"/>
      <c r="I131" s="109"/>
      <c r="J131" s="109"/>
      <c r="K131" s="109"/>
      <c r="L131" s="109"/>
      <c r="M131" s="109" t="s">
        <v>917</v>
      </c>
      <c r="N131" s="109"/>
      <c r="O131" s="109" t="s">
        <v>917</v>
      </c>
      <c r="P131" s="109"/>
      <c r="Q131" s="59" t="s">
        <v>918</v>
      </c>
      <c r="R131" s="109" t="s">
        <v>918</v>
      </c>
      <c r="S131" s="109"/>
      <c r="T131" s="109"/>
    </row>
    <row r="132" spans="1:20" ht="13.35" customHeight="1" x14ac:dyDescent="0.2">
      <c r="A132" s="109" t="s">
        <v>70</v>
      </c>
      <c r="B132" s="109"/>
      <c r="C132" s="109"/>
      <c r="D132" s="109"/>
      <c r="E132" s="109"/>
      <c r="F132" s="109"/>
      <c r="G132" s="109"/>
      <c r="H132" s="109"/>
      <c r="I132" s="109"/>
      <c r="J132" s="109"/>
      <c r="K132" s="109"/>
      <c r="L132" s="109"/>
      <c r="M132" s="109" t="s">
        <v>103</v>
      </c>
      <c r="N132" s="109"/>
      <c r="O132" s="109" t="s">
        <v>103</v>
      </c>
      <c r="P132" s="109"/>
      <c r="Q132" s="59" t="s">
        <v>133</v>
      </c>
      <c r="R132" s="109" t="s">
        <v>133</v>
      </c>
      <c r="S132" s="109"/>
      <c r="T132" s="109"/>
    </row>
    <row r="133" spans="1:20" ht="13.35" customHeight="1" x14ac:dyDescent="0.2">
      <c r="A133" s="109" t="s">
        <v>109</v>
      </c>
      <c r="B133" s="109"/>
      <c r="C133" s="109"/>
      <c r="D133" s="109"/>
      <c r="E133" s="109"/>
      <c r="F133" s="109"/>
      <c r="G133" s="109"/>
      <c r="H133" s="109"/>
      <c r="I133" s="109"/>
      <c r="J133" s="109"/>
      <c r="K133" s="109"/>
      <c r="L133" s="109"/>
      <c r="M133" s="109" t="s">
        <v>481</v>
      </c>
      <c r="N133" s="109"/>
      <c r="O133" s="109" t="s">
        <v>481</v>
      </c>
      <c r="P133" s="109"/>
      <c r="Q133" s="59" t="s">
        <v>482</v>
      </c>
      <c r="R133" s="109" t="s">
        <v>482</v>
      </c>
      <c r="S133" s="109"/>
      <c r="T133" s="109"/>
    </row>
    <row r="134" spans="1:20" ht="13.35" customHeight="1" x14ac:dyDescent="0.2">
      <c r="A134" s="109" t="s">
        <v>61</v>
      </c>
      <c r="B134" s="109"/>
      <c r="C134" s="109"/>
      <c r="D134" s="109"/>
      <c r="E134" s="109"/>
      <c r="F134" s="109"/>
      <c r="G134" s="109"/>
      <c r="H134" s="109"/>
      <c r="I134" s="109"/>
      <c r="J134" s="109"/>
      <c r="K134" s="109"/>
      <c r="L134" s="109"/>
      <c r="M134" s="109" t="s">
        <v>456</v>
      </c>
      <c r="N134" s="109"/>
      <c r="O134" s="109" t="s">
        <v>456</v>
      </c>
      <c r="P134" s="109"/>
      <c r="Q134" s="59" t="s">
        <v>457</v>
      </c>
      <c r="R134" s="109" t="s">
        <v>457</v>
      </c>
      <c r="S134" s="109"/>
      <c r="T134" s="109"/>
    </row>
    <row r="135" spans="1:20" ht="14.1" customHeight="1" x14ac:dyDescent="0.2">
      <c r="A135" s="110" t="s">
        <v>116</v>
      </c>
      <c r="B135" s="110"/>
      <c r="C135" s="110"/>
      <c r="D135" s="110"/>
      <c r="E135" s="110"/>
      <c r="F135" s="110"/>
      <c r="G135" s="110"/>
      <c r="H135" s="110"/>
      <c r="I135" s="110"/>
      <c r="J135" s="110"/>
      <c r="K135" s="110"/>
      <c r="L135" s="110"/>
      <c r="M135" s="110"/>
      <c r="N135" s="110"/>
      <c r="O135" s="110"/>
      <c r="P135" s="110"/>
      <c r="Q135" s="110"/>
      <c r="R135" s="110"/>
      <c r="S135" s="110"/>
      <c r="T135" s="110"/>
    </row>
    <row r="136" spans="1:20" ht="14.1" customHeight="1" x14ac:dyDescent="0.2"/>
    <row r="137" spans="1:20" ht="14.1" customHeight="1" x14ac:dyDescent="0.2">
      <c r="A137" s="111" t="s">
        <v>33</v>
      </c>
      <c r="B137" s="111"/>
      <c r="C137" s="111"/>
      <c r="D137" s="111"/>
      <c r="E137" s="111"/>
      <c r="F137" s="111"/>
      <c r="G137" s="111"/>
      <c r="H137" s="111"/>
      <c r="I137" s="111"/>
      <c r="J137" s="111"/>
      <c r="K137" s="111"/>
      <c r="L137" s="111"/>
      <c r="M137" s="111"/>
      <c r="N137" s="111"/>
    </row>
    <row r="138" spans="1:20" ht="13.35" customHeight="1" x14ac:dyDescent="0.2">
      <c r="A138" s="109" t="s">
        <v>43</v>
      </c>
      <c r="B138" s="109"/>
      <c r="C138" s="109"/>
      <c r="D138" s="109"/>
      <c r="E138" s="112">
        <v>257.36</v>
      </c>
      <c r="F138" s="112"/>
      <c r="G138" s="60"/>
      <c r="H138" s="59" t="s">
        <v>44</v>
      </c>
      <c r="I138" s="112">
        <v>0.26</v>
      </c>
      <c r="J138" s="112"/>
      <c r="K138" s="60"/>
      <c r="L138" s="109" t="s">
        <v>39</v>
      </c>
      <c r="M138" s="109"/>
      <c r="N138" s="112">
        <v>68.540000000000006</v>
      </c>
      <c r="O138" s="112"/>
    </row>
    <row r="139" spans="1:20" ht="13.35" customHeight="1" x14ac:dyDescent="0.2">
      <c r="A139" s="109" t="s">
        <v>34</v>
      </c>
      <c r="B139" s="109"/>
      <c r="C139" s="109"/>
      <c r="D139" s="109"/>
      <c r="E139" s="112">
        <v>8.02</v>
      </c>
      <c r="F139" s="112"/>
      <c r="G139" s="60"/>
      <c r="H139" s="59" t="s">
        <v>38</v>
      </c>
      <c r="I139" s="112">
        <v>1.29</v>
      </c>
      <c r="J139" s="112"/>
      <c r="K139" s="60"/>
      <c r="L139" s="109" t="s">
        <v>45</v>
      </c>
      <c r="M139" s="109"/>
      <c r="N139" s="112">
        <v>2.59</v>
      </c>
      <c r="O139" s="112"/>
    </row>
    <row r="140" spans="1:20" ht="13.35" customHeight="1" x14ac:dyDescent="0.2">
      <c r="A140" s="109" t="s">
        <v>37</v>
      </c>
      <c r="B140" s="109"/>
      <c r="C140" s="109"/>
      <c r="D140" s="109"/>
      <c r="E140" s="112">
        <v>10.220000000000001</v>
      </c>
      <c r="F140" s="112"/>
      <c r="G140" s="60"/>
      <c r="H140" s="59" t="s">
        <v>35</v>
      </c>
      <c r="I140" s="112">
        <v>0.17</v>
      </c>
      <c r="J140" s="112"/>
      <c r="K140" s="60"/>
      <c r="L140" s="109" t="s">
        <v>42</v>
      </c>
      <c r="M140" s="109"/>
      <c r="N140" s="112">
        <v>225.03</v>
      </c>
      <c r="O140" s="112"/>
    </row>
    <row r="141" spans="1:20" ht="13.35" customHeight="1" x14ac:dyDescent="0.2">
      <c r="A141" s="109" t="s">
        <v>40</v>
      </c>
      <c r="B141" s="109"/>
      <c r="C141" s="109"/>
      <c r="D141" s="109"/>
      <c r="E141" s="112">
        <v>33.24</v>
      </c>
      <c r="F141" s="112"/>
      <c r="G141" s="60"/>
      <c r="H141" s="59" t="s">
        <v>41</v>
      </c>
      <c r="I141" s="112">
        <v>0.05</v>
      </c>
      <c r="J141" s="112"/>
      <c r="K141" s="60"/>
      <c r="L141" s="109" t="s">
        <v>36</v>
      </c>
      <c r="M141" s="109"/>
      <c r="N141" s="112">
        <v>140.96</v>
      </c>
      <c r="O141" s="112"/>
    </row>
    <row r="142" spans="1:20" ht="13.35" customHeight="1" x14ac:dyDescent="0.2">
      <c r="A142" s="113"/>
      <c r="B142" s="113"/>
      <c r="C142" s="113"/>
      <c r="D142" s="113"/>
      <c r="E142" s="113"/>
      <c r="F142" s="113"/>
      <c r="G142" s="60"/>
      <c r="H142" s="59" t="s">
        <v>46</v>
      </c>
      <c r="I142" s="112">
        <v>0</v>
      </c>
      <c r="J142" s="112"/>
      <c r="K142" s="60"/>
      <c r="L142" s="109" t="s">
        <v>47</v>
      </c>
      <c r="M142" s="109"/>
      <c r="N142" s="112">
        <v>0</v>
      </c>
      <c r="O142" s="112"/>
    </row>
    <row r="143" spans="1:20" ht="13.35" customHeight="1" x14ac:dyDescent="0.2">
      <c r="A143" s="113"/>
      <c r="B143" s="113"/>
      <c r="C143" s="113"/>
      <c r="D143" s="113"/>
      <c r="E143" s="113"/>
      <c r="F143" s="113"/>
      <c r="G143" s="60"/>
      <c r="H143" s="59" t="s">
        <v>48</v>
      </c>
      <c r="I143" s="112">
        <v>0</v>
      </c>
      <c r="J143" s="112"/>
      <c r="K143" s="60"/>
      <c r="L143" s="109" t="s">
        <v>49</v>
      </c>
      <c r="M143" s="109"/>
      <c r="N143" s="112">
        <v>0</v>
      </c>
      <c r="O143" s="112"/>
    </row>
    <row r="144" spans="1:20" ht="13.35" customHeight="1" x14ac:dyDescent="0.2">
      <c r="A144" s="113"/>
      <c r="B144" s="113"/>
      <c r="C144" s="113"/>
      <c r="D144" s="113"/>
      <c r="E144" s="113"/>
      <c r="F144" s="113"/>
      <c r="G144" s="60"/>
      <c r="H144" s="60"/>
      <c r="I144" s="113"/>
      <c r="J144" s="113"/>
      <c r="K144" s="60"/>
      <c r="L144" s="109" t="s">
        <v>50</v>
      </c>
      <c r="M144" s="109"/>
      <c r="N144" s="112">
        <v>0</v>
      </c>
      <c r="O144" s="112"/>
    </row>
    <row r="145" spans="1:20" ht="13.35" customHeight="1" x14ac:dyDescent="0.2">
      <c r="A145" s="113"/>
      <c r="B145" s="113"/>
      <c r="C145" s="113"/>
      <c r="D145" s="113"/>
      <c r="E145" s="113"/>
      <c r="F145" s="113"/>
      <c r="G145" s="60"/>
      <c r="H145" s="60"/>
      <c r="I145" s="113"/>
      <c r="J145" s="113"/>
      <c r="K145" s="60"/>
      <c r="L145" s="109" t="s">
        <v>51</v>
      </c>
      <c r="M145" s="109"/>
      <c r="N145" s="112">
        <v>0</v>
      </c>
      <c r="O145" s="112"/>
    </row>
    <row r="146" spans="1:20" ht="14.1" customHeight="1" x14ac:dyDescent="0.2">
      <c r="A146" s="106"/>
      <c r="B146" s="106"/>
      <c r="C146" s="106"/>
      <c r="D146" s="106"/>
      <c r="E146" s="106"/>
      <c r="F146" s="106"/>
      <c r="G146" s="106"/>
      <c r="H146" s="106"/>
      <c r="I146" s="106"/>
      <c r="J146" s="106"/>
      <c r="K146" s="106"/>
      <c r="L146" s="106"/>
      <c r="M146" s="106"/>
      <c r="N146" s="106"/>
      <c r="O146" s="106"/>
      <c r="P146" s="106"/>
      <c r="Q146" s="106"/>
      <c r="R146" s="106"/>
      <c r="S146" s="106"/>
    </row>
    <row r="147" spans="1:20" ht="14.1" customHeight="1" x14ac:dyDescent="0.2">
      <c r="A147" s="111" t="s">
        <v>52</v>
      </c>
      <c r="B147" s="111"/>
      <c r="C147" s="111"/>
      <c r="D147" s="111"/>
      <c r="E147" s="111"/>
      <c r="F147" s="111"/>
      <c r="G147" s="111"/>
      <c r="H147" s="111"/>
      <c r="I147" s="111"/>
      <c r="J147" s="111"/>
      <c r="K147" s="111"/>
      <c r="L147" s="111"/>
      <c r="M147" s="111"/>
      <c r="N147" s="111"/>
      <c r="O147" s="111"/>
      <c r="P147" s="111"/>
      <c r="Q147" s="111"/>
      <c r="R147" s="111"/>
      <c r="S147" s="111"/>
    </row>
    <row r="148" spans="1:20" ht="21.6" customHeight="1" x14ac:dyDescent="0.2">
      <c r="A148" s="114" t="s">
        <v>919</v>
      </c>
      <c r="B148" s="114"/>
      <c r="C148" s="114"/>
      <c r="D148" s="114"/>
      <c r="E148" s="114"/>
      <c r="F148" s="114"/>
      <c r="G148" s="114"/>
      <c r="H148" s="114"/>
      <c r="I148" s="114"/>
      <c r="J148" s="114"/>
      <c r="K148" s="114"/>
      <c r="L148" s="114"/>
      <c r="M148" s="114"/>
      <c r="N148" s="114"/>
      <c r="O148" s="114"/>
      <c r="P148" s="114"/>
      <c r="Q148" s="114"/>
      <c r="R148" s="114"/>
      <c r="S148" s="114"/>
    </row>
    <row r="149" spans="1:20" ht="14.1" customHeight="1" x14ac:dyDescent="0.2">
      <c r="A149" s="106"/>
      <c r="B149" s="106"/>
      <c r="C149" s="106"/>
      <c r="D149" s="106"/>
      <c r="E149" s="106"/>
      <c r="F149" s="106"/>
      <c r="G149" s="106"/>
      <c r="H149" s="106"/>
      <c r="I149" s="106"/>
      <c r="J149" s="106"/>
      <c r="K149" s="106"/>
      <c r="L149" s="106"/>
      <c r="M149" s="106"/>
      <c r="N149" s="106"/>
      <c r="O149" s="106"/>
      <c r="P149" s="106"/>
      <c r="Q149" s="106"/>
      <c r="R149" s="106"/>
      <c r="S149" s="106"/>
    </row>
    <row r="150" spans="1:20" ht="14.1" customHeight="1" x14ac:dyDescent="0.2">
      <c r="A150" s="111" t="s">
        <v>54</v>
      </c>
      <c r="B150" s="111"/>
      <c r="C150" s="111"/>
      <c r="D150" s="111"/>
      <c r="E150" s="111"/>
      <c r="F150" s="111"/>
      <c r="G150" s="111"/>
      <c r="H150" s="111"/>
      <c r="I150" s="111"/>
      <c r="J150" s="111"/>
      <c r="K150" s="111"/>
      <c r="L150" s="111"/>
      <c r="M150" s="111"/>
      <c r="N150" s="111"/>
      <c r="O150" s="111"/>
      <c r="P150" s="111"/>
      <c r="Q150" s="111"/>
      <c r="R150" s="111"/>
      <c r="S150" s="111"/>
    </row>
    <row r="151" spans="1:20" ht="21.6" customHeight="1" x14ac:dyDescent="0.2">
      <c r="A151" s="114" t="s">
        <v>920</v>
      </c>
      <c r="B151" s="114"/>
      <c r="C151" s="114"/>
      <c r="D151" s="114"/>
      <c r="E151" s="114"/>
      <c r="F151" s="114"/>
      <c r="G151" s="114"/>
      <c r="H151" s="114"/>
      <c r="I151" s="114"/>
      <c r="J151" s="114"/>
      <c r="K151" s="114"/>
      <c r="L151" s="114"/>
      <c r="M151" s="114"/>
      <c r="N151" s="114"/>
      <c r="O151" s="114"/>
      <c r="P151" s="114"/>
      <c r="Q151" s="114"/>
      <c r="R151" s="114"/>
      <c r="S151" s="114"/>
    </row>
    <row r="152" spans="1:20" ht="14.1" customHeight="1" x14ac:dyDescent="0.2">
      <c r="A152" s="106"/>
      <c r="B152" s="106"/>
      <c r="C152" s="106"/>
      <c r="D152" s="106"/>
      <c r="E152" s="106"/>
      <c r="F152" s="106"/>
      <c r="G152" s="106"/>
      <c r="H152" s="106"/>
      <c r="I152" s="106"/>
      <c r="J152" s="106"/>
      <c r="K152" s="106"/>
      <c r="L152" s="106"/>
      <c r="M152" s="106"/>
      <c r="N152" s="106"/>
      <c r="O152" s="106"/>
      <c r="P152" s="106"/>
      <c r="Q152" s="106"/>
      <c r="R152" s="106"/>
      <c r="S152" s="106"/>
    </row>
    <row r="153" spans="1:20" ht="14.1" customHeight="1" x14ac:dyDescent="0.2">
      <c r="A153" s="111" t="s">
        <v>56</v>
      </c>
      <c r="B153" s="111"/>
      <c r="C153" s="111"/>
      <c r="D153" s="111"/>
      <c r="E153" s="111"/>
      <c r="F153" s="111"/>
      <c r="G153" s="111"/>
      <c r="H153" s="111"/>
      <c r="I153" s="111"/>
      <c r="J153" s="111"/>
      <c r="K153" s="111"/>
      <c r="L153" s="111"/>
      <c r="M153" s="111"/>
      <c r="N153" s="111"/>
      <c r="O153" s="111"/>
      <c r="P153" s="111"/>
      <c r="Q153" s="111"/>
      <c r="R153" s="111"/>
      <c r="S153" s="111"/>
    </row>
    <row r="154" spans="1:20" ht="49.2" customHeight="1" x14ac:dyDescent="0.2">
      <c r="A154" s="114" t="s">
        <v>921</v>
      </c>
      <c r="B154" s="114"/>
      <c r="C154" s="114"/>
      <c r="D154" s="114"/>
      <c r="E154" s="114"/>
      <c r="F154" s="114"/>
      <c r="G154" s="114"/>
      <c r="H154" s="114"/>
      <c r="I154" s="114"/>
      <c r="J154" s="114"/>
      <c r="K154" s="114"/>
      <c r="L154" s="114"/>
      <c r="M154" s="114"/>
      <c r="N154" s="114"/>
      <c r="O154" s="114"/>
      <c r="P154" s="114"/>
      <c r="Q154" s="114"/>
      <c r="R154" s="114"/>
      <c r="S154" s="114"/>
    </row>
    <row r="157" spans="1:20" s="1" customFormat="1" ht="72.45" customHeight="1" x14ac:dyDescent="0.25">
      <c r="J157" s="100" t="s">
        <v>0</v>
      </c>
      <c r="K157" s="100"/>
      <c r="L157" s="100"/>
      <c r="M157" s="100"/>
      <c r="N157" s="100"/>
      <c r="O157" s="100"/>
      <c r="P157" s="100"/>
      <c r="Q157" s="100"/>
      <c r="R157" s="100"/>
      <c r="S157" s="100"/>
      <c r="T157" s="100"/>
    </row>
    <row r="158" spans="1:20" ht="7.05" customHeight="1" x14ac:dyDescent="0.2"/>
    <row r="159" spans="1:20" ht="14.1" customHeight="1" x14ac:dyDescent="0.2">
      <c r="B159" s="130" t="s">
        <v>964</v>
      </c>
      <c r="C159" s="130"/>
      <c r="D159" s="130"/>
      <c r="E159" s="130"/>
      <c r="F159" s="130"/>
      <c r="G159" s="130"/>
      <c r="H159" s="130"/>
      <c r="I159" s="130"/>
      <c r="J159" s="130"/>
      <c r="K159" s="130"/>
      <c r="L159" s="130"/>
      <c r="M159" s="130"/>
      <c r="N159" s="130"/>
      <c r="O159" s="130"/>
      <c r="P159" s="130"/>
      <c r="Q159" s="130"/>
      <c r="R159" s="130"/>
    </row>
    <row r="160" spans="1:20" ht="14.1" customHeight="1" x14ac:dyDescent="0.2"/>
    <row r="161" spans="1:20" s="1" customFormat="1" ht="13.2" x14ac:dyDescent="0.25">
      <c r="A161" s="104" t="s">
        <v>754</v>
      </c>
      <c r="B161" s="93"/>
      <c r="C161" s="93"/>
      <c r="D161" s="93"/>
      <c r="E161" s="93"/>
      <c r="F161" s="93"/>
      <c r="G161" s="93"/>
      <c r="H161" s="93"/>
      <c r="I161" s="93"/>
      <c r="J161" s="93"/>
      <c r="K161" s="93"/>
      <c r="L161" s="93"/>
      <c r="M161" s="93"/>
      <c r="N161" s="93"/>
      <c r="O161" s="93"/>
      <c r="P161" s="93"/>
      <c r="Q161" s="93"/>
      <c r="R161" s="93"/>
      <c r="S161" s="93"/>
    </row>
    <row r="162" spans="1:20" s="1" customFormat="1" ht="49.95" customHeight="1" x14ac:dyDescent="0.25">
      <c r="A162" s="92" t="s">
        <v>965</v>
      </c>
      <c r="B162" s="93"/>
      <c r="C162" s="93"/>
      <c r="D162" s="93"/>
      <c r="E162" s="93"/>
      <c r="F162" s="93"/>
      <c r="G162" s="93"/>
      <c r="H162" s="93"/>
      <c r="I162" s="93"/>
      <c r="J162" s="93"/>
      <c r="K162" s="93"/>
      <c r="L162" s="93"/>
      <c r="M162" s="93"/>
      <c r="N162" s="93"/>
      <c r="O162" s="93"/>
      <c r="P162" s="93"/>
      <c r="Q162" s="93"/>
      <c r="R162" s="93"/>
      <c r="S162" s="93"/>
    </row>
    <row r="163" spans="1:20" ht="14.1" customHeight="1" x14ac:dyDescent="0.2">
      <c r="A163" s="120" t="s">
        <v>2</v>
      </c>
      <c r="B163" s="120"/>
      <c r="C163" s="120"/>
      <c r="D163" s="129" t="s">
        <v>966</v>
      </c>
      <c r="E163" s="129"/>
      <c r="F163" s="129"/>
      <c r="G163" s="129"/>
      <c r="H163" s="129"/>
      <c r="I163" s="129"/>
      <c r="J163" s="129"/>
      <c r="K163" s="129"/>
      <c r="L163" s="129"/>
      <c r="M163" s="129"/>
      <c r="N163" s="129"/>
      <c r="O163" s="129"/>
      <c r="P163" s="129"/>
      <c r="Q163" s="129"/>
      <c r="R163" s="129"/>
      <c r="S163" s="129"/>
      <c r="T163" s="129"/>
    </row>
    <row r="164" spans="1:20" ht="14.1" customHeight="1" x14ac:dyDescent="0.2">
      <c r="A164" s="120" t="s">
        <v>4</v>
      </c>
      <c r="B164" s="120"/>
      <c r="C164" s="129" t="s">
        <v>703</v>
      </c>
      <c r="D164" s="129"/>
      <c r="E164" s="129"/>
      <c r="F164" s="129"/>
      <c r="G164" s="129"/>
      <c r="H164" s="129"/>
      <c r="I164" s="129"/>
      <c r="J164" s="129"/>
      <c r="K164" s="129"/>
      <c r="L164" s="129"/>
      <c r="M164" s="129"/>
      <c r="N164" s="129"/>
      <c r="O164" s="129"/>
      <c r="P164" s="129"/>
      <c r="Q164" s="129"/>
      <c r="R164" s="129"/>
      <c r="S164" s="129"/>
      <c r="T164" s="129"/>
    </row>
    <row r="165" spans="1:20" ht="14.1" customHeight="1" x14ac:dyDescent="0.2">
      <c r="A165" s="120" t="s">
        <v>6</v>
      </c>
      <c r="B165" s="120"/>
      <c r="C165" s="120"/>
      <c r="D165" s="120"/>
      <c r="E165" s="120"/>
      <c r="F165" s="129" t="s">
        <v>248</v>
      </c>
      <c r="G165" s="129"/>
      <c r="H165" s="129"/>
      <c r="I165" s="129"/>
      <c r="J165" s="129"/>
      <c r="K165" s="129"/>
      <c r="L165" s="129"/>
      <c r="M165" s="129"/>
      <c r="N165" s="129"/>
      <c r="O165" s="129"/>
      <c r="P165" s="129"/>
      <c r="Q165" s="129"/>
      <c r="R165" s="129"/>
      <c r="S165" s="129"/>
      <c r="T165" s="129"/>
    </row>
    <row r="166" spans="1:20" ht="22.35" customHeight="1" x14ac:dyDescent="0.2">
      <c r="F166" s="129"/>
      <c r="G166" s="129"/>
      <c r="H166" s="129"/>
      <c r="I166" s="129"/>
      <c r="J166" s="129"/>
      <c r="K166" s="129"/>
      <c r="L166" s="129"/>
      <c r="M166" s="129"/>
      <c r="N166" s="129"/>
      <c r="O166" s="129"/>
      <c r="P166" s="129"/>
      <c r="Q166" s="129"/>
      <c r="R166" s="129"/>
      <c r="S166" s="129"/>
      <c r="T166" s="129"/>
    </row>
    <row r="167" spans="1:20" ht="7.05" customHeight="1" x14ac:dyDescent="0.2">
      <c r="A167" s="120"/>
      <c r="B167" s="120"/>
      <c r="C167" s="120"/>
      <c r="D167" s="120"/>
      <c r="E167" s="120"/>
      <c r="F167" s="120"/>
      <c r="G167" s="120"/>
      <c r="H167" s="120"/>
      <c r="I167" s="120"/>
      <c r="J167" s="120"/>
      <c r="K167" s="120"/>
      <c r="L167" s="120"/>
      <c r="M167" s="120"/>
      <c r="N167" s="120"/>
      <c r="O167" s="120"/>
      <c r="P167" s="120"/>
      <c r="Q167" s="71"/>
      <c r="R167" s="120"/>
      <c r="S167" s="120"/>
      <c r="T167" s="120"/>
    </row>
    <row r="168" spans="1:20" ht="16.95" customHeight="1" x14ac:dyDescent="0.2">
      <c r="A168" s="128" t="s">
        <v>8</v>
      </c>
      <c r="B168" s="128"/>
      <c r="C168" s="128"/>
      <c r="D168" s="128"/>
      <c r="E168" s="128"/>
      <c r="F168" s="128"/>
      <c r="G168" s="128"/>
      <c r="H168" s="128"/>
      <c r="I168" s="128"/>
      <c r="J168" s="128"/>
      <c r="K168" s="128"/>
      <c r="L168" s="128"/>
      <c r="M168" s="128" t="s">
        <v>9</v>
      </c>
      <c r="N168" s="128"/>
      <c r="O168" s="128"/>
      <c r="P168" s="128"/>
      <c r="Q168" s="128"/>
      <c r="R168" s="128"/>
      <c r="S168" s="128"/>
      <c r="T168" s="128"/>
    </row>
    <row r="169" spans="1:20" ht="16.95" customHeight="1" x14ac:dyDescent="0.2">
      <c r="A169" s="128"/>
      <c r="B169" s="128"/>
      <c r="C169" s="128"/>
      <c r="D169" s="128"/>
      <c r="E169" s="128"/>
      <c r="F169" s="128"/>
      <c r="G169" s="128"/>
      <c r="H169" s="128"/>
      <c r="I169" s="128"/>
      <c r="J169" s="128"/>
      <c r="K169" s="128"/>
      <c r="L169" s="128"/>
      <c r="M169" s="128" t="s">
        <v>10</v>
      </c>
      <c r="N169" s="128"/>
      <c r="O169" s="128"/>
      <c r="P169" s="128"/>
      <c r="Q169" s="128" t="s">
        <v>11</v>
      </c>
      <c r="R169" s="128"/>
      <c r="S169" s="128"/>
      <c r="T169" s="128"/>
    </row>
    <row r="170" spans="1:20" ht="16.95" customHeight="1" x14ac:dyDescent="0.2">
      <c r="A170" s="128"/>
      <c r="B170" s="128"/>
      <c r="C170" s="128"/>
      <c r="D170" s="128"/>
      <c r="E170" s="128"/>
      <c r="F170" s="128"/>
      <c r="G170" s="128"/>
      <c r="H170" s="128"/>
      <c r="I170" s="128"/>
      <c r="J170" s="128"/>
      <c r="K170" s="128"/>
      <c r="L170" s="128"/>
      <c r="M170" s="128" t="s">
        <v>12</v>
      </c>
      <c r="N170" s="128"/>
      <c r="O170" s="128" t="s">
        <v>13</v>
      </c>
      <c r="P170" s="128"/>
      <c r="Q170" s="74" t="s">
        <v>14</v>
      </c>
      <c r="R170" s="128" t="s">
        <v>15</v>
      </c>
      <c r="S170" s="128"/>
      <c r="T170" s="128"/>
    </row>
    <row r="171" spans="1:20" ht="13.35" customHeight="1" x14ac:dyDescent="0.2">
      <c r="A171" s="124" t="s">
        <v>66</v>
      </c>
      <c r="B171" s="124"/>
      <c r="C171" s="124"/>
      <c r="D171" s="124"/>
      <c r="E171" s="124"/>
      <c r="F171" s="124"/>
      <c r="G171" s="124"/>
      <c r="H171" s="124"/>
      <c r="I171" s="124"/>
      <c r="J171" s="124"/>
      <c r="K171" s="124"/>
      <c r="L171" s="124"/>
      <c r="M171" s="124" t="s">
        <v>285</v>
      </c>
      <c r="N171" s="124"/>
      <c r="O171" s="124" t="s">
        <v>285</v>
      </c>
      <c r="P171" s="124"/>
      <c r="Q171" s="73" t="s">
        <v>391</v>
      </c>
      <c r="R171" s="124" t="s">
        <v>391</v>
      </c>
      <c r="S171" s="124"/>
      <c r="T171" s="124"/>
    </row>
    <row r="172" spans="1:20" ht="13.35" customHeight="1" x14ac:dyDescent="0.2">
      <c r="A172" s="124" t="s">
        <v>114</v>
      </c>
      <c r="B172" s="124"/>
      <c r="C172" s="124"/>
      <c r="D172" s="124"/>
      <c r="E172" s="124"/>
      <c r="F172" s="124"/>
      <c r="G172" s="124"/>
      <c r="H172" s="124"/>
      <c r="I172" s="124"/>
      <c r="J172" s="124"/>
      <c r="K172" s="124"/>
      <c r="L172" s="124"/>
      <c r="M172" s="124" t="s">
        <v>922</v>
      </c>
      <c r="N172" s="124"/>
      <c r="O172" s="124" t="s">
        <v>922</v>
      </c>
      <c r="P172" s="124"/>
      <c r="Q172" s="73" t="s">
        <v>22</v>
      </c>
      <c r="R172" s="124" t="s">
        <v>22</v>
      </c>
      <c r="S172" s="124"/>
      <c r="T172" s="124"/>
    </row>
    <row r="173" spans="1:20" ht="13.35" customHeight="1" x14ac:dyDescent="0.2">
      <c r="A173" s="124" t="s">
        <v>570</v>
      </c>
      <c r="B173" s="124"/>
      <c r="C173" s="124"/>
      <c r="D173" s="124"/>
      <c r="E173" s="124"/>
      <c r="F173" s="124"/>
      <c r="G173" s="124"/>
      <c r="H173" s="124"/>
      <c r="I173" s="124"/>
      <c r="J173" s="124"/>
      <c r="K173" s="124"/>
      <c r="L173" s="124"/>
      <c r="M173" s="124" t="s">
        <v>85</v>
      </c>
      <c r="N173" s="124"/>
      <c r="O173" s="124" t="s">
        <v>85</v>
      </c>
      <c r="P173" s="124"/>
      <c r="Q173" s="73" t="s">
        <v>77</v>
      </c>
      <c r="R173" s="124" t="s">
        <v>77</v>
      </c>
      <c r="S173" s="124"/>
      <c r="T173" s="124"/>
    </row>
    <row r="174" spans="1:20" ht="13.35" customHeight="1" x14ac:dyDescent="0.2">
      <c r="A174" s="124" t="s">
        <v>61</v>
      </c>
      <c r="B174" s="124"/>
      <c r="C174" s="124"/>
      <c r="D174" s="124"/>
      <c r="E174" s="124"/>
      <c r="F174" s="124"/>
      <c r="G174" s="124"/>
      <c r="H174" s="124"/>
      <c r="I174" s="124"/>
      <c r="J174" s="124"/>
      <c r="K174" s="124"/>
      <c r="L174" s="124"/>
      <c r="M174" s="124" t="s">
        <v>77</v>
      </c>
      <c r="N174" s="124"/>
      <c r="O174" s="124" t="s">
        <v>77</v>
      </c>
      <c r="P174" s="124"/>
      <c r="Q174" s="73" t="s">
        <v>79</v>
      </c>
      <c r="R174" s="124" t="s">
        <v>79</v>
      </c>
      <c r="S174" s="124"/>
      <c r="T174" s="124"/>
    </row>
    <row r="175" spans="1:20" ht="13.35" customHeight="1" x14ac:dyDescent="0.2">
      <c r="A175" s="124" t="s">
        <v>109</v>
      </c>
      <c r="B175" s="124"/>
      <c r="C175" s="124"/>
      <c r="D175" s="124"/>
      <c r="E175" s="124"/>
      <c r="F175" s="124"/>
      <c r="G175" s="124"/>
      <c r="H175" s="124"/>
      <c r="I175" s="124"/>
      <c r="J175" s="124"/>
      <c r="K175" s="124"/>
      <c r="L175" s="124"/>
      <c r="M175" s="124" t="s">
        <v>241</v>
      </c>
      <c r="N175" s="124"/>
      <c r="O175" s="124" t="s">
        <v>241</v>
      </c>
      <c r="P175" s="124"/>
      <c r="Q175" s="73" t="s">
        <v>263</v>
      </c>
      <c r="R175" s="124" t="s">
        <v>263</v>
      </c>
      <c r="S175" s="124"/>
      <c r="T175" s="124"/>
    </row>
    <row r="176" spans="1:20" ht="13.35" customHeight="1" x14ac:dyDescent="0.2">
      <c r="A176" s="124" t="s">
        <v>70</v>
      </c>
      <c r="B176" s="124"/>
      <c r="C176" s="124"/>
      <c r="D176" s="124"/>
      <c r="E176" s="124"/>
      <c r="F176" s="124"/>
      <c r="G176" s="124"/>
      <c r="H176" s="124"/>
      <c r="I176" s="124"/>
      <c r="J176" s="124"/>
      <c r="K176" s="124"/>
      <c r="L176" s="124"/>
      <c r="M176" s="124" t="s">
        <v>241</v>
      </c>
      <c r="N176" s="124"/>
      <c r="O176" s="124" t="s">
        <v>241</v>
      </c>
      <c r="P176" s="124"/>
      <c r="Q176" s="73" t="s">
        <v>263</v>
      </c>
      <c r="R176" s="124" t="s">
        <v>263</v>
      </c>
      <c r="S176" s="124"/>
      <c r="T176" s="124"/>
    </row>
    <row r="177" spans="1:20" ht="14.1" customHeight="1" x14ac:dyDescent="0.2">
      <c r="A177" s="126" t="s">
        <v>790</v>
      </c>
      <c r="B177" s="126"/>
      <c r="C177" s="126"/>
      <c r="D177" s="126"/>
      <c r="E177" s="126"/>
      <c r="F177" s="126"/>
      <c r="G177" s="126"/>
      <c r="H177" s="126"/>
      <c r="I177" s="126"/>
      <c r="J177" s="126"/>
      <c r="K177" s="126"/>
      <c r="L177" s="126"/>
      <c r="M177" s="126"/>
      <c r="N177" s="126"/>
      <c r="O177" s="126"/>
      <c r="P177" s="126"/>
      <c r="Q177" s="126"/>
      <c r="R177" s="126"/>
      <c r="S177" s="126"/>
      <c r="T177" s="126"/>
    </row>
    <row r="178" spans="1:20" ht="14.1" customHeight="1" x14ac:dyDescent="0.2"/>
    <row r="179" spans="1:20" ht="14.1" customHeight="1" x14ac:dyDescent="0.2">
      <c r="A179" s="121" t="s">
        <v>33</v>
      </c>
      <c r="B179" s="121"/>
      <c r="C179" s="121"/>
      <c r="D179" s="121"/>
      <c r="E179" s="121"/>
      <c r="F179" s="121"/>
      <c r="G179" s="121"/>
      <c r="H179" s="121"/>
      <c r="I179" s="121"/>
      <c r="J179" s="121"/>
      <c r="K179" s="121"/>
      <c r="L179" s="121"/>
      <c r="M179" s="121"/>
      <c r="N179" s="121"/>
    </row>
    <row r="180" spans="1:20" ht="13.35" customHeight="1" x14ac:dyDescent="0.2">
      <c r="A180" s="124" t="s">
        <v>34</v>
      </c>
      <c r="B180" s="124"/>
      <c r="C180" s="124"/>
      <c r="D180" s="124"/>
      <c r="E180" s="125">
        <v>5.72</v>
      </c>
      <c r="F180" s="125"/>
      <c r="G180" s="72"/>
      <c r="H180" s="73" t="s">
        <v>35</v>
      </c>
      <c r="I180" s="125">
        <v>0.05</v>
      </c>
      <c r="J180" s="125"/>
      <c r="K180" s="72"/>
      <c r="L180" s="124" t="s">
        <v>36</v>
      </c>
      <c r="M180" s="124"/>
      <c r="N180" s="125">
        <v>144.52000000000001</v>
      </c>
      <c r="O180" s="125"/>
    </row>
    <row r="181" spans="1:20" ht="13.35" customHeight="1" x14ac:dyDescent="0.2">
      <c r="A181" s="124" t="s">
        <v>37</v>
      </c>
      <c r="B181" s="124"/>
      <c r="C181" s="124"/>
      <c r="D181" s="124"/>
      <c r="E181" s="125">
        <v>4.8600000000000003</v>
      </c>
      <c r="F181" s="125"/>
      <c r="G181" s="72"/>
      <c r="H181" s="73" t="s">
        <v>38</v>
      </c>
      <c r="I181" s="125">
        <v>0.65</v>
      </c>
      <c r="J181" s="125"/>
      <c r="K181" s="72"/>
      <c r="L181" s="124" t="s">
        <v>39</v>
      </c>
      <c r="M181" s="124"/>
      <c r="N181" s="125">
        <v>18.309999999999999</v>
      </c>
      <c r="O181" s="125"/>
    </row>
    <row r="182" spans="1:20" ht="13.35" customHeight="1" x14ac:dyDescent="0.2">
      <c r="A182" s="124" t="s">
        <v>40</v>
      </c>
      <c r="B182" s="124"/>
      <c r="C182" s="124"/>
      <c r="D182" s="124"/>
      <c r="E182" s="125">
        <v>20.8</v>
      </c>
      <c r="F182" s="125"/>
      <c r="G182" s="72"/>
      <c r="H182" s="73" t="s">
        <v>41</v>
      </c>
      <c r="I182" s="125">
        <v>0.03</v>
      </c>
      <c r="J182" s="125"/>
      <c r="K182" s="72"/>
      <c r="L182" s="124" t="s">
        <v>42</v>
      </c>
      <c r="M182" s="124"/>
      <c r="N182" s="125">
        <v>110.4</v>
      </c>
      <c r="O182" s="125"/>
    </row>
    <row r="183" spans="1:20" ht="13.35" customHeight="1" x14ac:dyDescent="0.2">
      <c r="A183" s="124" t="s">
        <v>43</v>
      </c>
      <c r="B183" s="124"/>
      <c r="C183" s="124"/>
      <c r="D183" s="124"/>
      <c r="E183" s="125">
        <v>152.15</v>
      </c>
      <c r="F183" s="125"/>
      <c r="G183" s="72"/>
      <c r="H183" s="73" t="s">
        <v>44</v>
      </c>
      <c r="I183" s="125">
        <v>0.04</v>
      </c>
      <c r="J183" s="125"/>
      <c r="K183" s="72"/>
      <c r="L183" s="124" t="s">
        <v>45</v>
      </c>
      <c r="M183" s="124"/>
      <c r="N183" s="125">
        <v>0.5</v>
      </c>
      <c r="O183" s="125"/>
    </row>
    <row r="184" spans="1:20" ht="13.35" customHeight="1" x14ac:dyDescent="0.2">
      <c r="A184" s="123"/>
      <c r="B184" s="123"/>
      <c r="C184" s="123"/>
      <c r="D184" s="123"/>
      <c r="E184" s="123"/>
      <c r="F184" s="123"/>
      <c r="G184" s="72"/>
      <c r="H184" s="73" t="s">
        <v>46</v>
      </c>
      <c r="I184" s="125">
        <v>0.03</v>
      </c>
      <c r="J184" s="125"/>
      <c r="K184" s="72"/>
      <c r="L184" s="124" t="s">
        <v>47</v>
      </c>
      <c r="M184" s="124"/>
      <c r="N184" s="125">
        <v>209.71</v>
      </c>
      <c r="O184" s="125"/>
    </row>
    <row r="185" spans="1:20" ht="13.35" customHeight="1" x14ac:dyDescent="0.2">
      <c r="A185" s="123"/>
      <c r="B185" s="123"/>
      <c r="C185" s="123"/>
      <c r="D185" s="123"/>
      <c r="E185" s="123"/>
      <c r="F185" s="123"/>
      <c r="G185" s="72"/>
      <c r="H185" s="73" t="s">
        <v>48</v>
      </c>
      <c r="I185" s="125">
        <v>0.15</v>
      </c>
      <c r="J185" s="125"/>
      <c r="K185" s="72"/>
      <c r="L185" s="124" t="s">
        <v>49</v>
      </c>
      <c r="M185" s="124"/>
      <c r="N185" s="125">
        <v>12.11</v>
      </c>
      <c r="O185" s="125"/>
    </row>
    <row r="186" spans="1:20" ht="13.35" customHeight="1" x14ac:dyDescent="0.2">
      <c r="A186" s="123"/>
      <c r="B186" s="123"/>
      <c r="C186" s="123"/>
      <c r="D186" s="123"/>
      <c r="E186" s="123"/>
      <c r="F186" s="123"/>
      <c r="G186" s="72"/>
      <c r="H186" s="72"/>
      <c r="I186" s="123"/>
      <c r="J186" s="123"/>
      <c r="K186" s="72"/>
      <c r="L186" s="124" t="s">
        <v>50</v>
      </c>
      <c r="M186" s="124"/>
      <c r="N186" s="125">
        <v>0</v>
      </c>
      <c r="O186" s="125"/>
    </row>
    <row r="187" spans="1:20" ht="13.35" customHeight="1" x14ac:dyDescent="0.2">
      <c r="A187" s="123"/>
      <c r="B187" s="123"/>
      <c r="C187" s="123"/>
      <c r="D187" s="123"/>
      <c r="E187" s="123"/>
      <c r="F187" s="123"/>
      <c r="G187" s="72"/>
      <c r="H187" s="72"/>
      <c r="I187" s="123"/>
      <c r="J187" s="123"/>
      <c r="K187" s="72"/>
      <c r="L187" s="124" t="s">
        <v>51</v>
      </c>
      <c r="M187" s="124"/>
      <c r="N187" s="125">
        <v>0</v>
      </c>
      <c r="O187" s="125"/>
    </row>
    <row r="188" spans="1:20" ht="14.1" customHeight="1" x14ac:dyDescent="0.2">
      <c r="A188" s="120"/>
      <c r="B188" s="120"/>
      <c r="C188" s="120"/>
      <c r="D188" s="120"/>
      <c r="E188" s="120"/>
      <c r="F188" s="120"/>
      <c r="G188" s="120"/>
      <c r="H188" s="120"/>
      <c r="I188" s="120"/>
      <c r="J188" s="120"/>
      <c r="K188" s="120"/>
      <c r="L188" s="120"/>
      <c r="M188" s="120"/>
      <c r="N188" s="120"/>
      <c r="O188" s="120"/>
      <c r="P188" s="120"/>
      <c r="Q188" s="120"/>
      <c r="R188" s="120"/>
      <c r="S188" s="120"/>
    </row>
    <row r="189" spans="1:20" ht="14.1" customHeight="1" x14ac:dyDescent="0.2">
      <c r="A189" s="121" t="s">
        <v>52</v>
      </c>
      <c r="B189" s="121"/>
      <c r="C189" s="121"/>
      <c r="D189" s="121"/>
      <c r="E189" s="121"/>
      <c r="F189" s="121"/>
      <c r="G189" s="121"/>
      <c r="H189" s="121"/>
      <c r="I189" s="121"/>
      <c r="J189" s="121"/>
      <c r="K189" s="121"/>
      <c r="L189" s="121"/>
      <c r="M189" s="121"/>
      <c r="N189" s="121"/>
      <c r="O189" s="121"/>
      <c r="P189" s="121"/>
      <c r="Q189" s="121"/>
      <c r="R189" s="121"/>
      <c r="S189" s="121"/>
    </row>
    <row r="190" spans="1:20" ht="49.2" customHeight="1" x14ac:dyDescent="0.2">
      <c r="A190" s="122" t="s">
        <v>967</v>
      </c>
      <c r="B190" s="122"/>
      <c r="C190" s="122"/>
      <c r="D190" s="122"/>
      <c r="E190" s="122"/>
      <c r="F190" s="122"/>
      <c r="G190" s="122"/>
      <c r="H190" s="122"/>
      <c r="I190" s="122"/>
      <c r="J190" s="122"/>
      <c r="K190" s="122"/>
      <c r="L190" s="122"/>
      <c r="M190" s="122"/>
      <c r="N190" s="122"/>
      <c r="O190" s="122"/>
      <c r="P190" s="122"/>
      <c r="Q190" s="122"/>
      <c r="R190" s="122"/>
      <c r="S190" s="122"/>
    </row>
    <row r="191" spans="1:20" ht="14.1" customHeight="1" x14ac:dyDescent="0.2">
      <c r="A191" s="120"/>
      <c r="B191" s="120"/>
      <c r="C191" s="120"/>
      <c r="D191" s="120"/>
      <c r="E191" s="120"/>
      <c r="F191" s="120"/>
      <c r="G191" s="120"/>
      <c r="H191" s="120"/>
      <c r="I191" s="120"/>
      <c r="J191" s="120"/>
      <c r="K191" s="120"/>
      <c r="L191" s="120"/>
      <c r="M191" s="120"/>
      <c r="N191" s="120"/>
      <c r="O191" s="120"/>
      <c r="P191" s="120"/>
      <c r="Q191" s="120"/>
      <c r="R191" s="120"/>
      <c r="S191" s="120"/>
    </row>
    <row r="192" spans="1:20" ht="14.1" customHeight="1" x14ac:dyDescent="0.2">
      <c r="A192" s="121" t="s">
        <v>54</v>
      </c>
      <c r="B192" s="121"/>
      <c r="C192" s="121"/>
      <c r="D192" s="121"/>
      <c r="E192" s="121"/>
      <c r="F192" s="121"/>
      <c r="G192" s="121"/>
      <c r="H192" s="121"/>
      <c r="I192" s="121"/>
      <c r="J192" s="121"/>
      <c r="K192" s="121"/>
      <c r="L192" s="121"/>
      <c r="M192" s="121"/>
      <c r="N192" s="121"/>
      <c r="O192" s="121"/>
      <c r="P192" s="121"/>
      <c r="Q192" s="121"/>
      <c r="R192" s="121"/>
      <c r="S192" s="121"/>
    </row>
    <row r="193" spans="1:19" ht="12.15" customHeight="1" x14ac:dyDescent="0.2">
      <c r="A193" s="122" t="s">
        <v>923</v>
      </c>
      <c r="B193" s="122"/>
      <c r="C193" s="122"/>
      <c r="D193" s="122"/>
      <c r="E193" s="122"/>
      <c r="F193" s="122"/>
      <c r="G193" s="122"/>
      <c r="H193" s="122"/>
      <c r="I193" s="122"/>
      <c r="J193" s="122"/>
      <c r="K193" s="122"/>
      <c r="L193" s="122"/>
      <c r="M193" s="122"/>
      <c r="N193" s="122"/>
      <c r="O193" s="122"/>
      <c r="P193" s="122"/>
      <c r="Q193" s="122"/>
      <c r="R193" s="122"/>
      <c r="S193" s="122"/>
    </row>
    <row r="194" spans="1:19" ht="14.1" customHeight="1" x14ac:dyDescent="0.2">
      <c r="A194" s="120"/>
      <c r="B194" s="120"/>
      <c r="C194" s="120"/>
      <c r="D194" s="120"/>
      <c r="E194" s="120"/>
      <c r="F194" s="120"/>
      <c r="G194" s="120"/>
      <c r="H194" s="120"/>
      <c r="I194" s="120"/>
      <c r="J194" s="120"/>
      <c r="K194" s="120"/>
      <c r="L194" s="120"/>
      <c r="M194" s="120"/>
      <c r="N194" s="120"/>
      <c r="O194" s="120"/>
      <c r="P194" s="120"/>
      <c r="Q194" s="120"/>
      <c r="R194" s="120"/>
      <c r="S194" s="120"/>
    </row>
    <row r="195" spans="1:19" ht="14.1" customHeight="1" x14ac:dyDescent="0.2">
      <c r="A195" s="121" t="s">
        <v>56</v>
      </c>
      <c r="B195" s="121"/>
      <c r="C195" s="121"/>
      <c r="D195" s="121"/>
      <c r="E195" s="121"/>
      <c r="F195" s="121"/>
      <c r="G195" s="121"/>
      <c r="H195" s="121"/>
      <c r="I195" s="121"/>
      <c r="J195" s="121"/>
      <c r="K195" s="121"/>
      <c r="L195" s="121"/>
      <c r="M195" s="121"/>
      <c r="N195" s="121"/>
      <c r="O195" s="121"/>
      <c r="P195" s="121"/>
      <c r="Q195" s="121"/>
      <c r="R195" s="121"/>
      <c r="S195" s="121"/>
    </row>
    <row r="196" spans="1:19" ht="49.2" customHeight="1" x14ac:dyDescent="0.2">
      <c r="A196" s="122" t="s">
        <v>924</v>
      </c>
      <c r="B196" s="122"/>
      <c r="C196" s="122"/>
      <c r="D196" s="122"/>
      <c r="E196" s="122"/>
      <c r="F196" s="122"/>
      <c r="G196" s="122"/>
      <c r="H196" s="122"/>
      <c r="I196" s="122"/>
      <c r="J196" s="122"/>
      <c r="K196" s="122"/>
      <c r="L196" s="122"/>
      <c r="M196" s="122"/>
      <c r="N196" s="122"/>
      <c r="O196" s="122"/>
      <c r="P196" s="122"/>
      <c r="Q196" s="122"/>
      <c r="R196" s="122"/>
      <c r="S196" s="122"/>
    </row>
  </sheetData>
  <mergeCells count="478">
    <mergeCell ref="A195:S195"/>
    <mergeCell ref="A196:S196"/>
    <mergeCell ref="A176:L176"/>
    <mergeCell ref="M176:N176"/>
    <mergeCell ref="O176:P176"/>
    <mergeCell ref="R176:T176"/>
    <mergeCell ref="A177:T177"/>
    <mergeCell ref="A179:N179"/>
    <mergeCell ref="A186:D186"/>
    <mergeCell ref="E186:F186"/>
    <mergeCell ref="I186:J186"/>
    <mergeCell ref="L186:M186"/>
    <mergeCell ref="N186:O186"/>
    <mergeCell ref="A188:S188"/>
    <mergeCell ref="A189:S189"/>
    <mergeCell ref="A190:S190"/>
    <mergeCell ref="A191:S191"/>
    <mergeCell ref="A192:S192"/>
    <mergeCell ref="A193:S193"/>
    <mergeCell ref="A194:S194"/>
    <mergeCell ref="A187:D187"/>
    <mergeCell ref="E187:F187"/>
    <mergeCell ref="I187:J187"/>
    <mergeCell ref="L187:M187"/>
    <mergeCell ref="N187:O187"/>
    <mergeCell ref="A184:D184"/>
    <mergeCell ref="E184:F184"/>
    <mergeCell ref="I184:J184"/>
    <mergeCell ref="L184:M184"/>
    <mergeCell ref="N184:O184"/>
    <mergeCell ref="A185:D185"/>
    <mergeCell ref="E185:F185"/>
    <mergeCell ref="I185:J185"/>
    <mergeCell ref="L185:M185"/>
    <mergeCell ref="N185:O185"/>
    <mergeCell ref="A182:D182"/>
    <mergeCell ref="E182:F182"/>
    <mergeCell ref="I182:J182"/>
    <mergeCell ref="L182:M182"/>
    <mergeCell ref="N182:O182"/>
    <mergeCell ref="A183:D183"/>
    <mergeCell ref="E183:F183"/>
    <mergeCell ref="I183:J183"/>
    <mergeCell ref="L183:M183"/>
    <mergeCell ref="N183:O183"/>
    <mergeCell ref="A180:D180"/>
    <mergeCell ref="E180:F180"/>
    <mergeCell ref="I180:J180"/>
    <mergeCell ref="L180:M180"/>
    <mergeCell ref="N180:O180"/>
    <mergeCell ref="A181:D181"/>
    <mergeCell ref="E181:F181"/>
    <mergeCell ref="I181:J181"/>
    <mergeCell ref="L181:M181"/>
    <mergeCell ref="N181:O181"/>
    <mergeCell ref="A173:L173"/>
    <mergeCell ref="M173:N173"/>
    <mergeCell ref="O173:P173"/>
    <mergeCell ref="R173:T173"/>
    <mergeCell ref="A174:L174"/>
    <mergeCell ref="M174:N174"/>
    <mergeCell ref="O174:P174"/>
    <mergeCell ref="R174:T174"/>
    <mergeCell ref="A175:L175"/>
    <mergeCell ref="M175:N175"/>
    <mergeCell ref="O175:P175"/>
    <mergeCell ref="R175:T175"/>
    <mergeCell ref="M170:N170"/>
    <mergeCell ref="O170:P170"/>
    <mergeCell ref="R170:T170"/>
    <mergeCell ref="A171:L171"/>
    <mergeCell ref="M171:N171"/>
    <mergeCell ref="O171:P171"/>
    <mergeCell ref="R171:T171"/>
    <mergeCell ref="A172:L172"/>
    <mergeCell ref="M172:N172"/>
    <mergeCell ref="O172:P172"/>
    <mergeCell ref="R172:T172"/>
    <mergeCell ref="A168:L170"/>
    <mergeCell ref="M168:T168"/>
    <mergeCell ref="M169:P169"/>
    <mergeCell ref="Q169:T169"/>
    <mergeCell ref="F165:T166"/>
    <mergeCell ref="A167:L167"/>
    <mergeCell ref="M167:N167"/>
    <mergeCell ref="O167:P167"/>
    <mergeCell ref="R167:T167"/>
    <mergeCell ref="J157:T157"/>
    <mergeCell ref="B159:R159"/>
    <mergeCell ref="A161:S161"/>
    <mergeCell ref="A162:S162"/>
    <mergeCell ref="A163:C163"/>
    <mergeCell ref="D163:T163"/>
    <mergeCell ref="A164:B164"/>
    <mergeCell ref="C164:T164"/>
    <mergeCell ref="A165:E165"/>
    <mergeCell ref="A146:S146"/>
    <mergeCell ref="A147:S147"/>
    <mergeCell ref="A148:S148"/>
    <mergeCell ref="A149:S149"/>
    <mergeCell ref="A150:S150"/>
    <mergeCell ref="A151:S151"/>
    <mergeCell ref="A152:S152"/>
    <mergeCell ref="A153:S153"/>
    <mergeCell ref="A154:S154"/>
    <mergeCell ref="A144:D144"/>
    <mergeCell ref="E144:F144"/>
    <mergeCell ref="I144:J144"/>
    <mergeCell ref="L144:M144"/>
    <mergeCell ref="N144:O144"/>
    <mergeCell ref="A145:D145"/>
    <mergeCell ref="E145:F145"/>
    <mergeCell ref="I145:J145"/>
    <mergeCell ref="L145:M145"/>
    <mergeCell ref="N145:O145"/>
    <mergeCell ref="A142:D142"/>
    <mergeCell ref="E142:F142"/>
    <mergeCell ref="I142:J142"/>
    <mergeCell ref="L142:M142"/>
    <mergeCell ref="N142:O142"/>
    <mergeCell ref="A143:D143"/>
    <mergeCell ref="E143:F143"/>
    <mergeCell ref="I143:J143"/>
    <mergeCell ref="L143:M143"/>
    <mergeCell ref="N143:O143"/>
    <mergeCell ref="A140:D140"/>
    <mergeCell ref="E140:F140"/>
    <mergeCell ref="I140:J140"/>
    <mergeCell ref="L140:M140"/>
    <mergeCell ref="N140:O140"/>
    <mergeCell ref="A141:D141"/>
    <mergeCell ref="E141:F141"/>
    <mergeCell ref="I141:J141"/>
    <mergeCell ref="L141:M141"/>
    <mergeCell ref="N141:O141"/>
    <mergeCell ref="A137:N137"/>
    <mergeCell ref="A138:D138"/>
    <mergeCell ref="E138:F138"/>
    <mergeCell ref="I138:J138"/>
    <mergeCell ref="L138:M138"/>
    <mergeCell ref="N138:O138"/>
    <mergeCell ref="A139:D139"/>
    <mergeCell ref="E139:F139"/>
    <mergeCell ref="I139:J139"/>
    <mergeCell ref="L139:M139"/>
    <mergeCell ref="N139:O139"/>
    <mergeCell ref="A133:L133"/>
    <mergeCell ref="M133:N133"/>
    <mergeCell ref="O133:P133"/>
    <mergeCell ref="R133:T133"/>
    <mergeCell ref="A134:L134"/>
    <mergeCell ref="M134:N134"/>
    <mergeCell ref="O134:P134"/>
    <mergeCell ref="R134:T134"/>
    <mergeCell ref="A135:T135"/>
    <mergeCell ref="A130:L130"/>
    <mergeCell ref="M130:N130"/>
    <mergeCell ref="O130:P130"/>
    <mergeCell ref="R130:T130"/>
    <mergeCell ref="A131:L131"/>
    <mergeCell ref="M131:N131"/>
    <mergeCell ref="O131:P131"/>
    <mergeCell ref="R131:T131"/>
    <mergeCell ref="A132:L132"/>
    <mergeCell ref="M132:N132"/>
    <mergeCell ref="O132:P132"/>
    <mergeCell ref="R132:T132"/>
    <mergeCell ref="A126:L128"/>
    <mergeCell ref="M126:T126"/>
    <mergeCell ref="M127:P127"/>
    <mergeCell ref="Q127:T127"/>
    <mergeCell ref="M128:N128"/>
    <mergeCell ref="O128:P128"/>
    <mergeCell ref="R128:T128"/>
    <mergeCell ref="A129:L129"/>
    <mergeCell ref="M129:N129"/>
    <mergeCell ref="O129:P129"/>
    <mergeCell ref="R129:T129"/>
    <mergeCell ref="J117:T117"/>
    <mergeCell ref="B119:R119"/>
    <mergeCell ref="A121:C121"/>
    <mergeCell ref="D121:T121"/>
    <mergeCell ref="A122:B122"/>
    <mergeCell ref="C122:T122"/>
    <mergeCell ref="A123:E123"/>
    <mergeCell ref="F123:T124"/>
    <mergeCell ref="A125:L125"/>
    <mergeCell ref="M125:N125"/>
    <mergeCell ref="O125:P125"/>
    <mergeCell ref="R125:T125"/>
    <mergeCell ref="A114:S114"/>
    <mergeCell ref="A115:S115"/>
    <mergeCell ref="A108:S108"/>
    <mergeCell ref="A109:S109"/>
    <mergeCell ref="A110:S110"/>
    <mergeCell ref="A111:S111"/>
    <mergeCell ref="A112:S112"/>
    <mergeCell ref="A113:S113"/>
    <mergeCell ref="A106:D106"/>
    <mergeCell ref="E106:F106"/>
    <mergeCell ref="I106:J106"/>
    <mergeCell ref="L106:M106"/>
    <mergeCell ref="N106:O106"/>
    <mergeCell ref="A107:S107"/>
    <mergeCell ref="A104:D104"/>
    <mergeCell ref="E104:F104"/>
    <mergeCell ref="I104:J104"/>
    <mergeCell ref="L104:M104"/>
    <mergeCell ref="N104:O104"/>
    <mergeCell ref="A105:D105"/>
    <mergeCell ref="E105:F105"/>
    <mergeCell ref="I105:J105"/>
    <mergeCell ref="L105:M105"/>
    <mergeCell ref="N105:O105"/>
    <mergeCell ref="A102:D102"/>
    <mergeCell ref="E102:F102"/>
    <mergeCell ref="I102:J102"/>
    <mergeCell ref="L102:M102"/>
    <mergeCell ref="N102:O102"/>
    <mergeCell ref="A103:D103"/>
    <mergeCell ref="E103:F103"/>
    <mergeCell ref="I103:J103"/>
    <mergeCell ref="L103:M103"/>
    <mergeCell ref="N103:O103"/>
    <mergeCell ref="A100:D100"/>
    <mergeCell ref="E100:F100"/>
    <mergeCell ref="I100:J100"/>
    <mergeCell ref="L100:M100"/>
    <mergeCell ref="N100:O100"/>
    <mergeCell ref="A101:D101"/>
    <mergeCell ref="E101:F101"/>
    <mergeCell ref="I101:J101"/>
    <mergeCell ref="L101:M101"/>
    <mergeCell ref="N101:O101"/>
    <mergeCell ref="A96:T96"/>
    <mergeCell ref="A98:N98"/>
    <mergeCell ref="A99:D99"/>
    <mergeCell ref="E99:F99"/>
    <mergeCell ref="I99:J99"/>
    <mergeCell ref="L99:M99"/>
    <mergeCell ref="N99:O99"/>
    <mergeCell ref="A94:L94"/>
    <mergeCell ref="M94:N94"/>
    <mergeCell ref="O94:P94"/>
    <mergeCell ref="R94:T94"/>
    <mergeCell ref="A95:L95"/>
    <mergeCell ref="M95:N95"/>
    <mergeCell ref="O95:P95"/>
    <mergeCell ref="R95:T95"/>
    <mergeCell ref="A91:L93"/>
    <mergeCell ref="M91:T91"/>
    <mergeCell ref="M92:P92"/>
    <mergeCell ref="Q92:T92"/>
    <mergeCell ref="M93:N93"/>
    <mergeCell ref="O93:P93"/>
    <mergeCell ref="R93:T93"/>
    <mergeCell ref="A88:E88"/>
    <mergeCell ref="F88:T89"/>
    <mergeCell ref="A90:L90"/>
    <mergeCell ref="M90:N90"/>
    <mergeCell ref="O90:P90"/>
    <mergeCell ref="R90:T90"/>
    <mergeCell ref="A80:S80"/>
    <mergeCell ref="J82:T82"/>
    <mergeCell ref="B84:R84"/>
    <mergeCell ref="A86:C86"/>
    <mergeCell ref="D86:T86"/>
    <mergeCell ref="A87:B87"/>
    <mergeCell ref="C87:T87"/>
    <mergeCell ref="A74:S74"/>
    <mergeCell ref="A75:S75"/>
    <mergeCell ref="A76:S76"/>
    <mergeCell ref="A77:S77"/>
    <mergeCell ref="A78:S78"/>
    <mergeCell ref="A79:S79"/>
    <mergeCell ref="A72:D72"/>
    <mergeCell ref="E72:F72"/>
    <mergeCell ref="I72:J72"/>
    <mergeCell ref="L72:M72"/>
    <mergeCell ref="N72:O72"/>
    <mergeCell ref="A73:S73"/>
    <mergeCell ref="A70:D70"/>
    <mergeCell ref="E70:F70"/>
    <mergeCell ref="I70:J70"/>
    <mergeCell ref="L70:M70"/>
    <mergeCell ref="N70:O70"/>
    <mergeCell ref="A71:D71"/>
    <mergeCell ref="E71:F71"/>
    <mergeCell ref="I71:J71"/>
    <mergeCell ref="L71:M71"/>
    <mergeCell ref="N71:O71"/>
    <mergeCell ref="A68:D68"/>
    <mergeCell ref="E68:F68"/>
    <mergeCell ref="I68:J68"/>
    <mergeCell ref="L68:M68"/>
    <mergeCell ref="N68:O68"/>
    <mergeCell ref="A69:D69"/>
    <mergeCell ref="E69:F69"/>
    <mergeCell ref="I69:J69"/>
    <mergeCell ref="L69:M69"/>
    <mergeCell ref="N69:O69"/>
    <mergeCell ref="A66:D66"/>
    <mergeCell ref="E66:F66"/>
    <mergeCell ref="I66:J66"/>
    <mergeCell ref="L66:M66"/>
    <mergeCell ref="N66:O66"/>
    <mergeCell ref="A67:D67"/>
    <mergeCell ref="E67:F67"/>
    <mergeCell ref="I67:J67"/>
    <mergeCell ref="L67:M67"/>
    <mergeCell ref="N67:O67"/>
    <mergeCell ref="A62:T62"/>
    <mergeCell ref="A64:N64"/>
    <mergeCell ref="A65:D65"/>
    <mergeCell ref="E65:F65"/>
    <mergeCell ref="I65:J65"/>
    <mergeCell ref="L65:M65"/>
    <mergeCell ref="N65:O65"/>
    <mergeCell ref="A60:L60"/>
    <mergeCell ref="M60:N60"/>
    <mergeCell ref="O60:P60"/>
    <mergeCell ref="R60:T60"/>
    <mergeCell ref="A61:L61"/>
    <mergeCell ref="M61:N61"/>
    <mergeCell ref="O61:P61"/>
    <mergeCell ref="R61:T61"/>
    <mergeCell ref="A58:L58"/>
    <mergeCell ref="M58:N58"/>
    <mergeCell ref="O58:P58"/>
    <mergeCell ref="R58:T58"/>
    <mergeCell ref="A59:L59"/>
    <mergeCell ref="M59:N59"/>
    <mergeCell ref="O59:P59"/>
    <mergeCell ref="R59:T59"/>
    <mergeCell ref="A56:L56"/>
    <mergeCell ref="M56:N56"/>
    <mergeCell ref="O56:P56"/>
    <mergeCell ref="R56:T56"/>
    <mergeCell ref="A57:L57"/>
    <mergeCell ref="M57:N57"/>
    <mergeCell ref="O57:P57"/>
    <mergeCell ref="R57:T57"/>
    <mergeCell ref="A53:L55"/>
    <mergeCell ref="M53:T53"/>
    <mergeCell ref="M54:P54"/>
    <mergeCell ref="Q54:T54"/>
    <mergeCell ref="M55:N55"/>
    <mergeCell ref="O55:P55"/>
    <mergeCell ref="R55:T55"/>
    <mergeCell ref="A50:E50"/>
    <mergeCell ref="F50:T51"/>
    <mergeCell ref="A52:L52"/>
    <mergeCell ref="M52:N52"/>
    <mergeCell ref="O52:P52"/>
    <mergeCell ref="R52:T52"/>
    <mergeCell ref="A43:S43"/>
    <mergeCell ref="J44:T44"/>
    <mergeCell ref="B46:R46"/>
    <mergeCell ref="A48:C48"/>
    <mergeCell ref="D48:T48"/>
    <mergeCell ref="A49:B49"/>
    <mergeCell ref="C49:T49"/>
    <mergeCell ref="A37:S37"/>
    <mergeCell ref="A38:S38"/>
    <mergeCell ref="A39:S39"/>
    <mergeCell ref="A40:S40"/>
    <mergeCell ref="A41:S41"/>
    <mergeCell ref="A42:S42"/>
    <mergeCell ref="A35:D35"/>
    <mergeCell ref="E35:F35"/>
    <mergeCell ref="I35:J35"/>
    <mergeCell ref="L35:M35"/>
    <mergeCell ref="N35:O35"/>
    <mergeCell ref="A36:S36"/>
    <mergeCell ref="A33:D33"/>
    <mergeCell ref="E33:F33"/>
    <mergeCell ref="I33:J33"/>
    <mergeCell ref="L33:M33"/>
    <mergeCell ref="N33:O33"/>
    <mergeCell ref="A34:D34"/>
    <mergeCell ref="E34:F34"/>
    <mergeCell ref="I34:J34"/>
    <mergeCell ref="L34:M34"/>
    <mergeCell ref="N34:O34"/>
    <mergeCell ref="A31:D31"/>
    <mergeCell ref="E31:F31"/>
    <mergeCell ref="I31:J31"/>
    <mergeCell ref="L31:M31"/>
    <mergeCell ref="N31:O31"/>
    <mergeCell ref="A32:D32"/>
    <mergeCell ref="E32:F32"/>
    <mergeCell ref="I32:J32"/>
    <mergeCell ref="L32:M32"/>
    <mergeCell ref="N32:O32"/>
    <mergeCell ref="A29:D29"/>
    <mergeCell ref="E29:F29"/>
    <mergeCell ref="I29:J29"/>
    <mergeCell ref="L29:M29"/>
    <mergeCell ref="N29:O29"/>
    <mergeCell ref="A30:D30"/>
    <mergeCell ref="E30:F30"/>
    <mergeCell ref="I30:J30"/>
    <mergeCell ref="L30:M30"/>
    <mergeCell ref="N30:O30"/>
    <mergeCell ref="A25:T25"/>
    <mergeCell ref="A27:N27"/>
    <mergeCell ref="A28:D28"/>
    <mergeCell ref="E28:F28"/>
    <mergeCell ref="I28:J28"/>
    <mergeCell ref="L28:M28"/>
    <mergeCell ref="N28:O28"/>
    <mergeCell ref="A23:L23"/>
    <mergeCell ref="M23:N23"/>
    <mergeCell ref="O23:P23"/>
    <mergeCell ref="R23:T23"/>
    <mergeCell ref="A24:L24"/>
    <mergeCell ref="M24:N24"/>
    <mergeCell ref="O24:P24"/>
    <mergeCell ref="R24:T24"/>
    <mergeCell ref="A21:L21"/>
    <mergeCell ref="M21:N21"/>
    <mergeCell ref="O21:P21"/>
    <mergeCell ref="R21:T21"/>
    <mergeCell ref="A22:L22"/>
    <mergeCell ref="M22:N22"/>
    <mergeCell ref="O22:P22"/>
    <mergeCell ref="R22:T22"/>
    <mergeCell ref="A19:L19"/>
    <mergeCell ref="M19:N19"/>
    <mergeCell ref="O19:P19"/>
    <mergeCell ref="R19:T19"/>
    <mergeCell ref="A20:L20"/>
    <mergeCell ref="M20:N20"/>
    <mergeCell ref="O20:P20"/>
    <mergeCell ref="R20:T20"/>
    <mergeCell ref="A17:L17"/>
    <mergeCell ref="M17:N17"/>
    <mergeCell ref="O17:P17"/>
    <mergeCell ref="R17:T17"/>
    <mergeCell ref="A18:L18"/>
    <mergeCell ref="M18:N18"/>
    <mergeCell ref="O18:P18"/>
    <mergeCell ref="R18:T18"/>
    <mergeCell ref="A15:L15"/>
    <mergeCell ref="M15:N15"/>
    <mergeCell ref="O15:P15"/>
    <mergeCell ref="R15:T15"/>
    <mergeCell ref="A16:L16"/>
    <mergeCell ref="M16:N16"/>
    <mergeCell ref="O16:P16"/>
    <mergeCell ref="R16:T16"/>
    <mergeCell ref="A13:L13"/>
    <mergeCell ref="M13:N13"/>
    <mergeCell ref="O13:P13"/>
    <mergeCell ref="R13:T13"/>
    <mergeCell ref="A14:L14"/>
    <mergeCell ref="M14:N14"/>
    <mergeCell ref="O14:P14"/>
    <mergeCell ref="R14:T14"/>
    <mergeCell ref="A10:L12"/>
    <mergeCell ref="M10:T10"/>
    <mergeCell ref="M11:P11"/>
    <mergeCell ref="Q11:T11"/>
    <mergeCell ref="M12:N12"/>
    <mergeCell ref="O12:P12"/>
    <mergeCell ref="R12:T12"/>
    <mergeCell ref="A7:E7"/>
    <mergeCell ref="F7:T8"/>
    <mergeCell ref="A9:L9"/>
    <mergeCell ref="M9:N9"/>
    <mergeCell ref="O9:P9"/>
    <mergeCell ref="R9:T9"/>
    <mergeCell ref="J1:T1"/>
    <mergeCell ref="B3:R3"/>
    <mergeCell ref="A5:C5"/>
    <mergeCell ref="D5:T5"/>
    <mergeCell ref="A6:B6"/>
    <mergeCell ref="C6:T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1"/>
  <sheetViews>
    <sheetView topLeftCell="A895" workbookViewId="0">
      <selection activeCell="E268" sqref="E268:F268"/>
    </sheetView>
  </sheetViews>
  <sheetFormatPr defaultRowHeight="10.199999999999999" x14ac:dyDescent="0.2"/>
  <sheetData>
    <row r="1" spans="1:20" s="1" customFormat="1" ht="72.45" customHeight="1" x14ac:dyDescent="0.25">
      <c r="J1" s="100" t="s">
        <v>0</v>
      </c>
      <c r="K1" s="100"/>
      <c r="L1" s="100"/>
      <c r="M1" s="100"/>
      <c r="N1" s="100"/>
      <c r="O1" s="100"/>
      <c r="P1" s="100"/>
      <c r="Q1" s="100"/>
      <c r="R1" s="100"/>
      <c r="S1" s="100"/>
      <c r="T1" s="100"/>
    </row>
    <row r="2" spans="1:20" s="1" customFormat="1" ht="7.05" customHeight="1" x14ac:dyDescent="0.25"/>
    <row r="3" spans="1:20" s="1" customFormat="1" ht="14.1" customHeight="1" x14ac:dyDescent="0.25">
      <c r="B3" s="101" t="s">
        <v>245</v>
      </c>
      <c r="C3" s="101"/>
      <c r="D3" s="101"/>
      <c r="E3" s="101"/>
      <c r="F3" s="101"/>
      <c r="G3" s="101"/>
      <c r="H3" s="101"/>
      <c r="I3" s="101"/>
      <c r="J3" s="101"/>
      <c r="K3" s="101"/>
      <c r="L3" s="101"/>
      <c r="M3" s="101"/>
      <c r="N3" s="101"/>
      <c r="O3" s="101"/>
      <c r="P3" s="101"/>
      <c r="Q3" s="101"/>
      <c r="R3" s="101"/>
    </row>
    <row r="4" spans="1:20" s="1" customFormat="1" ht="14.1" customHeight="1" x14ac:dyDescent="0.25"/>
    <row r="5" spans="1:20" s="1" customFormat="1" ht="14.1" customHeight="1" x14ac:dyDescent="0.25">
      <c r="A5" s="102" t="s">
        <v>2</v>
      </c>
      <c r="B5" s="102"/>
      <c r="C5" s="102"/>
      <c r="D5" s="103" t="s">
        <v>246</v>
      </c>
      <c r="E5" s="103"/>
      <c r="F5" s="103"/>
      <c r="G5" s="103"/>
      <c r="H5" s="103"/>
      <c r="I5" s="103"/>
      <c r="J5" s="103"/>
      <c r="K5" s="103"/>
      <c r="L5" s="103"/>
      <c r="M5" s="103"/>
      <c r="N5" s="103"/>
      <c r="O5" s="103"/>
      <c r="P5" s="103"/>
      <c r="Q5" s="103"/>
      <c r="R5" s="103"/>
      <c r="S5" s="103"/>
      <c r="T5" s="103"/>
    </row>
    <row r="6" spans="1:20" s="1" customFormat="1" ht="14.1" customHeight="1" x14ac:dyDescent="0.25">
      <c r="A6" s="102" t="s">
        <v>4</v>
      </c>
      <c r="B6" s="102"/>
      <c r="C6" s="103" t="s">
        <v>247</v>
      </c>
      <c r="D6" s="103"/>
      <c r="E6" s="103"/>
      <c r="F6" s="103"/>
      <c r="G6" s="103"/>
      <c r="H6" s="103"/>
      <c r="I6" s="103"/>
      <c r="J6" s="103"/>
      <c r="K6" s="103"/>
      <c r="L6" s="103"/>
      <c r="M6" s="103"/>
      <c r="N6" s="103"/>
      <c r="O6" s="103"/>
      <c r="P6" s="103"/>
      <c r="Q6" s="103"/>
      <c r="R6" s="103"/>
      <c r="S6" s="103"/>
      <c r="T6" s="103"/>
    </row>
    <row r="7" spans="1:20" s="1" customFormat="1" ht="14.1" customHeight="1" x14ac:dyDescent="0.25">
      <c r="A7" s="102" t="s">
        <v>6</v>
      </c>
      <c r="B7" s="102"/>
      <c r="C7" s="102"/>
      <c r="D7" s="102"/>
      <c r="E7" s="102"/>
      <c r="F7" s="103" t="s">
        <v>248</v>
      </c>
      <c r="G7" s="103"/>
      <c r="H7" s="103"/>
      <c r="I7" s="103"/>
      <c r="J7" s="103"/>
      <c r="K7" s="103"/>
      <c r="L7" s="103"/>
      <c r="M7" s="103"/>
      <c r="N7" s="103"/>
      <c r="O7" s="103"/>
      <c r="P7" s="103"/>
      <c r="Q7" s="103"/>
      <c r="R7" s="103"/>
      <c r="S7" s="103"/>
      <c r="T7" s="103"/>
    </row>
    <row r="8" spans="1:20" s="1" customFormat="1" ht="22.35" customHeight="1" x14ac:dyDescent="0.25">
      <c r="F8" s="103"/>
      <c r="G8" s="103"/>
      <c r="H8" s="103"/>
      <c r="I8" s="103"/>
      <c r="J8" s="103"/>
      <c r="K8" s="103"/>
      <c r="L8" s="103"/>
      <c r="M8" s="103"/>
      <c r="N8" s="103"/>
      <c r="O8" s="103"/>
      <c r="P8" s="103"/>
      <c r="Q8" s="103"/>
      <c r="R8" s="103"/>
      <c r="S8" s="103"/>
      <c r="T8" s="103"/>
    </row>
    <row r="9" spans="1:20" s="3" customFormat="1" ht="49.2" customHeight="1" x14ac:dyDescent="0.2">
      <c r="A9" s="133" t="s">
        <v>679</v>
      </c>
      <c r="B9" s="134"/>
      <c r="C9" s="134"/>
      <c r="D9" s="134"/>
      <c r="E9" s="134"/>
      <c r="F9" s="134"/>
      <c r="G9" s="134"/>
      <c r="H9" s="134"/>
      <c r="I9" s="134"/>
      <c r="J9" s="134"/>
      <c r="K9" s="134"/>
      <c r="L9" s="134"/>
      <c r="M9" s="134"/>
      <c r="N9" s="134"/>
      <c r="O9" s="134"/>
      <c r="P9" s="134"/>
      <c r="Q9" s="134"/>
      <c r="R9" s="134"/>
      <c r="S9" s="10"/>
    </row>
    <row r="10" spans="1:20" s="1" customFormat="1" ht="7.05" customHeight="1" x14ac:dyDescent="0.25">
      <c r="A10" s="86"/>
      <c r="B10" s="86"/>
      <c r="C10" s="86"/>
      <c r="D10" s="86"/>
      <c r="E10" s="86"/>
      <c r="F10" s="86"/>
      <c r="G10" s="86"/>
      <c r="H10" s="86"/>
      <c r="I10" s="86"/>
      <c r="J10" s="86"/>
      <c r="K10" s="86"/>
      <c r="L10" s="86"/>
      <c r="M10" s="86"/>
      <c r="N10" s="86"/>
      <c r="O10" s="86"/>
      <c r="P10" s="86"/>
      <c r="Q10" s="16"/>
      <c r="R10" s="86"/>
      <c r="S10" s="86"/>
      <c r="T10" s="86"/>
    </row>
    <row r="11" spans="1:20" s="1" customFormat="1" ht="16.95" customHeight="1" x14ac:dyDescent="0.25">
      <c r="A11" s="94" t="s">
        <v>8</v>
      </c>
      <c r="B11" s="94"/>
      <c r="C11" s="94"/>
      <c r="D11" s="94"/>
      <c r="E11" s="94"/>
      <c r="F11" s="94"/>
      <c r="G11" s="94"/>
      <c r="H11" s="94"/>
      <c r="I11" s="94"/>
      <c r="J11" s="94"/>
      <c r="K11" s="94"/>
      <c r="L11" s="94"/>
      <c r="M11" s="95" t="s">
        <v>9</v>
      </c>
      <c r="N11" s="95"/>
      <c r="O11" s="95"/>
      <c r="P11" s="95"/>
      <c r="Q11" s="95"/>
      <c r="R11" s="95"/>
      <c r="S11" s="95"/>
      <c r="T11" s="95"/>
    </row>
    <row r="12" spans="1:20" s="1" customFormat="1" ht="16.95" customHeight="1" x14ac:dyDescent="0.25">
      <c r="A12" s="94"/>
      <c r="B12" s="94"/>
      <c r="C12" s="94"/>
      <c r="D12" s="94"/>
      <c r="E12" s="94"/>
      <c r="F12" s="94"/>
      <c r="G12" s="94"/>
      <c r="H12" s="94"/>
      <c r="I12" s="94"/>
      <c r="J12" s="94"/>
      <c r="K12" s="94"/>
      <c r="L12" s="94"/>
      <c r="M12" s="96" t="s">
        <v>10</v>
      </c>
      <c r="N12" s="96"/>
      <c r="O12" s="96"/>
      <c r="P12" s="96"/>
      <c r="Q12" s="97" t="s">
        <v>11</v>
      </c>
      <c r="R12" s="97"/>
      <c r="S12" s="97"/>
      <c r="T12" s="97"/>
    </row>
    <row r="13" spans="1:20" s="1" customFormat="1" ht="16.95" customHeight="1" x14ac:dyDescent="0.25">
      <c r="A13" s="94"/>
      <c r="B13" s="94"/>
      <c r="C13" s="94"/>
      <c r="D13" s="94"/>
      <c r="E13" s="94"/>
      <c r="F13" s="94"/>
      <c r="G13" s="94"/>
      <c r="H13" s="94"/>
      <c r="I13" s="94"/>
      <c r="J13" s="94"/>
      <c r="K13" s="94"/>
      <c r="L13" s="94"/>
      <c r="M13" s="98" t="s">
        <v>12</v>
      </c>
      <c r="N13" s="98"/>
      <c r="O13" s="98" t="s">
        <v>13</v>
      </c>
      <c r="P13" s="98"/>
      <c r="Q13" s="13" t="s">
        <v>14</v>
      </c>
      <c r="R13" s="99" t="s">
        <v>15</v>
      </c>
      <c r="S13" s="99"/>
      <c r="T13" s="99"/>
    </row>
    <row r="14" spans="1:20" s="1" customFormat="1" ht="13.35" customHeight="1" x14ac:dyDescent="0.25">
      <c r="A14" s="88" t="s">
        <v>249</v>
      </c>
      <c r="B14" s="88"/>
      <c r="C14" s="88"/>
      <c r="D14" s="88"/>
      <c r="E14" s="88"/>
      <c r="F14" s="88"/>
      <c r="G14" s="88"/>
      <c r="H14" s="88"/>
      <c r="I14" s="88"/>
      <c r="J14" s="88"/>
      <c r="K14" s="88"/>
      <c r="L14" s="88"/>
      <c r="M14" s="88" t="s">
        <v>196</v>
      </c>
      <c r="N14" s="88"/>
      <c r="O14" s="88" t="s">
        <v>196</v>
      </c>
      <c r="P14" s="88"/>
      <c r="Q14" s="6" t="s">
        <v>197</v>
      </c>
      <c r="R14" s="88" t="s">
        <v>197</v>
      </c>
      <c r="S14" s="88"/>
      <c r="T14" s="88"/>
    </row>
    <row r="15" spans="1:20" s="1" customFormat="1" ht="13.35" customHeight="1" x14ac:dyDescent="0.25">
      <c r="A15" s="88" t="s">
        <v>66</v>
      </c>
      <c r="B15" s="88"/>
      <c r="C15" s="88"/>
      <c r="D15" s="88"/>
      <c r="E15" s="88"/>
      <c r="F15" s="88"/>
      <c r="G15" s="88"/>
      <c r="H15" s="88"/>
      <c r="I15" s="88"/>
      <c r="J15" s="88"/>
      <c r="K15" s="88"/>
      <c r="L15" s="88"/>
      <c r="M15" s="88" t="s">
        <v>250</v>
      </c>
      <c r="N15" s="88"/>
      <c r="O15" s="88" t="s">
        <v>250</v>
      </c>
      <c r="P15" s="88"/>
      <c r="Q15" s="6" t="s">
        <v>23</v>
      </c>
      <c r="R15" s="88" t="s">
        <v>23</v>
      </c>
      <c r="S15" s="88"/>
      <c r="T15" s="88"/>
    </row>
    <row r="16" spans="1:20" s="1" customFormat="1" ht="13.35" customHeight="1" x14ac:dyDescent="0.25">
      <c r="A16" s="88" t="s">
        <v>114</v>
      </c>
      <c r="B16" s="88"/>
      <c r="C16" s="88"/>
      <c r="D16" s="88"/>
      <c r="E16" s="88"/>
      <c r="F16" s="88"/>
      <c r="G16" s="88"/>
      <c r="H16" s="88"/>
      <c r="I16" s="88"/>
      <c r="J16" s="88"/>
      <c r="K16" s="88"/>
      <c r="L16" s="88"/>
      <c r="M16" s="88" t="s">
        <v>251</v>
      </c>
      <c r="N16" s="88"/>
      <c r="O16" s="88" t="s">
        <v>251</v>
      </c>
      <c r="P16" s="88"/>
      <c r="Q16" s="6" t="s">
        <v>30</v>
      </c>
      <c r="R16" s="88" t="s">
        <v>30</v>
      </c>
      <c r="S16" s="88"/>
      <c r="T16" s="88"/>
    </row>
    <row r="17" spans="1:20" s="1" customFormat="1" ht="13.35" customHeight="1" x14ac:dyDescent="0.25">
      <c r="A17" s="88" t="s">
        <v>109</v>
      </c>
      <c r="B17" s="88"/>
      <c r="C17" s="88"/>
      <c r="D17" s="88"/>
      <c r="E17" s="88"/>
      <c r="F17" s="88"/>
      <c r="G17" s="88"/>
      <c r="H17" s="88"/>
      <c r="I17" s="88"/>
      <c r="J17" s="88"/>
      <c r="K17" s="88"/>
      <c r="L17" s="88"/>
      <c r="M17" s="88" t="s">
        <v>23</v>
      </c>
      <c r="N17" s="88"/>
      <c r="O17" s="88" t="s">
        <v>23</v>
      </c>
      <c r="P17" s="88"/>
      <c r="Q17" s="6" t="s">
        <v>24</v>
      </c>
      <c r="R17" s="88" t="s">
        <v>24</v>
      </c>
      <c r="S17" s="88"/>
      <c r="T17" s="88"/>
    </row>
    <row r="18" spans="1:20" s="1" customFormat="1" ht="14.1" customHeight="1" x14ac:dyDescent="0.25">
      <c r="A18" s="90" t="s">
        <v>217</v>
      </c>
      <c r="B18" s="90"/>
      <c r="C18" s="90"/>
      <c r="D18" s="90"/>
      <c r="E18" s="90"/>
      <c r="F18" s="90"/>
      <c r="G18" s="90"/>
      <c r="H18" s="90"/>
      <c r="I18" s="90"/>
      <c r="J18" s="90"/>
      <c r="K18" s="90"/>
      <c r="L18" s="90"/>
      <c r="M18" s="90"/>
      <c r="N18" s="90"/>
      <c r="O18" s="90"/>
      <c r="P18" s="90"/>
      <c r="Q18" s="90"/>
      <c r="R18" s="90"/>
      <c r="S18" s="90"/>
      <c r="T18" s="90"/>
    </row>
    <row r="19" spans="1:20" s="1" customFormat="1" ht="21.3" customHeight="1" x14ac:dyDescent="0.25"/>
    <row r="20" spans="1:20" s="1" customFormat="1" ht="14.1" customHeight="1" x14ac:dyDescent="0.25">
      <c r="A20" s="91" t="s">
        <v>33</v>
      </c>
      <c r="B20" s="91"/>
      <c r="C20" s="91"/>
      <c r="D20" s="91"/>
      <c r="E20" s="91"/>
      <c r="F20" s="91"/>
      <c r="G20" s="91"/>
      <c r="H20" s="91"/>
      <c r="I20" s="91"/>
      <c r="J20" s="91"/>
      <c r="K20" s="91"/>
      <c r="L20" s="91"/>
      <c r="M20" s="91"/>
      <c r="N20" s="91"/>
    </row>
    <row r="21" spans="1:20" s="1" customFormat="1" ht="13.35" customHeight="1" x14ac:dyDescent="0.25">
      <c r="A21" s="88" t="s">
        <v>34</v>
      </c>
      <c r="B21" s="88"/>
      <c r="C21" s="88"/>
      <c r="D21" s="88"/>
      <c r="E21" s="89">
        <v>3.67</v>
      </c>
      <c r="F21" s="89"/>
      <c r="G21" s="17"/>
      <c r="H21" s="6" t="s">
        <v>35</v>
      </c>
      <c r="I21" s="89">
        <v>0.03</v>
      </c>
      <c r="J21" s="89"/>
      <c r="K21" s="17"/>
      <c r="L21" s="88" t="s">
        <v>36</v>
      </c>
      <c r="M21" s="88"/>
      <c r="N21" s="89">
        <v>100.12</v>
      </c>
      <c r="O21" s="89"/>
    </row>
    <row r="22" spans="1:20" s="1" customFormat="1" ht="13.35" customHeight="1" x14ac:dyDescent="0.25">
      <c r="A22" s="88" t="s">
        <v>37</v>
      </c>
      <c r="B22" s="88"/>
      <c r="C22" s="88"/>
      <c r="D22" s="88"/>
      <c r="E22" s="89">
        <v>3.1890000000000001</v>
      </c>
      <c r="F22" s="89"/>
      <c r="G22" s="17"/>
      <c r="H22" s="6" t="s">
        <v>38</v>
      </c>
      <c r="I22" s="89">
        <v>0.47</v>
      </c>
      <c r="J22" s="89"/>
      <c r="K22" s="17"/>
      <c r="L22" s="88" t="s">
        <v>39</v>
      </c>
      <c r="M22" s="88"/>
      <c r="N22" s="89">
        <v>24.74</v>
      </c>
      <c r="O22" s="89"/>
    </row>
    <row r="23" spans="1:20" s="1" customFormat="1" ht="13.35" customHeight="1" x14ac:dyDescent="0.25">
      <c r="A23" s="88" t="s">
        <v>40</v>
      </c>
      <c r="B23" s="88"/>
      <c r="C23" s="88"/>
      <c r="D23" s="88"/>
      <c r="E23" s="89">
        <v>15.82</v>
      </c>
      <c r="F23" s="89"/>
      <c r="G23" s="17"/>
      <c r="H23" s="6" t="s">
        <v>41</v>
      </c>
      <c r="I23" s="89">
        <v>0.01</v>
      </c>
      <c r="J23" s="89"/>
      <c r="K23" s="17"/>
      <c r="L23" s="88" t="s">
        <v>42</v>
      </c>
      <c r="M23" s="88"/>
      <c r="N23" s="89">
        <v>86.02</v>
      </c>
      <c r="O23" s="89"/>
    </row>
    <row r="24" spans="1:20" s="1" customFormat="1" ht="13.35" customHeight="1" x14ac:dyDescent="0.25">
      <c r="A24" s="88" t="s">
        <v>43</v>
      </c>
      <c r="B24" s="88"/>
      <c r="C24" s="88"/>
      <c r="D24" s="88"/>
      <c r="E24" s="89">
        <v>106.74</v>
      </c>
      <c r="F24" s="89"/>
      <c r="G24" s="17"/>
      <c r="H24" s="6" t="s">
        <v>44</v>
      </c>
      <c r="I24" s="89">
        <v>0</v>
      </c>
      <c r="J24" s="89"/>
      <c r="K24" s="17"/>
      <c r="L24" s="88" t="s">
        <v>45</v>
      </c>
      <c r="M24" s="88"/>
      <c r="N24" s="89">
        <v>0.78</v>
      </c>
      <c r="O24" s="89"/>
    </row>
    <row r="25" spans="1:20" s="1" customFormat="1" ht="13.35" customHeight="1" x14ac:dyDescent="0.25">
      <c r="A25" s="87"/>
      <c r="B25" s="87"/>
      <c r="C25" s="87"/>
      <c r="D25" s="87"/>
      <c r="E25" s="87"/>
      <c r="F25" s="87"/>
      <c r="G25" s="17"/>
      <c r="H25" s="6" t="s">
        <v>46</v>
      </c>
      <c r="I25" s="89">
        <v>0</v>
      </c>
      <c r="J25" s="89"/>
      <c r="K25" s="17"/>
      <c r="L25" s="88" t="s">
        <v>47</v>
      </c>
      <c r="M25" s="88"/>
      <c r="N25" s="89">
        <v>186.29</v>
      </c>
      <c r="O25" s="89"/>
    </row>
    <row r="26" spans="1:20" s="1" customFormat="1" ht="13.35" customHeight="1" x14ac:dyDescent="0.25">
      <c r="A26" s="87"/>
      <c r="B26" s="87"/>
      <c r="C26" s="87"/>
      <c r="D26" s="87"/>
      <c r="E26" s="87"/>
      <c r="F26" s="87"/>
      <c r="G26" s="17"/>
      <c r="H26" s="6" t="s">
        <v>48</v>
      </c>
      <c r="I26" s="89">
        <v>0.11</v>
      </c>
      <c r="J26" s="89"/>
      <c r="K26" s="17"/>
      <c r="L26" s="88" t="s">
        <v>49</v>
      </c>
      <c r="M26" s="88"/>
      <c r="N26" s="89">
        <v>8.1</v>
      </c>
      <c r="O26" s="89"/>
    </row>
    <row r="27" spans="1:20" s="1" customFormat="1" ht="13.35" customHeight="1" x14ac:dyDescent="0.25">
      <c r="A27" s="87"/>
      <c r="B27" s="87"/>
      <c r="C27" s="87"/>
      <c r="D27" s="87"/>
      <c r="E27" s="87"/>
      <c r="F27" s="87"/>
      <c r="G27" s="17"/>
      <c r="H27" s="17"/>
      <c r="I27" s="87"/>
      <c r="J27" s="87"/>
      <c r="K27" s="17"/>
      <c r="L27" s="88" t="s">
        <v>50</v>
      </c>
      <c r="M27" s="88"/>
      <c r="N27" s="89">
        <v>0</v>
      </c>
      <c r="O27" s="89"/>
    </row>
    <row r="28" spans="1:20" s="1" customFormat="1" ht="13.35" customHeight="1" x14ac:dyDescent="0.25">
      <c r="A28" s="87"/>
      <c r="B28" s="87"/>
      <c r="C28" s="87"/>
      <c r="D28" s="87"/>
      <c r="E28" s="87"/>
      <c r="F28" s="87"/>
      <c r="G28" s="17"/>
      <c r="H28" s="17"/>
      <c r="I28" s="87"/>
      <c r="J28" s="87"/>
      <c r="K28" s="17"/>
      <c r="L28" s="88" t="s">
        <v>51</v>
      </c>
      <c r="M28" s="88"/>
      <c r="N28" s="89">
        <v>0</v>
      </c>
      <c r="O28" s="89"/>
    </row>
    <row r="29" spans="1:20" s="1" customFormat="1" ht="14.1" customHeight="1" x14ac:dyDescent="0.25">
      <c r="A29" s="86"/>
      <c r="B29" s="86"/>
      <c r="C29" s="86"/>
      <c r="D29" s="86"/>
      <c r="E29" s="86"/>
      <c r="F29" s="86"/>
      <c r="G29" s="86"/>
      <c r="H29" s="86"/>
      <c r="I29" s="86"/>
      <c r="J29" s="86"/>
      <c r="K29" s="86"/>
      <c r="L29" s="86"/>
      <c r="M29" s="86"/>
      <c r="N29" s="86"/>
      <c r="O29" s="86"/>
      <c r="P29" s="86"/>
      <c r="Q29" s="86"/>
      <c r="R29" s="86"/>
      <c r="S29" s="86"/>
    </row>
    <row r="30" spans="1:20" s="1" customFormat="1" ht="14.1" customHeight="1" x14ac:dyDescent="0.25">
      <c r="A30" s="84" t="s">
        <v>52</v>
      </c>
      <c r="B30" s="84"/>
      <c r="C30" s="84"/>
      <c r="D30" s="84"/>
      <c r="E30" s="84"/>
      <c r="F30" s="84"/>
      <c r="G30" s="84"/>
      <c r="H30" s="84"/>
      <c r="I30" s="84"/>
      <c r="J30" s="84"/>
      <c r="K30" s="84"/>
      <c r="L30" s="84"/>
      <c r="M30" s="84"/>
      <c r="N30" s="84"/>
      <c r="O30" s="84"/>
      <c r="P30" s="84"/>
      <c r="Q30" s="84"/>
      <c r="R30" s="84"/>
      <c r="S30" s="84"/>
    </row>
    <row r="31" spans="1:20" s="1" customFormat="1" ht="21.6" customHeight="1" x14ac:dyDescent="0.25">
      <c r="A31" s="85" t="s">
        <v>252</v>
      </c>
      <c r="B31" s="85"/>
      <c r="C31" s="85"/>
      <c r="D31" s="85"/>
      <c r="E31" s="85"/>
      <c r="F31" s="85"/>
      <c r="G31" s="85"/>
      <c r="H31" s="85"/>
      <c r="I31" s="85"/>
      <c r="J31" s="85"/>
      <c r="K31" s="85"/>
      <c r="L31" s="85"/>
      <c r="M31" s="85"/>
      <c r="N31" s="85"/>
      <c r="O31" s="85"/>
      <c r="P31" s="85"/>
      <c r="Q31" s="85"/>
      <c r="R31" s="85"/>
      <c r="S31" s="85"/>
    </row>
    <row r="32" spans="1:20" s="1" customFormat="1" ht="14.1" customHeight="1" x14ac:dyDescent="0.25">
      <c r="A32" s="84" t="s">
        <v>54</v>
      </c>
      <c r="B32" s="84"/>
      <c r="C32" s="84"/>
      <c r="D32" s="84"/>
      <c r="E32" s="84"/>
      <c r="F32" s="84"/>
      <c r="G32" s="84"/>
      <c r="H32" s="84"/>
      <c r="I32" s="84"/>
      <c r="J32" s="84"/>
      <c r="K32" s="84"/>
      <c r="L32" s="84"/>
      <c r="M32" s="84"/>
      <c r="N32" s="84"/>
      <c r="O32" s="84"/>
      <c r="P32" s="84"/>
      <c r="Q32" s="84"/>
      <c r="R32" s="84"/>
      <c r="S32" s="84"/>
    </row>
    <row r="33" spans="1:20" s="1" customFormat="1" ht="12.15" customHeight="1" x14ac:dyDescent="0.25">
      <c r="A33" s="85" t="s">
        <v>256</v>
      </c>
      <c r="B33" s="85"/>
      <c r="C33" s="85"/>
      <c r="D33" s="85"/>
      <c r="E33" s="85"/>
      <c r="F33" s="85"/>
      <c r="G33" s="85"/>
      <c r="H33" s="85"/>
      <c r="I33" s="85"/>
      <c r="J33" s="85"/>
      <c r="K33" s="85"/>
      <c r="L33" s="85"/>
      <c r="M33" s="85"/>
      <c r="N33" s="85"/>
      <c r="O33" s="85"/>
      <c r="P33" s="85"/>
      <c r="Q33" s="85"/>
      <c r="R33" s="85"/>
      <c r="S33" s="85"/>
    </row>
    <row r="34" spans="1:20" s="1" customFormat="1" ht="14.1" customHeight="1" x14ac:dyDescent="0.25">
      <c r="A34" s="86"/>
      <c r="B34" s="86"/>
      <c r="C34" s="86"/>
      <c r="D34" s="86"/>
      <c r="E34" s="86"/>
      <c r="F34" s="86"/>
      <c r="G34" s="86"/>
      <c r="H34" s="86"/>
      <c r="I34" s="86"/>
      <c r="J34" s="86"/>
      <c r="K34" s="86"/>
      <c r="L34" s="86"/>
      <c r="M34" s="86"/>
      <c r="N34" s="86"/>
      <c r="O34" s="86"/>
      <c r="P34" s="86"/>
      <c r="Q34" s="86"/>
      <c r="R34" s="86"/>
      <c r="S34" s="86"/>
    </row>
    <row r="35" spans="1:20" s="1" customFormat="1" ht="14.1" customHeight="1" x14ac:dyDescent="0.25">
      <c r="A35" s="84" t="s">
        <v>56</v>
      </c>
      <c r="B35" s="84"/>
      <c r="C35" s="84"/>
      <c r="D35" s="84"/>
      <c r="E35" s="84"/>
      <c r="F35" s="84"/>
      <c r="G35" s="84"/>
      <c r="H35" s="84"/>
      <c r="I35" s="84"/>
      <c r="J35" s="84"/>
      <c r="K35" s="84"/>
      <c r="L35" s="84"/>
      <c r="M35" s="84"/>
      <c r="N35" s="84"/>
      <c r="O35" s="84"/>
      <c r="P35" s="84"/>
      <c r="Q35" s="84"/>
      <c r="R35" s="84"/>
      <c r="S35" s="84"/>
    </row>
    <row r="36" spans="1:20" s="1" customFormat="1" ht="49.2" customHeight="1" x14ac:dyDescent="0.25">
      <c r="A36" s="85" t="s">
        <v>253</v>
      </c>
      <c r="B36" s="85"/>
      <c r="C36" s="85"/>
      <c r="D36" s="85"/>
      <c r="E36" s="85"/>
      <c r="F36" s="85"/>
      <c r="G36" s="85"/>
      <c r="H36" s="85"/>
      <c r="I36" s="85"/>
      <c r="J36" s="85"/>
      <c r="K36" s="85"/>
      <c r="L36" s="85"/>
      <c r="M36" s="85"/>
      <c r="N36" s="85"/>
      <c r="O36" s="85"/>
      <c r="P36" s="85"/>
      <c r="Q36" s="85"/>
      <c r="R36" s="85"/>
      <c r="S36" s="85"/>
    </row>
    <row r="37" spans="1:20" s="1" customFormat="1" ht="72.45" customHeight="1" x14ac:dyDescent="0.25">
      <c r="J37" s="100" t="s">
        <v>0</v>
      </c>
      <c r="K37" s="100"/>
      <c r="L37" s="100"/>
      <c r="M37" s="100"/>
      <c r="N37" s="100"/>
      <c r="O37" s="100"/>
      <c r="P37" s="100"/>
      <c r="Q37" s="100"/>
      <c r="R37" s="100"/>
      <c r="S37" s="100"/>
      <c r="T37" s="100"/>
    </row>
    <row r="38" spans="1:20" s="1" customFormat="1" ht="7.05" customHeight="1" x14ac:dyDescent="0.25"/>
    <row r="39" spans="1:20" s="1" customFormat="1" ht="14.1" customHeight="1" x14ac:dyDescent="0.25">
      <c r="B39" s="101" t="s">
        <v>245</v>
      </c>
      <c r="C39" s="101"/>
      <c r="D39" s="101"/>
      <c r="E39" s="101"/>
      <c r="F39" s="101"/>
      <c r="G39" s="101"/>
      <c r="H39" s="101"/>
      <c r="I39" s="101"/>
      <c r="J39" s="101"/>
      <c r="K39" s="101"/>
      <c r="L39" s="101"/>
      <c r="M39" s="101"/>
      <c r="N39" s="101"/>
      <c r="O39" s="101"/>
      <c r="P39" s="101"/>
      <c r="Q39" s="101"/>
      <c r="R39" s="101"/>
    </row>
    <row r="40" spans="1:20" s="1" customFormat="1" ht="14.1" customHeight="1" x14ac:dyDescent="0.25"/>
    <row r="41" spans="1:20" s="1" customFormat="1" ht="14.1" customHeight="1" x14ac:dyDescent="0.25">
      <c r="A41" s="102" t="s">
        <v>2</v>
      </c>
      <c r="B41" s="102"/>
      <c r="C41" s="102"/>
      <c r="D41" s="103" t="s">
        <v>254</v>
      </c>
      <c r="E41" s="103"/>
      <c r="F41" s="103"/>
      <c r="G41" s="103"/>
      <c r="H41" s="103"/>
      <c r="I41" s="103"/>
      <c r="J41" s="103"/>
      <c r="K41" s="103"/>
      <c r="L41" s="103"/>
      <c r="M41" s="103"/>
      <c r="N41" s="103"/>
      <c r="O41" s="103"/>
      <c r="P41" s="103"/>
      <c r="Q41" s="103"/>
      <c r="R41" s="103"/>
      <c r="S41" s="103"/>
      <c r="T41" s="103"/>
    </row>
    <row r="42" spans="1:20" s="1" customFormat="1" ht="14.1" customHeight="1" x14ac:dyDescent="0.25">
      <c r="A42" s="102" t="s">
        <v>4</v>
      </c>
      <c r="B42" s="102"/>
      <c r="C42" s="103" t="s">
        <v>247</v>
      </c>
      <c r="D42" s="103"/>
      <c r="E42" s="103"/>
      <c r="F42" s="103"/>
      <c r="G42" s="103"/>
      <c r="H42" s="103"/>
      <c r="I42" s="103"/>
      <c r="J42" s="103"/>
      <c r="K42" s="103"/>
      <c r="L42" s="103"/>
      <c r="M42" s="103"/>
      <c r="N42" s="103"/>
      <c r="O42" s="103"/>
      <c r="P42" s="103"/>
      <c r="Q42" s="103"/>
      <c r="R42" s="103"/>
      <c r="S42" s="103"/>
      <c r="T42" s="103"/>
    </row>
    <row r="43" spans="1:20" s="1" customFormat="1" ht="14.1" customHeight="1" x14ac:dyDescent="0.25">
      <c r="A43" s="102" t="s">
        <v>6</v>
      </c>
      <c r="B43" s="102"/>
      <c r="C43" s="102"/>
      <c r="D43" s="102"/>
      <c r="E43" s="102"/>
      <c r="F43" s="103" t="s">
        <v>60</v>
      </c>
      <c r="G43" s="103"/>
      <c r="H43" s="103"/>
      <c r="I43" s="103"/>
      <c r="J43" s="103"/>
      <c r="K43" s="103"/>
      <c r="L43" s="103"/>
      <c r="M43" s="103"/>
      <c r="N43" s="103"/>
      <c r="O43" s="103"/>
      <c r="P43" s="103"/>
      <c r="Q43" s="103"/>
      <c r="R43" s="103"/>
      <c r="S43" s="103"/>
      <c r="T43" s="103"/>
    </row>
    <row r="44" spans="1:20" s="1" customFormat="1" ht="22.35" customHeight="1" x14ac:dyDescent="0.25">
      <c r="F44" s="103"/>
      <c r="G44" s="103"/>
      <c r="H44" s="103"/>
      <c r="I44" s="103"/>
      <c r="J44" s="103"/>
      <c r="K44" s="103"/>
      <c r="L44" s="103"/>
      <c r="M44" s="103"/>
      <c r="N44" s="103"/>
      <c r="O44" s="103"/>
      <c r="P44" s="103"/>
      <c r="Q44" s="103"/>
      <c r="R44" s="103"/>
      <c r="S44" s="103"/>
      <c r="T44" s="103"/>
    </row>
    <row r="45" spans="1:20" s="3" customFormat="1" ht="49.2" customHeight="1" x14ac:dyDescent="0.2">
      <c r="A45" s="133" t="s">
        <v>679</v>
      </c>
      <c r="B45" s="134"/>
      <c r="C45" s="134"/>
      <c r="D45" s="134"/>
      <c r="E45" s="134"/>
      <c r="F45" s="134"/>
      <c r="G45" s="134"/>
      <c r="H45" s="134"/>
      <c r="I45" s="134"/>
      <c r="J45" s="134"/>
      <c r="K45" s="134"/>
      <c r="L45" s="134"/>
      <c r="M45" s="134"/>
      <c r="N45" s="134"/>
      <c r="O45" s="134"/>
      <c r="P45" s="134"/>
      <c r="Q45" s="134"/>
      <c r="R45" s="134"/>
      <c r="S45" s="10"/>
    </row>
    <row r="46" spans="1:20" s="1" customFormat="1" ht="7.05" customHeight="1" x14ac:dyDescent="0.25">
      <c r="A46" s="86"/>
      <c r="B46" s="86"/>
      <c r="C46" s="86"/>
      <c r="D46" s="86"/>
      <c r="E46" s="86"/>
      <c r="F46" s="86"/>
      <c r="G46" s="86"/>
      <c r="H46" s="86"/>
      <c r="I46" s="86"/>
      <c r="J46" s="86"/>
      <c r="K46" s="86"/>
      <c r="L46" s="86"/>
      <c r="M46" s="86"/>
      <c r="N46" s="86"/>
      <c r="O46" s="86"/>
      <c r="P46" s="86"/>
      <c r="Q46" s="16"/>
      <c r="R46" s="86"/>
      <c r="S46" s="86"/>
      <c r="T46" s="86"/>
    </row>
    <row r="47" spans="1:20" s="1" customFormat="1" ht="16.95" customHeight="1" x14ac:dyDescent="0.25">
      <c r="A47" s="94" t="s">
        <v>8</v>
      </c>
      <c r="B47" s="94"/>
      <c r="C47" s="94"/>
      <c r="D47" s="94"/>
      <c r="E47" s="94"/>
      <c r="F47" s="94"/>
      <c r="G47" s="94"/>
      <c r="H47" s="94"/>
      <c r="I47" s="94"/>
      <c r="J47" s="94"/>
      <c r="K47" s="94"/>
      <c r="L47" s="94"/>
      <c r="M47" s="95" t="s">
        <v>9</v>
      </c>
      <c r="N47" s="95"/>
      <c r="O47" s="95"/>
      <c r="P47" s="95"/>
      <c r="Q47" s="95"/>
      <c r="R47" s="95"/>
      <c r="S47" s="95"/>
      <c r="T47" s="95"/>
    </row>
    <row r="48" spans="1:20" s="1" customFormat="1" ht="16.95" customHeight="1" x14ac:dyDescent="0.25">
      <c r="A48" s="94"/>
      <c r="B48" s="94"/>
      <c r="C48" s="94"/>
      <c r="D48" s="94"/>
      <c r="E48" s="94"/>
      <c r="F48" s="94"/>
      <c r="G48" s="94"/>
      <c r="H48" s="94"/>
      <c r="I48" s="94"/>
      <c r="J48" s="94"/>
      <c r="K48" s="94"/>
      <c r="L48" s="94"/>
      <c r="M48" s="96" t="s">
        <v>10</v>
      </c>
      <c r="N48" s="96"/>
      <c r="O48" s="96"/>
      <c r="P48" s="96"/>
      <c r="Q48" s="97" t="s">
        <v>11</v>
      </c>
      <c r="R48" s="97"/>
      <c r="S48" s="97"/>
      <c r="T48" s="97"/>
    </row>
    <row r="49" spans="1:20" s="1" customFormat="1" ht="16.95" customHeight="1" x14ac:dyDescent="0.25">
      <c r="A49" s="94"/>
      <c r="B49" s="94"/>
      <c r="C49" s="94"/>
      <c r="D49" s="94"/>
      <c r="E49" s="94"/>
      <c r="F49" s="94"/>
      <c r="G49" s="94"/>
      <c r="H49" s="94"/>
      <c r="I49" s="94"/>
      <c r="J49" s="94"/>
      <c r="K49" s="94"/>
      <c r="L49" s="94"/>
      <c r="M49" s="98" t="s">
        <v>12</v>
      </c>
      <c r="N49" s="98"/>
      <c r="O49" s="98" t="s">
        <v>13</v>
      </c>
      <c r="P49" s="98"/>
      <c r="Q49" s="13" t="s">
        <v>14</v>
      </c>
      <c r="R49" s="99" t="s">
        <v>15</v>
      </c>
      <c r="S49" s="99"/>
      <c r="T49" s="99"/>
    </row>
    <row r="50" spans="1:20" s="1" customFormat="1" ht="13.35" customHeight="1" x14ac:dyDescent="0.25">
      <c r="A50" s="88" t="s">
        <v>249</v>
      </c>
      <c r="B50" s="88"/>
      <c r="C50" s="88"/>
      <c r="D50" s="88"/>
      <c r="E50" s="88"/>
      <c r="F50" s="88"/>
      <c r="G50" s="88"/>
      <c r="H50" s="88"/>
      <c r="I50" s="88"/>
      <c r="J50" s="88"/>
      <c r="K50" s="88"/>
      <c r="L50" s="88"/>
      <c r="M50" s="88" t="s">
        <v>68</v>
      </c>
      <c r="N50" s="88"/>
      <c r="O50" s="88" t="s">
        <v>68</v>
      </c>
      <c r="P50" s="88"/>
      <c r="Q50" s="6" t="s">
        <v>69</v>
      </c>
      <c r="R50" s="88" t="s">
        <v>69</v>
      </c>
      <c r="S50" s="88"/>
      <c r="T50" s="88"/>
    </row>
    <row r="51" spans="1:20" s="1" customFormat="1" ht="13.35" customHeight="1" x14ac:dyDescent="0.25">
      <c r="A51" s="88" t="s">
        <v>66</v>
      </c>
      <c r="B51" s="88"/>
      <c r="C51" s="88"/>
      <c r="D51" s="88"/>
      <c r="E51" s="88"/>
      <c r="F51" s="88"/>
      <c r="G51" s="88"/>
      <c r="H51" s="88"/>
      <c r="I51" s="88"/>
      <c r="J51" s="88"/>
      <c r="K51" s="88"/>
      <c r="L51" s="88"/>
      <c r="M51" s="88" t="s">
        <v>255</v>
      </c>
      <c r="N51" s="88"/>
      <c r="O51" s="88" t="s">
        <v>255</v>
      </c>
      <c r="P51" s="88"/>
      <c r="Q51" s="6" t="s">
        <v>101</v>
      </c>
      <c r="R51" s="88" t="s">
        <v>101</v>
      </c>
      <c r="S51" s="88"/>
      <c r="T51" s="88"/>
    </row>
    <row r="52" spans="1:20" s="1" customFormat="1" ht="13.35" customHeight="1" x14ac:dyDescent="0.25">
      <c r="A52" s="88" t="s">
        <v>114</v>
      </c>
      <c r="B52" s="88"/>
      <c r="C52" s="88"/>
      <c r="D52" s="88"/>
      <c r="E52" s="88"/>
      <c r="F52" s="88"/>
      <c r="G52" s="88"/>
      <c r="H52" s="88"/>
      <c r="I52" s="88"/>
      <c r="J52" s="88"/>
      <c r="K52" s="88"/>
      <c r="L52" s="88"/>
      <c r="M52" s="88" t="s">
        <v>165</v>
      </c>
      <c r="N52" s="88"/>
      <c r="O52" s="88" t="s">
        <v>165</v>
      </c>
      <c r="P52" s="88"/>
      <c r="Q52" s="6" t="s">
        <v>141</v>
      </c>
      <c r="R52" s="88" t="s">
        <v>141</v>
      </c>
      <c r="S52" s="88"/>
      <c r="T52" s="88"/>
    </row>
    <row r="53" spans="1:20" s="1" customFormat="1" ht="13.35" customHeight="1" x14ac:dyDescent="0.25">
      <c r="A53" s="88" t="s">
        <v>109</v>
      </c>
      <c r="B53" s="88"/>
      <c r="C53" s="88"/>
      <c r="D53" s="88"/>
      <c r="E53" s="88"/>
      <c r="F53" s="88"/>
      <c r="G53" s="88"/>
      <c r="H53" s="88"/>
      <c r="I53" s="88"/>
      <c r="J53" s="88"/>
      <c r="K53" s="88"/>
      <c r="L53" s="88"/>
      <c r="M53" s="88">
        <v>10</v>
      </c>
      <c r="N53" s="88"/>
      <c r="O53" s="88" t="s">
        <v>23</v>
      </c>
      <c r="P53" s="88"/>
      <c r="Q53" s="6" t="s">
        <v>24</v>
      </c>
      <c r="R53" s="88" t="s">
        <v>24</v>
      </c>
      <c r="S53" s="88"/>
      <c r="T53" s="88"/>
    </row>
    <row r="54" spans="1:20" s="1" customFormat="1" ht="14.1" customHeight="1" x14ac:dyDescent="0.25">
      <c r="A54" s="90" t="s">
        <v>116</v>
      </c>
      <c r="B54" s="90"/>
      <c r="C54" s="90"/>
      <c r="D54" s="90"/>
      <c r="E54" s="90"/>
      <c r="F54" s="90"/>
      <c r="G54" s="90"/>
      <c r="H54" s="90"/>
      <c r="I54" s="90"/>
      <c r="J54" s="90"/>
      <c r="K54" s="90"/>
      <c r="L54" s="90"/>
      <c r="M54" s="90"/>
      <c r="N54" s="90"/>
      <c r="O54" s="90"/>
      <c r="P54" s="90"/>
      <c r="Q54" s="90"/>
      <c r="R54" s="90"/>
      <c r="S54" s="90"/>
      <c r="T54" s="90"/>
    </row>
    <row r="55" spans="1:20" s="1" customFormat="1" ht="21.3" customHeight="1" x14ac:dyDescent="0.25"/>
    <row r="56" spans="1:20" s="1" customFormat="1" ht="14.1" customHeight="1" x14ac:dyDescent="0.25">
      <c r="A56" s="91" t="s">
        <v>33</v>
      </c>
      <c r="B56" s="91"/>
      <c r="C56" s="91"/>
      <c r="D56" s="91"/>
      <c r="E56" s="91"/>
      <c r="F56" s="91"/>
      <c r="G56" s="91"/>
      <c r="H56" s="91"/>
      <c r="I56" s="91"/>
      <c r="J56" s="91"/>
      <c r="K56" s="91"/>
      <c r="L56" s="91"/>
      <c r="M56" s="91"/>
      <c r="N56" s="91"/>
    </row>
    <row r="57" spans="1:20" s="1" customFormat="1" ht="13.35" customHeight="1" x14ac:dyDescent="0.25">
      <c r="A57" s="88" t="s">
        <v>34</v>
      </c>
      <c r="B57" s="88"/>
      <c r="C57" s="88"/>
      <c r="D57" s="88"/>
      <c r="E57" s="89">
        <v>4.08</v>
      </c>
      <c r="F57" s="89"/>
      <c r="G57" s="17"/>
      <c r="H57" s="6" t="s">
        <v>35</v>
      </c>
      <c r="I57" s="89">
        <v>0.03</v>
      </c>
      <c r="J57" s="89"/>
      <c r="K57" s="17"/>
      <c r="L57" s="88" t="s">
        <v>36</v>
      </c>
      <c r="M57" s="88"/>
      <c r="N57" s="89">
        <v>111.23</v>
      </c>
      <c r="O57" s="89"/>
    </row>
    <row r="58" spans="1:20" s="1" customFormat="1" ht="13.35" customHeight="1" x14ac:dyDescent="0.25">
      <c r="A58" s="88" t="s">
        <v>37</v>
      </c>
      <c r="B58" s="88"/>
      <c r="C58" s="88"/>
      <c r="D58" s="88"/>
      <c r="E58" s="89">
        <v>3.54</v>
      </c>
      <c r="F58" s="89"/>
      <c r="G58" s="17"/>
      <c r="H58" s="6" t="s">
        <v>38</v>
      </c>
      <c r="I58" s="89">
        <v>0.52</v>
      </c>
      <c r="J58" s="89"/>
      <c r="K58" s="17"/>
      <c r="L58" s="88" t="s">
        <v>39</v>
      </c>
      <c r="M58" s="88"/>
      <c r="N58" s="89">
        <v>27.49</v>
      </c>
      <c r="O58" s="89"/>
    </row>
    <row r="59" spans="1:20" s="1" customFormat="1" ht="13.35" customHeight="1" x14ac:dyDescent="0.25">
      <c r="A59" s="88" t="s">
        <v>40</v>
      </c>
      <c r="B59" s="88"/>
      <c r="C59" s="88"/>
      <c r="D59" s="88"/>
      <c r="E59" s="89">
        <v>17.579999999999998</v>
      </c>
      <c r="F59" s="89"/>
      <c r="G59" s="17"/>
      <c r="H59" s="6" t="s">
        <v>41</v>
      </c>
      <c r="I59" s="89">
        <v>0.02</v>
      </c>
      <c r="J59" s="89"/>
      <c r="K59" s="17"/>
      <c r="L59" s="88" t="s">
        <v>42</v>
      </c>
      <c r="M59" s="88"/>
      <c r="N59" s="89">
        <v>95.58</v>
      </c>
      <c r="O59" s="89"/>
    </row>
    <row r="60" spans="1:20" s="1" customFormat="1" ht="13.35" customHeight="1" x14ac:dyDescent="0.25">
      <c r="A60" s="88" t="s">
        <v>43</v>
      </c>
      <c r="B60" s="88"/>
      <c r="C60" s="88"/>
      <c r="D60" s="88"/>
      <c r="E60" s="89">
        <v>118.6</v>
      </c>
      <c r="F60" s="89"/>
      <c r="G60" s="17"/>
      <c r="H60" s="6" t="s">
        <v>44</v>
      </c>
      <c r="I60" s="89">
        <v>0</v>
      </c>
      <c r="J60" s="89"/>
      <c r="K60" s="17"/>
      <c r="L60" s="88" t="s">
        <v>45</v>
      </c>
      <c r="M60" s="88"/>
      <c r="N60" s="89">
        <v>0.87</v>
      </c>
      <c r="O60" s="89"/>
    </row>
    <row r="61" spans="1:20" s="1" customFormat="1" ht="13.35" customHeight="1" x14ac:dyDescent="0.25">
      <c r="A61" s="87"/>
      <c r="B61" s="87"/>
      <c r="C61" s="87"/>
      <c r="D61" s="87"/>
      <c r="E61" s="87"/>
      <c r="F61" s="87"/>
      <c r="G61" s="17"/>
      <c r="H61" s="6" t="s">
        <v>46</v>
      </c>
      <c r="I61" s="89">
        <v>0</v>
      </c>
      <c r="J61" s="89"/>
      <c r="K61" s="17"/>
      <c r="L61" s="88" t="s">
        <v>47</v>
      </c>
      <c r="M61" s="88"/>
      <c r="N61" s="89">
        <v>206.96</v>
      </c>
      <c r="O61" s="89"/>
    </row>
    <row r="62" spans="1:20" s="1" customFormat="1" ht="13.35" customHeight="1" x14ac:dyDescent="0.25">
      <c r="A62" s="87"/>
      <c r="B62" s="87"/>
      <c r="C62" s="87"/>
      <c r="D62" s="87"/>
      <c r="E62" s="87"/>
      <c r="F62" s="87"/>
      <c r="G62" s="17"/>
      <c r="H62" s="6" t="s">
        <v>48</v>
      </c>
      <c r="I62" s="89">
        <v>0.12</v>
      </c>
      <c r="J62" s="89"/>
      <c r="K62" s="17"/>
      <c r="L62" s="88" t="s">
        <v>49</v>
      </c>
      <c r="M62" s="88"/>
      <c r="N62" s="89">
        <v>9</v>
      </c>
      <c r="O62" s="89"/>
    </row>
    <row r="63" spans="1:20" s="1" customFormat="1" ht="13.35" customHeight="1" x14ac:dyDescent="0.25">
      <c r="A63" s="87"/>
      <c r="B63" s="87"/>
      <c r="C63" s="87"/>
      <c r="D63" s="87"/>
      <c r="E63" s="87"/>
      <c r="F63" s="87"/>
      <c r="G63" s="17"/>
      <c r="H63" s="17"/>
      <c r="I63" s="87"/>
      <c r="J63" s="87"/>
      <c r="K63" s="17"/>
      <c r="L63" s="88" t="s">
        <v>50</v>
      </c>
      <c r="M63" s="88"/>
      <c r="N63" s="89">
        <v>0</v>
      </c>
      <c r="O63" s="89"/>
    </row>
    <row r="64" spans="1:20" s="1" customFormat="1" ht="13.35" customHeight="1" x14ac:dyDescent="0.25">
      <c r="A64" s="87"/>
      <c r="B64" s="87"/>
      <c r="C64" s="87"/>
      <c r="D64" s="87"/>
      <c r="E64" s="87"/>
      <c r="F64" s="87"/>
      <c r="G64" s="17"/>
      <c r="H64" s="17"/>
      <c r="I64" s="87"/>
      <c r="J64" s="87"/>
      <c r="K64" s="17"/>
      <c r="L64" s="88" t="s">
        <v>51</v>
      </c>
      <c r="M64" s="88"/>
      <c r="N64" s="89">
        <v>0</v>
      </c>
      <c r="O64" s="89"/>
    </row>
    <row r="65" spans="1:20" s="1" customFormat="1" ht="14.1" customHeight="1" x14ac:dyDescent="0.25">
      <c r="A65" s="86"/>
      <c r="B65" s="86"/>
      <c r="C65" s="86"/>
      <c r="D65" s="86"/>
      <c r="E65" s="86"/>
      <c r="F65" s="86"/>
      <c r="G65" s="86"/>
      <c r="H65" s="86"/>
      <c r="I65" s="86"/>
      <c r="J65" s="86"/>
      <c r="K65" s="86"/>
      <c r="L65" s="86"/>
      <c r="M65" s="86"/>
      <c r="N65" s="86"/>
      <c r="O65" s="86"/>
      <c r="P65" s="86"/>
      <c r="Q65" s="86"/>
      <c r="R65" s="86"/>
      <c r="S65" s="86"/>
    </row>
    <row r="66" spans="1:20" s="1" customFormat="1" ht="14.1" customHeight="1" x14ac:dyDescent="0.25">
      <c r="A66" s="84" t="s">
        <v>52</v>
      </c>
      <c r="B66" s="84"/>
      <c r="C66" s="84"/>
      <c r="D66" s="84"/>
      <c r="E66" s="84"/>
      <c r="F66" s="84"/>
      <c r="G66" s="84"/>
      <c r="H66" s="84"/>
      <c r="I66" s="84"/>
      <c r="J66" s="84"/>
      <c r="K66" s="84"/>
      <c r="L66" s="84"/>
      <c r="M66" s="84"/>
      <c r="N66" s="84"/>
      <c r="O66" s="84"/>
      <c r="P66" s="84"/>
      <c r="Q66" s="84"/>
      <c r="R66" s="84"/>
      <c r="S66" s="84"/>
    </row>
    <row r="67" spans="1:20" s="1" customFormat="1" ht="21.6" customHeight="1" x14ac:dyDescent="0.25">
      <c r="A67" s="85" t="s">
        <v>252</v>
      </c>
      <c r="B67" s="85"/>
      <c r="C67" s="85"/>
      <c r="D67" s="85"/>
      <c r="E67" s="85"/>
      <c r="F67" s="85"/>
      <c r="G67" s="85"/>
      <c r="H67" s="85"/>
      <c r="I67" s="85"/>
      <c r="J67" s="85"/>
      <c r="K67" s="85"/>
      <c r="L67" s="85"/>
      <c r="M67" s="85"/>
      <c r="N67" s="85"/>
      <c r="O67" s="85"/>
      <c r="P67" s="85"/>
      <c r="Q67" s="85"/>
      <c r="R67" s="85"/>
      <c r="S67" s="85"/>
    </row>
    <row r="68" spans="1:20" s="1" customFormat="1" ht="14.1" customHeight="1" x14ac:dyDescent="0.25">
      <c r="A68" s="86"/>
      <c r="B68" s="86"/>
      <c r="C68" s="86"/>
      <c r="D68" s="86"/>
      <c r="E68" s="86"/>
      <c r="F68" s="86"/>
      <c r="G68" s="86"/>
      <c r="H68" s="86"/>
      <c r="I68" s="86"/>
      <c r="J68" s="86"/>
      <c r="K68" s="86"/>
      <c r="L68" s="86"/>
      <c r="M68" s="86"/>
      <c r="N68" s="86"/>
      <c r="O68" s="86"/>
      <c r="P68" s="86"/>
      <c r="Q68" s="86"/>
      <c r="R68" s="86"/>
      <c r="S68" s="86"/>
    </row>
    <row r="69" spans="1:20" s="1" customFormat="1" ht="14.1" customHeight="1" x14ac:dyDescent="0.25">
      <c r="A69" s="84" t="s">
        <v>54</v>
      </c>
      <c r="B69" s="84"/>
      <c r="C69" s="84"/>
      <c r="D69" s="84"/>
      <c r="E69" s="84"/>
      <c r="F69" s="84"/>
      <c r="G69" s="84"/>
      <c r="H69" s="84"/>
      <c r="I69" s="84"/>
      <c r="J69" s="84"/>
      <c r="K69" s="84"/>
      <c r="L69" s="84"/>
      <c r="M69" s="84"/>
      <c r="N69" s="84"/>
      <c r="O69" s="84"/>
      <c r="P69" s="84"/>
      <c r="Q69" s="84"/>
      <c r="R69" s="84"/>
      <c r="S69" s="84"/>
    </row>
    <row r="70" spans="1:20" s="1" customFormat="1" ht="12.15" customHeight="1" x14ac:dyDescent="0.25">
      <c r="A70" s="85" t="s">
        <v>256</v>
      </c>
      <c r="B70" s="85"/>
      <c r="C70" s="85"/>
      <c r="D70" s="85"/>
      <c r="E70" s="85"/>
      <c r="F70" s="85"/>
      <c r="G70" s="85"/>
      <c r="H70" s="85"/>
      <c r="I70" s="85"/>
      <c r="J70" s="85"/>
      <c r="K70" s="85"/>
      <c r="L70" s="85"/>
      <c r="M70" s="85"/>
      <c r="N70" s="85"/>
      <c r="O70" s="85"/>
      <c r="P70" s="85"/>
      <c r="Q70" s="85"/>
      <c r="R70" s="85"/>
      <c r="S70" s="85"/>
    </row>
    <row r="71" spans="1:20" s="1" customFormat="1" ht="14.1" customHeight="1" x14ac:dyDescent="0.25">
      <c r="A71" s="86"/>
      <c r="B71" s="86"/>
      <c r="C71" s="86"/>
      <c r="D71" s="86"/>
      <c r="E71" s="86"/>
      <c r="F71" s="86"/>
      <c r="G71" s="86"/>
      <c r="H71" s="86"/>
      <c r="I71" s="86"/>
      <c r="J71" s="86"/>
      <c r="K71" s="86"/>
      <c r="L71" s="86"/>
      <c r="M71" s="86"/>
      <c r="N71" s="86"/>
      <c r="O71" s="86"/>
      <c r="P71" s="86"/>
      <c r="Q71" s="86"/>
      <c r="R71" s="86"/>
      <c r="S71" s="86"/>
    </row>
    <row r="72" spans="1:20" s="1" customFormat="1" ht="14.1" customHeight="1" x14ac:dyDescent="0.25">
      <c r="A72" s="84" t="s">
        <v>56</v>
      </c>
      <c r="B72" s="84"/>
      <c r="C72" s="84"/>
      <c r="D72" s="84"/>
      <c r="E72" s="84"/>
      <c r="F72" s="84"/>
      <c r="G72" s="84"/>
      <c r="H72" s="84"/>
      <c r="I72" s="84"/>
      <c r="J72" s="84"/>
      <c r="K72" s="84"/>
      <c r="L72" s="84"/>
      <c r="M72" s="84"/>
      <c r="N72" s="84"/>
      <c r="O72" s="84"/>
      <c r="P72" s="84"/>
      <c r="Q72" s="84"/>
      <c r="R72" s="84"/>
      <c r="S72" s="84"/>
    </row>
    <row r="73" spans="1:20" s="1" customFormat="1" ht="49.2" customHeight="1" x14ac:dyDescent="0.25">
      <c r="A73" s="85" t="s">
        <v>253</v>
      </c>
      <c r="B73" s="85"/>
      <c r="C73" s="85"/>
      <c r="D73" s="85"/>
      <c r="E73" s="85"/>
      <c r="F73" s="85"/>
      <c r="G73" s="85"/>
      <c r="H73" s="85"/>
      <c r="I73" s="85"/>
      <c r="J73" s="85"/>
      <c r="K73" s="85"/>
      <c r="L73" s="85"/>
      <c r="M73" s="85"/>
      <c r="N73" s="85"/>
      <c r="O73" s="85"/>
      <c r="P73" s="85"/>
      <c r="Q73" s="85"/>
      <c r="R73" s="85"/>
      <c r="S73" s="85"/>
    </row>
    <row r="75" spans="1:20" s="1" customFormat="1" ht="72.45" customHeight="1" x14ac:dyDescent="0.25">
      <c r="J75" s="100" t="s">
        <v>0</v>
      </c>
      <c r="K75" s="100"/>
      <c r="L75" s="100"/>
      <c r="M75" s="100"/>
      <c r="N75" s="100"/>
      <c r="O75" s="100"/>
      <c r="P75" s="100"/>
      <c r="Q75" s="100"/>
      <c r="R75" s="100"/>
      <c r="S75" s="100"/>
      <c r="T75" s="100"/>
    </row>
    <row r="76" spans="1:20" s="1" customFormat="1" ht="7.05" customHeight="1" x14ac:dyDescent="0.25"/>
    <row r="77" spans="1:20" s="1" customFormat="1" ht="14.1" customHeight="1" x14ac:dyDescent="0.25">
      <c r="B77" s="101" t="s">
        <v>331</v>
      </c>
      <c r="C77" s="101"/>
      <c r="D77" s="101"/>
      <c r="E77" s="101"/>
      <c r="F77" s="101"/>
      <c r="G77" s="101"/>
      <c r="H77" s="101"/>
      <c r="I77" s="101"/>
      <c r="J77" s="101"/>
      <c r="K77" s="101"/>
      <c r="L77" s="101"/>
      <c r="M77" s="101"/>
      <c r="N77" s="101"/>
      <c r="O77" s="101"/>
      <c r="P77" s="101"/>
      <c r="Q77" s="101"/>
      <c r="R77" s="101"/>
    </row>
    <row r="78" spans="1:20" s="1" customFormat="1" ht="14.1" customHeight="1" x14ac:dyDescent="0.25"/>
    <row r="79" spans="1:20" s="1" customFormat="1" ht="14.1" customHeight="1" x14ac:dyDescent="0.25">
      <c r="A79" s="102" t="s">
        <v>2</v>
      </c>
      <c r="B79" s="102"/>
      <c r="C79" s="102"/>
      <c r="D79" s="103" t="s">
        <v>332</v>
      </c>
      <c r="E79" s="103"/>
      <c r="F79" s="103"/>
      <c r="G79" s="103"/>
      <c r="H79" s="103"/>
      <c r="I79" s="103"/>
      <c r="J79" s="103"/>
      <c r="K79" s="103"/>
      <c r="L79" s="103"/>
      <c r="M79" s="103"/>
      <c r="N79" s="103"/>
      <c r="O79" s="103"/>
      <c r="P79" s="103"/>
      <c r="Q79" s="103"/>
      <c r="R79" s="103"/>
      <c r="S79" s="103"/>
      <c r="T79" s="103"/>
    </row>
    <row r="80" spans="1:20" s="1" customFormat="1" ht="14.1" customHeight="1" x14ac:dyDescent="0.25">
      <c r="A80" s="102" t="s">
        <v>4</v>
      </c>
      <c r="B80" s="102"/>
      <c r="C80" s="103" t="s">
        <v>333</v>
      </c>
      <c r="D80" s="103"/>
      <c r="E80" s="103"/>
      <c r="F80" s="103"/>
      <c r="G80" s="103"/>
      <c r="H80" s="103"/>
      <c r="I80" s="103"/>
      <c r="J80" s="103"/>
      <c r="K80" s="103"/>
      <c r="L80" s="103"/>
      <c r="M80" s="103"/>
      <c r="N80" s="103"/>
      <c r="O80" s="103"/>
      <c r="P80" s="103"/>
      <c r="Q80" s="103"/>
      <c r="R80" s="103"/>
      <c r="S80" s="103"/>
      <c r="T80" s="103"/>
    </row>
    <row r="81" spans="1:20" s="1" customFormat="1" ht="14.1" customHeight="1" x14ac:dyDescent="0.25">
      <c r="A81" s="102" t="s">
        <v>6</v>
      </c>
      <c r="B81" s="102"/>
      <c r="C81" s="102"/>
      <c r="D81" s="102"/>
      <c r="E81" s="102"/>
      <c r="F81" s="103" t="s">
        <v>248</v>
      </c>
      <c r="G81" s="103"/>
      <c r="H81" s="103"/>
      <c r="I81" s="103"/>
      <c r="J81" s="103"/>
      <c r="K81" s="103"/>
      <c r="L81" s="103"/>
      <c r="M81" s="103"/>
      <c r="N81" s="103"/>
      <c r="O81" s="103"/>
      <c r="P81" s="103"/>
      <c r="Q81" s="103"/>
      <c r="R81" s="103"/>
      <c r="S81" s="103"/>
      <c r="T81" s="103"/>
    </row>
    <row r="82" spans="1:20" s="1" customFormat="1" ht="22.35" customHeight="1" x14ac:dyDescent="0.25">
      <c r="F82" s="103"/>
      <c r="G82" s="103"/>
      <c r="H82" s="103"/>
      <c r="I82" s="103"/>
      <c r="J82" s="103"/>
      <c r="K82" s="103"/>
      <c r="L82" s="103"/>
      <c r="M82" s="103"/>
      <c r="N82" s="103"/>
      <c r="O82" s="103"/>
      <c r="P82" s="103"/>
      <c r="Q82" s="103"/>
      <c r="R82" s="103"/>
      <c r="S82" s="103"/>
      <c r="T82" s="103"/>
    </row>
    <row r="83" spans="1:20" s="1" customFormat="1" ht="7.05" customHeight="1" x14ac:dyDescent="0.25">
      <c r="A83" s="86"/>
      <c r="B83" s="86"/>
      <c r="C83" s="86"/>
      <c r="D83" s="86"/>
      <c r="E83" s="86"/>
      <c r="F83" s="86"/>
      <c r="G83" s="86"/>
      <c r="H83" s="86"/>
      <c r="I83" s="86"/>
      <c r="J83" s="86"/>
      <c r="K83" s="86"/>
      <c r="L83" s="86"/>
      <c r="M83" s="86"/>
      <c r="N83" s="86"/>
      <c r="O83" s="86"/>
      <c r="P83" s="86"/>
      <c r="Q83" s="16"/>
      <c r="R83" s="86"/>
      <c r="S83" s="86"/>
      <c r="T83" s="86"/>
    </row>
    <row r="84" spans="1:20" s="1" customFormat="1" ht="16.95" customHeight="1" x14ac:dyDescent="0.25">
      <c r="A84" s="94" t="s">
        <v>8</v>
      </c>
      <c r="B84" s="94"/>
      <c r="C84" s="94"/>
      <c r="D84" s="94"/>
      <c r="E84" s="94"/>
      <c r="F84" s="94"/>
      <c r="G84" s="94"/>
      <c r="H84" s="94"/>
      <c r="I84" s="94"/>
      <c r="J84" s="94"/>
      <c r="K84" s="94"/>
      <c r="L84" s="94"/>
      <c r="M84" s="95" t="s">
        <v>9</v>
      </c>
      <c r="N84" s="95"/>
      <c r="O84" s="95"/>
      <c r="P84" s="95"/>
      <c r="Q84" s="95"/>
      <c r="R84" s="95"/>
      <c r="S84" s="95"/>
      <c r="T84" s="95"/>
    </row>
    <row r="85" spans="1:20" s="1" customFormat="1" ht="16.95" customHeight="1" x14ac:dyDescent="0.25">
      <c r="A85" s="94"/>
      <c r="B85" s="94"/>
      <c r="C85" s="94"/>
      <c r="D85" s="94"/>
      <c r="E85" s="94"/>
      <c r="F85" s="94"/>
      <c r="G85" s="94"/>
      <c r="H85" s="94"/>
      <c r="I85" s="94"/>
      <c r="J85" s="94"/>
      <c r="K85" s="94"/>
      <c r="L85" s="94"/>
      <c r="M85" s="96" t="s">
        <v>10</v>
      </c>
      <c r="N85" s="96"/>
      <c r="O85" s="96"/>
      <c r="P85" s="96"/>
      <c r="Q85" s="97" t="s">
        <v>11</v>
      </c>
      <c r="R85" s="97"/>
      <c r="S85" s="97"/>
      <c r="T85" s="97"/>
    </row>
    <row r="86" spans="1:20" s="1" customFormat="1" ht="16.95" customHeight="1" x14ac:dyDescent="0.25">
      <c r="A86" s="94"/>
      <c r="B86" s="94"/>
      <c r="C86" s="94"/>
      <c r="D86" s="94"/>
      <c r="E86" s="94"/>
      <c r="F86" s="94"/>
      <c r="G86" s="94"/>
      <c r="H86" s="94"/>
      <c r="I86" s="94"/>
      <c r="J86" s="94"/>
      <c r="K86" s="94"/>
      <c r="L86" s="94"/>
      <c r="M86" s="98" t="s">
        <v>12</v>
      </c>
      <c r="N86" s="98"/>
      <c r="O86" s="98" t="s">
        <v>13</v>
      </c>
      <c r="P86" s="98"/>
      <c r="Q86" s="13" t="s">
        <v>14</v>
      </c>
      <c r="R86" s="99" t="s">
        <v>15</v>
      </c>
      <c r="S86" s="99"/>
      <c r="T86" s="99"/>
    </row>
    <row r="87" spans="1:20" s="1" customFormat="1" ht="13.35" customHeight="1" x14ac:dyDescent="0.25">
      <c r="A87" s="88" t="s">
        <v>334</v>
      </c>
      <c r="B87" s="88"/>
      <c r="C87" s="88"/>
      <c r="D87" s="88"/>
      <c r="E87" s="88"/>
      <c r="F87" s="88"/>
      <c r="G87" s="88"/>
      <c r="H87" s="88"/>
      <c r="I87" s="88"/>
      <c r="J87" s="88"/>
      <c r="K87" s="88"/>
      <c r="L87" s="88"/>
      <c r="M87" s="88">
        <f>12*180/200</f>
        <v>10.8</v>
      </c>
      <c r="N87" s="88"/>
      <c r="O87" s="88">
        <f>12*180/200</f>
        <v>10.8</v>
      </c>
      <c r="P87" s="88"/>
      <c r="Q87" s="6">
        <v>1.08</v>
      </c>
      <c r="R87" s="88">
        <v>1.08</v>
      </c>
      <c r="S87" s="88"/>
      <c r="T87" s="88"/>
    </row>
    <row r="88" spans="1:20" s="1" customFormat="1" ht="13.35" customHeight="1" x14ac:dyDescent="0.25">
      <c r="A88" s="88" t="s">
        <v>109</v>
      </c>
      <c r="B88" s="88"/>
      <c r="C88" s="88"/>
      <c r="D88" s="88"/>
      <c r="E88" s="88"/>
      <c r="F88" s="88"/>
      <c r="G88" s="88"/>
      <c r="H88" s="88"/>
      <c r="I88" s="88"/>
      <c r="J88" s="88"/>
      <c r="K88" s="88"/>
      <c r="L88" s="88"/>
      <c r="M88" s="88">
        <v>9</v>
      </c>
      <c r="N88" s="88"/>
      <c r="O88" s="88">
        <v>9</v>
      </c>
      <c r="P88" s="88"/>
      <c r="Q88" s="6">
        <v>0.9</v>
      </c>
      <c r="R88" s="88">
        <v>0.9</v>
      </c>
      <c r="S88" s="88"/>
      <c r="T88" s="88"/>
    </row>
    <row r="89" spans="1:20" s="1" customFormat="1" ht="13.35" customHeight="1" x14ac:dyDescent="0.25">
      <c r="A89" s="88" t="s">
        <v>336</v>
      </c>
      <c r="B89" s="88"/>
      <c r="C89" s="88"/>
      <c r="D89" s="88"/>
      <c r="E89" s="88"/>
      <c r="F89" s="88"/>
      <c r="G89" s="88"/>
      <c r="H89" s="88"/>
      <c r="I89" s="88"/>
      <c r="J89" s="88"/>
      <c r="K89" s="88"/>
      <c r="L89" s="88"/>
      <c r="M89" s="88">
        <f>8*180/200</f>
        <v>7.2</v>
      </c>
      <c r="N89" s="88"/>
      <c r="O89" s="88">
        <f>8*180/200</f>
        <v>7.2</v>
      </c>
      <c r="P89" s="88"/>
      <c r="Q89" s="6">
        <v>0.72</v>
      </c>
      <c r="R89" s="88">
        <v>0.72</v>
      </c>
      <c r="S89" s="88"/>
      <c r="T89" s="88"/>
    </row>
    <row r="90" spans="1:20" s="1" customFormat="1" ht="13.35" customHeight="1" x14ac:dyDescent="0.25">
      <c r="A90" s="88" t="s">
        <v>260</v>
      </c>
      <c r="B90" s="88"/>
      <c r="C90" s="88"/>
      <c r="D90" s="88"/>
      <c r="E90" s="88"/>
      <c r="F90" s="88"/>
      <c r="G90" s="88"/>
      <c r="H90" s="88"/>
      <c r="I90" s="88"/>
      <c r="J90" s="88"/>
      <c r="K90" s="88"/>
      <c r="L90" s="88"/>
      <c r="M90" s="88">
        <v>0.18</v>
      </c>
      <c r="N90" s="88"/>
      <c r="O90" s="88">
        <v>0.18</v>
      </c>
      <c r="P90" s="88"/>
      <c r="Q90" s="6">
        <v>4.8000000000000001E-2</v>
      </c>
      <c r="R90" s="88">
        <v>1.7999999999999999E-2</v>
      </c>
      <c r="S90" s="88"/>
      <c r="T90" s="88"/>
    </row>
    <row r="91" spans="1:20" s="1" customFormat="1" ht="13.35" customHeight="1" x14ac:dyDescent="0.25">
      <c r="A91" s="88" t="s">
        <v>114</v>
      </c>
      <c r="B91" s="88"/>
      <c r="C91" s="88"/>
      <c r="D91" s="88"/>
      <c r="E91" s="88"/>
      <c r="F91" s="88"/>
      <c r="G91" s="88"/>
      <c r="H91" s="88"/>
      <c r="I91" s="88"/>
      <c r="J91" s="88"/>
      <c r="K91" s="88"/>
      <c r="L91" s="88"/>
      <c r="M91" s="88">
        <f>216*180/200</f>
        <v>194.4</v>
      </c>
      <c r="N91" s="88"/>
      <c r="O91" s="88">
        <f>216*180/200</f>
        <v>194.4</v>
      </c>
      <c r="P91" s="88"/>
      <c r="Q91" s="6">
        <v>19.440000000000001</v>
      </c>
      <c r="R91" s="88">
        <v>19.440000000000001</v>
      </c>
      <c r="S91" s="88"/>
      <c r="T91" s="88"/>
    </row>
    <row r="92" spans="1:20" s="1" customFormat="1" ht="14.1" customHeight="1" x14ac:dyDescent="0.25">
      <c r="A92" s="90" t="s">
        <v>217</v>
      </c>
      <c r="B92" s="90"/>
      <c r="C92" s="90"/>
      <c r="D92" s="90"/>
      <c r="E92" s="90"/>
      <c r="F92" s="90"/>
      <c r="G92" s="90"/>
      <c r="H92" s="90"/>
      <c r="I92" s="90"/>
      <c r="J92" s="90"/>
      <c r="K92" s="90"/>
      <c r="L92" s="90"/>
      <c r="M92" s="90"/>
      <c r="N92" s="90"/>
      <c r="O92" s="90"/>
      <c r="P92" s="90"/>
      <c r="Q92" s="90"/>
      <c r="R92" s="90"/>
      <c r="S92" s="90"/>
      <c r="T92" s="90"/>
    </row>
    <row r="93" spans="1:20" s="1" customFormat="1" ht="21.3" customHeight="1" x14ac:dyDescent="0.25"/>
    <row r="94" spans="1:20" s="1" customFormat="1" ht="14.1" customHeight="1" x14ac:dyDescent="0.25">
      <c r="A94" s="91" t="s">
        <v>33</v>
      </c>
      <c r="B94" s="91"/>
      <c r="C94" s="91"/>
      <c r="D94" s="91"/>
      <c r="E94" s="91"/>
      <c r="F94" s="91"/>
      <c r="G94" s="91"/>
      <c r="H94" s="91"/>
      <c r="I94" s="91"/>
      <c r="J94" s="91"/>
      <c r="K94" s="91"/>
      <c r="L94" s="91"/>
      <c r="M94" s="91"/>
      <c r="N94" s="91"/>
    </row>
    <row r="95" spans="1:20" s="1" customFormat="1" ht="13.35" customHeight="1" x14ac:dyDescent="0.25">
      <c r="A95" s="88" t="s">
        <v>34</v>
      </c>
      <c r="B95" s="88"/>
      <c r="C95" s="88"/>
      <c r="D95" s="88"/>
      <c r="E95" s="89">
        <f>0.23*180/200</f>
        <v>0.20699999999999999</v>
      </c>
      <c r="F95" s="89"/>
      <c r="G95" s="17"/>
      <c r="H95" s="6" t="s">
        <v>35</v>
      </c>
      <c r="I95" s="89">
        <v>0</v>
      </c>
      <c r="J95" s="89"/>
      <c r="K95" s="17"/>
      <c r="L95" s="88" t="s">
        <v>36</v>
      </c>
      <c r="M95" s="88"/>
      <c r="N95" s="89">
        <v>24.05</v>
      </c>
      <c r="O95" s="89"/>
    </row>
    <row r="96" spans="1:20" s="1" customFormat="1" ht="13.35" customHeight="1" x14ac:dyDescent="0.25">
      <c r="A96" s="88" t="s">
        <v>37</v>
      </c>
      <c r="B96" s="88"/>
      <c r="C96" s="88"/>
      <c r="D96" s="88"/>
      <c r="E96" s="89">
        <f>0.01*180/200</f>
        <v>9.0000000000000011E-3</v>
      </c>
      <c r="F96" s="89"/>
      <c r="G96" s="17"/>
      <c r="H96" s="6" t="s">
        <v>38</v>
      </c>
      <c r="I96" s="89">
        <v>0.1</v>
      </c>
      <c r="J96" s="89"/>
      <c r="K96" s="17"/>
      <c r="L96" s="88" t="s">
        <v>39</v>
      </c>
      <c r="M96" s="88"/>
      <c r="N96" s="89">
        <v>5.25</v>
      </c>
      <c r="O96" s="89"/>
    </row>
    <row r="97" spans="1:20" s="1" customFormat="1" ht="13.35" customHeight="1" x14ac:dyDescent="0.25">
      <c r="A97" s="88" t="s">
        <v>40</v>
      </c>
      <c r="B97" s="88"/>
      <c r="C97" s="88"/>
      <c r="D97" s="88"/>
      <c r="E97" s="89">
        <f>32.82*180/200</f>
        <v>29.538</v>
      </c>
      <c r="F97" s="89"/>
      <c r="G97" s="17"/>
      <c r="H97" s="6" t="s">
        <v>41</v>
      </c>
      <c r="I97" s="89">
        <v>0</v>
      </c>
      <c r="J97" s="89"/>
      <c r="K97" s="17"/>
      <c r="L97" s="88" t="s">
        <v>42</v>
      </c>
      <c r="M97" s="88"/>
      <c r="N97" s="89">
        <v>13.86</v>
      </c>
      <c r="O97" s="89"/>
    </row>
    <row r="98" spans="1:20" s="1" customFormat="1" ht="13.35" customHeight="1" x14ac:dyDescent="0.25">
      <c r="A98" s="88" t="s">
        <v>43</v>
      </c>
      <c r="B98" s="88"/>
      <c r="C98" s="88"/>
      <c r="D98" s="88"/>
      <c r="E98" s="89">
        <f>151.2*180/200</f>
        <v>136.07999999999998</v>
      </c>
      <c r="F98" s="89"/>
      <c r="G98" s="17"/>
      <c r="H98" s="6" t="s">
        <v>44</v>
      </c>
      <c r="I98" s="89">
        <v>0</v>
      </c>
      <c r="J98" s="89"/>
      <c r="K98" s="17"/>
      <c r="L98" s="88" t="s">
        <v>45</v>
      </c>
      <c r="M98" s="88"/>
      <c r="N98" s="89">
        <v>0.65</v>
      </c>
      <c r="O98" s="89"/>
    </row>
    <row r="99" spans="1:20" s="1" customFormat="1" ht="13.35" customHeight="1" x14ac:dyDescent="0.25">
      <c r="A99" s="87"/>
      <c r="B99" s="87"/>
      <c r="C99" s="87"/>
      <c r="D99" s="87"/>
      <c r="E99" s="87"/>
      <c r="F99" s="87"/>
      <c r="G99" s="17"/>
      <c r="H99" s="6" t="s">
        <v>46</v>
      </c>
      <c r="I99" s="89">
        <v>0</v>
      </c>
      <c r="J99" s="89"/>
      <c r="K99" s="17"/>
      <c r="L99" s="88" t="s">
        <v>47</v>
      </c>
      <c r="M99" s="88"/>
      <c r="N99" s="89">
        <v>72.17</v>
      </c>
      <c r="O99" s="89"/>
    </row>
    <row r="100" spans="1:20" s="1" customFormat="1" ht="13.35" customHeight="1" x14ac:dyDescent="0.25">
      <c r="A100" s="87"/>
      <c r="B100" s="87"/>
      <c r="C100" s="87"/>
      <c r="D100" s="87"/>
      <c r="E100" s="87"/>
      <c r="F100" s="87"/>
      <c r="G100" s="17"/>
      <c r="H100" s="6" t="s">
        <v>48</v>
      </c>
      <c r="I100" s="89">
        <v>0</v>
      </c>
      <c r="J100" s="89"/>
      <c r="K100" s="17"/>
      <c r="L100" s="88" t="s">
        <v>49</v>
      </c>
      <c r="M100" s="88"/>
      <c r="N100" s="89">
        <v>0</v>
      </c>
      <c r="O100" s="89"/>
    </row>
    <row r="101" spans="1:20" s="1" customFormat="1" ht="13.35" customHeight="1" x14ac:dyDescent="0.25">
      <c r="A101" s="87"/>
      <c r="B101" s="87"/>
      <c r="C101" s="87"/>
      <c r="D101" s="87"/>
      <c r="E101" s="87"/>
      <c r="F101" s="87"/>
      <c r="G101" s="17"/>
      <c r="H101" s="17"/>
      <c r="I101" s="87"/>
      <c r="J101" s="87"/>
      <c r="K101" s="17"/>
      <c r="L101" s="88" t="s">
        <v>50</v>
      </c>
      <c r="M101" s="88"/>
      <c r="N101" s="89">
        <v>0</v>
      </c>
      <c r="O101" s="89"/>
    </row>
    <row r="102" spans="1:20" s="1" customFormat="1" ht="13.35" customHeight="1" x14ac:dyDescent="0.25">
      <c r="A102" s="87"/>
      <c r="B102" s="87"/>
      <c r="C102" s="87"/>
      <c r="D102" s="87"/>
      <c r="E102" s="87"/>
      <c r="F102" s="87"/>
      <c r="G102" s="17"/>
      <c r="H102" s="17"/>
      <c r="I102" s="87"/>
      <c r="J102" s="87"/>
      <c r="K102" s="17"/>
      <c r="L102" s="88" t="s">
        <v>51</v>
      </c>
      <c r="M102" s="88"/>
      <c r="N102" s="89">
        <v>0</v>
      </c>
      <c r="O102" s="89"/>
    </row>
    <row r="103" spans="1:20" s="1" customFormat="1" ht="14.1" customHeight="1" x14ac:dyDescent="0.25">
      <c r="A103" s="86"/>
      <c r="B103" s="86"/>
      <c r="C103" s="86"/>
      <c r="D103" s="86"/>
      <c r="E103" s="86"/>
      <c r="F103" s="86"/>
      <c r="G103" s="86"/>
      <c r="H103" s="86"/>
      <c r="I103" s="86"/>
      <c r="J103" s="86"/>
      <c r="K103" s="86"/>
      <c r="L103" s="86"/>
      <c r="M103" s="86"/>
      <c r="N103" s="86"/>
      <c r="O103" s="86"/>
      <c r="P103" s="86"/>
      <c r="Q103" s="86"/>
      <c r="R103" s="86"/>
      <c r="S103" s="86"/>
    </row>
    <row r="104" spans="1:20" s="1" customFormat="1" ht="14.1" customHeight="1" x14ac:dyDescent="0.25">
      <c r="A104" s="84" t="s">
        <v>52</v>
      </c>
      <c r="B104" s="84"/>
      <c r="C104" s="84"/>
      <c r="D104" s="84"/>
      <c r="E104" s="84"/>
      <c r="F104" s="84"/>
      <c r="G104" s="84"/>
      <c r="H104" s="84"/>
      <c r="I104" s="84"/>
      <c r="J104" s="84"/>
      <c r="K104" s="84"/>
      <c r="L104" s="84"/>
      <c r="M104" s="84"/>
      <c r="N104" s="84"/>
      <c r="O104" s="84"/>
      <c r="P104" s="84"/>
      <c r="Q104" s="84"/>
      <c r="R104" s="84"/>
      <c r="S104" s="84"/>
    </row>
    <row r="105" spans="1:20" s="1" customFormat="1" ht="40.049999999999997" customHeight="1" x14ac:dyDescent="0.25">
      <c r="A105" s="85" t="s">
        <v>337</v>
      </c>
      <c r="B105" s="85"/>
      <c r="C105" s="85"/>
      <c r="D105" s="85"/>
      <c r="E105" s="85"/>
      <c r="F105" s="85"/>
      <c r="G105" s="85"/>
      <c r="H105" s="85"/>
      <c r="I105" s="85"/>
      <c r="J105" s="85"/>
      <c r="K105" s="85"/>
      <c r="L105" s="85"/>
      <c r="M105" s="85"/>
      <c r="N105" s="85"/>
      <c r="O105" s="85"/>
      <c r="P105" s="85"/>
      <c r="Q105" s="85"/>
      <c r="R105" s="85"/>
      <c r="S105" s="85"/>
    </row>
    <row r="106" spans="1:20" s="1" customFormat="1" ht="14.1" customHeight="1" x14ac:dyDescent="0.25">
      <c r="A106" s="86"/>
      <c r="B106" s="86"/>
      <c r="C106" s="86"/>
      <c r="D106" s="86"/>
      <c r="E106" s="86"/>
      <c r="F106" s="86"/>
      <c r="G106" s="86"/>
      <c r="H106" s="86"/>
      <c r="I106" s="86"/>
      <c r="J106" s="86"/>
      <c r="K106" s="86"/>
      <c r="L106" s="86"/>
      <c r="M106" s="86"/>
      <c r="N106" s="86"/>
      <c r="O106" s="86"/>
      <c r="P106" s="86"/>
      <c r="Q106" s="86"/>
      <c r="R106" s="86"/>
      <c r="S106" s="86"/>
    </row>
    <row r="107" spans="1:20" s="1" customFormat="1" ht="14.1" customHeight="1" x14ac:dyDescent="0.25">
      <c r="A107" s="84" t="s">
        <v>54</v>
      </c>
      <c r="B107" s="84"/>
      <c r="C107" s="84"/>
      <c r="D107" s="84"/>
      <c r="E107" s="84"/>
      <c r="F107" s="84"/>
      <c r="G107" s="84"/>
      <c r="H107" s="84"/>
      <c r="I107" s="84"/>
      <c r="J107" s="84"/>
      <c r="K107" s="84"/>
      <c r="L107" s="84"/>
      <c r="M107" s="84"/>
      <c r="N107" s="84"/>
      <c r="O107" s="84"/>
      <c r="P107" s="84"/>
      <c r="Q107" s="84"/>
      <c r="R107" s="84"/>
      <c r="S107" s="84"/>
    </row>
    <row r="108" spans="1:20" s="1" customFormat="1" ht="12.15" customHeight="1" x14ac:dyDescent="0.25">
      <c r="A108" s="85" t="s">
        <v>338</v>
      </c>
      <c r="B108" s="85"/>
      <c r="C108" s="85"/>
      <c r="D108" s="85"/>
      <c r="E108" s="85"/>
      <c r="F108" s="85"/>
      <c r="G108" s="85"/>
      <c r="H108" s="85"/>
      <c r="I108" s="85"/>
      <c r="J108" s="85"/>
      <c r="K108" s="85"/>
      <c r="L108" s="85"/>
      <c r="M108" s="85"/>
      <c r="N108" s="85"/>
      <c r="O108" s="85"/>
      <c r="P108" s="85"/>
      <c r="Q108" s="85"/>
      <c r="R108" s="85"/>
      <c r="S108" s="85"/>
    </row>
    <row r="109" spans="1:20" s="1" customFormat="1" ht="14.1" customHeight="1" x14ac:dyDescent="0.25">
      <c r="A109" s="86"/>
      <c r="B109" s="86"/>
      <c r="C109" s="86"/>
      <c r="D109" s="86"/>
      <c r="E109" s="86"/>
      <c r="F109" s="86"/>
      <c r="G109" s="86"/>
      <c r="H109" s="86"/>
      <c r="I109" s="86"/>
      <c r="J109" s="86"/>
      <c r="K109" s="86"/>
      <c r="L109" s="86"/>
      <c r="M109" s="86"/>
      <c r="N109" s="86"/>
      <c r="O109" s="86"/>
      <c r="P109" s="86"/>
      <c r="Q109" s="86"/>
      <c r="R109" s="86"/>
      <c r="S109" s="86"/>
    </row>
    <row r="110" spans="1:20" s="1" customFormat="1" ht="14.1" customHeight="1" x14ac:dyDescent="0.25">
      <c r="A110" s="84" t="s">
        <v>56</v>
      </c>
      <c r="B110" s="84"/>
      <c r="C110" s="84"/>
      <c r="D110" s="84"/>
      <c r="E110" s="84"/>
      <c r="F110" s="84"/>
      <c r="G110" s="84"/>
      <c r="H110" s="84"/>
      <c r="I110" s="84"/>
      <c r="J110" s="84"/>
      <c r="K110" s="84"/>
      <c r="L110" s="84"/>
      <c r="M110" s="84"/>
      <c r="N110" s="84"/>
      <c r="O110" s="84"/>
      <c r="P110" s="84"/>
      <c r="Q110" s="84"/>
      <c r="R110" s="84"/>
      <c r="S110" s="84"/>
    </row>
    <row r="111" spans="1:20" s="1" customFormat="1" ht="49.2" customHeight="1" x14ac:dyDescent="0.25">
      <c r="A111" s="85" t="s">
        <v>339</v>
      </c>
      <c r="B111" s="85"/>
      <c r="C111" s="85"/>
      <c r="D111" s="85"/>
      <c r="E111" s="85"/>
      <c r="F111" s="85"/>
      <c r="G111" s="85"/>
      <c r="H111" s="85"/>
      <c r="I111" s="85"/>
      <c r="J111" s="85"/>
      <c r="K111" s="85"/>
      <c r="L111" s="85"/>
      <c r="M111" s="85"/>
      <c r="N111" s="85"/>
      <c r="O111" s="85"/>
      <c r="P111" s="85"/>
      <c r="Q111" s="85"/>
      <c r="R111" s="85"/>
      <c r="S111" s="85"/>
    </row>
    <row r="112" spans="1:20" s="1" customFormat="1" ht="72.45" customHeight="1" x14ac:dyDescent="0.25">
      <c r="J112" s="100" t="s">
        <v>0</v>
      </c>
      <c r="K112" s="100"/>
      <c r="L112" s="100"/>
      <c r="M112" s="100"/>
      <c r="N112" s="100"/>
      <c r="O112" s="100"/>
      <c r="P112" s="100"/>
      <c r="Q112" s="100"/>
      <c r="R112" s="100"/>
      <c r="S112" s="100"/>
      <c r="T112" s="100"/>
    </row>
    <row r="113" spans="1:20" s="1" customFormat="1" ht="7.05" customHeight="1" x14ac:dyDescent="0.25"/>
    <row r="114" spans="1:20" s="1" customFormat="1" ht="14.1" customHeight="1" x14ac:dyDescent="0.25">
      <c r="B114" s="101" t="s">
        <v>331</v>
      </c>
      <c r="C114" s="101"/>
      <c r="D114" s="101"/>
      <c r="E114" s="101"/>
      <c r="F114" s="101"/>
      <c r="G114" s="101"/>
      <c r="H114" s="101"/>
      <c r="I114" s="101"/>
      <c r="J114" s="101"/>
      <c r="K114" s="101"/>
      <c r="L114" s="101"/>
      <c r="M114" s="101"/>
      <c r="N114" s="101"/>
      <c r="O114" s="101"/>
      <c r="P114" s="101"/>
      <c r="Q114" s="101"/>
      <c r="R114" s="101"/>
    </row>
    <row r="115" spans="1:20" s="1" customFormat="1" ht="14.1" customHeight="1" x14ac:dyDescent="0.25"/>
    <row r="116" spans="1:20" s="1" customFormat="1" ht="14.1" customHeight="1" x14ac:dyDescent="0.25">
      <c r="A116" s="102" t="s">
        <v>2</v>
      </c>
      <c r="B116" s="102"/>
      <c r="C116" s="102"/>
      <c r="D116" s="103" t="s">
        <v>841</v>
      </c>
      <c r="E116" s="103"/>
      <c r="F116" s="103"/>
      <c r="G116" s="103"/>
      <c r="H116" s="103"/>
      <c r="I116" s="103"/>
      <c r="J116" s="103"/>
      <c r="K116" s="103"/>
      <c r="L116" s="103"/>
      <c r="M116" s="103"/>
      <c r="N116" s="103"/>
      <c r="O116" s="103"/>
      <c r="P116" s="103"/>
      <c r="Q116" s="103"/>
      <c r="R116" s="103"/>
      <c r="S116" s="103"/>
      <c r="T116" s="103"/>
    </row>
    <row r="117" spans="1:20" s="1" customFormat="1" ht="14.1" customHeight="1" x14ac:dyDescent="0.25">
      <c r="A117" s="102" t="s">
        <v>4</v>
      </c>
      <c r="B117" s="102"/>
      <c r="C117" s="103" t="s">
        <v>333</v>
      </c>
      <c r="D117" s="103"/>
      <c r="E117" s="103"/>
      <c r="F117" s="103"/>
      <c r="G117" s="103"/>
      <c r="H117" s="103"/>
      <c r="I117" s="103"/>
      <c r="J117" s="103"/>
      <c r="K117" s="103"/>
      <c r="L117" s="103"/>
      <c r="M117" s="103"/>
      <c r="N117" s="103"/>
      <c r="O117" s="103"/>
      <c r="P117" s="103"/>
      <c r="Q117" s="103"/>
      <c r="R117" s="103"/>
      <c r="S117" s="103"/>
      <c r="T117" s="103"/>
    </row>
    <row r="118" spans="1:20" s="1" customFormat="1" ht="14.1" customHeight="1" x14ac:dyDescent="0.25">
      <c r="A118" s="102" t="s">
        <v>6</v>
      </c>
      <c r="B118" s="102"/>
      <c r="C118" s="102"/>
      <c r="D118" s="102"/>
      <c r="E118" s="102"/>
      <c r="F118" s="103" t="s">
        <v>248</v>
      </c>
      <c r="G118" s="103"/>
      <c r="H118" s="103"/>
      <c r="I118" s="103"/>
      <c r="J118" s="103"/>
      <c r="K118" s="103"/>
      <c r="L118" s="103"/>
      <c r="M118" s="103"/>
      <c r="N118" s="103"/>
      <c r="O118" s="103"/>
      <c r="P118" s="103"/>
      <c r="Q118" s="103"/>
      <c r="R118" s="103"/>
      <c r="S118" s="103"/>
      <c r="T118" s="103"/>
    </row>
    <row r="119" spans="1:20" s="1" customFormat="1" ht="22.35" customHeight="1" x14ac:dyDescent="0.25">
      <c r="F119" s="103"/>
      <c r="G119" s="103"/>
      <c r="H119" s="103"/>
      <c r="I119" s="103"/>
      <c r="J119" s="103"/>
      <c r="K119" s="103"/>
      <c r="L119" s="103"/>
      <c r="M119" s="103"/>
      <c r="N119" s="103"/>
      <c r="O119" s="103"/>
      <c r="P119" s="103"/>
      <c r="Q119" s="103"/>
      <c r="R119" s="103"/>
      <c r="S119" s="103"/>
      <c r="T119" s="103"/>
    </row>
    <row r="120" spans="1:20" s="1" customFormat="1" ht="7.05" customHeight="1" x14ac:dyDescent="0.25">
      <c r="A120" s="86"/>
      <c r="B120" s="86"/>
      <c r="C120" s="86"/>
      <c r="D120" s="86"/>
      <c r="E120" s="86"/>
      <c r="F120" s="86"/>
      <c r="G120" s="86"/>
      <c r="H120" s="86"/>
      <c r="I120" s="86"/>
      <c r="J120" s="86"/>
      <c r="K120" s="86"/>
      <c r="L120" s="86"/>
      <c r="M120" s="86"/>
      <c r="N120" s="86"/>
      <c r="O120" s="86"/>
      <c r="P120" s="86"/>
      <c r="Q120" s="16"/>
      <c r="R120" s="86"/>
      <c r="S120" s="86"/>
      <c r="T120" s="86"/>
    </row>
    <row r="121" spans="1:20" s="1" customFormat="1" ht="16.95" customHeight="1" x14ac:dyDescent="0.25">
      <c r="A121" s="94" t="s">
        <v>8</v>
      </c>
      <c r="B121" s="94"/>
      <c r="C121" s="94"/>
      <c r="D121" s="94"/>
      <c r="E121" s="94"/>
      <c r="F121" s="94"/>
      <c r="G121" s="94"/>
      <c r="H121" s="94"/>
      <c r="I121" s="94"/>
      <c r="J121" s="94"/>
      <c r="K121" s="94"/>
      <c r="L121" s="94"/>
      <c r="M121" s="95" t="s">
        <v>9</v>
      </c>
      <c r="N121" s="95"/>
      <c r="O121" s="95"/>
      <c r="P121" s="95"/>
      <c r="Q121" s="95"/>
      <c r="R121" s="95"/>
      <c r="S121" s="95"/>
      <c r="T121" s="95"/>
    </row>
    <row r="122" spans="1:20" s="1" customFormat="1" ht="16.95" customHeight="1" x14ac:dyDescent="0.25">
      <c r="A122" s="94"/>
      <c r="B122" s="94"/>
      <c r="C122" s="94"/>
      <c r="D122" s="94"/>
      <c r="E122" s="94"/>
      <c r="F122" s="94"/>
      <c r="G122" s="94"/>
      <c r="H122" s="94"/>
      <c r="I122" s="94"/>
      <c r="J122" s="94"/>
      <c r="K122" s="94"/>
      <c r="L122" s="94"/>
      <c r="M122" s="96" t="s">
        <v>10</v>
      </c>
      <c r="N122" s="96"/>
      <c r="O122" s="96"/>
      <c r="P122" s="96"/>
      <c r="Q122" s="97" t="s">
        <v>11</v>
      </c>
      <c r="R122" s="97"/>
      <c r="S122" s="97"/>
      <c r="T122" s="97"/>
    </row>
    <row r="123" spans="1:20" s="1" customFormat="1" ht="16.95" customHeight="1" x14ac:dyDescent="0.25">
      <c r="A123" s="94"/>
      <c r="B123" s="94"/>
      <c r="C123" s="94"/>
      <c r="D123" s="94"/>
      <c r="E123" s="94"/>
      <c r="F123" s="94"/>
      <c r="G123" s="94"/>
      <c r="H123" s="94"/>
      <c r="I123" s="94"/>
      <c r="J123" s="94"/>
      <c r="K123" s="94"/>
      <c r="L123" s="94"/>
      <c r="M123" s="98" t="s">
        <v>12</v>
      </c>
      <c r="N123" s="98"/>
      <c r="O123" s="98" t="s">
        <v>13</v>
      </c>
      <c r="P123" s="98"/>
      <c r="Q123" s="13" t="s">
        <v>14</v>
      </c>
      <c r="R123" s="99" t="s">
        <v>15</v>
      </c>
      <c r="S123" s="99"/>
      <c r="T123" s="99"/>
    </row>
    <row r="124" spans="1:20" s="1" customFormat="1" ht="13.35" customHeight="1" x14ac:dyDescent="0.25">
      <c r="A124" s="88" t="s">
        <v>334</v>
      </c>
      <c r="B124" s="88"/>
      <c r="C124" s="88"/>
      <c r="D124" s="88"/>
      <c r="E124" s="88"/>
      <c r="F124" s="88"/>
      <c r="G124" s="88"/>
      <c r="H124" s="88"/>
      <c r="I124" s="88"/>
      <c r="J124" s="88"/>
      <c r="K124" s="88"/>
      <c r="L124" s="88"/>
      <c r="M124" s="88" t="s">
        <v>162</v>
      </c>
      <c r="N124" s="88"/>
      <c r="O124" s="88" t="s">
        <v>162</v>
      </c>
      <c r="P124" s="88"/>
      <c r="Q124" s="6" t="s">
        <v>128</v>
      </c>
      <c r="R124" s="88" t="s">
        <v>128</v>
      </c>
      <c r="S124" s="88"/>
      <c r="T124" s="88"/>
    </row>
    <row r="125" spans="1:20" s="1" customFormat="1" ht="13.35" customHeight="1" x14ac:dyDescent="0.25">
      <c r="A125" s="88" t="s">
        <v>109</v>
      </c>
      <c r="B125" s="88"/>
      <c r="C125" s="88"/>
      <c r="D125" s="88"/>
      <c r="E125" s="88"/>
      <c r="F125" s="88"/>
      <c r="G125" s="88"/>
      <c r="H125" s="88"/>
      <c r="I125" s="88"/>
      <c r="J125" s="88"/>
      <c r="K125" s="88"/>
      <c r="L125" s="88"/>
      <c r="M125" s="88">
        <v>12</v>
      </c>
      <c r="N125" s="88"/>
      <c r="O125" s="88">
        <v>12</v>
      </c>
      <c r="P125" s="88"/>
      <c r="Q125" s="6">
        <v>1.2</v>
      </c>
      <c r="R125" s="88">
        <v>1.2</v>
      </c>
      <c r="S125" s="88"/>
      <c r="T125" s="88"/>
    </row>
    <row r="126" spans="1:20" s="1" customFormat="1" ht="13.35" customHeight="1" x14ac:dyDescent="0.25">
      <c r="A126" s="88" t="s">
        <v>336</v>
      </c>
      <c r="B126" s="88"/>
      <c r="C126" s="88"/>
      <c r="D126" s="88"/>
      <c r="E126" s="88"/>
      <c r="F126" s="88"/>
      <c r="G126" s="88"/>
      <c r="H126" s="88"/>
      <c r="I126" s="88"/>
      <c r="J126" s="88"/>
      <c r="K126" s="88"/>
      <c r="L126" s="88"/>
      <c r="M126" s="88" t="s">
        <v>124</v>
      </c>
      <c r="N126" s="88"/>
      <c r="O126" s="88" t="s">
        <v>124</v>
      </c>
      <c r="P126" s="88"/>
      <c r="Q126" s="6" t="s">
        <v>125</v>
      </c>
      <c r="R126" s="88" t="s">
        <v>125</v>
      </c>
      <c r="S126" s="88"/>
      <c r="T126" s="88"/>
    </row>
    <row r="127" spans="1:20" s="1" customFormat="1" ht="13.35" customHeight="1" x14ac:dyDescent="0.25">
      <c r="A127" s="88" t="s">
        <v>260</v>
      </c>
      <c r="B127" s="88"/>
      <c r="C127" s="88"/>
      <c r="D127" s="88"/>
      <c r="E127" s="88"/>
      <c r="F127" s="88"/>
      <c r="G127" s="88"/>
      <c r="H127" s="88"/>
      <c r="I127" s="88"/>
      <c r="J127" s="88"/>
      <c r="K127" s="88"/>
      <c r="L127" s="88"/>
      <c r="M127" s="88" t="s">
        <v>79</v>
      </c>
      <c r="N127" s="88"/>
      <c r="O127" s="88" t="s">
        <v>79</v>
      </c>
      <c r="P127" s="88"/>
      <c r="Q127" s="6" t="s">
        <v>262</v>
      </c>
      <c r="R127" s="88" t="s">
        <v>262</v>
      </c>
      <c r="S127" s="88"/>
      <c r="T127" s="88"/>
    </row>
    <row r="128" spans="1:20" s="1" customFormat="1" ht="13.35" customHeight="1" x14ac:dyDescent="0.25">
      <c r="A128" s="88" t="s">
        <v>539</v>
      </c>
      <c r="B128" s="88"/>
      <c r="C128" s="88"/>
      <c r="D128" s="88"/>
      <c r="E128" s="88"/>
      <c r="F128" s="88"/>
      <c r="G128" s="88"/>
      <c r="H128" s="88"/>
      <c r="I128" s="88"/>
      <c r="J128" s="88"/>
      <c r="K128" s="88"/>
      <c r="L128" s="88"/>
      <c r="M128" s="88">
        <v>120</v>
      </c>
      <c r="N128" s="88"/>
      <c r="O128" s="88">
        <v>120</v>
      </c>
      <c r="P128" s="88"/>
      <c r="Q128" s="38">
        <v>12</v>
      </c>
      <c r="R128" s="88">
        <v>12</v>
      </c>
      <c r="S128" s="88"/>
      <c r="T128" s="88"/>
    </row>
    <row r="129" spans="1:20" s="1" customFormat="1" ht="13.35" customHeight="1" x14ac:dyDescent="0.25">
      <c r="A129" s="88" t="s">
        <v>114</v>
      </c>
      <c r="B129" s="88"/>
      <c r="C129" s="88"/>
      <c r="D129" s="88"/>
      <c r="E129" s="88"/>
      <c r="F129" s="88"/>
      <c r="G129" s="88"/>
      <c r="H129" s="88"/>
      <c r="I129" s="88"/>
      <c r="J129" s="88"/>
      <c r="K129" s="88"/>
      <c r="L129" s="88"/>
      <c r="M129" s="88">
        <v>96</v>
      </c>
      <c r="N129" s="88"/>
      <c r="O129" s="88">
        <v>96</v>
      </c>
      <c r="P129" s="88"/>
      <c r="Q129" s="6">
        <v>9.6</v>
      </c>
      <c r="R129" s="88">
        <v>9.6</v>
      </c>
      <c r="S129" s="88"/>
      <c r="T129" s="88"/>
    </row>
    <row r="130" spans="1:20" s="1" customFormat="1" ht="14.1" customHeight="1" x14ac:dyDescent="0.25">
      <c r="A130" s="90" t="s">
        <v>116</v>
      </c>
      <c r="B130" s="90"/>
      <c r="C130" s="90"/>
      <c r="D130" s="90"/>
      <c r="E130" s="90"/>
      <c r="F130" s="90"/>
      <c r="G130" s="90"/>
      <c r="H130" s="90"/>
      <c r="I130" s="90"/>
      <c r="J130" s="90"/>
      <c r="K130" s="90"/>
      <c r="L130" s="90"/>
      <c r="M130" s="90"/>
      <c r="N130" s="90"/>
      <c r="O130" s="90"/>
      <c r="P130" s="90"/>
      <c r="Q130" s="90"/>
      <c r="R130" s="90"/>
      <c r="S130" s="90"/>
      <c r="T130" s="90"/>
    </row>
    <row r="131" spans="1:20" s="1" customFormat="1" ht="21.3" customHeight="1" x14ac:dyDescent="0.25"/>
    <row r="132" spans="1:20" s="1" customFormat="1" ht="14.1" customHeight="1" x14ac:dyDescent="0.25">
      <c r="A132" s="91" t="s">
        <v>33</v>
      </c>
      <c r="B132" s="91"/>
      <c r="C132" s="91"/>
      <c r="D132" s="91"/>
      <c r="E132" s="91"/>
      <c r="F132" s="91"/>
      <c r="G132" s="91"/>
      <c r="H132" s="91"/>
      <c r="I132" s="91"/>
      <c r="J132" s="91"/>
      <c r="K132" s="91"/>
      <c r="L132" s="91"/>
      <c r="M132" s="91"/>
      <c r="N132" s="91"/>
    </row>
    <row r="133" spans="1:20" s="1" customFormat="1" ht="13.35" customHeight="1" x14ac:dyDescent="0.25">
      <c r="A133" s="88" t="s">
        <v>34</v>
      </c>
      <c r="B133" s="88"/>
      <c r="C133" s="88"/>
      <c r="D133" s="88"/>
      <c r="E133" s="89">
        <v>0.23</v>
      </c>
      <c r="F133" s="89"/>
      <c r="G133" s="17"/>
      <c r="H133" s="6" t="s">
        <v>35</v>
      </c>
      <c r="I133" s="89">
        <v>0</v>
      </c>
      <c r="J133" s="89"/>
      <c r="K133" s="17"/>
      <c r="L133" s="88" t="s">
        <v>36</v>
      </c>
      <c r="M133" s="88"/>
      <c r="N133" s="89">
        <v>24.05</v>
      </c>
      <c r="O133" s="89"/>
    </row>
    <row r="134" spans="1:20" s="1" customFormat="1" ht="13.35" customHeight="1" x14ac:dyDescent="0.25">
      <c r="A134" s="88" t="s">
        <v>37</v>
      </c>
      <c r="B134" s="88"/>
      <c r="C134" s="88"/>
      <c r="D134" s="88"/>
      <c r="E134" s="89">
        <v>0.01</v>
      </c>
      <c r="F134" s="89"/>
      <c r="G134" s="17"/>
      <c r="H134" s="6" t="s">
        <v>38</v>
      </c>
      <c r="I134" s="89">
        <v>0.1</v>
      </c>
      <c r="J134" s="89"/>
      <c r="K134" s="17"/>
      <c r="L134" s="88" t="s">
        <v>39</v>
      </c>
      <c r="M134" s="88"/>
      <c r="N134" s="89">
        <v>5.25</v>
      </c>
      <c r="O134" s="89"/>
    </row>
    <row r="135" spans="1:20" s="1" customFormat="1" ht="13.35" customHeight="1" x14ac:dyDescent="0.25">
      <c r="A135" s="88" t="s">
        <v>40</v>
      </c>
      <c r="B135" s="88"/>
      <c r="C135" s="88"/>
      <c r="D135" s="88"/>
      <c r="E135" s="89">
        <v>32.82</v>
      </c>
      <c r="F135" s="89"/>
      <c r="G135" s="17"/>
      <c r="H135" s="6" t="s">
        <v>41</v>
      </c>
      <c r="I135" s="89">
        <v>0</v>
      </c>
      <c r="J135" s="89"/>
      <c r="K135" s="17"/>
      <c r="L135" s="88" t="s">
        <v>42</v>
      </c>
      <c r="M135" s="88"/>
      <c r="N135" s="89">
        <v>13.86</v>
      </c>
      <c r="O135" s="89"/>
    </row>
    <row r="136" spans="1:20" s="1" customFormat="1" ht="13.35" customHeight="1" x14ac:dyDescent="0.25">
      <c r="A136" s="88" t="s">
        <v>43</v>
      </c>
      <c r="B136" s="88"/>
      <c r="C136" s="88"/>
      <c r="D136" s="88"/>
      <c r="E136" s="89">
        <v>151.19999999999999</v>
      </c>
      <c r="F136" s="89"/>
      <c r="G136" s="17"/>
      <c r="H136" s="6" t="s">
        <v>44</v>
      </c>
      <c r="I136" s="89">
        <v>0</v>
      </c>
      <c r="J136" s="89"/>
      <c r="K136" s="17"/>
      <c r="L136" s="88" t="s">
        <v>45</v>
      </c>
      <c r="M136" s="88"/>
      <c r="N136" s="89">
        <v>0.65</v>
      </c>
      <c r="O136" s="89"/>
    </row>
    <row r="137" spans="1:20" s="1" customFormat="1" ht="13.35" customHeight="1" x14ac:dyDescent="0.25">
      <c r="A137" s="87"/>
      <c r="B137" s="87"/>
      <c r="C137" s="87"/>
      <c r="D137" s="87"/>
      <c r="E137" s="87"/>
      <c r="F137" s="87"/>
      <c r="G137" s="17"/>
      <c r="H137" s="6" t="s">
        <v>46</v>
      </c>
      <c r="I137" s="89">
        <v>0</v>
      </c>
      <c r="J137" s="89"/>
      <c r="K137" s="17"/>
      <c r="L137" s="88" t="s">
        <v>47</v>
      </c>
      <c r="M137" s="88"/>
      <c r="N137" s="89">
        <v>72.17</v>
      </c>
      <c r="O137" s="89"/>
    </row>
    <row r="138" spans="1:20" s="1" customFormat="1" ht="13.35" customHeight="1" x14ac:dyDescent="0.25">
      <c r="A138" s="87"/>
      <c r="B138" s="87"/>
      <c r="C138" s="87"/>
      <c r="D138" s="87"/>
      <c r="E138" s="87"/>
      <c r="F138" s="87"/>
      <c r="G138" s="17"/>
      <c r="H138" s="6" t="s">
        <v>48</v>
      </c>
      <c r="I138" s="89">
        <v>0</v>
      </c>
      <c r="J138" s="89"/>
      <c r="K138" s="17"/>
      <c r="L138" s="88" t="s">
        <v>49</v>
      </c>
      <c r="M138" s="88"/>
      <c r="N138" s="89">
        <v>0</v>
      </c>
      <c r="O138" s="89"/>
    </row>
    <row r="139" spans="1:20" s="1" customFormat="1" ht="13.35" customHeight="1" x14ac:dyDescent="0.25">
      <c r="A139" s="87"/>
      <c r="B139" s="87"/>
      <c r="C139" s="87"/>
      <c r="D139" s="87"/>
      <c r="E139" s="87"/>
      <c r="F139" s="87"/>
      <c r="G139" s="17"/>
      <c r="H139" s="17"/>
      <c r="I139" s="87"/>
      <c r="J139" s="87"/>
      <c r="K139" s="17"/>
      <c r="L139" s="88" t="s">
        <v>50</v>
      </c>
      <c r="M139" s="88"/>
      <c r="N139" s="89">
        <v>0</v>
      </c>
      <c r="O139" s="89"/>
    </row>
    <row r="140" spans="1:20" s="1" customFormat="1" ht="13.35" customHeight="1" x14ac:dyDescent="0.25">
      <c r="A140" s="87"/>
      <c r="B140" s="87"/>
      <c r="C140" s="87"/>
      <c r="D140" s="87"/>
      <c r="E140" s="87"/>
      <c r="F140" s="87"/>
      <c r="G140" s="17"/>
      <c r="H140" s="17"/>
      <c r="I140" s="87"/>
      <c r="J140" s="87"/>
      <c r="K140" s="17"/>
      <c r="L140" s="88" t="s">
        <v>51</v>
      </c>
      <c r="M140" s="88"/>
      <c r="N140" s="89">
        <v>0</v>
      </c>
      <c r="O140" s="89"/>
    </row>
    <row r="141" spans="1:20" s="1" customFormat="1" ht="14.1" customHeight="1" x14ac:dyDescent="0.25">
      <c r="A141" s="86"/>
      <c r="B141" s="86"/>
      <c r="C141" s="86"/>
      <c r="D141" s="86"/>
      <c r="E141" s="86"/>
      <c r="F141" s="86"/>
      <c r="G141" s="86"/>
      <c r="H141" s="86"/>
      <c r="I141" s="86"/>
      <c r="J141" s="86"/>
      <c r="K141" s="86"/>
      <c r="L141" s="86"/>
      <c r="M141" s="86"/>
      <c r="N141" s="86"/>
      <c r="O141" s="86"/>
      <c r="P141" s="86"/>
      <c r="Q141" s="86"/>
      <c r="R141" s="86"/>
      <c r="S141" s="86"/>
    </row>
    <row r="142" spans="1:20" s="1" customFormat="1" ht="14.1" customHeight="1" x14ac:dyDescent="0.25">
      <c r="A142" s="84" t="s">
        <v>52</v>
      </c>
      <c r="B142" s="84"/>
      <c r="C142" s="84"/>
      <c r="D142" s="84"/>
      <c r="E142" s="84"/>
      <c r="F142" s="84"/>
      <c r="G142" s="84"/>
      <c r="H142" s="84"/>
      <c r="I142" s="84"/>
      <c r="J142" s="84"/>
      <c r="K142" s="84"/>
      <c r="L142" s="84"/>
      <c r="M142" s="84"/>
      <c r="N142" s="84"/>
      <c r="O142" s="84"/>
      <c r="P142" s="84"/>
      <c r="Q142" s="84"/>
      <c r="R142" s="84"/>
      <c r="S142" s="84"/>
    </row>
    <row r="143" spans="1:20" s="1" customFormat="1" ht="40.049999999999997" customHeight="1" x14ac:dyDescent="0.25">
      <c r="A143" s="85" t="s">
        <v>842</v>
      </c>
      <c r="B143" s="85"/>
      <c r="C143" s="85"/>
      <c r="D143" s="85"/>
      <c r="E143" s="85"/>
      <c r="F143" s="85"/>
      <c r="G143" s="85"/>
      <c r="H143" s="85"/>
      <c r="I143" s="85"/>
      <c r="J143" s="85"/>
      <c r="K143" s="85"/>
      <c r="L143" s="85"/>
      <c r="M143" s="85"/>
      <c r="N143" s="85"/>
      <c r="O143" s="85"/>
      <c r="P143" s="85"/>
      <c r="Q143" s="85"/>
      <c r="R143" s="85"/>
      <c r="S143" s="85"/>
    </row>
    <row r="144" spans="1:20" s="1" customFormat="1" ht="14.1" customHeight="1" x14ac:dyDescent="0.25">
      <c r="A144" s="86"/>
      <c r="B144" s="86"/>
      <c r="C144" s="86"/>
      <c r="D144" s="86"/>
      <c r="E144" s="86"/>
      <c r="F144" s="86"/>
      <c r="G144" s="86"/>
      <c r="H144" s="86"/>
      <c r="I144" s="86"/>
      <c r="J144" s="86"/>
      <c r="K144" s="86"/>
      <c r="L144" s="86"/>
      <c r="M144" s="86"/>
      <c r="N144" s="86"/>
      <c r="O144" s="86"/>
      <c r="P144" s="86"/>
      <c r="Q144" s="86"/>
      <c r="R144" s="86"/>
      <c r="S144" s="86"/>
    </row>
    <row r="145" spans="1:20" s="1" customFormat="1" ht="14.1" customHeight="1" x14ac:dyDescent="0.25">
      <c r="A145" s="84" t="s">
        <v>54</v>
      </c>
      <c r="B145" s="84"/>
      <c r="C145" s="84"/>
      <c r="D145" s="84"/>
      <c r="E145" s="84"/>
      <c r="F145" s="84"/>
      <c r="G145" s="84"/>
      <c r="H145" s="84"/>
      <c r="I145" s="84"/>
      <c r="J145" s="84"/>
      <c r="K145" s="84"/>
      <c r="L145" s="84"/>
      <c r="M145" s="84"/>
      <c r="N145" s="84"/>
      <c r="O145" s="84"/>
      <c r="P145" s="84"/>
      <c r="Q145" s="84"/>
      <c r="R145" s="84"/>
      <c r="S145" s="84"/>
    </row>
    <row r="146" spans="1:20" s="1" customFormat="1" ht="12.15" customHeight="1" x14ac:dyDescent="0.25">
      <c r="A146" s="85" t="s">
        <v>338</v>
      </c>
      <c r="B146" s="85"/>
      <c r="C146" s="85"/>
      <c r="D146" s="85"/>
      <c r="E146" s="85"/>
      <c r="F146" s="85"/>
      <c r="G146" s="85"/>
      <c r="H146" s="85"/>
      <c r="I146" s="85"/>
      <c r="J146" s="85"/>
      <c r="K146" s="85"/>
      <c r="L146" s="85"/>
      <c r="M146" s="85"/>
      <c r="N146" s="85"/>
      <c r="O146" s="85"/>
      <c r="P146" s="85"/>
      <c r="Q146" s="85"/>
      <c r="R146" s="85"/>
      <c r="S146" s="85"/>
    </row>
    <row r="147" spans="1:20" s="1" customFormat="1" ht="14.1" customHeight="1" x14ac:dyDescent="0.25">
      <c r="A147" s="86"/>
      <c r="B147" s="86"/>
      <c r="C147" s="86"/>
      <c r="D147" s="86"/>
      <c r="E147" s="86"/>
      <c r="F147" s="86"/>
      <c r="G147" s="86"/>
      <c r="H147" s="86"/>
      <c r="I147" s="86"/>
      <c r="J147" s="86"/>
      <c r="K147" s="86"/>
      <c r="L147" s="86"/>
      <c r="M147" s="86"/>
      <c r="N147" s="86"/>
      <c r="O147" s="86"/>
      <c r="P147" s="86"/>
      <c r="Q147" s="86"/>
      <c r="R147" s="86"/>
      <c r="S147" s="86"/>
    </row>
    <row r="148" spans="1:20" s="1" customFormat="1" ht="14.1" customHeight="1" x14ac:dyDescent="0.25">
      <c r="A148" s="84" t="s">
        <v>56</v>
      </c>
      <c r="B148" s="84"/>
      <c r="C148" s="84"/>
      <c r="D148" s="84"/>
      <c r="E148" s="84"/>
      <c r="F148" s="84"/>
      <c r="G148" s="84"/>
      <c r="H148" s="84"/>
      <c r="I148" s="84"/>
      <c r="J148" s="84"/>
      <c r="K148" s="84"/>
      <c r="L148" s="84"/>
      <c r="M148" s="84"/>
      <c r="N148" s="84"/>
      <c r="O148" s="84"/>
      <c r="P148" s="84"/>
      <c r="Q148" s="84"/>
      <c r="R148" s="84"/>
      <c r="S148" s="84"/>
    </row>
    <row r="149" spans="1:20" s="1" customFormat="1" ht="49.2" customHeight="1" x14ac:dyDescent="0.25">
      <c r="A149" s="85" t="s">
        <v>339</v>
      </c>
      <c r="B149" s="85"/>
      <c r="C149" s="85"/>
      <c r="D149" s="85"/>
      <c r="E149" s="85"/>
      <c r="F149" s="85"/>
      <c r="G149" s="85"/>
      <c r="H149" s="85"/>
      <c r="I149" s="85"/>
      <c r="J149" s="85"/>
      <c r="K149" s="85"/>
      <c r="L149" s="85"/>
      <c r="M149" s="85"/>
      <c r="N149" s="85"/>
      <c r="O149" s="85"/>
      <c r="P149" s="85"/>
      <c r="Q149" s="85"/>
      <c r="R149" s="85"/>
      <c r="S149" s="85"/>
    </row>
    <row r="150" spans="1:20" s="1" customFormat="1" ht="72.45" customHeight="1" x14ac:dyDescent="0.25">
      <c r="J150" s="100" t="s">
        <v>0</v>
      </c>
      <c r="K150" s="100"/>
      <c r="L150" s="100"/>
      <c r="M150" s="100"/>
      <c r="N150" s="100"/>
      <c r="O150" s="100"/>
      <c r="P150" s="100"/>
      <c r="Q150" s="100"/>
      <c r="R150" s="100"/>
      <c r="S150" s="100"/>
      <c r="T150" s="100"/>
    </row>
    <row r="151" spans="1:20" s="1" customFormat="1" ht="7.05" customHeight="1" x14ac:dyDescent="0.25"/>
    <row r="152" spans="1:20" s="1" customFormat="1" ht="14.1" customHeight="1" x14ac:dyDescent="0.25">
      <c r="B152" s="101" t="s">
        <v>340</v>
      </c>
      <c r="C152" s="101"/>
      <c r="D152" s="101"/>
      <c r="E152" s="101"/>
      <c r="F152" s="101"/>
      <c r="G152" s="101"/>
      <c r="H152" s="101"/>
      <c r="I152" s="101"/>
      <c r="J152" s="101"/>
      <c r="K152" s="101"/>
      <c r="L152" s="101"/>
      <c r="M152" s="101"/>
      <c r="N152" s="101"/>
      <c r="O152" s="101"/>
      <c r="P152" s="101"/>
      <c r="Q152" s="101"/>
      <c r="R152" s="101"/>
    </row>
    <row r="153" spans="1:20" s="1" customFormat="1" ht="14.1" customHeight="1" x14ac:dyDescent="0.25"/>
    <row r="154" spans="1:20" s="1" customFormat="1" ht="14.1" customHeight="1" x14ac:dyDescent="0.25">
      <c r="A154" s="102" t="s">
        <v>2</v>
      </c>
      <c r="B154" s="102"/>
      <c r="C154" s="102"/>
      <c r="D154" s="103" t="s">
        <v>341</v>
      </c>
      <c r="E154" s="103"/>
      <c r="F154" s="103"/>
      <c r="G154" s="103"/>
      <c r="H154" s="103"/>
      <c r="I154" s="103"/>
      <c r="J154" s="103"/>
      <c r="K154" s="103"/>
      <c r="L154" s="103"/>
      <c r="M154" s="103"/>
      <c r="N154" s="103"/>
      <c r="O154" s="103"/>
      <c r="P154" s="103"/>
      <c r="Q154" s="103"/>
      <c r="R154" s="103"/>
      <c r="S154" s="103"/>
      <c r="T154" s="103"/>
    </row>
    <row r="155" spans="1:20" s="1" customFormat="1" ht="14.1" customHeight="1" x14ac:dyDescent="0.25">
      <c r="A155" s="102" t="s">
        <v>4</v>
      </c>
      <c r="B155" s="102"/>
      <c r="C155" s="103" t="s">
        <v>712</v>
      </c>
      <c r="D155" s="103"/>
      <c r="E155" s="103"/>
      <c r="F155" s="103"/>
      <c r="G155" s="103"/>
      <c r="H155" s="103"/>
      <c r="I155" s="103"/>
      <c r="J155" s="103"/>
      <c r="K155" s="103"/>
      <c r="L155" s="103"/>
      <c r="M155" s="103"/>
      <c r="N155" s="103"/>
      <c r="O155" s="103"/>
      <c r="P155" s="103"/>
      <c r="Q155" s="103"/>
      <c r="R155" s="103"/>
      <c r="S155" s="103"/>
      <c r="T155" s="103"/>
    </row>
    <row r="156" spans="1:20" s="1" customFormat="1" ht="14.1" customHeight="1" x14ac:dyDescent="0.25">
      <c r="A156" s="102" t="s">
        <v>6</v>
      </c>
      <c r="B156" s="102"/>
      <c r="C156" s="102"/>
      <c r="D156" s="102"/>
      <c r="E156" s="102"/>
      <c r="F156" s="103" t="s">
        <v>677</v>
      </c>
      <c r="G156" s="103"/>
      <c r="H156" s="103"/>
      <c r="I156" s="103"/>
      <c r="J156" s="103"/>
      <c r="K156" s="103"/>
      <c r="L156" s="103"/>
      <c r="M156" s="103"/>
      <c r="N156" s="103"/>
      <c r="O156" s="103"/>
      <c r="P156" s="103"/>
      <c r="Q156" s="103"/>
      <c r="R156" s="103"/>
      <c r="S156" s="103"/>
      <c r="T156" s="103"/>
    </row>
    <row r="157" spans="1:20" s="1" customFormat="1" ht="22.35" customHeight="1" x14ac:dyDescent="0.25">
      <c r="F157" s="103"/>
      <c r="G157" s="103"/>
      <c r="H157" s="103"/>
      <c r="I157" s="103"/>
      <c r="J157" s="103"/>
      <c r="K157" s="103"/>
      <c r="L157" s="103"/>
      <c r="M157" s="103"/>
      <c r="N157" s="103"/>
      <c r="O157" s="103"/>
      <c r="P157" s="103"/>
      <c r="Q157" s="103"/>
      <c r="R157" s="103"/>
      <c r="S157" s="103"/>
      <c r="T157" s="103"/>
    </row>
    <row r="158" spans="1:20" s="1" customFormat="1" ht="7.05" customHeight="1" x14ac:dyDescent="0.25">
      <c r="A158" s="86"/>
      <c r="B158" s="86"/>
      <c r="C158" s="86"/>
      <c r="D158" s="86"/>
      <c r="E158" s="86"/>
      <c r="F158" s="86"/>
      <c r="G158" s="86"/>
      <c r="H158" s="86"/>
      <c r="I158" s="86"/>
      <c r="J158" s="86"/>
      <c r="K158" s="86"/>
      <c r="L158" s="86"/>
      <c r="M158" s="86"/>
      <c r="N158" s="86"/>
      <c r="O158" s="86"/>
      <c r="P158" s="86"/>
      <c r="Q158" s="16"/>
      <c r="R158" s="86"/>
      <c r="S158" s="86"/>
      <c r="T158" s="86"/>
    </row>
    <row r="159" spans="1:20" s="1" customFormat="1" ht="16.95" customHeight="1" x14ac:dyDescent="0.25">
      <c r="A159" s="94" t="s">
        <v>8</v>
      </c>
      <c r="B159" s="94"/>
      <c r="C159" s="94"/>
      <c r="D159" s="94"/>
      <c r="E159" s="94"/>
      <c r="F159" s="94"/>
      <c r="G159" s="94"/>
      <c r="H159" s="94"/>
      <c r="I159" s="94"/>
      <c r="J159" s="94"/>
      <c r="K159" s="94"/>
      <c r="L159" s="94"/>
      <c r="M159" s="95" t="s">
        <v>9</v>
      </c>
      <c r="N159" s="95"/>
      <c r="O159" s="95"/>
      <c r="P159" s="95"/>
      <c r="Q159" s="95"/>
      <c r="R159" s="95"/>
      <c r="S159" s="95"/>
      <c r="T159" s="95"/>
    </row>
    <row r="160" spans="1:20" s="1" customFormat="1" ht="16.95" customHeight="1" x14ac:dyDescent="0.25">
      <c r="A160" s="94"/>
      <c r="B160" s="94"/>
      <c r="C160" s="94"/>
      <c r="D160" s="94"/>
      <c r="E160" s="94"/>
      <c r="F160" s="94"/>
      <c r="G160" s="94"/>
      <c r="H160" s="94"/>
      <c r="I160" s="94"/>
      <c r="J160" s="94"/>
      <c r="K160" s="94"/>
      <c r="L160" s="94"/>
      <c r="M160" s="96" t="s">
        <v>10</v>
      </c>
      <c r="N160" s="96"/>
      <c r="O160" s="96"/>
      <c r="P160" s="96"/>
      <c r="Q160" s="97" t="s">
        <v>11</v>
      </c>
      <c r="R160" s="97"/>
      <c r="S160" s="97"/>
      <c r="T160" s="97"/>
    </row>
    <row r="161" spans="1:20" s="1" customFormat="1" ht="16.95" customHeight="1" x14ac:dyDescent="0.25">
      <c r="A161" s="94"/>
      <c r="B161" s="94"/>
      <c r="C161" s="94"/>
      <c r="D161" s="94"/>
      <c r="E161" s="94"/>
      <c r="F161" s="94"/>
      <c r="G161" s="94"/>
      <c r="H161" s="94"/>
      <c r="I161" s="94"/>
      <c r="J161" s="94"/>
      <c r="K161" s="94"/>
      <c r="L161" s="94"/>
      <c r="M161" s="98" t="s">
        <v>12</v>
      </c>
      <c r="N161" s="98"/>
      <c r="O161" s="98" t="s">
        <v>13</v>
      </c>
      <c r="P161" s="98"/>
      <c r="Q161" s="13" t="s">
        <v>14</v>
      </c>
      <c r="R161" s="99" t="s">
        <v>15</v>
      </c>
      <c r="S161" s="99"/>
      <c r="T161" s="99"/>
    </row>
    <row r="162" spans="1:20" s="1" customFormat="1" ht="13.35" customHeight="1" x14ac:dyDescent="0.25">
      <c r="A162" s="88" t="s">
        <v>342</v>
      </c>
      <c r="B162" s="88"/>
      <c r="C162" s="88"/>
      <c r="D162" s="88"/>
      <c r="E162" s="88"/>
      <c r="F162" s="88"/>
      <c r="G162" s="88"/>
      <c r="H162" s="88"/>
      <c r="I162" s="88"/>
      <c r="J162" s="88"/>
      <c r="K162" s="88"/>
      <c r="L162" s="88"/>
      <c r="M162" s="88" t="s">
        <v>343</v>
      </c>
      <c r="N162" s="88"/>
      <c r="O162" s="88" t="s">
        <v>343</v>
      </c>
      <c r="P162" s="88"/>
      <c r="Q162" s="6" t="s">
        <v>189</v>
      </c>
      <c r="R162" s="88" t="s">
        <v>189</v>
      </c>
      <c r="S162" s="88"/>
      <c r="T162" s="88"/>
    </row>
    <row r="163" spans="1:20" s="1" customFormat="1" ht="14.1" customHeight="1" x14ac:dyDescent="0.25">
      <c r="A163" s="90" t="s">
        <v>217</v>
      </c>
      <c r="B163" s="90"/>
      <c r="C163" s="90"/>
      <c r="D163" s="90"/>
      <c r="E163" s="90"/>
      <c r="F163" s="90"/>
      <c r="G163" s="90"/>
      <c r="H163" s="90"/>
      <c r="I163" s="90"/>
      <c r="J163" s="90"/>
      <c r="K163" s="90"/>
      <c r="L163" s="90"/>
      <c r="M163" s="90"/>
      <c r="N163" s="90"/>
      <c r="O163" s="90"/>
      <c r="P163" s="90"/>
      <c r="Q163" s="90"/>
      <c r="R163" s="90"/>
      <c r="S163" s="90"/>
      <c r="T163" s="90"/>
    </row>
    <row r="164" spans="1:20" s="1" customFormat="1" ht="21.3" customHeight="1" x14ac:dyDescent="0.25"/>
    <row r="165" spans="1:20" s="1" customFormat="1" ht="14.1" customHeight="1" x14ac:dyDescent="0.25">
      <c r="A165" s="91" t="s">
        <v>33</v>
      </c>
      <c r="B165" s="91"/>
      <c r="C165" s="91"/>
      <c r="D165" s="91"/>
      <c r="E165" s="91"/>
      <c r="F165" s="91"/>
      <c r="G165" s="91"/>
      <c r="H165" s="91"/>
      <c r="I165" s="91"/>
      <c r="J165" s="91"/>
      <c r="K165" s="91"/>
      <c r="L165" s="91"/>
      <c r="M165" s="91"/>
      <c r="N165" s="91"/>
    </row>
    <row r="166" spans="1:20" s="1" customFormat="1" ht="13.35" customHeight="1" x14ac:dyDescent="0.25">
      <c r="A166" s="88" t="s">
        <v>34</v>
      </c>
      <c r="B166" s="88"/>
      <c r="C166" s="88"/>
      <c r="D166" s="88"/>
      <c r="E166" s="89">
        <f>5.2*180/200</f>
        <v>4.68</v>
      </c>
      <c r="F166" s="89"/>
      <c r="G166" s="17"/>
      <c r="H166" s="6" t="s">
        <v>35</v>
      </c>
      <c r="I166" s="89">
        <v>0</v>
      </c>
      <c r="J166" s="89"/>
      <c r="K166" s="17"/>
      <c r="L166" s="88" t="s">
        <v>36</v>
      </c>
      <c r="M166" s="88"/>
      <c r="N166" s="89">
        <v>0</v>
      </c>
      <c r="O166" s="89"/>
    </row>
    <row r="167" spans="1:20" s="1" customFormat="1" ht="13.35" customHeight="1" x14ac:dyDescent="0.25">
      <c r="A167" s="88" t="s">
        <v>37</v>
      </c>
      <c r="B167" s="88"/>
      <c r="C167" s="88"/>
      <c r="D167" s="88"/>
      <c r="E167" s="89">
        <f>4.5*180/200</f>
        <v>4.05</v>
      </c>
      <c r="F167" s="89"/>
      <c r="G167" s="17"/>
      <c r="H167" s="6" t="s">
        <v>38</v>
      </c>
      <c r="I167" s="89">
        <v>0</v>
      </c>
      <c r="J167" s="89"/>
      <c r="K167" s="17"/>
      <c r="L167" s="88" t="s">
        <v>39</v>
      </c>
      <c r="M167" s="88"/>
      <c r="N167" s="89">
        <v>0</v>
      </c>
      <c r="O167" s="89"/>
    </row>
    <row r="168" spans="1:20" s="1" customFormat="1" ht="13.35" customHeight="1" x14ac:dyDescent="0.25">
      <c r="A168" s="88" t="s">
        <v>40</v>
      </c>
      <c r="B168" s="88"/>
      <c r="C168" s="88"/>
      <c r="D168" s="88"/>
      <c r="E168" s="89">
        <f>7.2*180/200</f>
        <v>6.48</v>
      </c>
      <c r="F168" s="89"/>
      <c r="G168" s="17"/>
      <c r="H168" s="6" t="s">
        <v>41</v>
      </c>
      <c r="I168" s="89">
        <v>0</v>
      </c>
      <c r="J168" s="89"/>
      <c r="K168" s="17"/>
      <c r="L168" s="88" t="s">
        <v>42</v>
      </c>
      <c r="M168" s="88"/>
      <c r="N168" s="89">
        <v>0</v>
      </c>
      <c r="O168" s="89"/>
    </row>
    <row r="169" spans="1:20" s="1" customFormat="1" ht="13.35" customHeight="1" x14ac:dyDescent="0.25">
      <c r="A169" s="88" t="s">
        <v>43</v>
      </c>
      <c r="B169" s="88"/>
      <c r="C169" s="88"/>
      <c r="D169" s="88"/>
      <c r="E169" s="89">
        <f>95.4*180/200</f>
        <v>85.86</v>
      </c>
      <c r="F169" s="89"/>
      <c r="G169" s="17"/>
      <c r="H169" s="6" t="s">
        <v>44</v>
      </c>
      <c r="I169" s="89">
        <v>0</v>
      </c>
      <c r="J169" s="89"/>
      <c r="K169" s="17"/>
      <c r="L169" s="88" t="s">
        <v>45</v>
      </c>
      <c r="M169" s="88"/>
      <c r="N169" s="89">
        <v>0</v>
      </c>
      <c r="O169" s="89"/>
    </row>
    <row r="170" spans="1:20" s="1" customFormat="1" ht="13.35" customHeight="1" x14ac:dyDescent="0.25">
      <c r="A170" s="87"/>
      <c r="B170" s="87"/>
      <c r="C170" s="87"/>
      <c r="D170" s="87"/>
      <c r="E170" s="87"/>
      <c r="F170" s="87"/>
      <c r="G170" s="17"/>
      <c r="H170" s="6" t="s">
        <v>46</v>
      </c>
      <c r="I170" s="89">
        <v>0</v>
      </c>
      <c r="J170" s="89"/>
      <c r="K170" s="17"/>
      <c r="L170" s="88" t="s">
        <v>47</v>
      </c>
      <c r="M170" s="88"/>
      <c r="N170" s="89">
        <v>0</v>
      </c>
      <c r="O170" s="89"/>
    </row>
    <row r="171" spans="1:20" s="1" customFormat="1" ht="13.35" customHeight="1" x14ac:dyDescent="0.25">
      <c r="A171" s="87"/>
      <c r="B171" s="87"/>
      <c r="C171" s="87"/>
      <c r="D171" s="87"/>
      <c r="E171" s="87"/>
      <c r="F171" s="87"/>
      <c r="G171" s="17"/>
      <c r="H171" s="6" t="s">
        <v>48</v>
      </c>
      <c r="I171" s="89">
        <v>0</v>
      </c>
      <c r="J171" s="89"/>
      <c r="K171" s="17"/>
      <c r="L171" s="88" t="s">
        <v>49</v>
      </c>
      <c r="M171" s="88"/>
      <c r="N171" s="89">
        <v>0</v>
      </c>
      <c r="O171" s="89"/>
    </row>
    <row r="172" spans="1:20" s="1" customFormat="1" ht="13.35" customHeight="1" x14ac:dyDescent="0.25">
      <c r="A172" s="87"/>
      <c r="B172" s="87"/>
      <c r="C172" s="87"/>
      <c r="D172" s="87"/>
      <c r="E172" s="87"/>
      <c r="F172" s="87"/>
      <c r="G172" s="17"/>
      <c r="H172" s="17"/>
      <c r="I172" s="87"/>
      <c r="J172" s="87"/>
      <c r="K172" s="17"/>
      <c r="L172" s="88" t="s">
        <v>50</v>
      </c>
      <c r="M172" s="88"/>
      <c r="N172" s="89">
        <v>0</v>
      </c>
      <c r="O172" s="89"/>
    </row>
    <row r="173" spans="1:20" s="1" customFormat="1" ht="13.35" customHeight="1" x14ac:dyDescent="0.25">
      <c r="A173" s="87"/>
      <c r="B173" s="87"/>
      <c r="C173" s="87"/>
      <c r="D173" s="87"/>
      <c r="E173" s="87"/>
      <c r="F173" s="87"/>
      <c r="G173" s="17"/>
      <c r="H173" s="17"/>
      <c r="I173" s="87"/>
      <c r="J173" s="87"/>
      <c r="K173" s="17"/>
      <c r="L173" s="88" t="s">
        <v>51</v>
      </c>
      <c r="M173" s="88"/>
      <c r="N173" s="89">
        <v>0</v>
      </c>
      <c r="O173" s="89"/>
    </row>
    <row r="174" spans="1:20" s="1" customFormat="1" ht="14.1" customHeight="1" x14ac:dyDescent="0.25">
      <c r="A174" s="86"/>
      <c r="B174" s="86"/>
      <c r="C174" s="86"/>
      <c r="D174" s="86"/>
      <c r="E174" s="86"/>
      <c r="F174" s="86"/>
      <c r="G174" s="86"/>
      <c r="H174" s="86"/>
      <c r="I174" s="86"/>
      <c r="J174" s="86"/>
      <c r="K174" s="86"/>
      <c r="L174" s="86"/>
      <c r="M174" s="86"/>
      <c r="N174" s="86"/>
      <c r="O174" s="86"/>
      <c r="P174" s="86"/>
      <c r="Q174" s="86"/>
      <c r="R174" s="86"/>
      <c r="S174" s="86"/>
    </row>
    <row r="175" spans="1:20" s="1" customFormat="1" ht="14.1" customHeight="1" x14ac:dyDescent="0.25">
      <c r="A175" s="84" t="s">
        <v>52</v>
      </c>
      <c r="B175" s="84"/>
      <c r="C175" s="84"/>
      <c r="D175" s="84"/>
      <c r="E175" s="84"/>
      <c r="F175" s="84"/>
      <c r="G175" s="84"/>
      <c r="H175" s="84"/>
      <c r="I175" s="84"/>
      <c r="J175" s="84"/>
      <c r="K175" s="84"/>
      <c r="L175" s="84"/>
      <c r="M175" s="84"/>
      <c r="N175" s="84"/>
      <c r="O175" s="84"/>
      <c r="P175" s="84"/>
      <c r="Q175" s="84"/>
      <c r="R175" s="84"/>
      <c r="S175" s="84"/>
    </row>
    <row r="176" spans="1:20" s="1" customFormat="1" ht="12.15" customHeight="1" x14ac:dyDescent="0.25">
      <c r="A176" s="85" t="s">
        <v>344</v>
      </c>
      <c r="B176" s="85"/>
      <c r="C176" s="85"/>
      <c r="D176" s="85"/>
      <c r="E176" s="85"/>
      <c r="F176" s="85"/>
      <c r="G176" s="85"/>
      <c r="H176" s="85"/>
      <c r="I176" s="85"/>
      <c r="J176" s="85"/>
      <c r="K176" s="85"/>
      <c r="L176" s="85"/>
      <c r="M176" s="85"/>
      <c r="N176" s="85"/>
      <c r="O176" s="85"/>
      <c r="P176" s="85"/>
      <c r="Q176" s="85"/>
      <c r="R176" s="85"/>
      <c r="S176" s="85"/>
    </row>
    <row r="177" spans="1:20" s="1" customFormat="1" ht="14.1" customHeight="1" x14ac:dyDescent="0.25">
      <c r="A177" s="84" t="s">
        <v>54</v>
      </c>
      <c r="B177" s="84"/>
      <c r="C177" s="84"/>
      <c r="D177" s="84"/>
      <c r="E177" s="84"/>
      <c r="F177" s="84"/>
      <c r="G177" s="84"/>
      <c r="H177" s="84"/>
      <c r="I177" s="84"/>
      <c r="J177" s="84"/>
      <c r="K177" s="84"/>
      <c r="L177" s="84"/>
      <c r="M177" s="84"/>
      <c r="N177" s="84"/>
      <c r="O177" s="84"/>
      <c r="P177" s="84"/>
      <c r="Q177" s="84"/>
      <c r="R177" s="84"/>
      <c r="S177" s="84"/>
    </row>
    <row r="178" spans="1:20" s="1" customFormat="1" ht="12.15" customHeight="1" x14ac:dyDescent="0.25">
      <c r="A178" s="85" t="s">
        <v>338</v>
      </c>
      <c r="B178" s="85"/>
      <c r="C178" s="85"/>
      <c r="D178" s="85"/>
      <c r="E178" s="85"/>
      <c r="F178" s="85"/>
      <c r="G178" s="85"/>
      <c r="H178" s="85"/>
      <c r="I178" s="85"/>
      <c r="J178" s="85"/>
      <c r="K178" s="85"/>
      <c r="L178" s="85"/>
      <c r="M178" s="85"/>
      <c r="N178" s="85"/>
      <c r="O178" s="85"/>
      <c r="P178" s="85"/>
      <c r="Q178" s="85"/>
      <c r="R178" s="85"/>
      <c r="S178" s="85"/>
    </row>
    <row r="179" spans="1:20" s="1" customFormat="1" ht="14.1" customHeight="1" x14ac:dyDescent="0.25">
      <c r="A179" s="86"/>
      <c r="B179" s="86"/>
      <c r="C179" s="86"/>
      <c r="D179" s="86"/>
      <c r="E179" s="86"/>
      <c r="F179" s="86"/>
      <c r="G179" s="86"/>
      <c r="H179" s="86"/>
      <c r="I179" s="86"/>
      <c r="J179" s="86"/>
      <c r="K179" s="86"/>
      <c r="L179" s="86"/>
      <c r="M179" s="86"/>
      <c r="N179" s="86"/>
      <c r="O179" s="86"/>
      <c r="P179" s="86"/>
      <c r="Q179" s="86"/>
      <c r="R179" s="86"/>
      <c r="S179" s="86"/>
    </row>
    <row r="180" spans="1:20" s="1" customFormat="1" ht="14.1" customHeight="1" x14ac:dyDescent="0.25">
      <c r="A180" s="84" t="s">
        <v>56</v>
      </c>
      <c r="B180" s="84"/>
      <c r="C180" s="84"/>
      <c r="D180" s="84"/>
      <c r="E180" s="84"/>
      <c r="F180" s="84"/>
      <c r="G180" s="84"/>
      <c r="H180" s="84"/>
      <c r="I180" s="84"/>
      <c r="J180" s="84"/>
      <c r="K180" s="84"/>
      <c r="L180" s="84"/>
      <c r="M180" s="84"/>
      <c r="N180" s="84"/>
      <c r="O180" s="84"/>
      <c r="P180" s="84"/>
      <c r="Q180" s="84"/>
      <c r="R180" s="84"/>
      <c r="S180" s="84"/>
    </row>
    <row r="181" spans="1:20" s="1" customFormat="1" ht="49.2" customHeight="1" x14ac:dyDescent="0.25">
      <c r="A181" s="85" t="s">
        <v>345</v>
      </c>
      <c r="B181" s="85"/>
      <c r="C181" s="85"/>
      <c r="D181" s="85"/>
      <c r="E181" s="85"/>
      <c r="F181" s="85"/>
      <c r="G181" s="85"/>
      <c r="H181" s="85"/>
      <c r="I181" s="85"/>
      <c r="J181" s="85"/>
      <c r="K181" s="85"/>
      <c r="L181" s="85"/>
      <c r="M181" s="85"/>
      <c r="N181" s="85"/>
      <c r="O181" s="85"/>
      <c r="P181" s="85"/>
      <c r="Q181" s="85"/>
      <c r="R181" s="85"/>
      <c r="S181" s="85"/>
    </row>
    <row r="182" spans="1:20" s="1" customFormat="1" ht="72.45" customHeight="1" x14ac:dyDescent="0.25">
      <c r="J182" s="100" t="s">
        <v>0</v>
      </c>
      <c r="K182" s="100"/>
      <c r="L182" s="100"/>
      <c r="M182" s="100"/>
      <c r="N182" s="100"/>
      <c r="O182" s="100"/>
      <c r="P182" s="100"/>
      <c r="Q182" s="100"/>
      <c r="R182" s="100"/>
      <c r="S182" s="100"/>
      <c r="T182" s="100"/>
    </row>
    <row r="183" spans="1:20" s="1" customFormat="1" ht="7.05" customHeight="1" x14ac:dyDescent="0.25"/>
    <row r="184" spans="1:20" s="1" customFormat="1" ht="14.1" customHeight="1" x14ac:dyDescent="0.25">
      <c r="B184" s="101" t="s">
        <v>713</v>
      </c>
      <c r="C184" s="101"/>
      <c r="D184" s="101"/>
      <c r="E184" s="101"/>
      <c r="F184" s="101"/>
      <c r="G184" s="101"/>
      <c r="H184" s="101"/>
      <c r="I184" s="101"/>
      <c r="J184" s="101"/>
      <c r="K184" s="101"/>
      <c r="L184" s="101"/>
      <c r="M184" s="101"/>
      <c r="N184" s="101"/>
      <c r="O184" s="101"/>
      <c r="P184" s="101"/>
      <c r="Q184" s="101"/>
      <c r="R184" s="101"/>
    </row>
    <row r="185" spans="1:20" s="1" customFormat="1" ht="14.1" customHeight="1" x14ac:dyDescent="0.25"/>
    <row r="186" spans="1:20" s="1" customFormat="1" ht="14.1" customHeight="1" x14ac:dyDescent="0.25">
      <c r="A186" s="102" t="s">
        <v>2</v>
      </c>
      <c r="B186" s="102"/>
      <c r="C186" s="102"/>
      <c r="D186" s="103" t="s">
        <v>346</v>
      </c>
      <c r="E186" s="103"/>
      <c r="F186" s="103"/>
      <c r="G186" s="103"/>
      <c r="H186" s="103"/>
      <c r="I186" s="103"/>
      <c r="J186" s="103"/>
      <c r="K186" s="103"/>
      <c r="L186" s="103"/>
      <c r="M186" s="103"/>
      <c r="N186" s="103"/>
      <c r="O186" s="103"/>
      <c r="P186" s="103"/>
      <c r="Q186" s="103"/>
      <c r="R186" s="103"/>
      <c r="S186" s="103"/>
      <c r="T186" s="103"/>
    </row>
    <row r="187" spans="1:20" s="1" customFormat="1" ht="14.1" customHeight="1" x14ac:dyDescent="0.25">
      <c r="A187" s="102" t="s">
        <v>4</v>
      </c>
      <c r="B187" s="102"/>
      <c r="C187" s="103" t="s">
        <v>712</v>
      </c>
      <c r="D187" s="103"/>
      <c r="E187" s="103"/>
      <c r="F187" s="103"/>
      <c r="G187" s="103"/>
      <c r="H187" s="103"/>
      <c r="I187" s="103"/>
      <c r="J187" s="103"/>
      <c r="K187" s="103"/>
      <c r="L187" s="103"/>
      <c r="M187" s="103"/>
      <c r="N187" s="103"/>
      <c r="O187" s="103"/>
      <c r="P187" s="103"/>
      <c r="Q187" s="103"/>
      <c r="R187" s="103"/>
      <c r="S187" s="103"/>
      <c r="T187" s="103"/>
    </row>
    <row r="188" spans="1:20" s="1" customFormat="1" ht="14.1" customHeight="1" x14ac:dyDescent="0.25">
      <c r="A188" s="102" t="s">
        <v>6</v>
      </c>
      <c r="B188" s="102"/>
      <c r="C188" s="102"/>
      <c r="D188" s="102"/>
      <c r="E188" s="102"/>
      <c r="F188" s="103" t="s">
        <v>677</v>
      </c>
      <c r="G188" s="103"/>
      <c r="H188" s="103"/>
      <c r="I188" s="103"/>
      <c r="J188" s="103"/>
      <c r="K188" s="103"/>
      <c r="L188" s="103"/>
      <c r="M188" s="103"/>
      <c r="N188" s="103"/>
      <c r="O188" s="103"/>
      <c r="P188" s="103"/>
      <c r="Q188" s="103"/>
      <c r="R188" s="103"/>
      <c r="S188" s="103"/>
      <c r="T188" s="103"/>
    </row>
    <row r="189" spans="1:20" s="1" customFormat="1" ht="22.35" customHeight="1" x14ac:dyDescent="0.25">
      <c r="F189" s="103"/>
      <c r="G189" s="103"/>
      <c r="H189" s="103"/>
      <c r="I189" s="103"/>
      <c r="J189" s="103"/>
      <c r="K189" s="103"/>
      <c r="L189" s="103"/>
      <c r="M189" s="103"/>
      <c r="N189" s="103"/>
      <c r="O189" s="103"/>
      <c r="P189" s="103"/>
      <c r="Q189" s="103"/>
      <c r="R189" s="103"/>
      <c r="S189" s="103"/>
      <c r="T189" s="103"/>
    </row>
    <row r="190" spans="1:20" s="1" customFormat="1" ht="7.05" customHeight="1" x14ac:dyDescent="0.25">
      <c r="A190" s="86"/>
      <c r="B190" s="86"/>
      <c r="C190" s="86"/>
      <c r="D190" s="86"/>
      <c r="E190" s="86"/>
      <c r="F190" s="86"/>
      <c r="G190" s="86"/>
      <c r="H190" s="86"/>
      <c r="I190" s="86"/>
      <c r="J190" s="86"/>
      <c r="K190" s="86"/>
      <c r="L190" s="86"/>
      <c r="M190" s="86"/>
      <c r="N190" s="86"/>
      <c r="O190" s="86"/>
      <c r="P190" s="86"/>
      <c r="Q190" s="16"/>
      <c r="R190" s="86"/>
      <c r="S190" s="86"/>
      <c r="T190" s="86"/>
    </row>
    <row r="191" spans="1:20" s="1" customFormat="1" ht="16.95" customHeight="1" x14ac:dyDescent="0.25">
      <c r="A191" s="94" t="s">
        <v>8</v>
      </c>
      <c r="B191" s="94"/>
      <c r="C191" s="94"/>
      <c r="D191" s="94"/>
      <c r="E191" s="94"/>
      <c r="F191" s="94"/>
      <c r="G191" s="94"/>
      <c r="H191" s="94"/>
      <c r="I191" s="94"/>
      <c r="J191" s="94"/>
      <c r="K191" s="94"/>
      <c r="L191" s="94"/>
      <c r="M191" s="95" t="s">
        <v>9</v>
      </c>
      <c r="N191" s="95"/>
      <c r="O191" s="95"/>
      <c r="P191" s="95"/>
      <c r="Q191" s="95"/>
      <c r="R191" s="95"/>
      <c r="S191" s="95"/>
      <c r="T191" s="95"/>
    </row>
    <row r="192" spans="1:20" s="1" customFormat="1" ht="16.95" customHeight="1" x14ac:dyDescent="0.25">
      <c r="A192" s="94"/>
      <c r="B192" s="94"/>
      <c r="C192" s="94"/>
      <c r="D192" s="94"/>
      <c r="E192" s="94"/>
      <c r="F192" s="94"/>
      <c r="G192" s="94"/>
      <c r="H192" s="94"/>
      <c r="I192" s="94"/>
      <c r="J192" s="94"/>
      <c r="K192" s="94"/>
      <c r="L192" s="94"/>
      <c r="M192" s="96" t="s">
        <v>10</v>
      </c>
      <c r="N192" s="96"/>
      <c r="O192" s="96"/>
      <c r="P192" s="96"/>
      <c r="Q192" s="97" t="s">
        <v>11</v>
      </c>
      <c r="R192" s="97"/>
      <c r="S192" s="97"/>
      <c r="T192" s="97"/>
    </row>
    <row r="193" spans="1:20" s="1" customFormat="1" ht="16.95" customHeight="1" x14ac:dyDescent="0.25">
      <c r="A193" s="94"/>
      <c r="B193" s="94"/>
      <c r="C193" s="94"/>
      <c r="D193" s="94"/>
      <c r="E193" s="94"/>
      <c r="F193" s="94"/>
      <c r="G193" s="94"/>
      <c r="H193" s="94"/>
      <c r="I193" s="94"/>
      <c r="J193" s="94"/>
      <c r="K193" s="94"/>
      <c r="L193" s="94"/>
      <c r="M193" s="98" t="s">
        <v>12</v>
      </c>
      <c r="N193" s="98"/>
      <c r="O193" s="98" t="s">
        <v>13</v>
      </c>
      <c r="P193" s="98"/>
      <c r="Q193" s="13" t="s">
        <v>14</v>
      </c>
      <c r="R193" s="99" t="s">
        <v>15</v>
      </c>
      <c r="S193" s="99"/>
      <c r="T193" s="99"/>
    </row>
    <row r="194" spans="1:20" s="1" customFormat="1" ht="13.35" customHeight="1" x14ac:dyDescent="0.25">
      <c r="A194" s="88" t="s">
        <v>347</v>
      </c>
      <c r="B194" s="88"/>
      <c r="C194" s="88"/>
      <c r="D194" s="88"/>
      <c r="E194" s="88"/>
      <c r="F194" s="88"/>
      <c r="G194" s="88"/>
      <c r="H194" s="88"/>
      <c r="I194" s="88"/>
      <c r="J194" s="88"/>
      <c r="K194" s="88"/>
      <c r="L194" s="88"/>
      <c r="M194" s="88" t="s">
        <v>343</v>
      </c>
      <c r="N194" s="88"/>
      <c r="O194" s="88" t="s">
        <v>343</v>
      </c>
      <c r="P194" s="88"/>
      <c r="Q194" s="6" t="s">
        <v>189</v>
      </c>
      <c r="R194" s="88" t="s">
        <v>189</v>
      </c>
      <c r="S194" s="88"/>
      <c r="T194" s="88"/>
    </row>
    <row r="195" spans="1:20" s="1" customFormat="1" ht="14.1" customHeight="1" x14ac:dyDescent="0.25">
      <c r="A195" s="90" t="s">
        <v>217</v>
      </c>
      <c r="B195" s="90"/>
      <c r="C195" s="90"/>
      <c r="D195" s="90"/>
      <c r="E195" s="90"/>
      <c r="F195" s="90"/>
      <c r="G195" s="90"/>
      <c r="H195" s="90"/>
      <c r="I195" s="90"/>
      <c r="J195" s="90"/>
      <c r="K195" s="90"/>
      <c r="L195" s="90"/>
      <c r="M195" s="90"/>
      <c r="N195" s="90"/>
      <c r="O195" s="90"/>
      <c r="P195" s="90"/>
      <c r="Q195" s="90"/>
      <c r="R195" s="90"/>
      <c r="S195" s="90"/>
      <c r="T195" s="90"/>
    </row>
    <row r="196" spans="1:20" s="1" customFormat="1" ht="21.3" customHeight="1" x14ac:dyDescent="0.25"/>
    <row r="197" spans="1:20" s="1" customFormat="1" ht="14.1" customHeight="1" x14ac:dyDescent="0.25">
      <c r="A197" s="91" t="s">
        <v>33</v>
      </c>
      <c r="B197" s="91"/>
      <c r="C197" s="91"/>
      <c r="D197" s="91"/>
      <c r="E197" s="91"/>
      <c r="F197" s="91"/>
      <c r="G197" s="91"/>
      <c r="H197" s="91"/>
      <c r="I197" s="91"/>
      <c r="J197" s="91"/>
      <c r="K197" s="91"/>
      <c r="L197" s="91"/>
      <c r="M197" s="91"/>
      <c r="N197" s="91"/>
    </row>
    <row r="198" spans="1:20" s="1" customFormat="1" ht="13.35" customHeight="1" x14ac:dyDescent="0.25">
      <c r="A198" s="88" t="s">
        <v>34</v>
      </c>
      <c r="B198" s="88"/>
      <c r="C198" s="88"/>
      <c r="D198" s="88"/>
      <c r="E198" s="89">
        <v>5.22</v>
      </c>
      <c r="F198" s="89"/>
      <c r="G198" s="17"/>
      <c r="H198" s="6" t="s">
        <v>35</v>
      </c>
      <c r="I198" s="89">
        <v>7.0000000000000007E-2</v>
      </c>
      <c r="J198" s="89"/>
      <c r="K198" s="17"/>
      <c r="L198" s="88" t="s">
        <v>36</v>
      </c>
      <c r="M198" s="88"/>
      <c r="N198" s="89">
        <v>216</v>
      </c>
      <c r="O198" s="89"/>
    </row>
    <row r="199" spans="1:20" s="1" customFormat="1" ht="13.35" customHeight="1" x14ac:dyDescent="0.25">
      <c r="A199" s="88" t="s">
        <v>37</v>
      </c>
      <c r="B199" s="88"/>
      <c r="C199" s="88"/>
      <c r="D199" s="88"/>
      <c r="E199" s="89">
        <v>4.5</v>
      </c>
      <c r="F199" s="89"/>
      <c r="G199" s="17"/>
      <c r="H199" s="6" t="s">
        <v>38</v>
      </c>
      <c r="I199" s="89">
        <v>1.26</v>
      </c>
      <c r="J199" s="89"/>
      <c r="K199" s="17"/>
      <c r="L199" s="88" t="s">
        <v>39</v>
      </c>
      <c r="M199" s="88"/>
      <c r="N199" s="89">
        <v>25.2</v>
      </c>
      <c r="O199" s="89"/>
    </row>
    <row r="200" spans="1:20" s="1" customFormat="1" ht="13.35" customHeight="1" x14ac:dyDescent="0.25">
      <c r="A200" s="88" t="s">
        <v>40</v>
      </c>
      <c r="B200" s="88"/>
      <c r="C200" s="88"/>
      <c r="D200" s="88"/>
      <c r="E200" s="89">
        <v>7.2</v>
      </c>
      <c r="F200" s="89"/>
      <c r="G200" s="17"/>
      <c r="H200" s="6" t="s">
        <v>41</v>
      </c>
      <c r="I200" s="89">
        <v>0.05</v>
      </c>
      <c r="J200" s="89"/>
      <c r="K200" s="17"/>
      <c r="L200" s="88" t="s">
        <v>42</v>
      </c>
      <c r="M200" s="88"/>
      <c r="N200" s="89">
        <v>171</v>
      </c>
      <c r="O200" s="89"/>
    </row>
    <row r="201" spans="1:20" s="1" customFormat="1" ht="13.35" customHeight="1" x14ac:dyDescent="0.25">
      <c r="A201" s="88" t="s">
        <v>43</v>
      </c>
      <c r="B201" s="88"/>
      <c r="C201" s="88"/>
      <c r="D201" s="88"/>
      <c r="E201" s="89">
        <v>95.4</v>
      </c>
      <c r="F201" s="89"/>
      <c r="G201" s="17"/>
      <c r="H201" s="6" t="s">
        <v>44</v>
      </c>
      <c r="I201" s="89">
        <v>0.13</v>
      </c>
      <c r="J201" s="89"/>
      <c r="K201" s="17"/>
      <c r="L201" s="88" t="s">
        <v>45</v>
      </c>
      <c r="M201" s="88"/>
      <c r="N201" s="89">
        <v>0.18</v>
      </c>
      <c r="O201" s="89"/>
    </row>
    <row r="202" spans="1:20" s="1" customFormat="1" ht="13.35" customHeight="1" x14ac:dyDescent="0.25">
      <c r="A202" s="87"/>
      <c r="B202" s="87"/>
      <c r="C202" s="87"/>
      <c r="D202" s="87"/>
      <c r="E202" s="87"/>
      <c r="F202" s="87"/>
      <c r="G202" s="17"/>
      <c r="H202" s="6" t="s">
        <v>46</v>
      </c>
      <c r="I202" s="89">
        <v>0</v>
      </c>
      <c r="J202" s="89"/>
      <c r="K202" s="17"/>
      <c r="L202" s="88" t="s">
        <v>47</v>
      </c>
      <c r="M202" s="88"/>
      <c r="N202" s="89">
        <v>262.8</v>
      </c>
      <c r="O202" s="89"/>
    </row>
    <row r="203" spans="1:20" s="1" customFormat="1" ht="13.35" customHeight="1" x14ac:dyDescent="0.25">
      <c r="A203" s="87"/>
      <c r="B203" s="87"/>
      <c r="C203" s="87"/>
      <c r="D203" s="87"/>
      <c r="E203" s="87"/>
      <c r="F203" s="87"/>
      <c r="G203" s="17"/>
      <c r="H203" s="6" t="s">
        <v>48</v>
      </c>
      <c r="I203" s="89">
        <v>0.31</v>
      </c>
      <c r="J203" s="89"/>
      <c r="K203" s="17"/>
      <c r="L203" s="88" t="s">
        <v>49</v>
      </c>
      <c r="M203" s="88"/>
      <c r="N203" s="89">
        <v>16.2</v>
      </c>
      <c r="O203" s="89"/>
    </row>
    <row r="204" spans="1:20" s="1" customFormat="1" ht="13.35" customHeight="1" x14ac:dyDescent="0.25">
      <c r="A204" s="87"/>
      <c r="B204" s="87"/>
      <c r="C204" s="87"/>
      <c r="D204" s="87"/>
      <c r="E204" s="87"/>
      <c r="F204" s="87"/>
      <c r="G204" s="17"/>
      <c r="H204" s="17"/>
      <c r="I204" s="87"/>
      <c r="J204" s="87"/>
      <c r="K204" s="17"/>
      <c r="L204" s="88" t="s">
        <v>50</v>
      </c>
      <c r="M204" s="88"/>
      <c r="N204" s="89">
        <v>0.04</v>
      </c>
      <c r="O204" s="89"/>
    </row>
    <row r="205" spans="1:20" s="1" customFormat="1" ht="13.35" customHeight="1" x14ac:dyDescent="0.25">
      <c r="A205" s="87"/>
      <c r="B205" s="87"/>
      <c r="C205" s="87"/>
      <c r="D205" s="87"/>
      <c r="E205" s="87"/>
      <c r="F205" s="87"/>
      <c r="G205" s="17"/>
      <c r="H205" s="17"/>
      <c r="I205" s="87"/>
      <c r="J205" s="87"/>
      <c r="K205" s="17"/>
      <c r="L205" s="88" t="s">
        <v>51</v>
      </c>
      <c r="M205" s="88"/>
      <c r="N205" s="89">
        <v>0</v>
      </c>
      <c r="O205" s="89"/>
    </row>
    <row r="206" spans="1:20" s="1" customFormat="1" ht="14.1" customHeight="1" x14ac:dyDescent="0.25">
      <c r="A206" s="86"/>
      <c r="B206" s="86"/>
      <c r="C206" s="86"/>
      <c r="D206" s="86"/>
      <c r="E206" s="86"/>
      <c r="F206" s="86"/>
      <c r="G206" s="86"/>
      <c r="H206" s="86"/>
      <c r="I206" s="86"/>
      <c r="J206" s="86"/>
      <c r="K206" s="86"/>
      <c r="L206" s="86"/>
      <c r="M206" s="86"/>
      <c r="N206" s="86"/>
      <c r="O206" s="86"/>
      <c r="P206" s="86"/>
      <c r="Q206" s="86"/>
      <c r="R206" s="86"/>
      <c r="S206" s="86"/>
    </row>
    <row r="207" spans="1:20" s="1" customFormat="1" ht="14.1" customHeight="1" x14ac:dyDescent="0.25">
      <c r="A207" s="84" t="s">
        <v>52</v>
      </c>
      <c r="B207" s="84"/>
      <c r="C207" s="84"/>
      <c r="D207" s="84"/>
      <c r="E207" s="84"/>
      <c r="F207" s="84"/>
      <c r="G207" s="84"/>
      <c r="H207" s="84"/>
      <c r="I207" s="84"/>
      <c r="J207" s="84"/>
      <c r="K207" s="84"/>
      <c r="L207" s="84"/>
      <c r="M207" s="84"/>
      <c r="N207" s="84"/>
      <c r="O207" s="84"/>
      <c r="P207" s="84"/>
      <c r="Q207" s="84"/>
      <c r="R207" s="84"/>
      <c r="S207" s="84"/>
    </row>
    <row r="208" spans="1:20" s="1" customFormat="1" ht="21.6" customHeight="1" x14ac:dyDescent="0.25">
      <c r="A208" s="85" t="s">
        <v>348</v>
      </c>
      <c r="B208" s="85"/>
      <c r="C208" s="85"/>
      <c r="D208" s="85"/>
      <c r="E208" s="85"/>
      <c r="F208" s="85"/>
      <c r="G208" s="85"/>
      <c r="H208" s="85"/>
      <c r="I208" s="85"/>
      <c r="J208" s="85"/>
      <c r="K208" s="85"/>
      <c r="L208" s="85"/>
      <c r="M208" s="85"/>
      <c r="N208" s="85"/>
      <c r="O208" s="85"/>
      <c r="P208" s="85"/>
      <c r="Q208" s="85"/>
      <c r="R208" s="85"/>
      <c r="S208" s="85"/>
    </row>
    <row r="209" spans="1:20" s="1" customFormat="1" ht="14.1" customHeight="1" x14ac:dyDescent="0.25">
      <c r="A209" s="86"/>
      <c r="B209" s="86"/>
      <c r="C209" s="86"/>
      <c r="D209" s="86"/>
      <c r="E209" s="86"/>
      <c r="F209" s="86"/>
      <c r="G209" s="86"/>
      <c r="H209" s="86"/>
      <c r="I209" s="86"/>
      <c r="J209" s="86"/>
      <c r="K209" s="86"/>
      <c r="L209" s="86"/>
      <c r="M209" s="86"/>
      <c r="N209" s="86"/>
      <c r="O209" s="86"/>
      <c r="P209" s="86"/>
      <c r="Q209" s="86"/>
      <c r="R209" s="86"/>
      <c r="S209" s="86"/>
    </row>
    <row r="210" spans="1:20" s="1" customFormat="1" ht="14.1" customHeight="1" x14ac:dyDescent="0.25">
      <c r="A210" s="84" t="s">
        <v>54</v>
      </c>
      <c r="B210" s="84"/>
      <c r="C210" s="84"/>
      <c r="D210" s="84"/>
      <c r="E210" s="84"/>
      <c r="F210" s="84"/>
      <c r="G210" s="84"/>
      <c r="H210" s="84"/>
      <c r="I210" s="84"/>
      <c r="J210" s="84"/>
      <c r="K210" s="84"/>
      <c r="L210" s="84"/>
      <c r="M210" s="84"/>
      <c r="N210" s="84"/>
      <c r="O210" s="84"/>
      <c r="P210" s="84"/>
      <c r="Q210" s="84"/>
      <c r="R210" s="84"/>
      <c r="S210" s="84"/>
    </row>
    <row r="211" spans="1:20" s="1" customFormat="1" ht="12.15" customHeight="1" x14ac:dyDescent="0.25">
      <c r="A211" s="85" t="s">
        <v>349</v>
      </c>
      <c r="B211" s="85"/>
      <c r="C211" s="85"/>
      <c r="D211" s="85"/>
      <c r="E211" s="85"/>
      <c r="F211" s="85"/>
      <c r="G211" s="85"/>
      <c r="H211" s="85"/>
      <c r="I211" s="85"/>
      <c r="J211" s="85"/>
      <c r="K211" s="85"/>
      <c r="L211" s="85"/>
      <c r="M211" s="85"/>
      <c r="N211" s="85"/>
      <c r="O211" s="85"/>
      <c r="P211" s="85"/>
      <c r="Q211" s="85"/>
      <c r="R211" s="85"/>
      <c r="S211" s="85"/>
    </row>
    <row r="212" spans="1:20" s="1" customFormat="1" ht="14.1" customHeight="1" x14ac:dyDescent="0.25">
      <c r="A212" s="86"/>
      <c r="B212" s="86"/>
      <c r="C212" s="86"/>
      <c r="D212" s="86"/>
      <c r="E212" s="86"/>
      <c r="F212" s="86"/>
      <c r="G212" s="86"/>
      <c r="H212" s="86"/>
      <c r="I212" s="86"/>
      <c r="J212" s="86"/>
      <c r="K212" s="86"/>
      <c r="L212" s="86"/>
      <c r="M212" s="86"/>
      <c r="N212" s="86"/>
      <c r="O212" s="86"/>
      <c r="P212" s="86"/>
      <c r="Q212" s="86"/>
      <c r="R212" s="86"/>
      <c r="S212" s="86"/>
    </row>
    <row r="213" spans="1:20" s="1" customFormat="1" ht="14.1" customHeight="1" x14ac:dyDescent="0.25">
      <c r="A213" s="84" t="s">
        <v>56</v>
      </c>
      <c r="B213" s="84"/>
      <c r="C213" s="84"/>
      <c r="D213" s="84"/>
      <c r="E213" s="84"/>
      <c r="F213" s="84"/>
      <c r="G213" s="84"/>
      <c r="H213" s="84"/>
      <c r="I213" s="84"/>
      <c r="J213" s="84"/>
      <c r="K213" s="84"/>
      <c r="L213" s="84"/>
      <c r="M213" s="84"/>
      <c r="N213" s="84"/>
      <c r="O213" s="84"/>
      <c r="P213" s="84"/>
      <c r="Q213" s="84"/>
      <c r="R213" s="84"/>
      <c r="S213" s="84"/>
    </row>
    <row r="214" spans="1:20" s="1" customFormat="1" ht="49.2" customHeight="1" x14ac:dyDescent="0.25">
      <c r="A214" s="85" t="s">
        <v>345</v>
      </c>
      <c r="B214" s="85"/>
      <c r="C214" s="85"/>
      <c r="D214" s="85"/>
      <c r="E214" s="85"/>
      <c r="F214" s="85"/>
      <c r="G214" s="85"/>
      <c r="H214" s="85"/>
      <c r="I214" s="85"/>
      <c r="J214" s="85"/>
      <c r="K214" s="85"/>
      <c r="L214" s="85"/>
      <c r="M214" s="85"/>
      <c r="N214" s="85"/>
      <c r="O214" s="85"/>
      <c r="P214" s="85"/>
      <c r="Q214" s="85"/>
      <c r="R214" s="85"/>
      <c r="S214" s="85"/>
    </row>
    <row r="215" spans="1:20" s="1" customFormat="1" ht="72.45" customHeight="1" x14ac:dyDescent="0.25">
      <c r="J215" s="100" t="s">
        <v>0</v>
      </c>
      <c r="K215" s="100"/>
      <c r="L215" s="100"/>
      <c r="M215" s="100"/>
      <c r="N215" s="100"/>
      <c r="O215" s="100"/>
      <c r="P215" s="100"/>
      <c r="Q215" s="100"/>
      <c r="R215" s="100"/>
      <c r="S215" s="100"/>
      <c r="T215" s="100"/>
    </row>
    <row r="216" spans="1:20" s="1" customFormat="1" ht="7.05" customHeight="1" x14ac:dyDescent="0.25"/>
    <row r="217" spans="1:20" s="1" customFormat="1" ht="14.1" customHeight="1" x14ac:dyDescent="0.25">
      <c r="B217" s="101" t="s">
        <v>340</v>
      </c>
      <c r="C217" s="101"/>
      <c r="D217" s="101"/>
      <c r="E217" s="101"/>
      <c r="F217" s="101"/>
      <c r="G217" s="101"/>
      <c r="H217" s="101"/>
      <c r="I217" s="101"/>
      <c r="J217" s="101"/>
      <c r="K217" s="101"/>
      <c r="L217" s="101"/>
      <c r="M217" s="101"/>
      <c r="N217" s="101"/>
      <c r="O217" s="101"/>
      <c r="P217" s="101"/>
      <c r="Q217" s="101"/>
      <c r="R217" s="101"/>
    </row>
    <row r="218" spans="1:20" s="1" customFormat="1" ht="14.1" customHeight="1" x14ac:dyDescent="0.25"/>
    <row r="219" spans="1:20" s="1" customFormat="1" ht="14.1" customHeight="1" x14ac:dyDescent="0.25">
      <c r="A219" s="102" t="s">
        <v>2</v>
      </c>
      <c r="B219" s="102"/>
      <c r="C219" s="102"/>
      <c r="D219" s="103" t="s">
        <v>346</v>
      </c>
      <c r="E219" s="103"/>
      <c r="F219" s="103"/>
      <c r="G219" s="103"/>
      <c r="H219" s="103"/>
      <c r="I219" s="103"/>
      <c r="J219" s="103"/>
      <c r="K219" s="103"/>
      <c r="L219" s="103"/>
      <c r="M219" s="103"/>
      <c r="N219" s="103"/>
      <c r="O219" s="103"/>
      <c r="P219" s="103"/>
      <c r="Q219" s="103"/>
      <c r="R219" s="103"/>
      <c r="S219" s="103"/>
      <c r="T219" s="103"/>
    </row>
    <row r="220" spans="1:20" s="1" customFormat="1" ht="14.1" customHeight="1" x14ac:dyDescent="0.25">
      <c r="A220" s="102" t="s">
        <v>4</v>
      </c>
      <c r="B220" s="102"/>
      <c r="C220" s="103" t="s">
        <v>712</v>
      </c>
      <c r="D220" s="103"/>
      <c r="E220" s="103"/>
      <c r="F220" s="103"/>
      <c r="G220" s="103"/>
      <c r="H220" s="103"/>
      <c r="I220" s="103"/>
      <c r="J220" s="103"/>
      <c r="K220" s="103"/>
      <c r="L220" s="103"/>
      <c r="M220" s="103"/>
      <c r="N220" s="103"/>
      <c r="O220" s="103"/>
      <c r="P220" s="103"/>
      <c r="Q220" s="103"/>
      <c r="R220" s="103"/>
      <c r="S220" s="103"/>
      <c r="T220" s="103"/>
    </row>
    <row r="221" spans="1:20" s="1" customFormat="1" ht="14.1" customHeight="1" x14ac:dyDescent="0.25">
      <c r="A221" s="102" t="s">
        <v>6</v>
      </c>
      <c r="B221" s="102"/>
      <c r="C221" s="102"/>
      <c r="D221" s="102"/>
      <c r="E221" s="102"/>
      <c r="F221" s="103" t="s">
        <v>677</v>
      </c>
      <c r="G221" s="103"/>
      <c r="H221" s="103"/>
      <c r="I221" s="103"/>
      <c r="J221" s="103"/>
      <c r="K221" s="103"/>
      <c r="L221" s="103"/>
      <c r="M221" s="103"/>
      <c r="N221" s="103"/>
      <c r="O221" s="103"/>
      <c r="P221" s="103"/>
      <c r="Q221" s="103"/>
      <c r="R221" s="103"/>
      <c r="S221" s="103"/>
      <c r="T221" s="103"/>
    </row>
    <row r="222" spans="1:20" s="1" customFormat="1" ht="22.35" customHeight="1" x14ac:dyDescent="0.25">
      <c r="F222" s="103"/>
      <c r="G222" s="103"/>
      <c r="H222" s="103"/>
      <c r="I222" s="103"/>
      <c r="J222" s="103"/>
      <c r="K222" s="103"/>
      <c r="L222" s="103"/>
      <c r="M222" s="103"/>
      <c r="N222" s="103"/>
      <c r="O222" s="103"/>
      <c r="P222" s="103"/>
      <c r="Q222" s="103"/>
      <c r="R222" s="103"/>
      <c r="S222" s="103"/>
      <c r="T222" s="103"/>
    </row>
    <row r="223" spans="1:20" s="1" customFormat="1" ht="7.05" customHeight="1" x14ac:dyDescent="0.25">
      <c r="A223" s="86"/>
      <c r="B223" s="86"/>
      <c r="C223" s="86"/>
      <c r="D223" s="86"/>
      <c r="E223" s="86"/>
      <c r="F223" s="86"/>
      <c r="G223" s="86"/>
      <c r="H223" s="86"/>
      <c r="I223" s="86"/>
      <c r="J223" s="86"/>
      <c r="K223" s="86"/>
      <c r="L223" s="86"/>
      <c r="M223" s="86"/>
      <c r="N223" s="86"/>
      <c r="O223" s="86"/>
      <c r="P223" s="86"/>
      <c r="Q223" s="16"/>
      <c r="R223" s="86"/>
      <c r="S223" s="86"/>
      <c r="T223" s="86"/>
    </row>
    <row r="224" spans="1:20" s="1" customFormat="1" ht="16.95" customHeight="1" x14ac:dyDescent="0.25">
      <c r="A224" s="94" t="s">
        <v>8</v>
      </c>
      <c r="B224" s="94"/>
      <c r="C224" s="94"/>
      <c r="D224" s="94"/>
      <c r="E224" s="94"/>
      <c r="F224" s="94"/>
      <c r="G224" s="94"/>
      <c r="H224" s="94"/>
      <c r="I224" s="94"/>
      <c r="J224" s="94"/>
      <c r="K224" s="94"/>
      <c r="L224" s="94"/>
      <c r="M224" s="95" t="s">
        <v>9</v>
      </c>
      <c r="N224" s="95"/>
      <c r="O224" s="95"/>
      <c r="P224" s="95"/>
      <c r="Q224" s="95"/>
      <c r="R224" s="95"/>
      <c r="S224" s="95"/>
      <c r="T224" s="95"/>
    </row>
    <row r="225" spans="1:20" s="1" customFormat="1" ht="16.95" customHeight="1" x14ac:dyDescent="0.25">
      <c r="A225" s="94"/>
      <c r="B225" s="94"/>
      <c r="C225" s="94"/>
      <c r="D225" s="94"/>
      <c r="E225" s="94"/>
      <c r="F225" s="94"/>
      <c r="G225" s="94"/>
      <c r="H225" s="94"/>
      <c r="I225" s="94"/>
      <c r="J225" s="94"/>
      <c r="K225" s="94"/>
      <c r="L225" s="94"/>
      <c r="M225" s="96" t="s">
        <v>10</v>
      </c>
      <c r="N225" s="96"/>
      <c r="O225" s="96"/>
      <c r="P225" s="96"/>
      <c r="Q225" s="97" t="s">
        <v>11</v>
      </c>
      <c r="R225" s="97"/>
      <c r="S225" s="97"/>
      <c r="T225" s="97"/>
    </row>
    <row r="226" spans="1:20" s="1" customFormat="1" ht="16.95" customHeight="1" x14ac:dyDescent="0.25">
      <c r="A226" s="94"/>
      <c r="B226" s="94"/>
      <c r="C226" s="94"/>
      <c r="D226" s="94"/>
      <c r="E226" s="94"/>
      <c r="F226" s="94"/>
      <c r="G226" s="94"/>
      <c r="H226" s="94"/>
      <c r="I226" s="94"/>
      <c r="J226" s="94"/>
      <c r="K226" s="94"/>
      <c r="L226" s="94"/>
      <c r="M226" s="98" t="s">
        <v>12</v>
      </c>
      <c r="N226" s="98"/>
      <c r="O226" s="98" t="s">
        <v>13</v>
      </c>
      <c r="P226" s="98"/>
      <c r="Q226" s="13" t="s">
        <v>14</v>
      </c>
      <c r="R226" s="99" t="s">
        <v>15</v>
      </c>
      <c r="S226" s="99"/>
      <c r="T226" s="99"/>
    </row>
    <row r="227" spans="1:20" s="1" customFormat="1" ht="13.35" customHeight="1" x14ac:dyDescent="0.25">
      <c r="A227" s="88" t="s">
        <v>347</v>
      </c>
      <c r="B227" s="88"/>
      <c r="C227" s="88"/>
      <c r="D227" s="88"/>
      <c r="E227" s="88"/>
      <c r="F227" s="88"/>
      <c r="G227" s="88"/>
      <c r="H227" s="88"/>
      <c r="I227" s="88"/>
      <c r="J227" s="88"/>
      <c r="K227" s="88"/>
      <c r="L227" s="88"/>
      <c r="M227" s="88" t="s">
        <v>350</v>
      </c>
      <c r="N227" s="88"/>
      <c r="O227" s="88" t="s">
        <v>350</v>
      </c>
      <c r="P227" s="88"/>
      <c r="Q227" s="6" t="s">
        <v>85</v>
      </c>
      <c r="R227" s="88" t="s">
        <v>85</v>
      </c>
      <c r="S227" s="88"/>
      <c r="T227" s="88"/>
    </row>
    <row r="228" spans="1:20" s="1" customFormat="1" ht="14.1" customHeight="1" x14ac:dyDescent="0.25">
      <c r="A228" s="90" t="s">
        <v>116</v>
      </c>
      <c r="B228" s="90"/>
      <c r="C228" s="90"/>
      <c r="D228" s="90"/>
      <c r="E228" s="90"/>
      <c r="F228" s="90"/>
      <c r="G228" s="90"/>
      <c r="H228" s="90"/>
      <c r="I228" s="90"/>
      <c r="J228" s="90"/>
      <c r="K228" s="90"/>
      <c r="L228" s="90"/>
      <c r="M228" s="90"/>
      <c r="N228" s="90"/>
      <c r="O228" s="90"/>
      <c r="P228" s="90"/>
      <c r="Q228" s="90"/>
      <c r="R228" s="90"/>
      <c r="S228" s="90"/>
      <c r="T228" s="90"/>
    </row>
    <row r="229" spans="1:20" s="1" customFormat="1" ht="21.3" customHeight="1" x14ac:dyDescent="0.25"/>
    <row r="230" spans="1:20" s="1" customFormat="1" ht="14.1" customHeight="1" x14ac:dyDescent="0.25">
      <c r="A230" s="91" t="s">
        <v>33</v>
      </c>
      <c r="B230" s="91"/>
      <c r="C230" s="91"/>
      <c r="D230" s="91"/>
      <c r="E230" s="91"/>
      <c r="F230" s="91"/>
      <c r="G230" s="91"/>
      <c r="H230" s="91"/>
      <c r="I230" s="91"/>
      <c r="J230" s="91"/>
      <c r="K230" s="91"/>
      <c r="L230" s="91"/>
      <c r="M230" s="91"/>
      <c r="N230" s="91"/>
    </row>
    <row r="231" spans="1:20" s="1" customFormat="1" ht="13.35" customHeight="1" x14ac:dyDescent="0.25">
      <c r="A231" s="88" t="s">
        <v>34</v>
      </c>
      <c r="B231" s="88"/>
      <c r="C231" s="88"/>
      <c r="D231" s="88"/>
      <c r="E231" s="89">
        <v>5.8</v>
      </c>
      <c r="F231" s="89"/>
      <c r="G231" s="17"/>
      <c r="H231" s="6" t="s">
        <v>35</v>
      </c>
      <c r="I231" s="89">
        <v>0.08</v>
      </c>
      <c r="J231" s="89"/>
      <c r="K231" s="17"/>
      <c r="L231" s="88" t="s">
        <v>36</v>
      </c>
      <c r="M231" s="88"/>
      <c r="N231" s="89">
        <v>240</v>
      </c>
      <c r="O231" s="89"/>
    </row>
    <row r="232" spans="1:20" s="1" customFormat="1" ht="13.35" customHeight="1" x14ac:dyDescent="0.25">
      <c r="A232" s="88" t="s">
        <v>37</v>
      </c>
      <c r="B232" s="88"/>
      <c r="C232" s="88"/>
      <c r="D232" s="88"/>
      <c r="E232" s="89">
        <v>5</v>
      </c>
      <c r="F232" s="89"/>
      <c r="G232" s="17"/>
      <c r="H232" s="6" t="s">
        <v>38</v>
      </c>
      <c r="I232" s="89">
        <v>1.4</v>
      </c>
      <c r="J232" s="89"/>
      <c r="K232" s="17"/>
      <c r="L232" s="88" t="s">
        <v>39</v>
      </c>
      <c r="M232" s="88"/>
      <c r="N232" s="89">
        <v>28</v>
      </c>
      <c r="O232" s="89"/>
    </row>
    <row r="233" spans="1:20" s="1" customFormat="1" ht="13.35" customHeight="1" x14ac:dyDescent="0.25">
      <c r="A233" s="88" t="s">
        <v>40</v>
      </c>
      <c r="B233" s="88"/>
      <c r="C233" s="88"/>
      <c r="D233" s="88"/>
      <c r="E233" s="89">
        <v>8</v>
      </c>
      <c r="F233" s="89"/>
      <c r="G233" s="17"/>
      <c r="H233" s="6" t="s">
        <v>41</v>
      </c>
      <c r="I233" s="89">
        <v>0.05</v>
      </c>
      <c r="J233" s="89"/>
      <c r="K233" s="17"/>
      <c r="L233" s="88" t="s">
        <v>42</v>
      </c>
      <c r="M233" s="88"/>
      <c r="N233" s="89">
        <v>190</v>
      </c>
      <c r="O233" s="89"/>
    </row>
    <row r="234" spans="1:20" s="1" customFormat="1" ht="13.35" customHeight="1" x14ac:dyDescent="0.25">
      <c r="A234" s="88" t="s">
        <v>43</v>
      </c>
      <c r="B234" s="88"/>
      <c r="C234" s="88"/>
      <c r="D234" s="88"/>
      <c r="E234" s="89">
        <v>106</v>
      </c>
      <c r="F234" s="89"/>
      <c r="G234" s="17"/>
      <c r="H234" s="6" t="s">
        <v>44</v>
      </c>
      <c r="I234" s="89">
        <v>0.14000000000000001</v>
      </c>
      <c r="J234" s="89"/>
      <c r="K234" s="17"/>
      <c r="L234" s="88" t="s">
        <v>45</v>
      </c>
      <c r="M234" s="88"/>
      <c r="N234" s="89">
        <v>0.2</v>
      </c>
      <c r="O234" s="89"/>
    </row>
    <row r="235" spans="1:20" s="1" customFormat="1" ht="13.35" customHeight="1" x14ac:dyDescent="0.25">
      <c r="A235" s="87"/>
      <c r="B235" s="87"/>
      <c r="C235" s="87"/>
      <c r="D235" s="87"/>
      <c r="E235" s="87"/>
      <c r="F235" s="87"/>
      <c r="G235" s="17"/>
      <c r="H235" s="6" t="s">
        <v>46</v>
      </c>
      <c r="I235" s="89">
        <v>0</v>
      </c>
      <c r="J235" s="89"/>
      <c r="K235" s="17"/>
      <c r="L235" s="88" t="s">
        <v>47</v>
      </c>
      <c r="M235" s="88"/>
      <c r="N235" s="89">
        <v>292</v>
      </c>
      <c r="O235" s="89"/>
    </row>
    <row r="236" spans="1:20" s="1" customFormat="1" ht="13.35" customHeight="1" x14ac:dyDescent="0.25">
      <c r="A236" s="87"/>
      <c r="B236" s="87"/>
      <c r="C236" s="87"/>
      <c r="D236" s="87"/>
      <c r="E236" s="87"/>
      <c r="F236" s="87"/>
      <c r="G236" s="17"/>
      <c r="H236" s="6" t="s">
        <v>48</v>
      </c>
      <c r="I236" s="89">
        <v>0.34</v>
      </c>
      <c r="J236" s="89"/>
      <c r="K236" s="17"/>
      <c r="L236" s="88" t="s">
        <v>49</v>
      </c>
      <c r="M236" s="88"/>
      <c r="N236" s="89">
        <v>18</v>
      </c>
      <c r="O236" s="89"/>
    </row>
    <row r="237" spans="1:20" s="1" customFormat="1" ht="13.35" customHeight="1" x14ac:dyDescent="0.25">
      <c r="A237" s="87"/>
      <c r="B237" s="87"/>
      <c r="C237" s="87"/>
      <c r="D237" s="87"/>
      <c r="E237" s="87"/>
      <c r="F237" s="87"/>
      <c r="G237" s="17"/>
      <c r="H237" s="17"/>
      <c r="I237" s="87"/>
      <c r="J237" s="87"/>
      <c r="K237" s="17"/>
      <c r="L237" s="88" t="s">
        <v>50</v>
      </c>
      <c r="M237" s="88"/>
      <c r="N237" s="89">
        <v>0.04</v>
      </c>
      <c r="O237" s="89"/>
    </row>
    <row r="238" spans="1:20" s="1" customFormat="1" ht="13.35" customHeight="1" x14ac:dyDescent="0.25">
      <c r="A238" s="87"/>
      <c r="B238" s="87"/>
      <c r="C238" s="87"/>
      <c r="D238" s="87"/>
      <c r="E238" s="87"/>
      <c r="F238" s="87"/>
      <c r="G238" s="17"/>
      <c r="H238" s="17"/>
      <c r="I238" s="87"/>
      <c r="J238" s="87"/>
      <c r="K238" s="17"/>
      <c r="L238" s="88" t="s">
        <v>51</v>
      </c>
      <c r="M238" s="88"/>
      <c r="N238" s="89">
        <v>0</v>
      </c>
      <c r="O238" s="89"/>
    </row>
    <row r="239" spans="1:20" s="1" customFormat="1" ht="14.1" customHeight="1" x14ac:dyDescent="0.25">
      <c r="A239" s="86"/>
      <c r="B239" s="86"/>
      <c r="C239" s="86"/>
      <c r="D239" s="86"/>
      <c r="E239" s="86"/>
      <c r="F239" s="86"/>
      <c r="G239" s="86"/>
      <c r="H239" s="86"/>
      <c r="I239" s="86"/>
      <c r="J239" s="86"/>
      <c r="K239" s="86"/>
      <c r="L239" s="86"/>
      <c r="M239" s="86"/>
      <c r="N239" s="86"/>
      <c r="O239" s="86"/>
      <c r="P239" s="86"/>
      <c r="Q239" s="86"/>
      <c r="R239" s="86"/>
      <c r="S239" s="86"/>
    </row>
    <row r="240" spans="1:20" s="1" customFormat="1" ht="14.1" customHeight="1" x14ac:dyDescent="0.25">
      <c r="A240" s="84" t="s">
        <v>52</v>
      </c>
      <c r="B240" s="84"/>
      <c r="C240" s="84"/>
      <c r="D240" s="84"/>
      <c r="E240" s="84"/>
      <c r="F240" s="84"/>
      <c r="G240" s="84"/>
      <c r="H240" s="84"/>
      <c r="I240" s="84"/>
      <c r="J240" s="84"/>
      <c r="K240" s="84"/>
      <c r="L240" s="84"/>
      <c r="M240" s="84"/>
      <c r="N240" s="84"/>
      <c r="O240" s="84"/>
      <c r="P240" s="84"/>
      <c r="Q240" s="84"/>
      <c r="R240" s="84"/>
      <c r="S240" s="84"/>
    </row>
    <row r="241" spans="1:20" s="1" customFormat="1" ht="21.6" customHeight="1" x14ac:dyDescent="0.25">
      <c r="A241" s="85" t="s">
        <v>348</v>
      </c>
      <c r="B241" s="85"/>
      <c r="C241" s="85"/>
      <c r="D241" s="85"/>
      <c r="E241" s="85"/>
      <c r="F241" s="85"/>
      <c r="G241" s="85"/>
      <c r="H241" s="85"/>
      <c r="I241" s="85"/>
      <c r="J241" s="85"/>
      <c r="K241" s="85"/>
      <c r="L241" s="85"/>
      <c r="M241" s="85"/>
      <c r="N241" s="85"/>
      <c r="O241" s="85"/>
      <c r="P241" s="85"/>
      <c r="Q241" s="85"/>
      <c r="R241" s="85"/>
      <c r="S241" s="85"/>
    </row>
    <row r="242" spans="1:20" s="1" customFormat="1" ht="14.1" customHeight="1" x14ac:dyDescent="0.25">
      <c r="A242" s="86"/>
      <c r="B242" s="86"/>
      <c r="C242" s="86"/>
      <c r="D242" s="86"/>
      <c r="E242" s="86"/>
      <c r="F242" s="86"/>
      <c r="G242" s="86"/>
      <c r="H242" s="86"/>
      <c r="I242" s="86"/>
      <c r="J242" s="86"/>
      <c r="K242" s="86"/>
      <c r="L242" s="86"/>
      <c r="M242" s="86"/>
      <c r="N242" s="86"/>
      <c r="O242" s="86"/>
      <c r="P242" s="86"/>
      <c r="Q242" s="86"/>
      <c r="R242" s="86"/>
      <c r="S242" s="86"/>
    </row>
    <row r="243" spans="1:20" s="1" customFormat="1" ht="14.1" customHeight="1" x14ac:dyDescent="0.25">
      <c r="A243" s="84" t="s">
        <v>54</v>
      </c>
      <c r="B243" s="84"/>
      <c r="C243" s="84"/>
      <c r="D243" s="84"/>
      <c r="E243" s="84"/>
      <c r="F243" s="84"/>
      <c r="G243" s="84"/>
      <c r="H243" s="84"/>
      <c r="I243" s="84"/>
      <c r="J243" s="84"/>
      <c r="K243" s="84"/>
      <c r="L243" s="84"/>
      <c r="M243" s="84"/>
      <c r="N243" s="84"/>
      <c r="O243" s="84"/>
      <c r="P243" s="84"/>
      <c r="Q243" s="84"/>
      <c r="R243" s="84"/>
      <c r="S243" s="84"/>
    </row>
    <row r="244" spans="1:20" s="1" customFormat="1" ht="12.15" customHeight="1" x14ac:dyDescent="0.25">
      <c r="A244" s="85" t="s">
        <v>349</v>
      </c>
      <c r="B244" s="85"/>
      <c r="C244" s="85"/>
      <c r="D244" s="85"/>
      <c r="E244" s="85"/>
      <c r="F244" s="85"/>
      <c r="G244" s="85"/>
      <c r="H244" s="85"/>
      <c r="I244" s="85"/>
      <c r="J244" s="85"/>
      <c r="K244" s="85"/>
      <c r="L244" s="85"/>
      <c r="M244" s="85"/>
      <c r="N244" s="85"/>
      <c r="O244" s="85"/>
      <c r="P244" s="85"/>
      <c r="Q244" s="85"/>
      <c r="R244" s="85"/>
      <c r="S244" s="85"/>
    </row>
    <row r="245" spans="1:20" s="1" customFormat="1" ht="14.1" customHeight="1" x14ac:dyDescent="0.25">
      <c r="A245" s="86"/>
      <c r="B245" s="86"/>
      <c r="C245" s="86"/>
      <c r="D245" s="86"/>
      <c r="E245" s="86"/>
      <c r="F245" s="86"/>
      <c r="G245" s="86"/>
      <c r="H245" s="86"/>
      <c r="I245" s="86"/>
      <c r="J245" s="86"/>
      <c r="K245" s="86"/>
      <c r="L245" s="86"/>
      <c r="M245" s="86"/>
      <c r="N245" s="86"/>
      <c r="O245" s="86"/>
      <c r="P245" s="86"/>
      <c r="Q245" s="86"/>
      <c r="R245" s="86"/>
      <c r="S245" s="86"/>
    </row>
    <row r="246" spans="1:20" s="1" customFormat="1" ht="14.1" customHeight="1" x14ac:dyDescent="0.25">
      <c r="A246" s="84" t="s">
        <v>56</v>
      </c>
      <c r="B246" s="84"/>
      <c r="C246" s="84"/>
      <c r="D246" s="84"/>
      <c r="E246" s="84"/>
      <c r="F246" s="84"/>
      <c r="G246" s="84"/>
      <c r="H246" s="84"/>
      <c r="I246" s="84"/>
      <c r="J246" s="84"/>
      <c r="K246" s="84"/>
      <c r="L246" s="84"/>
      <c r="M246" s="84"/>
      <c r="N246" s="84"/>
      <c r="O246" s="84"/>
      <c r="P246" s="84"/>
      <c r="Q246" s="84"/>
      <c r="R246" s="84"/>
      <c r="S246" s="84"/>
    </row>
    <row r="247" spans="1:20" s="1" customFormat="1" ht="49.2" customHeight="1" x14ac:dyDescent="0.25">
      <c r="A247" s="85" t="s">
        <v>345</v>
      </c>
      <c r="B247" s="85"/>
      <c r="C247" s="85"/>
      <c r="D247" s="85"/>
      <c r="E247" s="85"/>
      <c r="F247" s="85"/>
      <c r="G247" s="85"/>
      <c r="H247" s="85"/>
      <c r="I247" s="85"/>
      <c r="J247" s="85"/>
      <c r="K247" s="85"/>
      <c r="L247" s="85"/>
      <c r="M247" s="85"/>
      <c r="N247" s="85"/>
      <c r="O247" s="85"/>
      <c r="P247" s="85"/>
      <c r="Q247" s="85"/>
      <c r="R247" s="85"/>
      <c r="S247" s="85"/>
    </row>
    <row r="248" spans="1:20" s="1" customFormat="1" ht="72.45" customHeight="1" x14ac:dyDescent="0.25">
      <c r="J248" s="100" t="s">
        <v>0</v>
      </c>
      <c r="K248" s="100"/>
      <c r="L248" s="100"/>
      <c r="M248" s="100"/>
      <c r="N248" s="100"/>
      <c r="O248" s="100"/>
      <c r="P248" s="100"/>
      <c r="Q248" s="100"/>
      <c r="R248" s="100"/>
      <c r="S248" s="100"/>
      <c r="T248" s="100"/>
    </row>
    <row r="249" spans="1:20" s="1" customFormat="1" ht="7.05" customHeight="1" x14ac:dyDescent="0.25"/>
    <row r="250" spans="1:20" s="1" customFormat="1" ht="14.1" customHeight="1" x14ac:dyDescent="0.25">
      <c r="B250" s="101" t="s">
        <v>340</v>
      </c>
      <c r="C250" s="101"/>
      <c r="D250" s="101"/>
      <c r="E250" s="101"/>
      <c r="F250" s="101"/>
      <c r="G250" s="101"/>
      <c r="H250" s="101"/>
      <c r="I250" s="101"/>
      <c r="J250" s="101"/>
      <c r="K250" s="101"/>
      <c r="L250" s="101"/>
      <c r="M250" s="101"/>
      <c r="N250" s="101"/>
      <c r="O250" s="101"/>
      <c r="P250" s="101"/>
      <c r="Q250" s="101"/>
      <c r="R250" s="101"/>
    </row>
    <row r="251" spans="1:20" s="1" customFormat="1" ht="14.1" customHeight="1" x14ac:dyDescent="0.25"/>
    <row r="252" spans="1:20" s="1" customFormat="1" ht="14.1" customHeight="1" x14ac:dyDescent="0.25">
      <c r="A252" s="102" t="s">
        <v>2</v>
      </c>
      <c r="B252" s="102"/>
      <c r="C252" s="102"/>
      <c r="D252" s="103" t="s">
        <v>346</v>
      </c>
      <c r="E252" s="103"/>
      <c r="F252" s="103"/>
      <c r="G252" s="103"/>
      <c r="H252" s="103"/>
      <c r="I252" s="103"/>
      <c r="J252" s="103"/>
      <c r="K252" s="103"/>
      <c r="L252" s="103"/>
      <c r="M252" s="103"/>
      <c r="N252" s="103"/>
      <c r="O252" s="103"/>
      <c r="P252" s="103"/>
      <c r="Q252" s="103"/>
      <c r="R252" s="103"/>
      <c r="S252" s="103"/>
      <c r="T252" s="103"/>
    </row>
    <row r="253" spans="1:20" s="1" customFormat="1" ht="14.1" customHeight="1" x14ac:dyDescent="0.25">
      <c r="A253" s="102" t="s">
        <v>4</v>
      </c>
      <c r="B253" s="102"/>
      <c r="C253" s="103" t="s">
        <v>712</v>
      </c>
      <c r="D253" s="103"/>
      <c r="E253" s="103"/>
      <c r="F253" s="103"/>
      <c r="G253" s="103"/>
      <c r="H253" s="103"/>
      <c r="I253" s="103"/>
      <c r="J253" s="103"/>
      <c r="K253" s="103"/>
      <c r="L253" s="103"/>
      <c r="M253" s="103"/>
      <c r="N253" s="103"/>
      <c r="O253" s="103"/>
      <c r="P253" s="103"/>
      <c r="Q253" s="103"/>
      <c r="R253" s="103"/>
      <c r="S253" s="103"/>
      <c r="T253" s="103"/>
    </row>
    <row r="254" spans="1:20" s="1" customFormat="1" ht="14.1" customHeight="1" x14ac:dyDescent="0.25">
      <c r="A254" s="102" t="s">
        <v>6</v>
      </c>
      <c r="B254" s="102"/>
      <c r="C254" s="102"/>
      <c r="D254" s="102"/>
      <c r="E254" s="102"/>
      <c r="F254" s="103" t="s">
        <v>677</v>
      </c>
      <c r="G254" s="103"/>
      <c r="H254" s="103"/>
      <c r="I254" s="103"/>
      <c r="J254" s="103"/>
      <c r="K254" s="103"/>
      <c r="L254" s="103"/>
      <c r="M254" s="103"/>
      <c r="N254" s="103"/>
      <c r="O254" s="103"/>
      <c r="P254" s="103"/>
      <c r="Q254" s="103"/>
      <c r="R254" s="103"/>
      <c r="S254" s="103"/>
      <c r="T254" s="103"/>
    </row>
    <row r="255" spans="1:20" s="1" customFormat="1" ht="22.35" customHeight="1" x14ac:dyDescent="0.25">
      <c r="F255" s="103"/>
      <c r="G255" s="103"/>
      <c r="H255" s="103"/>
      <c r="I255" s="103"/>
      <c r="J255" s="103"/>
      <c r="K255" s="103"/>
      <c r="L255" s="103"/>
      <c r="M255" s="103"/>
      <c r="N255" s="103"/>
      <c r="O255" s="103"/>
      <c r="P255" s="103"/>
      <c r="Q255" s="103"/>
      <c r="R255" s="103"/>
      <c r="S255" s="103"/>
      <c r="T255" s="103"/>
    </row>
    <row r="256" spans="1:20" s="1" customFormat="1" ht="7.05" customHeight="1" x14ac:dyDescent="0.25">
      <c r="A256" s="86"/>
      <c r="B256" s="86"/>
      <c r="C256" s="86"/>
      <c r="D256" s="86"/>
      <c r="E256" s="86"/>
      <c r="F256" s="86"/>
      <c r="G256" s="86"/>
      <c r="H256" s="86"/>
      <c r="I256" s="86"/>
      <c r="J256" s="86"/>
      <c r="K256" s="86"/>
      <c r="L256" s="86"/>
      <c r="M256" s="86"/>
      <c r="N256" s="86"/>
      <c r="O256" s="86"/>
      <c r="P256" s="86"/>
      <c r="Q256" s="62"/>
      <c r="R256" s="86"/>
      <c r="S256" s="86"/>
      <c r="T256" s="86"/>
    </row>
    <row r="257" spans="1:20" s="1" customFormat="1" ht="16.95" customHeight="1" x14ac:dyDescent="0.25">
      <c r="A257" s="94" t="s">
        <v>8</v>
      </c>
      <c r="B257" s="94"/>
      <c r="C257" s="94"/>
      <c r="D257" s="94"/>
      <c r="E257" s="94"/>
      <c r="F257" s="94"/>
      <c r="G257" s="94"/>
      <c r="H257" s="94"/>
      <c r="I257" s="94"/>
      <c r="J257" s="94"/>
      <c r="K257" s="94"/>
      <c r="L257" s="94"/>
      <c r="M257" s="95" t="s">
        <v>9</v>
      </c>
      <c r="N257" s="95"/>
      <c r="O257" s="95"/>
      <c r="P257" s="95"/>
      <c r="Q257" s="95"/>
      <c r="R257" s="95"/>
      <c r="S257" s="95"/>
      <c r="T257" s="95"/>
    </row>
    <row r="258" spans="1:20" s="1" customFormat="1" ht="16.95" customHeight="1" x14ac:dyDescent="0.25">
      <c r="A258" s="94"/>
      <c r="B258" s="94"/>
      <c r="C258" s="94"/>
      <c r="D258" s="94"/>
      <c r="E258" s="94"/>
      <c r="F258" s="94"/>
      <c r="G258" s="94"/>
      <c r="H258" s="94"/>
      <c r="I258" s="94"/>
      <c r="J258" s="94"/>
      <c r="K258" s="94"/>
      <c r="L258" s="94"/>
      <c r="M258" s="96" t="s">
        <v>10</v>
      </c>
      <c r="N258" s="96"/>
      <c r="O258" s="96"/>
      <c r="P258" s="96"/>
      <c r="Q258" s="97" t="s">
        <v>11</v>
      </c>
      <c r="R258" s="97"/>
      <c r="S258" s="97"/>
      <c r="T258" s="97"/>
    </row>
    <row r="259" spans="1:20" s="1" customFormat="1" ht="16.95" customHeight="1" x14ac:dyDescent="0.25">
      <c r="A259" s="94"/>
      <c r="B259" s="94"/>
      <c r="C259" s="94"/>
      <c r="D259" s="94"/>
      <c r="E259" s="94"/>
      <c r="F259" s="94"/>
      <c r="G259" s="94"/>
      <c r="H259" s="94"/>
      <c r="I259" s="94"/>
      <c r="J259" s="94"/>
      <c r="K259" s="94"/>
      <c r="L259" s="94"/>
      <c r="M259" s="98" t="s">
        <v>12</v>
      </c>
      <c r="N259" s="98"/>
      <c r="O259" s="98" t="s">
        <v>13</v>
      </c>
      <c r="P259" s="98"/>
      <c r="Q259" s="65" t="s">
        <v>14</v>
      </c>
      <c r="R259" s="99" t="s">
        <v>15</v>
      </c>
      <c r="S259" s="99"/>
      <c r="T259" s="99"/>
    </row>
    <row r="260" spans="1:20" s="1" customFormat="1" ht="13.35" customHeight="1" x14ac:dyDescent="0.25">
      <c r="A260" s="88" t="s">
        <v>347</v>
      </c>
      <c r="B260" s="88"/>
      <c r="C260" s="88"/>
      <c r="D260" s="88"/>
      <c r="E260" s="88"/>
      <c r="F260" s="88"/>
      <c r="G260" s="88"/>
      <c r="H260" s="88"/>
      <c r="I260" s="88"/>
      <c r="J260" s="88"/>
      <c r="K260" s="88"/>
      <c r="L260" s="88"/>
      <c r="M260" s="88">
        <v>220</v>
      </c>
      <c r="N260" s="88"/>
      <c r="O260" s="88">
        <v>220</v>
      </c>
      <c r="P260" s="88"/>
      <c r="Q260" s="64">
        <v>22</v>
      </c>
      <c r="R260" s="88">
        <v>22</v>
      </c>
      <c r="S260" s="88"/>
      <c r="T260" s="88"/>
    </row>
    <row r="261" spans="1:20" s="1" customFormat="1" ht="14.1" customHeight="1" x14ac:dyDescent="0.25">
      <c r="A261" s="90" t="s">
        <v>116</v>
      </c>
      <c r="B261" s="90"/>
      <c r="C261" s="90"/>
      <c r="D261" s="90"/>
      <c r="E261" s="90"/>
      <c r="F261" s="90"/>
      <c r="G261" s="90"/>
      <c r="H261" s="90"/>
      <c r="I261" s="90"/>
      <c r="J261" s="90"/>
      <c r="K261" s="90"/>
      <c r="L261" s="90"/>
      <c r="M261" s="90"/>
      <c r="N261" s="90"/>
      <c r="O261" s="90"/>
      <c r="P261" s="90"/>
      <c r="Q261" s="90"/>
      <c r="R261" s="90"/>
      <c r="S261" s="90"/>
      <c r="T261" s="90"/>
    </row>
    <row r="262" spans="1:20" s="1" customFormat="1" ht="21.3" customHeight="1" x14ac:dyDescent="0.25"/>
    <row r="263" spans="1:20" s="1" customFormat="1" ht="14.1" customHeight="1" x14ac:dyDescent="0.25">
      <c r="A263" s="91" t="s">
        <v>33</v>
      </c>
      <c r="B263" s="91"/>
      <c r="C263" s="91"/>
      <c r="D263" s="91"/>
      <c r="E263" s="91"/>
      <c r="F263" s="91"/>
      <c r="G263" s="91"/>
      <c r="H263" s="91"/>
      <c r="I263" s="91"/>
      <c r="J263" s="91"/>
      <c r="K263" s="91"/>
      <c r="L263" s="91"/>
      <c r="M263" s="91"/>
      <c r="N263" s="91"/>
    </row>
    <row r="264" spans="1:20" s="1" customFormat="1" ht="13.35" customHeight="1" x14ac:dyDescent="0.25">
      <c r="A264" s="88" t="s">
        <v>34</v>
      </c>
      <c r="B264" s="88"/>
      <c r="C264" s="88"/>
      <c r="D264" s="88"/>
      <c r="E264" s="89">
        <f>5.8*220/200</f>
        <v>6.38</v>
      </c>
      <c r="F264" s="89"/>
      <c r="G264" s="63"/>
      <c r="H264" s="64" t="s">
        <v>35</v>
      </c>
      <c r="I264" s="89">
        <v>0.08</v>
      </c>
      <c r="J264" s="89"/>
      <c r="K264" s="63"/>
      <c r="L264" s="88" t="s">
        <v>36</v>
      </c>
      <c r="M264" s="88"/>
      <c r="N264" s="89">
        <v>240</v>
      </c>
      <c r="O264" s="89"/>
    </row>
    <row r="265" spans="1:20" s="1" customFormat="1" ht="13.35" customHeight="1" x14ac:dyDescent="0.25">
      <c r="A265" s="88" t="s">
        <v>37</v>
      </c>
      <c r="B265" s="88"/>
      <c r="C265" s="88"/>
      <c r="D265" s="88"/>
      <c r="E265" s="89">
        <f>5*220/200</f>
        <v>5.5</v>
      </c>
      <c r="F265" s="89"/>
      <c r="G265" s="63"/>
      <c r="H265" s="64" t="s">
        <v>38</v>
      </c>
      <c r="I265" s="89">
        <v>1.4</v>
      </c>
      <c r="J265" s="89"/>
      <c r="K265" s="63"/>
      <c r="L265" s="88" t="s">
        <v>39</v>
      </c>
      <c r="M265" s="88"/>
      <c r="N265" s="89">
        <v>28</v>
      </c>
      <c r="O265" s="89"/>
    </row>
    <row r="266" spans="1:20" s="1" customFormat="1" ht="13.35" customHeight="1" x14ac:dyDescent="0.25">
      <c r="A266" s="88" t="s">
        <v>40</v>
      </c>
      <c r="B266" s="88"/>
      <c r="C266" s="88"/>
      <c r="D266" s="88"/>
      <c r="E266" s="89">
        <f>8*220/200</f>
        <v>8.8000000000000007</v>
      </c>
      <c r="F266" s="89"/>
      <c r="G266" s="63"/>
      <c r="H266" s="64" t="s">
        <v>41</v>
      </c>
      <c r="I266" s="89">
        <v>0.05</v>
      </c>
      <c r="J266" s="89"/>
      <c r="K266" s="63"/>
      <c r="L266" s="88" t="s">
        <v>42</v>
      </c>
      <c r="M266" s="88"/>
      <c r="N266" s="89">
        <v>190</v>
      </c>
      <c r="O266" s="89"/>
    </row>
    <row r="267" spans="1:20" s="1" customFormat="1" ht="13.35" customHeight="1" x14ac:dyDescent="0.25">
      <c r="A267" s="88" t="s">
        <v>43</v>
      </c>
      <c r="B267" s="88"/>
      <c r="C267" s="88"/>
      <c r="D267" s="88"/>
      <c r="E267" s="89">
        <f>106*220/200</f>
        <v>116.6</v>
      </c>
      <c r="F267" s="89"/>
      <c r="G267" s="63"/>
      <c r="H267" s="64" t="s">
        <v>44</v>
      </c>
      <c r="I267" s="89">
        <v>0.14000000000000001</v>
      </c>
      <c r="J267" s="89"/>
      <c r="K267" s="63"/>
      <c r="L267" s="88" t="s">
        <v>45</v>
      </c>
      <c r="M267" s="88"/>
      <c r="N267" s="89">
        <v>0.2</v>
      </c>
      <c r="O267" s="89"/>
    </row>
    <row r="268" spans="1:20" s="1" customFormat="1" ht="13.35" customHeight="1" x14ac:dyDescent="0.25">
      <c r="A268" s="87"/>
      <c r="B268" s="87"/>
      <c r="C268" s="87"/>
      <c r="D268" s="87"/>
      <c r="E268" s="87"/>
      <c r="F268" s="87"/>
      <c r="G268" s="63"/>
      <c r="H268" s="64" t="s">
        <v>46</v>
      </c>
      <c r="I268" s="89">
        <v>0</v>
      </c>
      <c r="J268" s="89"/>
      <c r="K268" s="63"/>
      <c r="L268" s="88" t="s">
        <v>47</v>
      </c>
      <c r="M268" s="88"/>
      <c r="N268" s="89">
        <v>292</v>
      </c>
      <c r="O268" s="89"/>
    </row>
    <row r="269" spans="1:20" s="1" customFormat="1" ht="13.35" customHeight="1" x14ac:dyDescent="0.25">
      <c r="A269" s="87"/>
      <c r="B269" s="87"/>
      <c r="C269" s="87"/>
      <c r="D269" s="87"/>
      <c r="E269" s="87"/>
      <c r="F269" s="87"/>
      <c r="G269" s="63"/>
      <c r="H269" s="64" t="s">
        <v>48</v>
      </c>
      <c r="I269" s="89">
        <v>0.34</v>
      </c>
      <c r="J269" s="89"/>
      <c r="K269" s="63"/>
      <c r="L269" s="88" t="s">
        <v>49</v>
      </c>
      <c r="M269" s="88"/>
      <c r="N269" s="89">
        <v>18</v>
      </c>
      <c r="O269" s="89"/>
    </row>
    <row r="270" spans="1:20" s="1" customFormat="1" ht="13.35" customHeight="1" x14ac:dyDescent="0.25">
      <c r="A270" s="87"/>
      <c r="B270" s="87"/>
      <c r="C270" s="87"/>
      <c r="D270" s="87"/>
      <c r="E270" s="87"/>
      <c r="F270" s="87"/>
      <c r="G270" s="63"/>
      <c r="H270" s="63"/>
      <c r="I270" s="87"/>
      <c r="J270" s="87"/>
      <c r="K270" s="63"/>
      <c r="L270" s="88" t="s">
        <v>50</v>
      </c>
      <c r="M270" s="88"/>
      <c r="N270" s="89">
        <v>0.04</v>
      </c>
      <c r="O270" s="89"/>
    </row>
    <row r="271" spans="1:20" s="1" customFormat="1" ht="13.35" customHeight="1" x14ac:dyDescent="0.25">
      <c r="A271" s="87"/>
      <c r="B271" s="87"/>
      <c r="C271" s="87"/>
      <c r="D271" s="87"/>
      <c r="E271" s="87"/>
      <c r="F271" s="87"/>
      <c r="G271" s="63"/>
      <c r="H271" s="63"/>
      <c r="I271" s="87"/>
      <c r="J271" s="87"/>
      <c r="K271" s="63"/>
      <c r="L271" s="88" t="s">
        <v>51</v>
      </c>
      <c r="M271" s="88"/>
      <c r="N271" s="89">
        <v>0</v>
      </c>
      <c r="O271" s="89"/>
    </row>
    <row r="272" spans="1:20" s="1" customFormat="1" ht="14.1" customHeight="1" x14ac:dyDescent="0.25">
      <c r="A272" s="86"/>
      <c r="B272" s="86"/>
      <c r="C272" s="86"/>
      <c r="D272" s="86"/>
      <c r="E272" s="86"/>
      <c r="F272" s="86"/>
      <c r="G272" s="86"/>
      <c r="H272" s="86"/>
      <c r="I272" s="86"/>
      <c r="J272" s="86"/>
      <c r="K272" s="86"/>
      <c r="L272" s="86"/>
      <c r="M272" s="86"/>
      <c r="N272" s="86"/>
      <c r="O272" s="86"/>
      <c r="P272" s="86"/>
      <c r="Q272" s="86"/>
      <c r="R272" s="86"/>
      <c r="S272" s="86"/>
    </row>
    <row r="273" spans="1:20" s="1" customFormat="1" ht="14.1" customHeight="1" x14ac:dyDescent="0.25">
      <c r="A273" s="84" t="s">
        <v>52</v>
      </c>
      <c r="B273" s="84"/>
      <c r="C273" s="84"/>
      <c r="D273" s="84"/>
      <c r="E273" s="84"/>
      <c r="F273" s="84"/>
      <c r="G273" s="84"/>
      <c r="H273" s="84"/>
      <c r="I273" s="84"/>
      <c r="J273" s="84"/>
      <c r="K273" s="84"/>
      <c r="L273" s="84"/>
      <c r="M273" s="84"/>
      <c r="N273" s="84"/>
      <c r="O273" s="84"/>
      <c r="P273" s="84"/>
      <c r="Q273" s="84"/>
      <c r="R273" s="84"/>
      <c r="S273" s="84"/>
    </row>
    <row r="274" spans="1:20" s="1" customFormat="1" ht="21.6" customHeight="1" x14ac:dyDescent="0.25">
      <c r="A274" s="85" t="s">
        <v>348</v>
      </c>
      <c r="B274" s="85"/>
      <c r="C274" s="85"/>
      <c r="D274" s="85"/>
      <c r="E274" s="85"/>
      <c r="F274" s="85"/>
      <c r="G274" s="85"/>
      <c r="H274" s="85"/>
      <c r="I274" s="85"/>
      <c r="J274" s="85"/>
      <c r="K274" s="85"/>
      <c r="L274" s="85"/>
      <c r="M274" s="85"/>
      <c r="N274" s="85"/>
      <c r="O274" s="85"/>
      <c r="P274" s="85"/>
      <c r="Q274" s="85"/>
      <c r="R274" s="85"/>
      <c r="S274" s="85"/>
    </row>
    <row r="275" spans="1:20" s="1" customFormat="1" ht="14.1" customHeight="1" x14ac:dyDescent="0.25">
      <c r="A275" s="86"/>
      <c r="B275" s="86"/>
      <c r="C275" s="86"/>
      <c r="D275" s="86"/>
      <c r="E275" s="86"/>
      <c r="F275" s="86"/>
      <c r="G275" s="86"/>
      <c r="H275" s="86"/>
      <c r="I275" s="86"/>
      <c r="J275" s="86"/>
      <c r="K275" s="86"/>
      <c r="L275" s="86"/>
      <c r="M275" s="86"/>
      <c r="N275" s="86"/>
      <c r="O275" s="86"/>
      <c r="P275" s="86"/>
      <c r="Q275" s="86"/>
      <c r="R275" s="86"/>
      <c r="S275" s="86"/>
    </row>
    <row r="276" spans="1:20" s="1" customFormat="1" ht="14.1" customHeight="1" x14ac:dyDescent="0.25">
      <c r="A276" s="84" t="s">
        <v>54</v>
      </c>
      <c r="B276" s="84"/>
      <c r="C276" s="84"/>
      <c r="D276" s="84"/>
      <c r="E276" s="84"/>
      <c r="F276" s="84"/>
      <c r="G276" s="84"/>
      <c r="H276" s="84"/>
      <c r="I276" s="84"/>
      <c r="J276" s="84"/>
      <c r="K276" s="84"/>
      <c r="L276" s="84"/>
      <c r="M276" s="84"/>
      <c r="N276" s="84"/>
      <c r="O276" s="84"/>
      <c r="P276" s="84"/>
      <c r="Q276" s="84"/>
      <c r="R276" s="84"/>
      <c r="S276" s="84"/>
    </row>
    <row r="277" spans="1:20" s="1" customFormat="1" ht="12.15" customHeight="1" x14ac:dyDescent="0.25">
      <c r="A277" s="85" t="s">
        <v>349</v>
      </c>
      <c r="B277" s="85"/>
      <c r="C277" s="85"/>
      <c r="D277" s="85"/>
      <c r="E277" s="85"/>
      <c r="F277" s="85"/>
      <c r="G277" s="85"/>
      <c r="H277" s="85"/>
      <c r="I277" s="85"/>
      <c r="J277" s="85"/>
      <c r="K277" s="85"/>
      <c r="L277" s="85"/>
      <c r="M277" s="85"/>
      <c r="N277" s="85"/>
      <c r="O277" s="85"/>
      <c r="P277" s="85"/>
      <c r="Q277" s="85"/>
      <c r="R277" s="85"/>
      <c r="S277" s="85"/>
    </row>
    <row r="278" spans="1:20" s="1" customFormat="1" ht="14.1" customHeight="1" x14ac:dyDescent="0.25">
      <c r="A278" s="86"/>
      <c r="B278" s="86"/>
      <c r="C278" s="86"/>
      <c r="D278" s="86"/>
      <c r="E278" s="86"/>
      <c r="F278" s="86"/>
      <c r="G278" s="86"/>
      <c r="H278" s="86"/>
      <c r="I278" s="86"/>
      <c r="J278" s="86"/>
      <c r="K278" s="86"/>
      <c r="L278" s="86"/>
      <c r="M278" s="86"/>
      <c r="N278" s="86"/>
      <c r="O278" s="86"/>
      <c r="P278" s="86"/>
      <c r="Q278" s="86"/>
      <c r="R278" s="86"/>
      <c r="S278" s="86"/>
    </row>
    <row r="279" spans="1:20" s="1" customFormat="1" ht="14.1" customHeight="1" x14ac:dyDescent="0.25">
      <c r="A279" s="84" t="s">
        <v>56</v>
      </c>
      <c r="B279" s="84"/>
      <c r="C279" s="84"/>
      <c r="D279" s="84"/>
      <c r="E279" s="84"/>
      <c r="F279" s="84"/>
      <c r="G279" s="84"/>
      <c r="H279" s="84"/>
      <c r="I279" s="84"/>
      <c r="J279" s="84"/>
      <c r="K279" s="84"/>
      <c r="L279" s="84"/>
      <c r="M279" s="84"/>
      <c r="N279" s="84"/>
      <c r="O279" s="84"/>
      <c r="P279" s="84"/>
      <c r="Q279" s="84"/>
      <c r="R279" s="84"/>
      <c r="S279" s="84"/>
    </row>
    <row r="280" spans="1:20" s="1" customFormat="1" ht="49.2" customHeight="1" x14ac:dyDescent="0.25">
      <c r="A280" s="85" t="s">
        <v>345</v>
      </c>
      <c r="B280" s="85"/>
      <c r="C280" s="85"/>
      <c r="D280" s="85"/>
      <c r="E280" s="85"/>
      <c r="F280" s="85"/>
      <c r="G280" s="85"/>
      <c r="H280" s="85"/>
      <c r="I280" s="85"/>
      <c r="J280" s="85"/>
      <c r="K280" s="85"/>
      <c r="L280" s="85"/>
      <c r="M280" s="85"/>
      <c r="N280" s="85"/>
      <c r="O280" s="85"/>
      <c r="P280" s="85"/>
      <c r="Q280" s="85"/>
      <c r="R280" s="85"/>
      <c r="S280" s="85"/>
    </row>
    <row r="281" spans="1:20" s="1" customFormat="1" ht="72.45" customHeight="1" x14ac:dyDescent="0.25">
      <c r="J281" s="100" t="s">
        <v>0</v>
      </c>
      <c r="K281" s="100"/>
      <c r="L281" s="100"/>
      <c r="M281" s="100"/>
      <c r="N281" s="100"/>
      <c r="O281" s="100"/>
      <c r="P281" s="100"/>
      <c r="Q281" s="100"/>
      <c r="R281" s="100"/>
      <c r="S281" s="100"/>
      <c r="T281" s="100"/>
    </row>
    <row r="282" spans="1:20" s="1" customFormat="1" ht="7.05" customHeight="1" x14ac:dyDescent="0.25"/>
    <row r="283" spans="1:20" s="1" customFormat="1" ht="14.1" customHeight="1" x14ac:dyDescent="0.25">
      <c r="B283" s="101" t="s">
        <v>340</v>
      </c>
      <c r="C283" s="101"/>
      <c r="D283" s="101"/>
      <c r="E283" s="101"/>
      <c r="F283" s="101"/>
      <c r="G283" s="101"/>
      <c r="H283" s="101"/>
      <c r="I283" s="101"/>
      <c r="J283" s="101"/>
      <c r="K283" s="101"/>
      <c r="L283" s="101"/>
      <c r="M283" s="101"/>
      <c r="N283" s="101"/>
      <c r="O283" s="101"/>
      <c r="P283" s="101"/>
      <c r="Q283" s="101"/>
      <c r="R283" s="101"/>
    </row>
    <row r="284" spans="1:20" s="1" customFormat="1" ht="14.1" customHeight="1" x14ac:dyDescent="0.25"/>
    <row r="285" spans="1:20" s="1" customFormat="1" ht="14.1" customHeight="1" x14ac:dyDescent="0.25">
      <c r="A285" s="102" t="s">
        <v>2</v>
      </c>
      <c r="B285" s="102"/>
      <c r="C285" s="102"/>
      <c r="D285" s="103" t="s">
        <v>351</v>
      </c>
      <c r="E285" s="103"/>
      <c r="F285" s="103"/>
      <c r="G285" s="103"/>
      <c r="H285" s="103"/>
      <c r="I285" s="103"/>
      <c r="J285" s="103"/>
      <c r="K285" s="103"/>
      <c r="L285" s="103"/>
      <c r="M285" s="103"/>
      <c r="N285" s="103"/>
      <c r="O285" s="103"/>
      <c r="P285" s="103"/>
      <c r="Q285" s="103"/>
      <c r="R285" s="103"/>
      <c r="S285" s="103"/>
      <c r="T285" s="103"/>
    </row>
    <row r="286" spans="1:20" s="1" customFormat="1" ht="14.1" customHeight="1" x14ac:dyDescent="0.25">
      <c r="A286" s="102" t="s">
        <v>4</v>
      </c>
      <c r="B286" s="102"/>
      <c r="C286" s="103" t="s">
        <v>712</v>
      </c>
      <c r="D286" s="103"/>
      <c r="E286" s="103"/>
      <c r="F286" s="103"/>
      <c r="G286" s="103"/>
      <c r="H286" s="103"/>
      <c r="I286" s="103"/>
      <c r="J286" s="103"/>
      <c r="K286" s="103"/>
      <c r="L286" s="103"/>
      <c r="M286" s="103"/>
      <c r="N286" s="103"/>
      <c r="O286" s="103"/>
      <c r="P286" s="103"/>
      <c r="Q286" s="103"/>
      <c r="R286" s="103"/>
      <c r="S286" s="103"/>
      <c r="T286" s="103"/>
    </row>
    <row r="287" spans="1:20" s="1" customFormat="1" ht="14.1" customHeight="1" x14ac:dyDescent="0.25">
      <c r="A287" s="102" t="s">
        <v>6</v>
      </c>
      <c r="B287" s="102"/>
      <c r="C287" s="102"/>
      <c r="D287" s="102"/>
      <c r="E287" s="102"/>
      <c r="F287" s="103" t="s">
        <v>714</v>
      </c>
      <c r="G287" s="103"/>
      <c r="H287" s="103"/>
      <c r="I287" s="103"/>
      <c r="J287" s="103"/>
      <c r="K287" s="103"/>
      <c r="L287" s="103"/>
      <c r="M287" s="103"/>
      <c r="N287" s="103"/>
      <c r="O287" s="103"/>
      <c r="P287" s="103"/>
      <c r="Q287" s="103"/>
      <c r="R287" s="103"/>
      <c r="S287" s="103"/>
      <c r="T287" s="103"/>
    </row>
    <row r="288" spans="1:20" s="1" customFormat="1" ht="22.35" customHeight="1" x14ac:dyDescent="0.25">
      <c r="F288" s="103"/>
      <c r="G288" s="103"/>
      <c r="H288" s="103"/>
      <c r="I288" s="103"/>
      <c r="J288" s="103"/>
      <c r="K288" s="103"/>
      <c r="L288" s="103"/>
      <c r="M288" s="103"/>
      <c r="N288" s="103"/>
      <c r="O288" s="103"/>
      <c r="P288" s="103"/>
      <c r="Q288" s="103"/>
      <c r="R288" s="103"/>
      <c r="S288" s="103"/>
      <c r="T288" s="103"/>
    </row>
    <row r="289" spans="1:20" s="1" customFormat="1" ht="7.05" customHeight="1" x14ac:dyDescent="0.25">
      <c r="A289" s="86"/>
      <c r="B289" s="86"/>
      <c r="C289" s="86"/>
      <c r="D289" s="86"/>
      <c r="E289" s="86"/>
      <c r="F289" s="86"/>
      <c r="G289" s="86"/>
      <c r="H289" s="86"/>
      <c r="I289" s="86"/>
      <c r="J289" s="86"/>
      <c r="K289" s="86"/>
      <c r="L289" s="86"/>
      <c r="M289" s="86"/>
      <c r="N289" s="86"/>
      <c r="O289" s="86"/>
      <c r="P289" s="86"/>
      <c r="Q289" s="16"/>
      <c r="R289" s="86"/>
      <c r="S289" s="86"/>
      <c r="T289" s="86"/>
    </row>
    <row r="290" spans="1:20" s="1" customFormat="1" ht="16.95" customHeight="1" x14ac:dyDescent="0.25">
      <c r="A290" s="94" t="s">
        <v>8</v>
      </c>
      <c r="B290" s="94"/>
      <c r="C290" s="94"/>
      <c r="D290" s="94"/>
      <c r="E290" s="94"/>
      <c r="F290" s="94"/>
      <c r="G290" s="94"/>
      <c r="H290" s="94"/>
      <c r="I290" s="94"/>
      <c r="J290" s="94"/>
      <c r="K290" s="94"/>
      <c r="L290" s="94"/>
      <c r="M290" s="95" t="s">
        <v>9</v>
      </c>
      <c r="N290" s="95"/>
      <c r="O290" s="95"/>
      <c r="P290" s="95"/>
      <c r="Q290" s="95"/>
      <c r="R290" s="95"/>
      <c r="S290" s="95"/>
      <c r="T290" s="95"/>
    </row>
    <row r="291" spans="1:20" s="1" customFormat="1" ht="16.95" customHeight="1" x14ac:dyDescent="0.25">
      <c r="A291" s="94"/>
      <c r="B291" s="94"/>
      <c r="C291" s="94"/>
      <c r="D291" s="94"/>
      <c r="E291" s="94"/>
      <c r="F291" s="94"/>
      <c r="G291" s="94"/>
      <c r="H291" s="94"/>
      <c r="I291" s="94"/>
      <c r="J291" s="94"/>
      <c r="K291" s="94"/>
      <c r="L291" s="94"/>
      <c r="M291" s="96" t="s">
        <v>10</v>
      </c>
      <c r="N291" s="96"/>
      <c r="O291" s="96"/>
      <c r="P291" s="96"/>
      <c r="Q291" s="97" t="s">
        <v>11</v>
      </c>
      <c r="R291" s="97"/>
      <c r="S291" s="97"/>
      <c r="T291" s="97"/>
    </row>
    <row r="292" spans="1:20" s="1" customFormat="1" ht="16.95" customHeight="1" x14ac:dyDescent="0.25">
      <c r="A292" s="94"/>
      <c r="B292" s="94"/>
      <c r="C292" s="94"/>
      <c r="D292" s="94"/>
      <c r="E292" s="94"/>
      <c r="F292" s="94"/>
      <c r="G292" s="94"/>
      <c r="H292" s="94"/>
      <c r="I292" s="94"/>
      <c r="J292" s="94"/>
      <c r="K292" s="94"/>
      <c r="L292" s="94"/>
      <c r="M292" s="98" t="s">
        <v>12</v>
      </c>
      <c r="N292" s="98"/>
      <c r="O292" s="98" t="s">
        <v>13</v>
      </c>
      <c r="P292" s="98"/>
      <c r="Q292" s="13" t="s">
        <v>14</v>
      </c>
      <c r="R292" s="99" t="s">
        <v>15</v>
      </c>
      <c r="S292" s="99"/>
      <c r="T292" s="99"/>
    </row>
    <row r="293" spans="1:20" s="1" customFormat="1" ht="13.35" customHeight="1" x14ac:dyDescent="0.25">
      <c r="A293" s="88" t="s">
        <v>347</v>
      </c>
      <c r="B293" s="88"/>
      <c r="C293" s="88"/>
      <c r="D293" s="88"/>
      <c r="E293" s="88"/>
      <c r="F293" s="88"/>
      <c r="G293" s="88"/>
      <c r="H293" s="88"/>
      <c r="I293" s="88"/>
      <c r="J293" s="88"/>
      <c r="K293" s="88"/>
      <c r="L293" s="88"/>
      <c r="M293" s="88" t="s">
        <v>343</v>
      </c>
      <c r="N293" s="88"/>
      <c r="O293" s="88" t="s">
        <v>343</v>
      </c>
      <c r="P293" s="88"/>
      <c r="Q293" s="6" t="s">
        <v>189</v>
      </c>
      <c r="R293" s="88" t="s">
        <v>189</v>
      </c>
      <c r="S293" s="88"/>
      <c r="T293" s="88"/>
    </row>
    <row r="294" spans="1:20" s="1" customFormat="1" ht="14.1" customHeight="1" x14ac:dyDescent="0.25">
      <c r="A294" s="90" t="s">
        <v>217</v>
      </c>
      <c r="B294" s="90"/>
      <c r="C294" s="90"/>
      <c r="D294" s="90"/>
      <c r="E294" s="90"/>
      <c r="F294" s="90"/>
      <c r="G294" s="90"/>
      <c r="H294" s="90"/>
      <c r="I294" s="90"/>
      <c r="J294" s="90"/>
      <c r="K294" s="90"/>
      <c r="L294" s="90"/>
      <c r="M294" s="90"/>
      <c r="N294" s="90"/>
      <c r="O294" s="90"/>
      <c r="P294" s="90"/>
      <c r="Q294" s="90"/>
      <c r="R294" s="90"/>
      <c r="S294" s="90"/>
      <c r="T294" s="90"/>
    </row>
    <row r="295" spans="1:20" s="1" customFormat="1" ht="21.3" customHeight="1" x14ac:dyDescent="0.25"/>
    <row r="296" spans="1:20" s="1" customFormat="1" ht="14.1" customHeight="1" x14ac:dyDescent="0.25">
      <c r="A296" s="91" t="s">
        <v>33</v>
      </c>
      <c r="B296" s="91"/>
      <c r="C296" s="91"/>
      <c r="D296" s="91"/>
      <c r="E296" s="91"/>
      <c r="F296" s="91"/>
      <c r="G296" s="91"/>
      <c r="H296" s="91"/>
      <c r="I296" s="91"/>
      <c r="J296" s="91"/>
      <c r="K296" s="91"/>
      <c r="L296" s="91"/>
      <c r="M296" s="91"/>
      <c r="N296" s="91"/>
    </row>
    <row r="297" spans="1:20" s="1" customFormat="1" ht="13.35" customHeight="1" x14ac:dyDescent="0.25">
      <c r="A297" s="88" t="s">
        <v>34</v>
      </c>
      <c r="B297" s="88"/>
      <c r="C297" s="88"/>
      <c r="D297" s="88"/>
      <c r="E297" s="89">
        <v>5.22</v>
      </c>
      <c r="F297" s="89"/>
      <c r="G297" s="17"/>
      <c r="H297" s="6" t="s">
        <v>35</v>
      </c>
      <c r="I297" s="89">
        <v>7.0000000000000007E-2</v>
      </c>
      <c r="J297" s="89"/>
      <c r="K297" s="17"/>
      <c r="L297" s="88" t="s">
        <v>36</v>
      </c>
      <c r="M297" s="88"/>
      <c r="N297" s="89">
        <v>216</v>
      </c>
      <c r="O297" s="89"/>
    </row>
    <row r="298" spans="1:20" s="1" customFormat="1" ht="13.35" customHeight="1" x14ac:dyDescent="0.25">
      <c r="A298" s="88" t="s">
        <v>37</v>
      </c>
      <c r="B298" s="88"/>
      <c r="C298" s="88"/>
      <c r="D298" s="88"/>
      <c r="E298" s="89">
        <v>4.5</v>
      </c>
      <c r="F298" s="89"/>
      <c r="G298" s="17"/>
      <c r="H298" s="6" t="s">
        <v>38</v>
      </c>
      <c r="I298" s="89">
        <v>1.26</v>
      </c>
      <c r="J298" s="89"/>
      <c r="K298" s="17"/>
      <c r="L298" s="88" t="s">
        <v>39</v>
      </c>
      <c r="M298" s="88"/>
      <c r="N298" s="89">
        <v>25.2</v>
      </c>
      <c r="O298" s="89"/>
    </row>
    <row r="299" spans="1:20" s="1" customFormat="1" ht="13.35" customHeight="1" x14ac:dyDescent="0.25">
      <c r="A299" s="88" t="s">
        <v>40</v>
      </c>
      <c r="B299" s="88"/>
      <c r="C299" s="88"/>
      <c r="D299" s="88"/>
      <c r="E299" s="89">
        <v>7.2</v>
      </c>
      <c r="F299" s="89"/>
      <c r="G299" s="17"/>
      <c r="H299" s="6" t="s">
        <v>41</v>
      </c>
      <c r="I299" s="89">
        <v>0.05</v>
      </c>
      <c r="J299" s="89"/>
      <c r="K299" s="17"/>
      <c r="L299" s="88" t="s">
        <v>42</v>
      </c>
      <c r="M299" s="88"/>
      <c r="N299" s="89">
        <v>171</v>
      </c>
      <c r="O299" s="89"/>
    </row>
    <row r="300" spans="1:20" s="1" customFormat="1" ht="13.35" customHeight="1" x14ac:dyDescent="0.25">
      <c r="A300" s="88" t="s">
        <v>43</v>
      </c>
      <c r="B300" s="88"/>
      <c r="C300" s="88"/>
      <c r="D300" s="88"/>
      <c r="E300" s="89">
        <v>95.4</v>
      </c>
      <c r="F300" s="89"/>
      <c r="G300" s="17"/>
      <c r="H300" s="6" t="s">
        <v>44</v>
      </c>
      <c r="I300" s="89">
        <v>0.13</v>
      </c>
      <c r="J300" s="89"/>
      <c r="K300" s="17"/>
      <c r="L300" s="88" t="s">
        <v>45</v>
      </c>
      <c r="M300" s="88"/>
      <c r="N300" s="89">
        <v>0.18</v>
      </c>
      <c r="O300" s="89"/>
    </row>
    <row r="301" spans="1:20" s="1" customFormat="1" ht="13.35" customHeight="1" x14ac:dyDescent="0.25">
      <c r="A301" s="87"/>
      <c r="B301" s="87"/>
      <c r="C301" s="87"/>
      <c r="D301" s="87"/>
      <c r="E301" s="87"/>
      <c r="F301" s="87"/>
      <c r="G301" s="17"/>
      <c r="H301" s="6" t="s">
        <v>46</v>
      </c>
      <c r="I301" s="89">
        <v>0</v>
      </c>
      <c r="J301" s="89"/>
      <c r="K301" s="17"/>
      <c r="L301" s="88" t="s">
        <v>47</v>
      </c>
      <c r="M301" s="88"/>
      <c r="N301" s="89">
        <v>262.8</v>
      </c>
      <c r="O301" s="89"/>
    </row>
    <row r="302" spans="1:20" s="1" customFormat="1" ht="13.35" customHeight="1" x14ac:dyDescent="0.25">
      <c r="A302" s="87"/>
      <c r="B302" s="87"/>
      <c r="C302" s="87"/>
      <c r="D302" s="87"/>
      <c r="E302" s="87"/>
      <c r="F302" s="87"/>
      <c r="G302" s="17"/>
      <c r="H302" s="6" t="s">
        <v>48</v>
      </c>
      <c r="I302" s="89">
        <v>0.31</v>
      </c>
      <c r="J302" s="89"/>
      <c r="K302" s="17"/>
      <c r="L302" s="88" t="s">
        <v>49</v>
      </c>
      <c r="M302" s="88"/>
      <c r="N302" s="89">
        <v>16.2</v>
      </c>
      <c r="O302" s="89"/>
    </row>
    <row r="303" spans="1:20" s="1" customFormat="1" ht="13.35" customHeight="1" x14ac:dyDescent="0.25">
      <c r="A303" s="87"/>
      <c r="B303" s="87"/>
      <c r="C303" s="87"/>
      <c r="D303" s="87"/>
      <c r="E303" s="87"/>
      <c r="F303" s="87"/>
      <c r="G303" s="17"/>
      <c r="H303" s="17"/>
      <c r="I303" s="87"/>
      <c r="J303" s="87"/>
      <c r="K303" s="17"/>
      <c r="L303" s="88" t="s">
        <v>50</v>
      </c>
      <c r="M303" s="88"/>
      <c r="N303" s="89">
        <v>0.04</v>
      </c>
      <c r="O303" s="89"/>
    </row>
    <row r="304" spans="1:20" s="1" customFormat="1" ht="13.35" customHeight="1" x14ac:dyDescent="0.25">
      <c r="A304" s="87"/>
      <c r="B304" s="87"/>
      <c r="C304" s="87"/>
      <c r="D304" s="87"/>
      <c r="E304" s="87"/>
      <c r="F304" s="87"/>
      <c r="G304" s="17"/>
      <c r="H304" s="17"/>
      <c r="I304" s="87"/>
      <c r="J304" s="87"/>
      <c r="K304" s="17"/>
      <c r="L304" s="88" t="s">
        <v>51</v>
      </c>
      <c r="M304" s="88"/>
      <c r="N304" s="89">
        <v>0</v>
      </c>
      <c r="O304" s="89"/>
    </row>
    <row r="305" spans="1:20" s="1" customFormat="1" ht="14.1" customHeight="1" x14ac:dyDescent="0.25">
      <c r="A305" s="86"/>
      <c r="B305" s="86"/>
      <c r="C305" s="86"/>
      <c r="D305" s="86"/>
      <c r="E305" s="86"/>
      <c r="F305" s="86"/>
      <c r="G305" s="86"/>
      <c r="H305" s="86"/>
      <c r="I305" s="86"/>
      <c r="J305" s="86"/>
      <c r="K305" s="86"/>
      <c r="L305" s="86"/>
      <c r="M305" s="86"/>
      <c r="N305" s="86"/>
      <c r="O305" s="86"/>
      <c r="P305" s="86"/>
      <c r="Q305" s="86"/>
      <c r="R305" s="86"/>
      <c r="S305" s="86"/>
    </row>
    <row r="306" spans="1:20" s="1" customFormat="1" ht="14.1" customHeight="1" x14ac:dyDescent="0.25">
      <c r="A306" s="84" t="s">
        <v>52</v>
      </c>
      <c r="B306" s="84"/>
      <c r="C306" s="84"/>
      <c r="D306" s="84"/>
      <c r="E306" s="84"/>
      <c r="F306" s="84"/>
      <c r="G306" s="84"/>
      <c r="H306" s="84"/>
      <c r="I306" s="84"/>
      <c r="J306" s="84"/>
      <c r="K306" s="84"/>
      <c r="L306" s="84"/>
      <c r="M306" s="84"/>
      <c r="N306" s="84"/>
      <c r="O306" s="84"/>
      <c r="P306" s="84"/>
      <c r="Q306" s="84"/>
      <c r="R306" s="84"/>
      <c r="S306" s="84"/>
    </row>
    <row r="307" spans="1:20" s="1" customFormat="1" ht="12.15" customHeight="1" x14ac:dyDescent="0.25">
      <c r="A307" s="85" t="s">
        <v>344</v>
      </c>
      <c r="B307" s="85"/>
      <c r="C307" s="85"/>
      <c r="D307" s="85"/>
      <c r="E307" s="85"/>
      <c r="F307" s="85"/>
      <c r="G307" s="85"/>
      <c r="H307" s="85"/>
      <c r="I307" s="85"/>
      <c r="J307" s="85"/>
      <c r="K307" s="85"/>
      <c r="L307" s="85"/>
      <c r="M307" s="85"/>
      <c r="N307" s="85"/>
      <c r="O307" s="85"/>
      <c r="P307" s="85"/>
      <c r="Q307" s="85"/>
      <c r="R307" s="85"/>
      <c r="S307" s="85"/>
    </row>
    <row r="308" spans="1:20" s="1" customFormat="1" ht="14.1" customHeight="1" x14ac:dyDescent="0.25">
      <c r="A308" s="84" t="s">
        <v>54</v>
      </c>
      <c r="B308" s="84"/>
      <c r="C308" s="84"/>
      <c r="D308" s="84"/>
      <c r="E308" s="84"/>
      <c r="F308" s="84"/>
      <c r="G308" s="84"/>
      <c r="H308" s="84"/>
      <c r="I308" s="84"/>
      <c r="J308" s="84"/>
      <c r="K308" s="84"/>
      <c r="L308" s="84"/>
      <c r="M308" s="84"/>
      <c r="N308" s="84"/>
      <c r="O308" s="84"/>
      <c r="P308" s="84"/>
      <c r="Q308" s="84"/>
      <c r="R308" s="84"/>
      <c r="S308" s="84"/>
    </row>
    <row r="309" spans="1:20" s="1" customFormat="1" ht="12.15" customHeight="1" x14ac:dyDescent="0.25">
      <c r="A309" s="85" t="s">
        <v>349</v>
      </c>
      <c r="B309" s="85"/>
      <c r="C309" s="85"/>
      <c r="D309" s="85"/>
      <c r="E309" s="85"/>
      <c r="F309" s="85"/>
      <c r="G309" s="85"/>
      <c r="H309" s="85"/>
      <c r="I309" s="85"/>
      <c r="J309" s="85"/>
      <c r="K309" s="85"/>
      <c r="L309" s="85"/>
      <c r="M309" s="85"/>
      <c r="N309" s="85"/>
      <c r="O309" s="85"/>
      <c r="P309" s="85"/>
      <c r="Q309" s="85"/>
      <c r="R309" s="85"/>
      <c r="S309" s="85"/>
    </row>
    <row r="310" spans="1:20" s="1" customFormat="1" ht="14.1" customHeight="1" x14ac:dyDescent="0.25">
      <c r="A310" s="86"/>
      <c r="B310" s="86"/>
      <c r="C310" s="86"/>
      <c r="D310" s="86"/>
      <c r="E310" s="86"/>
      <c r="F310" s="86"/>
      <c r="G310" s="86"/>
      <c r="H310" s="86"/>
      <c r="I310" s="86"/>
      <c r="J310" s="86"/>
      <c r="K310" s="86"/>
      <c r="L310" s="86"/>
      <c r="M310" s="86"/>
      <c r="N310" s="86"/>
      <c r="O310" s="86"/>
      <c r="P310" s="86"/>
      <c r="Q310" s="86"/>
      <c r="R310" s="86"/>
      <c r="S310" s="86"/>
    </row>
    <row r="311" spans="1:20" s="1" customFormat="1" ht="14.1" customHeight="1" x14ac:dyDescent="0.25">
      <c r="A311" s="84" t="s">
        <v>56</v>
      </c>
      <c r="B311" s="84"/>
      <c r="C311" s="84"/>
      <c r="D311" s="84"/>
      <c r="E311" s="84"/>
      <c r="F311" s="84"/>
      <c r="G311" s="84"/>
      <c r="H311" s="84"/>
      <c r="I311" s="84"/>
      <c r="J311" s="84"/>
      <c r="K311" s="84"/>
      <c r="L311" s="84"/>
      <c r="M311" s="84"/>
      <c r="N311" s="84"/>
      <c r="O311" s="84"/>
      <c r="P311" s="84"/>
      <c r="Q311" s="84"/>
      <c r="R311" s="84"/>
      <c r="S311" s="84"/>
    </row>
    <row r="312" spans="1:20" s="1" customFormat="1" ht="49.2" customHeight="1" x14ac:dyDescent="0.25">
      <c r="A312" s="85" t="s">
        <v>345</v>
      </c>
      <c r="B312" s="85"/>
      <c r="C312" s="85"/>
      <c r="D312" s="85"/>
      <c r="E312" s="85"/>
      <c r="F312" s="85"/>
      <c r="G312" s="85"/>
      <c r="H312" s="85"/>
      <c r="I312" s="85"/>
      <c r="J312" s="85"/>
      <c r="K312" s="85"/>
      <c r="L312" s="85"/>
      <c r="M312" s="85"/>
      <c r="N312" s="85"/>
      <c r="O312" s="85"/>
      <c r="P312" s="85"/>
      <c r="Q312" s="85"/>
      <c r="R312" s="85"/>
      <c r="S312" s="85"/>
    </row>
    <row r="313" spans="1:20" s="1" customFormat="1" ht="72.45" customHeight="1" x14ac:dyDescent="0.25">
      <c r="J313" s="100" t="s">
        <v>0</v>
      </c>
      <c r="K313" s="100"/>
      <c r="L313" s="100"/>
      <c r="M313" s="100"/>
      <c r="N313" s="100"/>
      <c r="O313" s="100"/>
      <c r="P313" s="100"/>
      <c r="Q313" s="100"/>
      <c r="R313" s="100"/>
      <c r="S313" s="100"/>
      <c r="T313" s="100"/>
    </row>
    <row r="314" spans="1:20" s="1" customFormat="1" ht="7.05" customHeight="1" x14ac:dyDescent="0.25"/>
    <row r="315" spans="1:20" s="1" customFormat="1" ht="14.1" customHeight="1" x14ac:dyDescent="0.25">
      <c r="B315" s="101" t="s">
        <v>340</v>
      </c>
      <c r="C315" s="101"/>
      <c r="D315" s="101"/>
      <c r="E315" s="101"/>
      <c r="F315" s="101"/>
      <c r="G315" s="101"/>
      <c r="H315" s="101"/>
      <c r="I315" s="101"/>
      <c r="J315" s="101"/>
      <c r="K315" s="101"/>
      <c r="L315" s="101"/>
      <c r="M315" s="101"/>
      <c r="N315" s="101"/>
      <c r="O315" s="101"/>
      <c r="P315" s="101"/>
      <c r="Q315" s="101"/>
      <c r="R315" s="101"/>
    </row>
    <row r="316" spans="1:20" s="1" customFormat="1" ht="14.1" customHeight="1" x14ac:dyDescent="0.25"/>
    <row r="317" spans="1:20" s="1" customFormat="1" ht="14.1" customHeight="1" x14ac:dyDescent="0.25">
      <c r="A317" s="102" t="s">
        <v>2</v>
      </c>
      <c r="B317" s="102"/>
      <c r="C317" s="102"/>
      <c r="D317" s="103" t="s">
        <v>352</v>
      </c>
      <c r="E317" s="103"/>
      <c r="F317" s="103"/>
      <c r="G317" s="103"/>
      <c r="H317" s="103"/>
      <c r="I317" s="103"/>
      <c r="J317" s="103"/>
      <c r="K317" s="103"/>
      <c r="L317" s="103"/>
      <c r="M317" s="103"/>
      <c r="N317" s="103"/>
      <c r="O317" s="103"/>
      <c r="P317" s="103"/>
      <c r="Q317" s="103"/>
      <c r="R317" s="103"/>
      <c r="S317" s="103"/>
      <c r="T317" s="103"/>
    </row>
    <row r="318" spans="1:20" s="1" customFormat="1" ht="14.1" customHeight="1" x14ac:dyDescent="0.25">
      <c r="A318" s="102" t="s">
        <v>4</v>
      </c>
      <c r="B318" s="102"/>
      <c r="C318" s="103" t="s">
        <v>712</v>
      </c>
      <c r="D318" s="103"/>
      <c r="E318" s="103"/>
      <c r="F318" s="103"/>
      <c r="G318" s="103"/>
      <c r="H318" s="103"/>
      <c r="I318" s="103"/>
      <c r="J318" s="103"/>
      <c r="K318" s="103"/>
      <c r="L318" s="103"/>
      <c r="M318" s="103"/>
      <c r="N318" s="103"/>
      <c r="O318" s="103"/>
      <c r="P318" s="103"/>
      <c r="Q318" s="103"/>
      <c r="R318" s="103"/>
      <c r="S318" s="103"/>
      <c r="T318" s="103"/>
    </row>
    <row r="319" spans="1:20" s="1" customFormat="1" ht="14.1" customHeight="1" x14ac:dyDescent="0.25">
      <c r="A319" s="102" t="s">
        <v>6</v>
      </c>
      <c r="B319" s="102"/>
      <c r="C319" s="102"/>
      <c r="D319" s="102"/>
      <c r="E319" s="102"/>
      <c r="F319" s="103" t="s">
        <v>677</v>
      </c>
      <c r="G319" s="103"/>
      <c r="H319" s="103"/>
      <c r="I319" s="103"/>
      <c r="J319" s="103"/>
      <c r="K319" s="103"/>
      <c r="L319" s="103"/>
      <c r="M319" s="103"/>
      <c r="N319" s="103"/>
      <c r="O319" s="103"/>
      <c r="P319" s="103"/>
      <c r="Q319" s="103"/>
      <c r="R319" s="103"/>
      <c r="S319" s="103"/>
      <c r="T319" s="103"/>
    </row>
    <row r="320" spans="1:20" s="1" customFormat="1" ht="22.35" customHeight="1" x14ac:dyDescent="0.25">
      <c r="F320" s="103"/>
      <c r="G320" s="103"/>
      <c r="H320" s="103"/>
      <c r="I320" s="103"/>
      <c r="J320" s="103"/>
      <c r="K320" s="103"/>
      <c r="L320" s="103"/>
      <c r="M320" s="103"/>
      <c r="N320" s="103"/>
      <c r="O320" s="103"/>
      <c r="P320" s="103"/>
      <c r="Q320" s="103"/>
      <c r="R320" s="103"/>
      <c r="S320" s="103"/>
      <c r="T320" s="103"/>
    </row>
    <row r="321" spans="1:20" s="1" customFormat="1" ht="7.05" customHeight="1" x14ac:dyDescent="0.25">
      <c r="A321" s="86"/>
      <c r="B321" s="86"/>
      <c r="C321" s="86"/>
      <c r="D321" s="86"/>
      <c r="E321" s="86"/>
      <c r="F321" s="86"/>
      <c r="G321" s="86"/>
      <c r="H321" s="86"/>
      <c r="I321" s="86"/>
      <c r="J321" s="86"/>
      <c r="K321" s="86"/>
      <c r="L321" s="86"/>
      <c r="M321" s="86"/>
      <c r="N321" s="86"/>
      <c r="O321" s="86"/>
      <c r="P321" s="86"/>
      <c r="Q321" s="16"/>
      <c r="R321" s="86"/>
      <c r="S321" s="86"/>
      <c r="T321" s="86"/>
    </row>
    <row r="322" spans="1:20" s="1" customFormat="1" ht="16.95" customHeight="1" x14ac:dyDescent="0.25">
      <c r="A322" s="94" t="s">
        <v>8</v>
      </c>
      <c r="B322" s="94"/>
      <c r="C322" s="94"/>
      <c r="D322" s="94"/>
      <c r="E322" s="94"/>
      <c r="F322" s="94"/>
      <c r="G322" s="94"/>
      <c r="H322" s="94"/>
      <c r="I322" s="94"/>
      <c r="J322" s="94"/>
      <c r="K322" s="94"/>
      <c r="L322" s="94"/>
      <c r="M322" s="95" t="s">
        <v>9</v>
      </c>
      <c r="N322" s="95"/>
      <c r="O322" s="95"/>
      <c r="P322" s="95"/>
      <c r="Q322" s="95"/>
      <c r="R322" s="95"/>
      <c r="S322" s="95"/>
      <c r="T322" s="95"/>
    </row>
    <row r="323" spans="1:20" s="1" customFormat="1" ht="16.95" customHeight="1" x14ac:dyDescent="0.25">
      <c r="A323" s="94"/>
      <c r="B323" s="94"/>
      <c r="C323" s="94"/>
      <c r="D323" s="94"/>
      <c r="E323" s="94"/>
      <c r="F323" s="94"/>
      <c r="G323" s="94"/>
      <c r="H323" s="94"/>
      <c r="I323" s="94"/>
      <c r="J323" s="94"/>
      <c r="K323" s="94"/>
      <c r="L323" s="94"/>
      <c r="M323" s="96" t="s">
        <v>10</v>
      </c>
      <c r="N323" s="96"/>
      <c r="O323" s="96"/>
      <c r="P323" s="96"/>
      <c r="Q323" s="97" t="s">
        <v>11</v>
      </c>
      <c r="R323" s="97"/>
      <c r="S323" s="97"/>
      <c r="T323" s="97"/>
    </row>
    <row r="324" spans="1:20" s="1" customFormat="1" ht="16.95" customHeight="1" x14ac:dyDescent="0.25">
      <c r="A324" s="94"/>
      <c r="B324" s="94"/>
      <c r="C324" s="94"/>
      <c r="D324" s="94"/>
      <c r="E324" s="94"/>
      <c r="F324" s="94"/>
      <c r="G324" s="94"/>
      <c r="H324" s="94"/>
      <c r="I324" s="94"/>
      <c r="J324" s="94"/>
      <c r="K324" s="94"/>
      <c r="L324" s="94"/>
      <c r="M324" s="98" t="s">
        <v>12</v>
      </c>
      <c r="N324" s="98"/>
      <c r="O324" s="98" t="s">
        <v>13</v>
      </c>
      <c r="P324" s="98"/>
      <c r="Q324" s="13" t="s">
        <v>14</v>
      </c>
      <c r="R324" s="99" t="s">
        <v>15</v>
      </c>
      <c r="S324" s="99"/>
      <c r="T324" s="99"/>
    </row>
    <row r="325" spans="1:20" s="1" customFormat="1" ht="13.35" customHeight="1" x14ac:dyDescent="0.25">
      <c r="A325" s="88" t="s">
        <v>342</v>
      </c>
      <c r="B325" s="88"/>
      <c r="C325" s="88"/>
      <c r="D325" s="88"/>
      <c r="E325" s="88"/>
      <c r="F325" s="88"/>
      <c r="G325" s="88"/>
      <c r="H325" s="88"/>
      <c r="I325" s="88"/>
      <c r="J325" s="88"/>
      <c r="K325" s="88"/>
      <c r="L325" s="88"/>
      <c r="M325" s="88" t="s">
        <v>343</v>
      </c>
      <c r="N325" s="88"/>
      <c r="O325" s="88" t="s">
        <v>343</v>
      </c>
      <c r="P325" s="88"/>
      <c r="Q325" s="6" t="s">
        <v>189</v>
      </c>
      <c r="R325" s="88" t="s">
        <v>189</v>
      </c>
      <c r="S325" s="88"/>
      <c r="T325" s="88"/>
    </row>
    <row r="326" spans="1:20" s="1" customFormat="1" ht="14.1" customHeight="1" x14ac:dyDescent="0.25">
      <c r="A326" s="90" t="s">
        <v>217</v>
      </c>
      <c r="B326" s="90"/>
      <c r="C326" s="90"/>
      <c r="D326" s="90"/>
      <c r="E326" s="90"/>
      <c r="F326" s="90"/>
      <c r="G326" s="90"/>
      <c r="H326" s="90"/>
      <c r="I326" s="90"/>
      <c r="J326" s="90"/>
      <c r="K326" s="90"/>
      <c r="L326" s="90"/>
      <c r="M326" s="90"/>
      <c r="N326" s="90"/>
      <c r="O326" s="90"/>
      <c r="P326" s="90"/>
      <c r="Q326" s="90"/>
      <c r="R326" s="90"/>
      <c r="S326" s="90"/>
      <c r="T326" s="90"/>
    </row>
    <row r="327" spans="1:20" s="1" customFormat="1" ht="21.3" customHeight="1" x14ac:dyDescent="0.25"/>
    <row r="328" spans="1:20" s="1" customFormat="1" ht="14.1" customHeight="1" x14ac:dyDescent="0.25">
      <c r="A328" s="91" t="s">
        <v>33</v>
      </c>
      <c r="B328" s="91"/>
      <c r="C328" s="91"/>
      <c r="D328" s="91"/>
      <c r="E328" s="91"/>
      <c r="F328" s="91"/>
      <c r="G328" s="91"/>
      <c r="H328" s="91"/>
      <c r="I328" s="91"/>
      <c r="J328" s="91"/>
      <c r="K328" s="91"/>
      <c r="L328" s="91"/>
      <c r="M328" s="91"/>
      <c r="N328" s="91"/>
    </row>
    <row r="329" spans="1:20" s="1" customFormat="1" ht="13.35" customHeight="1" x14ac:dyDescent="0.25">
      <c r="A329" s="88" t="s">
        <v>34</v>
      </c>
      <c r="B329" s="88"/>
      <c r="C329" s="88"/>
      <c r="D329" s="88"/>
      <c r="E329" s="89">
        <v>4.8600000000000003</v>
      </c>
      <c r="F329" s="89"/>
      <c r="G329" s="17"/>
      <c r="H329" s="6" t="s">
        <v>35</v>
      </c>
      <c r="I329" s="89">
        <v>0</v>
      </c>
      <c r="J329" s="89"/>
      <c r="K329" s="17"/>
      <c r="L329" s="88" t="s">
        <v>36</v>
      </c>
      <c r="M329" s="88"/>
      <c r="N329" s="89">
        <v>0</v>
      </c>
      <c r="O329" s="89"/>
    </row>
    <row r="330" spans="1:20" s="1" customFormat="1" ht="13.35" customHeight="1" x14ac:dyDescent="0.25">
      <c r="A330" s="88" t="s">
        <v>37</v>
      </c>
      <c r="B330" s="88"/>
      <c r="C330" s="88"/>
      <c r="D330" s="88"/>
      <c r="E330" s="89">
        <v>4.5</v>
      </c>
      <c r="F330" s="89"/>
      <c r="G330" s="17"/>
      <c r="H330" s="6" t="s">
        <v>38</v>
      </c>
      <c r="I330" s="89">
        <v>0</v>
      </c>
      <c r="J330" s="89"/>
      <c r="K330" s="17"/>
      <c r="L330" s="88" t="s">
        <v>39</v>
      </c>
      <c r="M330" s="88"/>
      <c r="N330" s="89">
        <v>0</v>
      </c>
      <c r="O330" s="89"/>
    </row>
    <row r="331" spans="1:20" s="1" customFormat="1" ht="13.35" customHeight="1" x14ac:dyDescent="0.25">
      <c r="A331" s="88" t="s">
        <v>40</v>
      </c>
      <c r="B331" s="88"/>
      <c r="C331" s="88"/>
      <c r="D331" s="88"/>
      <c r="E331" s="89">
        <v>19.440000000000001</v>
      </c>
      <c r="F331" s="89"/>
      <c r="G331" s="17"/>
      <c r="H331" s="6" t="s">
        <v>41</v>
      </c>
      <c r="I331" s="89">
        <v>0</v>
      </c>
      <c r="J331" s="89"/>
      <c r="K331" s="17"/>
      <c r="L331" s="88" t="s">
        <v>42</v>
      </c>
      <c r="M331" s="88"/>
      <c r="N331" s="89">
        <v>0</v>
      </c>
      <c r="O331" s="89"/>
    </row>
    <row r="332" spans="1:20" s="1" customFormat="1" ht="13.35" customHeight="1" x14ac:dyDescent="0.25">
      <c r="A332" s="88" t="s">
        <v>43</v>
      </c>
      <c r="B332" s="88"/>
      <c r="C332" s="88"/>
      <c r="D332" s="88"/>
      <c r="E332" s="89">
        <v>142.19999999999999</v>
      </c>
      <c r="F332" s="89"/>
      <c r="G332" s="17"/>
      <c r="H332" s="6" t="s">
        <v>44</v>
      </c>
      <c r="I332" s="89">
        <v>0</v>
      </c>
      <c r="J332" s="89"/>
      <c r="K332" s="17"/>
      <c r="L332" s="88" t="s">
        <v>45</v>
      </c>
      <c r="M332" s="88"/>
      <c r="N332" s="89">
        <v>0</v>
      </c>
      <c r="O332" s="89"/>
    </row>
    <row r="333" spans="1:20" s="1" customFormat="1" ht="13.35" customHeight="1" x14ac:dyDescent="0.25">
      <c r="A333" s="87"/>
      <c r="B333" s="87"/>
      <c r="C333" s="87"/>
      <c r="D333" s="87"/>
      <c r="E333" s="87"/>
      <c r="F333" s="87"/>
      <c r="G333" s="17"/>
      <c r="H333" s="6" t="s">
        <v>46</v>
      </c>
      <c r="I333" s="89">
        <v>0</v>
      </c>
      <c r="J333" s="89"/>
      <c r="K333" s="17"/>
      <c r="L333" s="88" t="s">
        <v>47</v>
      </c>
      <c r="M333" s="88"/>
      <c r="N333" s="89">
        <v>0</v>
      </c>
      <c r="O333" s="89"/>
    </row>
    <row r="334" spans="1:20" s="1" customFormat="1" ht="13.35" customHeight="1" x14ac:dyDescent="0.25">
      <c r="A334" s="87"/>
      <c r="B334" s="87"/>
      <c r="C334" s="87"/>
      <c r="D334" s="87"/>
      <c r="E334" s="87"/>
      <c r="F334" s="87"/>
      <c r="G334" s="17"/>
      <c r="H334" s="6" t="s">
        <v>48</v>
      </c>
      <c r="I334" s="89">
        <v>0</v>
      </c>
      <c r="J334" s="89"/>
      <c r="K334" s="17"/>
      <c r="L334" s="88" t="s">
        <v>49</v>
      </c>
      <c r="M334" s="88"/>
      <c r="N334" s="89">
        <v>0</v>
      </c>
      <c r="O334" s="89"/>
    </row>
    <row r="335" spans="1:20" s="1" customFormat="1" ht="13.35" customHeight="1" x14ac:dyDescent="0.25">
      <c r="A335" s="87"/>
      <c r="B335" s="87"/>
      <c r="C335" s="87"/>
      <c r="D335" s="87"/>
      <c r="E335" s="87"/>
      <c r="F335" s="87"/>
      <c r="G335" s="17"/>
      <c r="H335" s="17"/>
      <c r="I335" s="87"/>
      <c r="J335" s="87"/>
      <c r="K335" s="17"/>
      <c r="L335" s="88" t="s">
        <v>50</v>
      </c>
      <c r="M335" s="88"/>
      <c r="N335" s="89">
        <v>0</v>
      </c>
      <c r="O335" s="89"/>
    </row>
    <row r="336" spans="1:20" s="1" customFormat="1" ht="13.35" customHeight="1" x14ac:dyDescent="0.25">
      <c r="A336" s="87"/>
      <c r="B336" s="87"/>
      <c r="C336" s="87"/>
      <c r="D336" s="87"/>
      <c r="E336" s="87"/>
      <c r="F336" s="87"/>
      <c r="G336" s="17"/>
      <c r="H336" s="17"/>
      <c r="I336" s="87"/>
      <c r="J336" s="87"/>
      <c r="K336" s="17"/>
      <c r="L336" s="88" t="s">
        <v>51</v>
      </c>
      <c r="M336" s="88"/>
      <c r="N336" s="89">
        <v>0</v>
      </c>
      <c r="O336" s="89"/>
    </row>
    <row r="337" spans="1:20" s="1" customFormat="1" ht="14.1" customHeight="1" x14ac:dyDescent="0.25">
      <c r="A337" s="86"/>
      <c r="B337" s="86"/>
      <c r="C337" s="86"/>
      <c r="D337" s="86"/>
      <c r="E337" s="86"/>
      <c r="F337" s="86"/>
      <c r="G337" s="86"/>
      <c r="H337" s="86"/>
      <c r="I337" s="86"/>
      <c r="J337" s="86"/>
      <c r="K337" s="86"/>
      <c r="L337" s="86"/>
      <c r="M337" s="86"/>
      <c r="N337" s="86"/>
      <c r="O337" s="86"/>
      <c r="P337" s="86"/>
      <c r="Q337" s="86"/>
      <c r="R337" s="86"/>
      <c r="S337" s="86"/>
    </row>
    <row r="338" spans="1:20" s="1" customFormat="1" ht="14.1" customHeight="1" x14ac:dyDescent="0.25">
      <c r="A338" s="84" t="s">
        <v>52</v>
      </c>
      <c r="B338" s="84"/>
      <c r="C338" s="84"/>
      <c r="D338" s="84"/>
      <c r="E338" s="84"/>
      <c r="F338" s="84"/>
      <c r="G338" s="84"/>
      <c r="H338" s="84"/>
      <c r="I338" s="84"/>
      <c r="J338" s="84"/>
      <c r="K338" s="84"/>
      <c r="L338" s="84"/>
      <c r="M338" s="84"/>
      <c r="N338" s="84"/>
      <c r="O338" s="84"/>
      <c r="P338" s="84"/>
      <c r="Q338" s="84"/>
      <c r="R338" s="84"/>
      <c r="S338" s="84"/>
    </row>
    <row r="339" spans="1:20" s="1" customFormat="1" ht="12.15" customHeight="1" x14ac:dyDescent="0.25">
      <c r="A339" s="85" t="s">
        <v>344</v>
      </c>
      <c r="B339" s="85"/>
      <c r="C339" s="85"/>
      <c r="D339" s="85"/>
      <c r="E339" s="85"/>
      <c r="F339" s="85"/>
      <c r="G339" s="85"/>
      <c r="H339" s="85"/>
      <c r="I339" s="85"/>
      <c r="J339" s="85"/>
      <c r="K339" s="85"/>
      <c r="L339" s="85"/>
      <c r="M339" s="85"/>
      <c r="N339" s="85"/>
      <c r="O339" s="85"/>
      <c r="P339" s="85"/>
      <c r="Q339" s="85"/>
      <c r="R339" s="85"/>
      <c r="S339" s="85"/>
    </row>
    <row r="340" spans="1:20" s="1" customFormat="1" ht="14.1" customHeight="1" x14ac:dyDescent="0.25">
      <c r="A340" s="86"/>
      <c r="B340" s="86"/>
      <c r="C340" s="86"/>
      <c r="D340" s="86"/>
      <c r="E340" s="86"/>
      <c r="F340" s="86"/>
      <c r="G340" s="86"/>
      <c r="H340" s="86"/>
      <c r="I340" s="86"/>
      <c r="J340" s="86"/>
      <c r="K340" s="86"/>
      <c r="L340" s="86"/>
      <c r="M340" s="86"/>
      <c r="N340" s="86"/>
      <c r="O340" s="86"/>
      <c r="P340" s="86"/>
      <c r="Q340" s="86"/>
      <c r="R340" s="86"/>
      <c r="S340" s="86"/>
    </row>
    <row r="341" spans="1:20" s="1" customFormat="1" ht="14.1" customHeight="1" x14ac:dyDescent="0.25">
      <c r="A341" s="84" t="s">
        <v>54</v>
      </c>
      <c r="B341" s="84"/>
      <c r="C341" s="84"/>
      <c r="D341" s="84"/>
      <c r="E341" s="84"/>
      <c r="F341" s="84"/>
      <c r="G341" s="84"/>
      <c r="H341" s="84"/>
      <c r="I341" s="84"/>
      <c r="J341" s="84"/>
      <c r="K341" s="84"/>
      <c r="L341" s="84"/>
      <c r="M341" s="84"/>
      <c r="N341" s="84"/>
      <c r="O341" s="84"/>
      <c r="P341" s="84"/>
      <c r="Q341" s="84"/>
      <c r="R341" s="84"/>
      <c r="S341" s="84"/>
    </row>
    <row r="342" spans="1:20" s="1" customFormat="1" ht="12.15" customHeight="1" x14ac:dyDescent="0.25">
      <c r="A342" s="85" t="s">
        <v>353</v>
      </c>
      <c r="B342" s="85"/>
      <c r="C342" s="85"/>
      <c r="D342" s="85"/>
      <c r="E342" s="85"/>
      <c r="F342" s="85"/>
      <c r="G342" s="85"/>
      <c r="H342" s="85"/>
      <c r="I342" s="85"/>
      <c r="J342" s="85"/>
      <c r="K342" s="85"/>
      <c r="L342" s="85"/>
      <c r="M342" s="85"/>
      <c r="N342" s="85"/>
      <c r="O342" s="85"/>
      <c r="P342" s="85"/>
      <c r="Q342" s="85"/>
      <c r="R342" s="85"/>
      <c r="S342" s="85"/>
    </row>
    <row r="343" spans="1:20" s="1" customFormat="1" ht="14.1" customHeight="1" x14ac:dyDescent="0.25">
      <c r="A343" s="86"/>
      <c r="B343" s="86"/>
      <c r="C343" s="86"/>
      <c r="D343" s="86"/>
      <c r="E343" s="86"/>
      <c r="F343" s="86"/>
      <c r="G343" s="86"/>
      <c r="H343" s="86"/>
      <c r="I343" s="86"/>
      <c r="J343" s="86"/>
      <c r="K343" s="86"/>
      <c r="L343" s="86"/>
      <c r="M343" s="86"/>
      <c r="N343" s="86"/>
      <c r="O343" s="86"/>
      <c r="P343" s="86"/>
      <c r="Q343" s="86"/>
      <c r="R343" s="86"/>
      <c r="S343" s="86"/>
    </row>
    <row r="344" spans="1:20" s="1" customFormat="1" ht="14.1" customHeight="1" x14ac:dyDescent="0.25">
      <c r="A344" s="84" t="s">
        <v>56</v>
      </c>
      <c r="B344" s="84"/>
      <c r="C344" s="84"/>
      <c r="D344" s="84"/>
      <c r="E344" s="84"/>
      <c r="F344" s="84"/>
      <c r="G344" s="84"/>
      <c r="H344" s="84"/>
      <c r="I344" s="84"/>
      <c r="J344" s="84"/>
      <c r="K344" s="84"/>
      <c r="L344" s="84"/>
      <c r="M344" s="84"/>
      <c r="N344" s="84"/>
      <c r="O344" s="84"/>
      <c r="P344" s="84"/>
      <c r="Q344" s="84"/>
      <c r="R344" s="84"/>
      <c r="S344" s="84"/>
    </row>
    <row r="345" spans="1:20" s="1" customFormat="1" ht="49.2" customHeight="1" x14ac:dyDescent="0.25">
      <c r="A345" s="85" t="s">
        <v>345</v>
      </c>
      <c r="B345" s="85"/>
      <c r="C345" s="85"/>
      <c r="D345" s="85"/>
      <c r="E345" s="85"/>
      <c r="F345" s="85"/>
      <c r="G345" s="85"/>
      <c r="H345" s="85"/>
      <c r="I345" s="85"/>
      <c r="J345" s="85"/>
      <c r="K345" s="85"/>
      <c r="L345" s="85"/>
      <c r="M345" s="85"/>
      <c r="N345" s="85"/>
      <c r="O345" s="85"/>
      <c r="P345" s="85"/>
      <c r="Q345" s="85"/>
      <c r="R345" s="85"/>
      <c r="S345" s="85"/>
    </row>
    <row r="346" spans="1:20" s="1" customFormat="1" ht="72.45" customHeight="1" x14ac:dyDescent="0.25">
      <c r="J346" s="100" t="s">
        <v>0</v>
      </c>
      <c r="K346" s="100"/>
      <c r="L346" s="100"/>
      <c r="M346" s="100"/>
      <c r="N346" s="100"/>
      <c r="O346" s="100"/>
      <c r="P346" s="100"/>
      <c r="Q346" s="100"/>
      <c r="R346" s="100"/>
      <c r="S346" s="100"/>
      <c r="T346" s="100"/>
    </row>
    <row r="347" spans="1:20" s="1" customFormat="1" ht="7.05" customHeight="1" x14ac:dyDescent="0.25"/>
    <row r="348" spans="1:20" s="1" customFormat="1" ht="14.1" customHeight="1" x14ac:dyDescent="0.25">
      <c r="B348" s="101" t="s">
        <v>354</v>
      </c>
      <c r="C348" s="101"/>
      <c r="D348" s="101"/>
      <c r="E348" s="101"/>
      <c r="F348" s="101"/>
      <c r="G348" s="101"/>
      <c r="H348" s="101"/>
      <c r="I348" s="101"/>
      <c r="J348" s="101"/>
      <c r="K348" s="101"/>
      <c r="L348" s="101"/>
      <c r="M348" s="101"/>
      <c r="N348" s="101"/>
      <c r="O348" s="101"/>
      <c r="P348" s="101"/>
      <c r="Q348" s="101"/>
      <c r="R348" s="101"/>
    </row>
    <row r="349" spans="1:20" s="1" customFormat="1" ht="14.1" customHeight="1" x14ac:dyDescent="0.25"/>
    <row r="350" spans="1:20" s="1" customFormat="1" ht="14.1" customHeight="1" x14ac:dyDescent="0.25">
      <c r="A350" s="102" t="s">
        <v>2</v>
      </c>
      <c r="B350" s="102"/>
      <c r="C350" s="102"/>
      <c r="D350" s="103" t="s">
        <v>355</v>
      </c>
      <c r="E350" s="103"/>
      <c r="F350" s="103"/>
      <c r="G350" s="103"/>
      <c r="H350" s="103"/>
      <c r="I350" s="103"/>
      <c r="J350" s="103"/>
      <c r="K350" s="103"/>
      <c r="L350" s="103"/>
      <c r="M350" s="103"/>
      <c r="N350" s="103"/>
      <c r="O350" s="103"/>
      <c r="P350" s="103"/>
      <c r="Q350" s="103"/>
      <c r="R350" s="103"/>
      <c r="S350" s="103"/>
      <c r="T350" s="103"/>
    </row>
    <row r="351" spans="1:20" s="1" customFormat="1" ht="14.1" customHeight="1" x14ac:dyDescent="0.25">
      <c r="A351" s="102" t="s">
        <v>4</v>
      </c>
      <c r="B351" s="102"/>
      <c r="C351" s="103" t="s">
        <v>356</v>
      </c>
      <c r="D351" s="103"/>
      <c r="E351" s="103"/>
      <c r="F351" s="103"/>
      <c r="G351" s="103"/>
      <c r="H351" s="103"/>
      <c r="I351" s="103"/>
      <c r="J351" s="103"/>
      <c r="K351" s="103"/>
      <c r="L351" s="103"/>
      <c r="M351" s="103"/>
      <c r="N351" s="103"/>
      <c r="O351" s="103"/>
      <c r="P351" s="103"/>
      <c r="Q351" s="103"/>
      <c r="R351" s="103"/>
      <c r="S351" s="103"/>
      <c r="T351" s="103"/>
    </row>
    <row r="352" spans="1:20" s="1" customFormat="1" ht="14.1" customHeight="1" x14ac:dyDescent="0.25">
      <c r="A352" s="102" t="s">
        <v>6</v>
      </c>
      <c r="B352" s="102"/>
      <c r="C352" s="102"/>
      <c r="D352" s="102"/>
      <c r="E352" s="102"/>
      <c r="F352" s="103" t="s">
        <v>320</v>
      </c>
      <c r="G352" s="103"/>
      <c r="H352" s="103"/>
      <c r="I352" s="103"/>
      <c r="J352" s="103"/>
      <c r="K352" s="103"/>
      <c r="L352" s="103"/>
      <c r="M352" s="103"/>
      <c r="N352" s="103"/>
      <c r="O352" s="103"/>
      <c r="P352" s="103"/>
      <c r="Q352" s="103"/>
      <c r="R352" s="103"/>
      <c r="S352" s="103"/>
      <c r="T352" s="103"/>
    </row>
    <row r="353" spans="1:20" s="1" customFormat="1" ht="22.35" customHeight="1" x14ac:dyDescent="0.25">
      <c r="F353" s="103"/>
      <c r="G353" s="103"/>
      <c r="H353" s="103"/>
      <c r="I353" s="103"/>
      <c r="J353" s="103"/>
      <c r="K353" s="103"/>
      <c r="L353" s="103"/>
      <c r="M353" s="103"/>
      <c r="N353" s="103"/>
      <c r="O353" s="103"/>
      <c r="P353" s="103"/>
      <c r="Q353" s="103"/>
      <c r="R353" s="103"/>
      <c r="S353" s="103"/>
      <c r="T353" s="103"/>
    </row>
    <row r="354" spans="1:20" s="3" customFormat="1" ht="49.2" customHeight="1" x14ac:dyDescent="0.2">
      <c r="A354" s="133" t="s">
        <v>679</v>
      </c>
      <c r="B354" s="134"/>
      <c r="C354" s="134"/>
      <c r="D354" s="134"/>
      <c r="E354" s="134"/>
      <c r="F354" s="134"/>
      <c r="G354" s="134"/>
      <c r="H354" s="134"/>
      <c r="I354" s="134"/>
      <c r="J354" s="134"/>
      <c r="K354" s="134"/>
      <c r="L354" s="134"/>
      <c r="M354" s="134"/>
      <c r="N354" s="134"/>
      <c r="O354" s="134"/>
      <c r="P354" s="134"/>
      <c r="Q354" s="134"/>
      <c r="R354" s="134"/>
      <c r="S354" s="10"/>
    </row>
    <row r="355" spans="1:20" s="1" customFormat="1" ht="7.05" customHeight="1" x14ac:dyDescent="0.25">
      <c r="A355" s="135"/>
      <c r="B355" s="135"/>
      <c r="C355" s="135"/>
      <c r="D355" s="135"/>
      <c r="E355" s="135"/>
      <c r="F355" s="135"/>
      <c r="G355" s="135"/>
      <c r="H355" s="135"/>
      <c r="I355" s="135"/>
      <c r="J355" s="135"/>
      <c r="K355" s="135"/>
      <c r="L355" s="135"/>
      <c r="M355" s="135"/>
      <c r="N355" s="135"/>
      <c r="O355" s="135"/>
      <c r="P355" s="135"/>
      <c r="Q355" s="16"/>
      <c r="R355" s="135"/>
      <c r="S355" s="135"/>
      <c r="T355" s="135"/>
    </row>
    <row r="356" spans="1:20" s="1" customFormat="1" ht="16.95" customHeight="1" x14ac:dyDescent="0.25">
      <c r="A356" s="94" t="s">
        <v>8</v>
      </c>
      <c r="B356" s="94"/>
      <c r="C356" s="94"/>
      <c r="D356" s="94"/>
      <c r="E356" s="94"/>
      <c r="F356" s="94"/>
      <c r="G356" s="94"/>
      <c r="H356" s="94"/>
      <c r="I356" s="94"/>
      <c r="J356" s="94"/>
      <c r="K356" s="94"/>
      <c r="L356" s="94"/>
      <c r="M356" s="95" t="s">
        <v>9</v>
      </c>
      <c r="N356" s="95"/>
      <c r="O356" s="95"/>
      <c r="P356" s="95"/>
      <c r="Q356" s="95"/>
      <c r="R356" s="95"/>
      <c r="S356" s="95"/>
      <c r="T356" s="95"/>
    </row>
    <row r="357" spans="1:20" s="1" customFormat="1" ht="16.95" customHeight="1" x14ac:dyDescent="0.25">
      <c r="A357" s="94"/>
      <c r="B357" s="94"/>
      <c r="C357" s="94"/>
      <c r="D357" s="94"/>
      <c r="E357" s="94"/>
      <c r="F357" s="94"/>
      <c r="G357" s="94"/>
      <c r="H357" s="94"/>
      <c r="I357" s="94"/>
      <c r="J357" s="94"/>
      <c r="K357" s="94"/>
      <c r="L357" s="94"/>
      <c r="M357" s="96" t="s">
        <v>10</v>
      </c>
      <c r="N357" s="96"/>
      <c r="O357" s="96"/>
      <c r="P357" s="96"/>
      <c r="Q357" s="97" t="s">
        <v>11</v>
      </c>
      <c r="R357" s="97"/>
      <c r="S357" s="97"/>
      <c r="T357" s="97"/>
    </row>
    <row r="358" spans="1:20" s="1" customFormat="1" ht="16.95" customHeight="1" x14ac:dyDescent="0.25">
      <c r="A358" s="94"/>
      <c r="B358" s="94"/>
      <c r="C358" s="94"/>
      <c r="D358" s="94"/>
      <c r="E358" s="94"/>
      <c r="F358" s="94"/>
      <c r="G358" s="94"/>
      <c r="H358" s="94"/>
      <c r="I358" s="94"/>
      <c r="J358" s="94"/>
      <c r="K358" s="94"/>
      <c r="L358" s="94"/>
      <c r="M358" s="98" t="s">
        <v>12</v>
      </c>
      <c r="N358" s="98"/>
      <c r="O358" s="98" t="s">
        <v>13</v>
      </c>
      <c r="P358" s="98"/>
      <c r="Q358" s="13" t="s">
        <v>14</v>
      </c>
      <c r="R358" s="99" t="s">
        <v>15</v>
      </c>
      <c r="S358" s="99"/>
      <c r="T358" s="99"/>
    </row>
    <row r="359" spans="1:20" s="1" customFormat="1" ht="13.35" customHeight="1" x14ac:dyDescent="0.25">
      <c r="A359" s="88" t="s">
        <v>269</v>
      </c>
      <c r="B359" s="88"/>
      <c r="C359" s="88"/>
      <c r="D359" s="88"/>
      <c r="E359" s="88"/>
      <c r="F359" s="88"/>
      <c r="G359" s="88"/>
      <c r="H359" s="88"/>
      <c r="I359" s="88"/>
      <c r="J359" s="88"/>
      <c r="K359" s="88"/>
      <c r="L359" s="88"/>
      <c r="M359" s="88">
        <f>227*0.18</f>
        <v>40.86</v>
      </c>
      <c r="N359" s="88"/>
      <c r="O359" s="88">
        <f>200*0.18</f>
        <v>36</v>
      </c>
      <c r="P359" s="88"/>
      <c r="Q359" s="6" t="s">
        <v>357</v>
      </c>
      <c r="R359" s="88" t="s">
        <v>196</v>
      </c>
      <c r="S359" s="88"/>
      <c r="T359" s="88"/>
    </row>
    <row r="360" spans="1:20" s="1" customFormat="1" ht="13.35" customHeight="1" x14ac:dyDescent="0.25">
      <c r="A360" s="88" t="s">
        <v>114</v>
      </c>
      <c r="B360" s="88"/>
      <c r="C360" s="88"/>
      <c r="D360" s="88"/>
      <c r="E360" s="88"/>
      <c r="F360" s="88"/>
      <c r="G360" s="88"/>
      <c r="H360" s="88"/>
      <c r="I360" s="88"/>
      <c r="J360" s="88"/>
      <c r="K360" s="88"/>
      <c r="L360" s="88"/>
      <c r="M360" s="88" t="s">
        <v>358</v>
      </c>
      <c r="N360" s="88"/>
      <c r="O360" s="88" t="s">
        <v>358</v>
      </c>
      <c r="P360" s="88"/>
      <c r="Q360" s="6" t="s">
        <v>359</v>
      </c>
      <c r="R360" s="88" t="s">
        <v>359</v>
      </c>
      <c r="S360" s="88"/>
      <c r="T360" s="88"/>
    </row>
    <row r="361" spans="1:20" s="1" customFormat="1" ht="13.35" customHeight="1" x14ac:dyDescent="0.25">
      <c r="A361" s="88" t="s">
        <v>109</v>
      </c>
      <c r="B361" s="88"/>
      <c r="C361" s="88"/>
      <c r="D361" s="88"/>
      <c r="E361" s="88"/>
      <c r="F361" s="88"/>
      <c r="G361" s="88"/>
      <c r="H361" s="88"/>
      <c r="I361" s="88"/>
      <c r="J361" s="88"/>
      <c r="K361" s="88"/>
      <c r="L361" s="88"/>
      <c r="M361" s="88">
        <f>120*0.18/2</f>
        <v>10.799999999999999</v>
      </c>
      <c r="N361" s="88"/>
      <c r="O361" s="88">
        <v>10.8</v>
      </c>
      <c r="P361" s="88"/>
      <c r="Q361" s="6">
        <v>1.08</v>
      </c>
      <c r="R361" s="88">
        <v>1.08</v>
      </c>
      <c r="S361" s="88"/>
      <c r="T361" s="88"/>
    </row>
    <row r="362" spans="1:20" s="1" customFormat="1" ht="13.35" customHeight="1" x14ac:dyDescent="0.25">
      <c r="A362" s="88" t="s">
        <v>260</v>
      </c>
      <c r="B362" s="88"/>
      <c r="C362" s="88"/>
      <c r="D362" s="88"/>
      <c r="E362" s="88"/>
      <c r="F362" s="88"/>
      <c r="G362" s="88"/>
      <c r="H362" s="88"/>
      <c r="I362" s="88"/>
      <c r="J362" s="88"/>
      <c r="K362" s="88"/>
      <c r="L362" s="88"/>
      <c r="M362" s="88">
        <v>0.18</v>
      </c>
      <c r="N362" s="88"/>
      <c r="O362" s="88">
        <v>0.18</v>
      </c>
      <c r="P362" s="88"/>
      <c r="Q362" s="6" t="s">
        <v>262</v>
      </c>
      <c r="R362" s="88" t="s">
        <v>262</v>
      </c>
      <c r="S362" s="88"/>
      <c r="T362" s="88"/>
    </row>
    <row r="363" spans="1:20" s="1" customFormat="1" ht="14.1" customHeight="1" x14ac:dyDescent="0.25">
      <c r="A363" s="90" t="s">
        <v>217</v>
      </c>
      <c r="B363" s="90"/>
      <c r="C363" s="90"/>
      <c r="D363" s="90"/>
      <c r="E363" s="90"/>
      <c r="F363" s="90"/>
      <c r="G363" s="90"/>
      <c r="H363" s="90"/>
      <c r="I363" s="90"/>
      <c r="J363" s="90"/>
      <c r="K363" s="90"/>
      <c r="L363" s="90"/>
      <c r="M363" s="90"/>
      <c r="N363" s="90"/>
      <c r="O363" s="90"/>
      <c r="P363" s="90"/>
      <c r="Q363" s="90"/>
      <c r="R363" s="90"/>
      <c r="S363" s="90"/>
      <c r="T363" s="90"/>
    </row>
    <row r="364" spans="1:20" s="1" customFormat="1" ht="21.3" customHeight="1" x14ac:dyDescent="0.25"/>
    <row r="365" spans="1:20" s="1" customFormat="1" ht="14.1" customHeight="1" x14ac:dyDescent="0.25">
      <c r="A365" s="91" t="s">
        <v>33</v>
      </c>
      <c r="B365" s="91"/>
      <c r="C365" s="91"/>
      <c r="D365" s="91"/>
      <c r="E365" s="91"/>
      <c r="F365" s="91"/>
      <c r="G365" s="91"/>
      <c r="H365" s="91"/>
      <c r="I365" s="91"/>
      <c r="J365" s="91"/>
      <c r="K365" s="91"/>
      <c r="L365" s="91"/>
      <c r="M365" s="91"/>
      <c r="N365" s="91"/>
    </row>
    <row r="366" spans="1:20" s="1" customFormat="1" ht="13.35" customHeight="1" x14ac:dyDescent="0.25">
      <c r="A366" s="88" t="s">
        <v>34</v>
      </c>
      <c r="B366" s="88"/>
      <c r="C366" s="88"/>
      <c r="D366" s="88"/>
      <c r="E366" s="89">
        <v>0.14399999999999999</v>
      </c>
      <c r="F366" s="89"/>
      <c r="G366" s="17"/>
      <c r="H366" s="6" t="s">
        <v>35</v>
      </c>
      <c r="I366" s="89">
        <v>0.01</v>
      </c>
      <c r="J366" s="89"/>
      <c r="K366" s="17"/>
      <c r="L366" s="88" t="s">
        <v>36</v>
      </c>
      <c r="M366" s="88"/>
      <c r="N366" s="89">
        <v>11.67</v>
      </c>
      <c r="O366" s="89"/>
    </row>
    <row r="367" spans="1:20" s="1" customFormat="1" ht="13.35" customHeight="1" x14ac:dyDescent="0.25">
      <c r="A367" s="88" t="s">
        <v>37</v>
      </c>
      <c r="B367" s="88"/>
      <c r="C367" s="88"/>
      <c r="D367" s="88"/>
      <c r="E367" s="89">
        <v>0.14399999999999999</v>
      </c>
      <c r="F367" s="89"/>
      <c r="G367" s="17"/>
      <c r="H367" s="6" t="s">
        <v>38</v>
      </c>
      <c r="I367" s="89">
        <v>1.44</v>
      </c>
      <c r="J367" s="89"/>
      <c r="K367" s="17"/>
      <c r="L367" s="88" t="s">
        <v>39</v>
      </c>
      <c r="M367" s="88"/>
      <c r="N367" s="89">
        <v>3.99</v>
      </c>
      <c r="O367" s="89"/>
    </row>
    <row r="368" spans="1:20" s="1" customFormat="1" ht="13.35" customHeight="1" x14ac:dyDescent="0.25">
      <c r="A368" s="88" t="s">
        <v>40</v>
      </c>
      <c r="B368" s="88"/>
      <c r="C368" s="88"/>
      <c r="D368" s="88"/>
      <c r="E368" s="89">
        <v>25.091999999999999</v>
      </c>
      <c r="F368" s="89"/>
      <c r="G368" s="17"/>
      <c r="H368" s="6" t="s">
        <v>41</v>
      </c>
      <c r="I368" s="89">
        <v>0</v>
      </c>
      <c r="J368" s="89"/>
      <c r="K368" s="17"/>
      <c r="L368" s="88" t="s">
        <v>42</v>
      </c>
      <c r="M368" s="88"/>
      <c r="N368" s="89">
        <v>3.56</v>
      </c>
      <c r="O368" s="89"/>
    </row>
    <row r="369" spans="1:20" s="1" customFormat="1" ht="13.35" customHeight="1" x14ac:dyDescent="0.25">
      <c r="A369" s="88" t="s">
        <v>43</v>
      </c>
      <c r="B369" s="88"/>
      <c r="C369" s="88"/>
      <c r="D369" s="88"/>
      <c r="E369" s="89">
        <v>103.14</v>
      </c>
      <c r="F369" s="89"/>
      <c r="G369" s="17"/>
      <c r="H369" s="6" t="s">
        <v>44</v>
      </c>
      <c r="I369" s="89">
        <v>0.23</v>
      </c>
      <c r="J369" s="89"/>
      <c r="K369" s="17"/>
      <c r="L369" s="88" t="s">
        <v>45</v>
      </c>
      <c r="M369" s="88"/>
      <c r="N369" s="89">
        <v>0.71</v>
      </c>
      <c r="O369" s="89"/>
    </row>
    <row r="370" spans="1:20" s="1" customFormat="1" ht="13.35" customHeight="1" x14ac:dyDescent="0.25">
      <c r="A370" s="87"/>
      <c r="B370" s="87"/>
      <c r="C370" s="87"/>
      <c r="D370" s="87"/>
      <c r="E370" s="87"/>
      <c r="F370" s="87"/>
      <c r="G370" s="17"/>
      <c r="H370" s="6" t="s">
        <v>46</v>
      </c>
      <c r="I370" s="89">
        <v>0</v>
      </c>
      <c r="J370" s="89"/>
      <c r="K370" s="17"/>
      <c r="L370" s="88" t="s">
        <v>47</v>
      </c>
      <c r="M370" s="88"/>
      <c r="N370" s="89">
        <v>100.9</v>
      </c>
      <c r="O370" s="89"/>
    </row>
    <row r="371" spans="1:20" s="1" customFormat="1" ht="13.35" customHeight="1" x14ac:dyDescent="0.25">
      <c r="A371" s="87"/>
      <c r="B371" s="87"/>
      <c r="C371" s="87"/>
      <c r="D371" s="87"/>
      <c r="E371" s="87"/>
      <c r="F371" s="87"/>
      <c r="G371" s="17"/>
      <c r="H371" s="6" t="s">
        <v>48</v>
      </c>
      <c r="I371" s="89">
        <v>0.01</v>
      </c>
      <c r="J371" s="89"/>
      <c r="K371" s="17"/>
      <c r="L371" s="88" t="s">
        <v>49</v>
      </c>
      <c r="M371" s="88"/>
      <c r="N371" s="89">
        <v>0.72</v>
      </c>
      <c r="O371" s="89"/>
    </row>
    <row r="372" spans="1:20" s="1" customFormat="1" ht="13.35" customHeight="1" x14ac:dyDescent="0.25">
      <c r="A372" s="87"/>
      <c r="B372" s="87"/>
      <c r="C372" s="87"/>
      <c r="D372" s="87"/>
      <c r="E372" s="87"/>
      <c r="F372" s="87"/>
      <c r="G372" s="17"/>
      <c r="H372" s="17"/>
      <c r="I372" s="87"/>
      <c r="J372" s="87"/>
      <c r="K372" s="17"/>
      <c r="L372" s="88" t="s">
        <v>50</v>
      </c>
      <c r="M372" s="88"/>
      <c r="N372" s="89">
        <v>0</v>
      </c>
      <c r="O372" s="89"/>
    </row>
    <row r="373" spans="1:20" s="1" customFormat="1" ht="13.35" customHeight="1" x14ac:dyDescent="0.25">
      <c r="A373" s="87"/>
      <c r="B373" s="87"/>
      <c r="C373" s="87"/>
      <c r="D373" s="87"/>
      <c r="E373" s="87"/>
      <c r="F373" s="87"/>
      <c r="G373" s="17"/>
      <c r="H373" s="17"/>
      <c r="I373" s="87"/>
      <c r="J373" s="87"/>
      <c r="K373" s="17"/>
      <c r="L373" s="88" t="s">
        <v>51</v>
      </c>
      <c r="M373" s="88"/>
      <c r="N373" s="89">
        <v>0</v>
      </c>
      <c r="O373" s="89"/>
    </row>
    <row r="374" spans="1:20" s="1" customFormat="1" ht="14.1" customHeight="1" x14ac:dyDescent="0.25">
      <c r="A374" s="86"/>
      <c r="B374" s="86"/>
      <c r="C374" s="86"/>
      <c r="D374" s="86"/>
      <c r="E374" s="86"/>
      <c r="F374" s="86"/>
      <c r="G374" s="86"/>
      <c r="H374" s="86"/>
      <c r="I374" s="86"/>
      <c r="J374" s="86"/>
      <c r="K374" s="86"/>
      <c r="L374" s="86"/>
      <c r="M374" s="86"/>
      <c r="N374" s="86"/>
      <c r="O374" s="86"/>
      <c r="P374" s="86"/>
      <c r="Q374" s="86"/>
      <c r="R374" s="86"/>
      <c r="S374" s="86"/>
    </row>
    <row r="375" spans="1:20" s="1" customFormat="1" ht="14.1" customHeight="1" x14ac:dyDescent="0.25">
      <c r="A375" s="84" t="s">
        <v>52</v>
      </c>
      <c r="B375" s="84"/>
      <c r="C375" s="84"/>
      <c r="D375" s="84"/>
      <c r="E375" s="84"/>
      <c r="F375" s="84"/>
      <c r="G375" s="84"/>
      <c r="H375" s="84"/>
      <c r="I375" s="84"/>
      <c r="J375" s="84"/>
      <c r="K375" s="84"/>
      <c r="L375" s="84"/>
      <c r="M375" s="84"/>
      <c r="N375" s="84"/>
      <c r="O375" s="84"/>
      <c r="P375" s="84"/>
      <c r="Q375" s="84"/>
      <c r="R375" s="84"/>
      <c r="S375" s="84"/>
    </row>
    <row r="376" spans="1:20" s="1" customFormat="1" ht="67.650000000000006" customHeight="1" x14ac:dyDescent="0.25">
      <c r="A376" s="85" t="s">
        <v>360</v>
      </c>
      <c r="B376" s="85"/>
      <c r="C376" s="85"/>
      <c r="D376" s="85"/>
      <c r="E376" s="85"/>
      <c r="F376" s="85"/>
      <c r="G376" s="85"/>
      <c r="H376" s="85"/>
      <c r="I376" s="85"/>
      <c r="J376" s="85"/>
      <c r="K376" s="85"/>
      <c r="L376" s="85"/>
      <c r="M376" s="85"/>
      <c r="N376" s="85"/>
      <c r="O376" s="85"/>
      <c r="P376" s="85"/>
      <c r="Q376" s="85"/>
      <c r="R376" s="85"/>
      <c r="S376" s="85"/>
    </row>
    <row r="377" spans="1:20" s="1" customFormat="1" ht="14.1" customHeight="1" x14ac:dyDescent="0.25">
      <c r="A377" s="86"/>
      <c r="B377" s="86"/>
      <c r="C377" s="86"/>
      <c r="D377" s="86"/>
      <c r="E377" s="86"/>
      <c r="F377" s="86"/>
      <c r="G377" s="86"/>
      <c r="H377" s="86"/>
      <c r="I377" s="86"/>
      <c r="J377" s="86"/>
      <c r="K377" s="86"/>
      <c r="L377" s="86"/>
      <c r="M377" s="86"/>
      <c r="N377" s="86"/>
      <c r="O377" s="86"/>
      <c r="P377" s="86"/>
      <c r="Q377" s="86"/>
      <c r="R377" s="86"/>
      <c r="S377" s="86"/>
    </row>
    <row r="378" spans="1:20" s="1" customFormat="1" ht="14.1" customHeight="1" x14ac:dyDescent="0.25">
      <c r="A378" s="84" t="s">
        <v>54</v>
      </c>
      <c r="B378" s="84"/>
      <c r="C378" s="84"/>
      <c r="D378" s="84"/>
      <c r="E378" s="84"/>
      <c r="F378" s="84"/>
      <c r="G378" s="84"/>
      <c r="H378" s="84"/>
      <c r="I378" s="84"/>
      <c r="J378" s="84"/>
      <c r="K378" s="84"/>
      <c r="L378" s="84"/>
      <c r="M378" s="84"/>
      <c r="N378" s="84"/>
      <c r="O378" s="84"/>
      <c r="P378" s="84"/>
      <c r="Q378" s="84"/>
      <c r="R378" s="84"/>
      <c r="S378" s="84"/>
    </row>
    <row r="379" spans="1:20" s="1" customFormat="1" ht="12.15" customHeight="1" x14ac:dyDescent="0.25">
      <c r="A379" s="85" t="s">
        <v>353</v>
      </c>
      <c r="B379" s="85"/>
      <c r="C379" s="85"/>
      <c r="D379" s="85"/>
      <c r="E379" s="85"/>
      <c r="F379" s="85"/>
      <c r="G379" s="85"/>
      <c r="H379" s="85"/>
      <c r="I379" s="85"/>
      <c r="J379" s="85"/>
      <c r="K379" s="85"/>
      <c r="L379" s="85"/>
      <c r="M379" s="85"/>
      <c r="N379" s="85"/>
      <c r="O379" s="85"/>
      <c r="P379" s="85"/>
      <c r="Q379" s="85"/>
      <c r="R379" s="85"/>
      <c r="S379" s="85"/>
    </row>
    <row r="380" spans="1:20" s="1" customFormat="1" ht="14.1" customHeight="1" x14ac:dyDescent="0.25">
      <c r="A380" s="84" t="s">
        <v>56</v>
      </c>
      <c r="B380" s="84"/>
      <c r="C380" s="84"/>
      <c r="D380" s="84"/>
      <c r="E380" s="84"/>
      <c r="F380" s="84"/>
      <c r="G380" s="84"/>
      <c r="H380" s="84"/>
      <c r="I380" s="84"/>
      <c r="J380" s="84"/>
      <c r="K380" s="84"/>
      <c r="L380" s="84"/>
      <c r="M380" s="84"/>
      <c r="N380" s="84"/>
      <c r="O380" s="84"/>
      <c r="P380" s="84"/>
      <c r="Q380" s="84"/>
      <c r="R380" s="84"/>
      <c r="S380" s="84"/>
    </row>
    <row r="381" spans="1:20" s="1" customFormat="1" ht="58.5" customHeight="1" x14ac:dyDescent="0.25">
      <c r="A381" s="85" t="s">
        <v>361</v>
      </c>
      <c r="B381" s="85"/>
      <c r="C381" s="85"/>
      <c r="D381" s="85"/>
      <c r="E381" s="85"/>
      <c r="F381" s="85"/>
      <c r="G381" s="85"/>
      <c r="H381" s="85"/>
      <c r="I381" s="85"/>
      <c r="J381" s="85"/>
      <c r="K381" s="85"/>
      <c r="L381" s="85"/>
      <c r="M381" s="85"/>
      <c r="N381" s="85"/>
      <c r="O381" s="85"/>
      <c r="P381" s="85"/>
      <c r="Q381" s="85"/>
      <c r="R381" s="85"/>
      <c r="S381" s="85"/>
    </row>
    <row r="382" spans="1:20" s="1" customFormat="1" ht="72.45" customHeight="1" x14ac:dyDescent="0.25">
      <c r="J382" s="100" t="s">
        <v>0</v>
      </c>
      <c r="K382" s="100"/>
      <c r="L382" s="100"/>
      <c r="M382" s="100"/>
      <c r="N382" s="100"/>
      <c r="O382" s="100"/>
      <c r="P382" s="100"/>
      <c r="Q382" s="100"/>
      <c r="R382" s="100"/>
      <c r="S382" s="100"/>
      <c r="T382" s="100"/>
    </row>
    <row r="383" spans="1:20" s="1" customFormat="1" ht="7.05" customHeight="1" x14ac:dyDescent="0.25"/>
    <row r="384" spans="1:20" s="1" customFormat="1" ht="14.1" customHeight="1" x14ac:dyDescent="0.25">
      <c r="B384" s="101" t="s">
        <v>362</v>
      </c>
      <c r="C384" s="101"/>
      <c r="D384" s="101"/>
      <c r="E384" s="101"/>
      <c r="F384" s="101"/>
      <c r="G384" s="101"/>
      <c r="H384" s="101"/>
      <c r="I384" s="101"/>
      <c r="J384" s="101"/>
      <c r="K384" s="101"/>
      <c r="L384" s="101"/>
      <c r="M384" s="101"/>
      <c r="N384" s="101"/>
      <c r="O384" s="101"/>
      <c r="P384" s="101"/>
      <c r="Q384" s="101"/>
      <c r="R384" s="101"/>
    </row>
    <row r="385" spans="1:20" s="1" customFormat="1" ht="14.1" customHeight="1" x14ac:dyDescent="0.25"/>
    <row r="386" spans="1:20" s="1" customFormat="1" ht="14.1" customHeight="1" x14ac:dyDescent="0.25">
      <c r="A386" s="102" t="s">
        <v>2</v>
      </c>
      <c r="B386" s="102"/>
      <c r="C386" s="102"/>
      <c r="D386" s="103" t="s">
        <v>363</v>
      </c>
      <c r="E386" s="103"/>
      <c r="F386" s="103"/>
      <c r="G386" s="103"/>
      <c r="H386" s="103"/>
      <c r="I386" s="103"/>
      <c r="J386" s="103"/>
      <c r="K386" s="103"/>
      <c r="L386" s="103"/>
      <c r="M386" s="103"/>
      <c r="N386" s="103"/>
      <c r="O386" s="103"/>
      <c r="P386" s="103"/>
      <c r="Q386" s="103"/>
      <c r="R386" s="103"/>
      <c r="S386" s="103"/>
      <c r="T386" s="103"/>
    </row>
    <row r="387" spans="1:20" s="1" customFormat="1" ht="14.1" customHeight="1" x14ac:dyDescent="0.25">
      <c r="A387" s="102" t="s">
        <v>4</v>
      </c>
      <c r="B387" s="102"/>
      <c r="C387" s="103" t="s">
        <v>364</v>
      </c>
      <c r="D387" s="103"/>
      <c r="E387" s="103"/>
      <c r="F387" s="103"/>
      <c r="G387" s="103"/>
      <c r="H387" s="103"/>
      <c r="I387" s="103"/>
      <c r="J387" s="103"/>
      <c r="K387" s="103"/>
      <c r="L387" s="103"/>
      <c r="M387" s="103"/>
      <c r="N387" s="103"/>
      <c r="O387" s="103"/>
      <c r="P387" s="103"/>
      <c r="Q387" s="103"/>
      <c r="R387" s="103"/>
      <c r="S387" s="103"/>
      <c r="T387" s="103"/>
    </row>
    <row r="388" spans="1:20" s="1" customFormat="1" ht="14.1" customHeight="1" x14ac:dyDescent="0.25">
      <c r="A388" s="102" t="s">
        <v>6</v>
      </c>
      <c r="B388" s="102"/>
      <c r="C388" s="102"/>
      <c r="D388" s="102"/>
      <c r="E388" s="102"/>
      <c r="F388" s="103" t="s">
        <v>248</v>
      </c>
      <c r="G388" s="103"/>
      <c r="H388" s="103"/>
      <c r="I388" s="103"/>
      <c r="J388" s="103"/>
      <c r="K388" s="103"/>
      <c r="L388" s="103"/>
      <c r="M388" s="103"/>
      <c r="N388" s="103"/>
      <c r="O388" s="103"/>
      <c r="P388" s="103"/>
      <c r="Q388" s="103"/>
      <c r="R388" s="103"/>
      <c r="S388" s="103"/>
      <c r="T388" s="103"/>
    </row>
    <row r="389" spans="1:20" s="1" customFormat="1" ht="22.35" customHeight="1" x14ac:dyDescent="0.25">
      <c r="F389" s="103"/>
      <c r="G389" s="103"/>
      <c r="H389" s="103"/>
      <c r="I389" s="103"/>
      <c r="J389" s="103"/>
      <c r="K389" s="103"/>
      <c r="L389" s="103"/>
      <c r="M389" s="103"/>
      <c r="N389" s="103"/>
      <c r="O389" s="103"/>
      <c r="P389" s="103"/>
      <c r="Q389" s="103"/>
      <c r="R389" s="103"/>
      <c r="S389" s="103"/>
      <c r="T389" s="103"/>
    </row>
    <row r="390" spans="1:20" s="3" customFormat="1" ht="49.2" customHeight="1" x14ac:dyDescent="0.2">
      <c r="A390" s="133" t="s">
        <v>679</v>
      </c>
      <c r="B390" s="134"/>
      <c r="C390" s="134"/>
      <c r="D390" s="134"/>
      <c r="E390" s="134"/>
      <c r="F390" s="134"/>
      <c r="G390" s="134"/>
      <c r="H390" s="134"/>
      <c r="I390" s="134"/>
      <c r="J390" s="134"/>
      <c r="K390" s="134"/>
      <c r="L390" s="134"/>
      <c r="M390" s="134"/>
      <c r="N390" s="134"/>
      <c r="O390" s="134"/>
      <c r="P390" s="134"/>
      <c r="Q390" s="134"/>
      <c r="R390" s="134"/>
      <c r="S390" s="10"/>
    </row>
    <row r="391" spans="1:20" s="1" customFormat="1" ht="7.05" customHeight="1" x14ac:dyDescent="0.25">
      <c r="A391" s="86"/>
      <c r="B391" s="86"/>
      <c r="C391" s="86"/>
      <c r="D391" s="86"/>
      <c r="E391" s="86"/>
      <c r="F391" s="86"/>
      <c r="G391" s="86"/>
      <c r="H391" s="86"/>
      <c r="I391" s="86"/>
      <c r="J391" s="86"/>
      <c r="K391" s="86"/>
      <c r="L391" s="86"/>
      <c r="M391" s="86"/>
      <c r="N391" s="86"/>
      <c r="O391" s="86"/>
      <c r="P391" s="86"/>
      <c r="Q391" s="16"/>
      <c r="R391" s="86"/>
      <c r="S391" s="86"/>
      <c r="T391" s="86"/>
    </row>
    <row r="392" spans="1:20" s="1" customFormat="1" ht="16.95" customHeight="1" x14ac:dyDescent="0.25">
      <c r="A392" s="94" t="s">
        <v>8</v>
      </c>
      <c r="B392" s="94"/>
      <c r="C392" s="94"/>
      <c r="D392" s="94"/>
      <c r="E392" s="94"/>
      <c r="F392" s="94"/>
      <c r="G392" s="94"/>
      <c r="H392" s="94"/>
      <c r="I392" s="94"/>
      <c r="J392" s="94"/>
      <c r="K392" s="94"/>
      <c r="L392" s="94"/>
      <c r="M392" s="95" t="s">
        <v>9</v>
      </c>
      <c r="N392" s="95"/>
      <c r="O392" s="95"/>
      <c r="P392" s="95"/>
      <c r="Q392" s="95"/>
      <c r="R392" s="95"/>
      <c r="S392" s="95"/>
      <c r="T392" s="95"/>
    </row>
    <row r="393" spans="1:20" s="1" customFormat="1" ht="16.95" customHeight="1" x14ac:dyDescent="0.25">
      <c r="A393" s="94"/>
      <c r="B393" s="94"/>
      <c r="C393" s="94"/>
      <c r="D393" s="94"/>
      <c r="E393" s="94"/>
      <c r="F393" s="94"/>
      <c r="G393" s="94"/>
      <c r="H393" s="94"/>
      <c r="I393" s="94"/>
      <c r="J393" s="94"/>
      <c r="K393" s="94"/>
      <c r="L393" s="94"/>
      <c r="M393" s="96" t="s">
        <v>10</v>
      </c>
      <c r="N393" s="96"/>
      <c r="O393" s="96"/>
      <c r="P393" s="96"/>
      <c r="Q393" s="97" t="s">
        <v>11</v>
      </c>
      <c r="R393" s="97"/>
      <c r="S393" s="97"/>
      <c r="T393" s="97"/>
    </row>
    <row r="394" spans="1:20" s="1" customFormat="1" ht="16.95" customHeight="1" x14ac:dyDescent="0.25">
      <c r="A394" s="94"/>
      <c r="B394" s="94"/>
      <c r="C394" s="94"/>
      <c r="D394" s="94"/>
      <c r="E394" s="94"/>
      <c r="F394" s="94"/>
      <c r="G394" s="94"/>
      <c r="H394" s="94"/>
      <c r="I394" s="94"/>
      <c r="J394" s="94"/>
      <c r="K394" s="94"/>
      <c r="L394" s="94"/>
      <c r="M394" s="98" t="s">
        <v>12</v>
      </c>
      <c r="N394" s="98"/>
      <c r="O394" s="98" t="s">
        <v>13</v>
      </c>
      <c r="P394" s="98"/>
      <c r="Q394" s="13" t="s">
        <v>14</v>
      </c>
      <c r="R394" s="99" t="s">
        <v>15</v>
      </c>
      <c r="S394" s="99"/>
      <c r="T394" s="99"/>
    </row>
    <row r="395" spans="1:20" s="1" customFormat="1" ht="13.35" customHeight="1" x14ac:dyDescent="0.25">
      <c r="A395" s="88" t="s">
        <v>365</v>
      </c>
      <c r="B395" s="88"/>
      <c r="C395" s="88"/>
      <c r="D395" s="88"/>
      <c r="E395" s="88"/>
      <c r="F395" s="88"/>
      <c r="G395" s="88"/>
      <c r="H395" s="88"/>
      <c r="I395" s="88"/>
      <c r="J395" s="88"/>
      <c r="K395" s="88"/>
      <c r="L395" s="88"/>
      <c r="M395" s="88">
        <f>16*180/200</f>
        <v>14.4</v>
      </c>
      <c r="N395" s="88"/>
      <c r="O395" s="88">
        <v>14.4</v>
      </c>
      <c r="P395" s="88"/>
      <c r="Q395" s="6">
        <v>1.44</v>
      </c>
      <c r="R395" s="88">
        <v>1.44</v>
      </c>
      <c r="S395" s="88"/>
      <c r="T395" s="88"/>
    </row>
    <row r="396" spans="1:20" s="1" customFormat="1" ht="13.35" customHeight="1" x14ac:dyDescent="0.25">
      <c r="A396" s="88" t="s">
        <v>109</v>
      </c>
      <c r="B396" s="88"/>
      <c r="C396" s="88"/>
      <c r="D396" s="88"/>
      <c r="E396" s="88"/>
      <c r="F396" s="88"/>
      <c r="G396" s="88"/>
      <c r="H396" s="88"/>
      <c r="I396" s="88"/>
      <c r="J396" s="88"/>
      <c r="K396" s="88"/>
      <c r="L396" s="88"/>
      <c r="M396" s="88">
        <f>8*180/200</f>
        <v>7.2</v>
      </c>
      <c r="N396" s="88"/>
      <c r="O396" s="88">
        <v>7.2</v>
      </c>
      <c r="P396" s="88"/>
      <c r="Q396" s="6">
        <v>0.72</v>
      </c>
      <c r="R396" s="88">
        <v>0.72</v>
      </c>
      <c r="S396" s="88"/>
      <c r="T396" s="88"/>
    </row>
    <row r="397" spans="1:20" s="1" customFormat="1" ht="13.35" customHeight="1" x14ac:dyDescent="0.25">
      <c r="A397" s="88" t="s">
        <v>260</v>
      </c>
      <c r="B397" s="88"/>
      <c r="C397" s="88"/>
      <c r="D397" s="88"/>
      <c r="E397" s="88"/>
      <c r="F397" s="88"/>
      <c r="G397" s="88"/>
      <c r="H397" s="88"/>
      <c r="I397" s="88"/>
      <c r="J397" s="88"/>
      <c r="K397" s="88"/>
      <c r="L397" s="88"/>
      <c r="M397" s="88">
        <f>0.2*180/200</f>
        <v>0.18</v>
      </c>
      <c r="N397" s="88"/>
      <c r="O397" s="88">
        <v>0.18</v>
      </c>
      <c r="P397" s="88"/>
      <c r="Q397" s="6">
        <v>1.7999999999999999E-2</v>
      </c>
      <c r="R397" s="88">
        <v>1.7999999999999999E-2</v>
      </c>
      <c r="S397" s="88"/>
      <c r="T397" s="88"/>
    </row>
    <row r="398" spans="1:20" s="1" customFormat="1" ht="13.35" customHeight="1" x14ac:dyDescent="0.25">
      <c r="A398" s="88" t="s">
        <v>114</v>
      </c>
      <c r="B398" s="88"/>
      <c r="C398" s="88"/>
      <c r="D398" s="88"/>
      <c r="E398" s="88"/>
      <c r="F398" s="88"/>
      <c r="G398" s="88"/>
      <c r="H398" s="88"/>
      <c r="I398" s="88"/>
      <c r="J398" s="88"/>
      <c r="K398" s="88"/>
      <c r="L398" s="88"/>
      <c r="M398" s="88">
        <f>222.2*180/200</f>
        <v>199.98</v>
      </c>
      <c r="N398" s="88"/>
      <c r="O398" s="88">
        <v>199.98</v>
      </c>
      <c r="P398" s="88"/>
      <c r="Q398" s="6">
        <v>19.98</v>
      </c>
      <c r="R398" s="88">
        <v>19.98</v>
      </c>
      <c r="S398" s="88"/>
      <c r="T398" s="88"/>
    </row>
    <row r="399" spans="1:20" s="1" customFormat="1" ht="14.1" customHeight="1" x14ac:dyDescent="0.25">
      <c r="A399" s="90" t="s">
        <v>217</v>
      </c>
      <c r="B399" s="90"/>
      <c r="C399" s="90"/>
      <c r="D399" s="90"/>
      <c r="E399" s="90"/>
      <c r="F399" s="90"/>
      <c r="G399" s="90"/>
      <c r="H399" s="90"/>
      <c r="I399" s="90"/>
      <c r="J399" s="90"/>
      <c r="K399" s="90"/>
      <c r="L399" s="90"/>
      <c r="M399" s="90"/>
      <c r="N399" s="90"/>
      <c r="O399" s="90"/>
      <c r="P399" s="90"/>
      <c r="Q399" s="90"/>
      <c r="R399" s="90"/>
      <c r="S399" s="90"/>
      <c r="T399" s="90"/>
    </row>
    <row r="400" spans="1:20" s="1" customFormat="1" ht="21.3" customHeight="1" x14ac:dyDescent="0.25"/>
    <row r="401" spans="1:19" s="1" customFormat="1" ht="14.1" customHeight="1" x14ac:dyDescent="0.25">
      <c r="A401" s="91" t="s">
        <v>33</v>
      </c>
      <c r="B401" s="91"/>
      <c r="C401" s="91"/>
      <c r="D401" s="91"/>
      <c r="E401" s="91"/>
      <c r="F401" s="91"/>
      <c r="G401" s="91"/>
      <c r="H401" s="91"/>
      <c r="I401" s="91"/>
      <c r="J401" s="91"/>
      <c r="K401" s="91"/>
      <c r="L401" s="91"/>
      <c r="M401" s="91"/>
      <c r="N401" s="91"/>
    </row>
    <row r="402" spans="1:19" s="1" customFormat="1" ht="13.35" customHeight="1" x14ac:dyDescent="0.25">
      <c r="A402" s="88" t="s">
        <v>34</v>
      </c>
      <c r="B402" s="88"/>
      <c r="C402" s="88"/>
      <c r="D402" s="88"/>
      <c r="E402" s="89">
        <v>0.59</v>
      </c>
      <c r="F402" s="89"/>
      <c r="G402" s="17"/>
      <c r="H402" s="6" t="s">
        <v>35</v>
      </c>
      <c r="I402" s="89">
        <v>0</v>
      </c>
      <c r="J402" s="89"/>
      <c r="K402" s="17"/>
      <c r="L402" s="88" t="s">
        <v>36</v>
      </c>
      <c r="M402" s="88"/>
      <c r="N402" s="89">
        <v>9.14</v>
      </c>
      <c r="O402" s="89"/>
    </row>
    <row r="403" spans="1:19" s="1" customFormat="1" ht="13.35" customHeight="1" x14ac:dyDescent="0.25">
      <c r="A403" s="88" t="s">
        <v>37</v>
      </c>
      <c r="B403" s="88"/>
      <c r="C403" s="88"/>
      <c r="D403" s="88"/>
      <c r="E403" s="89">
        <v>0.08</v>
      </c>
      <c r="F403" s="89"/>
      <c r="G403" s="17"/>
      <c r="H403" s="6" t="s">
        <v>38</v>
      </c>
      <c r="I403" s="89">
        <v>0</v>
      </c>
      <c r="J403" s="89"/>
      <c r="K403" s="17"/>
      <c r="L403" s="88" t="s">
        <v>39</v>
      </c>
      <c r="M403" s="88"/>
      <c r="N403" s="89">
        <v>2</v>
      </c>
      <c r="O403" s="89"/>
    </row>
    <row r="404" spans="1:19" s="1" customFormat="1" ht="13.35" customHeight="1" x14ac:dyDescent="0.25">
      <c r="A404" s="88" t="s">
        <v>40</v>
      </c>
      <c r="B404" s="88"/>
      <c r="C404" s="88"/>
      <c r="D404" s="88"/>
      <c r="E404" s="89">
        <v>28.92</v>
      </c>
      <c r="F404" s="89"/>
      <c r="G404" s="17"/>
      <c r="H404" s="6" t="s">
        <v>41</v>
      </c>
      <c r="I404" s="89">
        <v>0</v>
      </c>
      <c r="J404" s="89"/>
      <c r="K404" s="17"/>
      <c r="L404" s="88" t="s">
        <v>42</v>
      </c>
      <c r="M404" s="88"/>
      <c r="N404" s="89">
        <v>0</v>
      </c>
      <c r="O404" s="89"/>
    </row>
    <row r="405" spans="1:19" s="1" customFormat="1" ht="13.35" customHeight="1" x14ac:dyDescent="0.25">
      <c r="A405" s="88" t="s">
        <v>43</v>
      </c>
      <c r="B405" s="88"/>
      <c r="C405" s="88"/>
      <c r="D405" s="88"/>
      <c r="E405" s="89">
        <v>119.52</v>
      </c>
      <c r="F405" s="89"/>
      <c r="G405" s="17"/>
      <c r="H405" s="6" t="s">
        <v>44</v>
      </c>
      <c r="I405" s="89">
        <v>0</v>
      </c>
      <c r="J405" s="89"/>
      <c r="K405" s="17"/>
      <c r="L405" s="88" t="s">
        <v>45</v>
      </c>
      <c r="M405" s="88"/>
      <c r="N405" s="89">
        <v>0</v>
      </c>
      <c r="O405" s="89"/>
    </row>
    <row r="406" spans="1:19" s="1" customFormat="1" ht="13.35" customHeight="1" x14ac:dyDescent="0.25">
      <c r="A406" s="87"/>
      <c r="B406" s="87"/>
      <c r="C406" s="87"/>
      <c r="D406" s="87"/>
      <c r="E406" s="87"/>
      <c r="F406" s="87"/>
      <c r="G406" s="17"/>
      <c r="H406" s="6" t="s">
        <v>46</v>
      </c>
      <c r="I406" s="89">
        <v>0</v>
      </c>
      <c r="J406" s="89"/>
      <c r="K406" s="17"/>
      <c r="L406" s="88" t="s">
        <v>47</v>
      </c>
      <c r="M406" s="88"/>
      <c r="N406" s="89">
        <v>0.91</v>
      </c>
      <c r="O406" s="89"/>
    </row>
    <row r="407" spans="1:19" s="1" customFormat="1" ht="13.35" customHeight="1" x14ac:dyDescent="0.25">
      <c r="A407" s="87"/>
      <c r="B407" s="87"/>
      <c r="C407" s="87"/>
      <c r="D407" s="87"/>
      <c r="E407" s="87"/>
      <c r="F407" s="87"/>
      <c r="G407" s="17"/>
      <c r="H407" s="6" t="s">
        <v>48</v>
      </c>
      <c r="I407" s="89">
        <v>0</v>
      </c>
      <c r="J407" s="89"/>
      <c r="K407" s="17"/>
      <c r="L407" s="88" t="s">
        <v>49</v>
      </c>
      <c r="M407" s="88"/>
      <c r="N407" s="89">
        <v>0</v>
      </c>
      <c r="O407" s="89"/>
    </row>
    <row r="408" spans="1:19" s="1" customFormat="1" ht="13.35" customHeight="1" x14ac:dyDescent="0.25">
      <c r="A408" s="87"/>
      <c r="B408" s="87"/>
      <c r="C408" s="87"/>
      <c r="D408" s="87"/>
      <c r="E408" s="87"/>
      <c r="F408" s="87"/>
      <c r="G408" s="17"/>
      <c r="H408" s="17"/>
      <c r="I408" s="87"/>
      <c r="J408" s="87"/>
      <c r="K408" s="17"/>
      <c r="L408" s="88" t="s">
        <v>50</v>
      </c>
      <c r="M408" s="88"/>
      <c r="N408" s="89">
        <v>0</v>
      </c>
      <c r="O408" s="89"/>
    </row>
    <row r="409" spans="1:19" s="1" customFormat="1" ht="13.35" customHeight="1" x14ac:dyDescent="0.25">
      <c r="A409" s="87"/>
      <c r="B409" s="87"/>
      <c r="C409" s="87"/>
      <c r="D409" s="87"/>
      <c r="E409" s="87"/>
      <c r="F409" s="87"/>
      <c r="G409" s="17"/>
      <c r="H409" s="17"/>
      <c r="I409" s="87"/>
      <c r="J409" s="87"/>
      <c r="K409" s="17"/>
      <c r="L409" s="88" t="s">
        <v>51</v>
      </c>
      <c r="M409" s="88"/>
      <c r="N409" s="89">
        <v>0</v>
      </c>
      <c r="O409" s="89"/>
    </row>
    <row r="410" spans="1:19" s="1" customFormat="1" ht="14.1" customHeight="1" x14ac:dyDescent="0.25">
      <c r="A410" s="86"/>
      <c r="B410" s="86"/>
      <c r="C410" s="86"/>
      <c r="D410" s="86"/>
      <c r="E410" s="86"/>
      <c r="F410" s="86"/>
      <c r="G410" s="86"/>
      <c r="H410" s="86"/>
      <c r="I410" s="86"/>
      <c r="J410" s="86"/>
      <c r="K410" s="86"/>
      <c r="L410" s="86"/>
      <c r="M410" s="86"/>
      <c r="N410" s="86"/>
      <c r="O410" s="86"/>
      <c r="P410" s="86"/>
      <c r="Q410" s="86"/>
      <c r="R410" s="86"/>
      <c r="S410" s="86"/>
    </row>
    <row r="411" spans="1:19" s="1" customFormat="1" ht="14.1" customHeight="1" x14ac:dyDescent="0.25">
      <c r="A411" s="84" t="s">
        <v>52</v>
      </c>
      <c r="B411" s="84"/>
      <c r="C411" s="84"/>
      <c r="D411" s="84"/>
      <c r="E411" s="84"/>
      <c r="F411" s="84"/>
      <c r="G411" s="84"/>
      <c r="H411" s="84"/>
      <c r="I411" s="84"/>
      <c r="J411" s="84"/>
      <c r="K411" s="84"/>
      <c r="L411" s="84"/>
      <c r="M411" s="84"/>
      <c r="N411" s="84"/>
      <c r="O411" s="84"/>
      <c r="P411" s="84"/>
      <c r="Q411" s="84"/>
      <c r="R411" s="84"/>
      <c r="S411" s="84"/>
    </row>
    <row r="412" spans="1:19" s="1" customFormat="1" ht="40.049999999999997" customHeight="1" x14ac:dyDescent="0.25">
      <c r="A412" s="85" t="s">
        <v>368</v>
      </c>
      <c r="B412" s="85"/>
      <c r="C412" s="85"/>
      <c r="D412" s="85"/>
      <c r="E412" s="85"/>
      <c r="F412" s="85"/>
      <c r="G412" s="85"/>
      <c r="H412" s="85"/>
      <c r="I412" s="85"/>
      <c r="J412" s="85"/>
      <c r="K412" s="85"/>
      <c r="L412" s="85"/>
      <c r="M412" s="85"/>
      <c r="N412" s="85"/>
      <c r="O412" s="85"/>
      <c r="P412" s="85"/>
      <c r="Q412" s="85"/>
      <c r="R412" s="85"/>
      <c r="S412" s="85"/>
    </row>
    <row r="413" spans="1:19" s="1" customFormat="1" ht="14.1" customHeight="1" x14ac:dyDescent="0.25">
      <c r="A413" s="86"/>
      <c r="B413" s="86"/>
      <c r="C413" s="86"/>
      <c r="D413" s="86"/>
      <c r="E413" s="86"/>
      <c r="F413" s="86"/>
      <c r="G413" s="86"/>
      <c r="H413" s="86"/>
      <c r="I413" s="86"/>
      <c r="J413" s="86"/>
      <c r="K413" s="86"/>
      <c r="L413" s="86"/>
      <c r="M413" s="86"/>
      <c r="N413" s="86"/>
      <c r="O413" s="86"/>
      <c r="P413" s="86"/>
      <c r="Q413" s="86"/>
      <c r="R413" s="86"/>
      <c r="S413" s="86"/>
    </row>
    <row r="414" spans="1:19" s="1" customFormat="1" ht="14.1" customHeight="1" x14ac:dyDescent="0.25">
      <c r="A414" s="84" t="s">
        <v>56</v>
      </c>
      <c r="B414" s="84"/>
      <c r="C414" s="84"/>
      <c r="D414" s="84"/>
      <c r="E414" s="84"/>
      <c r="F414" s="84"/>
      <c r="G414" s="84"/>
      <c r="H414" s="84"/>
      <c r="I414" s="84"/>
      <c r="J414" s="84"/>
      <c r="K414" s="84"/>
      <c r="L414" s="84"/>
      <c r="M414" s="84"/>
      <c r="N414" s="84"/>
      <c r="O414" s="84"/>
      <c r="P414" s="84"/>
      <c r="Q414" s="84"/>
      <c r="R414" s="84"/>
      <c r="S414" s="84"/>
    </row>
    <row r="415" spans="1:19" s="1" customFormat="1" ht="49.2" customHeight="1" x14ac:dyDescent="0.25">
      <c r="A415" s="85" t="s">
        <v>369</v>
      </c>
      <c r="B415" s="85"/>
      <c r="C415" s="85"/>
      <c r="D415" s="85"/>
      <c r="E415" s="85"/>
      <c r="F415" s="85"/>
      <c r="G415" s="85"/>
      <c r="H415" s="85"/>
      <c r="I415" s="85"/>
      <c r="J415" s="85"/>
      <c r="K415" s="85"/>
      <c r="L415" s="85"/>
      <c r="M415" s="85"/>
      <c r="N415" s="85"/>
      <c r="O415" s="85"/>
      <c r="P415" s="85"/>
      <c r="Q415" s="85"/>
      <c r="R415" s="85"/>
      <c r="S415" s="85"/>
    </row>
    <row r="416" spans="1:19" s="1" customFormat="1" ht="49.2" customHeight="1" x14ac:dyDescent="0.25">
      <c r="A416" s="7"/>
      <c r="B416" s="7"/>
      <c r="C416" s="7"/>
      <c r="D416" s="7"/>
      <c r="E416" s="7"/>
      <c r="F416" s="7"/>
      <c r="G416" s="7"/>
      <c r="H416" s="7"/>
      <c r="I416" s="7"/>
      <c r="J416" s="7"/>
      <c r="K416" s="7"/>
      <c r="L416" s="7"/>
      <c r="M416" s="7"/>
      <c r="N416" s="7"/>
      <c r="O416" s="7"/>
      <c r="P416" s="7"/>
      <c r="Q416" s="7"/>
      <c r="R416" s="7"/>
      <c r="S416" s="7"/>
    </row>
    <row r="417" spans="1:20" s="1" customFormat="1" ht="14.1" customHeight="1" x14ac:dyDescent="0.25">
      <c r="B417" s="101" t="s">
        <v>362</v>
      </c>
      <c r="C417" s="101"/>
      <c r="D417" s="101"/>
      <c r="E417" s="101"/>
      <c r="F417" s="101"/>
      <c r="G417" s="101"/>
      <c r="H417" s="101"/>
      <c r="I417" s="101"/>
      <c r="J417" s="101"/>
      <c r="K417" s="101"/>
      <c r="L417" s="101"/>
      <c r="M417" s="101"/>
      <c r="N417" s="101"/>
      <c r="O417" s="101"/>
      <c r="P417" s="101"/>
      <c r="Q417" s="101"/>
      <c r="R417" s="101"/>
    </row>
    <row r="418" spans="1:20" s="1" customFormat="1" ht="14.1" customHeight="1" x14ac:dyDescent="0.25"/>
    <row r="419" spans="1:20" s="1" customFormat="1" ht="14.1" customHeight="1" x14ac:dyDescent="0.25">
      <c r="A419" s="102" t="s">
        <v>2</v>
      </c>
      <c r="B419" s="102"/>
      <c r="C419" s="102"/>
      <c r="D419" s="103" t="s">
        <v>363</v>
      </c>
      <c r="E419" s="103"/>
      <c r="F419" s="103"/>
      <c r="G419" s="103"/>
      <c r="H419" s="103"/>
      <c r="I419" s="103"/>
      <c r="J419" s="103"/>
      <c r="K419" s="103"/>
      <c r="L419" s="103"/>
      <c r="M419" s="103"/>
      <c r="N419" s="103"/>
      <c r="O419" s="103"/>
      <c r="P419" s="103"/>
      <c r="Q419" s="103"/>
      <c r="R419" s="103"/>
      <c r="S419" s="103"/>
      <c r="T419" s="103"/>
    </row>
    <row r="420" spans="1:20" s="1" customFormat="1" ht="14.1" customHeight="1" x14ac:dyDescent="0.25">
      <c r="A420" s="102" t="s">
        <v>4</v>
      </c>
      <c r="B420" s="102"/>
      <c r="C420" s="103" t="s">
        <v>364</v>
      </c>
      <c r="D420" s="103"/>
      <c r="E420" s="103"/>
      <c r="F420" s="103"/>
      <c r="G420" s="103"/>
      <c r="H420" s="103"/>
      <c r="I420" s="103"/>
      <c r="J420" s="103"/>
      <c r="K420" s="103"/>
      <c r="L420" s="103"/>
      <c r="M420" s="103"/>
      <c r="N420" s="103"/>
      <c r="O420" s="103"/>
      <c r="P420" s="103"/>
      <c r="Q420" s="103"/>
      <c r="R420" s="103"/>
      <c r="S420" s="103"/>
      <c r="T420" s="103"/>
    </row>
    <row r="421" spans="1:20" s="1" customFormat="1" ht="14.1" customHeight="1" x14ac:dyDescent="0.25">
      <c r="A421" s="102" t="s">
        <v>6</v>
      </c>
      <c r="B421" s="102"/>
      <c r="C421" s="102"/>
      <c r="D421" s="102"/>
      <c r="E421" s="102"/>
      <c r="F421" s="103" t="s">
        <v>248</v>
      </c>
      <c r="G421" s="103"/>
      <c r="H421" s="103"/>
      <c r="I421" s="103"/>
      <c r="J421" s="103"/>
      <c r="K421" s="103"/>
      <c r="L421" s="103"/>
      <c r="M421" s="103"/>
      <c r="N421" s="103"/>
      <c r="O421" s="103"/>
      <c r="P421" s="103"/>
      <c r="Q421" s="103"/>
      <c r="R421" s="103"/>
      <c r="S421" s="103"/>
      <c r="T421" s="103"/>
    </row>
    <row r="422" spans="1:20" s="1" customFormat="1" ht="22.35" customHeight="1" x14ac:dyDescent="0.25">
      <c r="F422" s="103"/>
      <c r="G422" s="103"/>
      <c r="H422" s="103"/>
      <c r="I422" s="103"/>
      <c r="J422" s="103"/>
      <c r="K422" s="103"/>
      <c r="L422" s="103"/>
      <c r="M422" s="103"/>
      <c r="N422" s="103"/>
      <c r="O422" s="103"/>
      <c r="P422" s="103"/>
      <c r="Q422" s="103"/>
      <c r="R422" s="103"/>
      <c r="S422" s="103"/>
      <c r="T422" s="103"/>
    </row>
    <row r="423" spans="1:20" s="3" customFormat="1" ht="49.2" customHeight="1" x14ac:dyDescent="0.2">
      <c r="A423" s="133" t="s">
        <v>679</v>
      </c>
      <c r="B423" s="134"/>
      <c r="C423" s="134"/>
      <c r="D423" s="134"/>
      <c r="E423" s="134"/>
      <c r="F423" s="134"/>
      <c r="G423" s="134"/>
      <c r="H423" s="134"/>
      <c r="I423" s="134"/>
      <c r="J423" s="134"/>
      <c r="K423" s="134"/>
      <c r="L423" s="134"/>
      <c r="M423" s="134"/>
      <c r="N423" s="134"/>
      <c r="O423" s="134"/>
      <c r="P423" s="134"/>
      <c r="Q423" s="134"/>
      <c r="R423" s="134"/>
      <c r="S423" s="10"/>
    </row>
    <row r="424" spans="1:20" s="1" customFormat="1" ht="7.05" customHeight="1" x14ac:dyDescent="0.25">
      <c r="A424" s="86"/>
      <c r="B424" s="86"/>
      <c r="C424" s="86"/>
      <c r="D424" s="86"/>
      <c r="E424" s="86"/>
      <c r="F424" s="86"/>
      <c r="G424" s="86"/>
      <c r="H424" s="86"/>
      <c r="I424" s="86"/>
      <c r="J424" s="86"/>
      <c r="K424" s="86"/>
      <c r="L424" s="86"/>
      <c r="M424" s="86"/>
      <c r="N424" s="86"/>
      <c r="O424" s="86"/>
      <c r="P424" s="86"/>
      <c r="Q424" s="16"/>
      <c r="R424" s="86"/>
      <c r="S424" s="86"/>
      <c r="T424" s="86"/>
    </row>
    <row r="425" spans="1:20" s="1" customFormat="1" ht="16.95" customHeight="1" x14ac:dyDescent="0.25">
      <c r="A425" s="94" t="s">
        <v>8</v>
      </c>
      <c r="B425" s="94"/>
      <c r="C425" s="94"/>
      <c r="D425" s="94"/>
      <c r="E425" s="94"/>
      <c r="F425" s="94"/>
      <c r="G425" s="94"/>
      <c r="H425" s="94"/>
      <c r="I425" s="94"/>
      <c r="J425" s="94"/>
      <c r="K425" s="94"/>
      <c r="L425" s="94"/>
      <c r="M425" s="95" t="s">
        <v>9</v>
      </c>
      <c r="N425" s="95"/>
      <c r="O425" s="95"/>
      <c r="P425" s="95"/>
      <c r="Q425" s="95"/>
      <c r="R425" s="95"/>
      <c r="S425" s="95"/>
      <c r="T425" s="95"/>
    </row>
    <row r="426" spans="1:20" s="1" customFormat="1" ht="16.95" customHeight="1" x14ac:dyDescent="0.25">
      <c r="A426" s="94"/>
      <c r="B426" s="94"/>
      <c r="C426" s="94"/>
      <c r="D426" s="94"/>
      <c r="E426" s="94"/>
      <c r="F426" s="94"/>
      <c r="G426" s="94"/>
      <c r="H426" s="94"/>
      <c r="I426" s="94"/>
      <c r="J426" s="94"/>
      <c r="K426" s="94"/>
      <c r="L426" s="94"/>
      <c r="M426" s="96" t="s">
        <v>10</v>
      </c>
      <c r="N426" s="96"/>
      <c r="O426" s="96"/>
      <c r="P426" s="96"/>
      <c r="Q426" s="97" t="s">
        <v>11</v>
      </c>
      <c r="R426" s="97"/>
      <c r="S426" s="97"/>
      <c r="T426" s="97"/>
    </row>
    <row r="427" spans="1:20" s="1" customFormat="1" ht="16.95" customHeight="1" x14ac:dyDescent="0.25">
      <c r="A427" s="94"/>
      <c r="B427" s="94"/>
      <c r="C427" s="94"/>
      <c r="D427" s="94"/>
      <c r="E427" s="94"/>
      <c r="F427" s="94"/>
      <c r="G427" s="94"/>
      <c r="H427" s="94"/>
      <c r="I427" s="94"/>
      <c r="J427" s="94"/>
      <c r="K427" s="94"/>
      <c r="L427" s="94"/>
      <c r="M427" s="98" t="s">
        <v>12</v>
      </c>
      <c r="N427" s="98"/>
      <c r="O427" s="98" t="s">
        <v>13</v>
      </c>
      <c r="P427" s="98"/>
      <c r="Q427" s="13" t="s">
        <v>14</v>
      </c>
      <c r="R427" s="99" t="s">
        <v>15</v>
      </c>
      <c r="S427" s="99"/>
      <c r="T427" s="99"/>
    </row>
    <row r="428" spans="1:20" s="1" customFormat="1" ht="13.35" customHeight="1" x14ac:dyDescent="0.25">
      <c r="A428" s="88" t="s">
        <v>365</v>
      </c>
      <c r="B428" s="88"/>
      <c r="C428" s="88"/>
      <c r="D428" s="88"/>
      <c r="E428" s="88"/>
      <c r="F428" s="88"/>
      <c r="G428" s="88"/>
      <c r="H428" s="88"/>
      <c r="I428" s="88"/>
      <c r="J428" s="88"/>
      <c r="K428" s="88"/>
      <c r="L428" s="88"/>
      <c r="M428" s="88" t="s">
        <v>86</v>
      </c>
      <c r="N428" s="88"/>
      <c r="O428" s="88" t="s">
        <v>86</v>
      </c>
      <c r="P428" s="88"/>
      <c r="Q428" s="6" t="s">
        <v>87</v>
      </c>
      <c r="R428" s="88" t="s">
        <v>87</v>
      </c>
      <c r="S428" s="88"/>
      <c r="T428" s="88"/>
    </row>
    <row r="429" spans="1:20" s="1" customFormat="1" ht="13.35" customHeight="1" x14ac:dyDescent="0.25">
      <c r="A429" s="88" t="s">
        <v>109</v>
      </c>
      <c r="B429" s="88"/>
      <c r="C429" s="88"/>
      <c r="D429" s="88"/>
      <c r="E429" s="88"/>
      <c r="F429" s="88"/>
      <c r="G429" s="88"/>
      <c r="H429" s="88"/>
      <c r="I429" s="88"/>
      <c r="J429" s="88"/>
      <c r="K429" s="88"/>
      <c r="L429" s="88"/>
      <c r="M429" s="88" t="s">
        <v>124</v>
      </c>
      <c r="N429" s="88"/>
      <c r="O429" s="88" t="s">
        <v>124</v>
      </c>
      <c r="P429" s="88"/>
      <c r="Q429" s="6" t="s">
        <v>125</v>
      </c>
      <c r="R429" s="88" t="s">
        <v>125</v>
      </c>
      <c r="S429" s="88"/>
      <c r="T429" s="88"/>
    </row>
    <row r="430" spans="1:20" s="1" customFormat="1" ht="13.35" customHeight="1" x14ac:dyDescent="0.25">
      <c r="A430" s="88" t="s">
        <v>260</v>
      </c>
      <c r="B430" s="88"/>
      <c r="C430" s="88"/>
      <c r="D430" s="88"/>
      <c r="E430" s="88"/>
      <c r="F430" s="88"/>
      <c r="G430" s="88"/>
      <c r="H430" s="88"/>
      <c r="I430" s="88"/>
      <c r="J430" s="88"/>
      <c r="K430" s="88"/>
      <c r="L430" s="88"/>
      <c r="M430" s="88" t="s">
        <v>79</v>
      </c>
      <c r="N430" s="88"/>
      <c r="O430" s="88" t="s">
        <v>79</v>
      </c>
      <c r="P430" s="88"/>
      <c r="Q430" s="6" t="s">
        <v>262</v>
      </c>
      <c r="R430" s="88" t="s">
        <v>262</v>
      </c>
      <c r="S430" s="88"/>
      <c r="T430" s="88"/>
    </row>
    <row r="431" spans="1:20" s="1" customFormat="1" ht="13.35" customHeight="1" x14ac:dyDescent="0.25">
      <c r="A431" s="88" t="s">
        <v>114</v>
      </c>
      <c r="B431" s="88"/>
      <c r="C431" s="88"/>
      <c r="D431" s="88"/>
      <c r="E431" s="88"/>
      <c r="F431" s="88"/>
      <c r="G431" s="88"/>
      <c r="H431" s="88"/>
      <c r="I431" s="88"/>
      <c r="J431" s="88"/>
      <c r="K431" s="88"/>
      <c r="L431" s="88"/>
      <c r="M431" s="88" t="s">
        <v>366</v>
      </c>
      <c r="N431" s="88"/>
      <c r="O431" s="88" t="s">
        <v>366</v>
      </c>
      <c r="P431" s="88"/>
      <c r="Q431" s="6" t="s">
        <v>367</v>
      </c>
      <c r="R431" s="88" t="s">
        <v>367</v>
      </c>
      <c r="S431" s="88"/>
      <c r="T431" s="88"/>
    </row>
    <row r="432" spans="1:20" s="1" customFormat="1" ht="14.1" customHeight="1" x14ac:dyDescent="0.25">
      <c r="A432" s="90" t="s">
        <v>116</v>
      </c>
      <c r="B432" s="90"/>
      <c r="C432" s="90"/>
      <c r="D432" s="90"/>
      <c r="E432" s="90"/>
      <c r="F432" s="90"/>
      <c r="G432" s="90"/>
      <c r="H432" s="90"/>
      <c r="I432" s="90"/>
      <c r="J432" s="90"/>
      <c r="K432" s="90"/>
      <c r="L432" s="90"/>
      <c r="M432" s="90"/>
      <c r="N432" s="90"/>
      <c r="O432" s="90"/>
      <c r="P432" s="90"/>
      <c r="Q432" s="90"/>
      <c r="R432" s="90"/>
      <c r="S432" s="90"/>
      <c r="T432" s="90"/>
    </row>
    <row r="433" spans="1:19" s="1" customFormat="1" ht="21.3" customHeight="1" x14ac:dyDescent="0.25"/>
    <row r="434" spans="1:19" s="1" customFormat="1" ht="14.1" customHeight="1" x14ac:dyDescent="0.25">
      <c r="A434" s="91" t="s">
        <v>33</v>
      </c>
      <c r="B434" s="91"/>
      <c r="C434" s="91"/>
      <c r="D434" s="91"/>
      <c r="E434" s="91"/>
      <c r="F434" s="91"/>
      <c r="G434" s="91"/>
      <c r="H434" s="91"/>
      <c r="I434" s="91"/>
      <c r="J434" s="91"/>
      <c r="K434" s="91"/>
      <c r="L434" s="91"/>
      <c r="M434" s="91"/>
      <c r="N434" s="91"/>
    </row>
    <row r="435" spans="1:19" s="1" customFormat="1" ht="13.35" customHeight="1" x14ac:dyDescent="0.25">
      <c r="A435" s="88" t="s">
        <v>34</v>
      </c>
      <c r="B435" s="88"/>
      <c r="C435" s="88"/>
      <c r="D435" s="88"/>
      <c r="E435" s="89">
        <v>0.66</v>
      </c>
      <c r="F435" s="89"/>
      <c r="G435" s="17"/>
      <c r="H435" s="6" t="s">
        <v>35</v>
      </c>
      <c r="I435" s="89">
        <v>0</v>
      </c>
      <c r="J435" s="89"/>
      <c r="K435" s="17"/>
      <c r="L435" s="88" t="s">
        <v>36</v>
      </c>
      <c r="M435" s="88"/>
      <c r="N435" s="89">
        <v>9.14</v>
      </c>
      <c r="O435" s="89"/>
    </row>
    <row r="436" spans="1:19" s="1" customFormat="1" ht="13.35" customHeight="1" x14ac:dyDescent="0.25">
      <c r="A436" s="88" t="s">
        <v>37</v>
      </c>
      <c r="B436" s="88"/>
      <c r="C436" s="88"/>
      <c r="D436" s="88"/>
      <c r="E436" s="89">
        <v>0.09</v>
      </c>
      <c r="F436" s="89"/>
      <c r="G436" s="17"/>
      <c r="H436" s="6" t="s">
        <v>38</v>
      </c>
      <c r="I436" s="89">
        <v>0</v>
      </c>
      <c r="J436" s="89"/>
      <c r="K436" s="17"/>
      <c r="L436" s="88" t="s">
        <v>39</v>
      </c>
      <c r="M436" s="88"/>
      <c r="N436" s="89">
        <v>2</v>
      </c>
      <c r="O436" s="89"/>
    </row>
    <row r="437" spans="1:19" s="1" customFormat="1" ht="13.35" customHeight="1" x14ac:dyDescent="0.25">
      <c r="A437" s="88" t="s">
        <v>40</v>
      </c>
      <c r="B437" s="88"/>
      <c r="C437" s="88"/>
      <c r="D437" s="88"/>
      <c r="E437" s="89">
        <v>32.01</v>
      </c>
      <c r="F437" s="89"/>
      <c r="G437" s="17"/>
      <c r="H437" s="6" t="s">
        <v>41</v>
      </c>
      <c r="I437" s="89">
        <v>0</v>
      </c>
      <c r="J437" s="89"/>
      <c r="K437" s="17"/>
      <c r="L437" s="88" t="s">
        <v>42</v>
      </c>
      <c r="M437" s="88"/>
      <c r="N437" s="89">
        <v>0</v>
      </c>
      <c r="O437" s="89"/>
    </row>
    <row r="438" spans="1:19" s="1" customFormat="1" ht="13.35" customHeight="1" x14ac:dyDescent="0.25">
      <c r="A438" s="88" t="s">
        <v>43</v>
      </c>
      <c r="B438" s="88"/>
      <c r="C438" s="88"/>
      <c r="D438" s="88"/>
      <c r="E438" s="89">
        <v>132.80000000000001</v>
      </c>
      <c r="F438" s="89"/>
      <c r="G438" s="17"/>
      <c r="H438" s="6" t="s">
        <v>44</v>
      </c>
      <c r="I438" s="89">
        <v>0</v>
      </c>
      <c r="J438" s="89"/>
      <c r="K438" s="17"/>
      <c r="L438" s="88" t="s">
        <v>45</v>
      </c>
      <c r="M438" s="88"/>
      <c r="N438" s="89">
        <v>0</v>
      </c>
      <c r="O438" s="89"/>
    </row>
    <row r="439" spans="1:19" s="1" customFormat="1" ht="13.35" customHeight="1" x14ac:dyDescent="0.25">
      <c r="A439" s="87"/>
      <c r="B439" s="87"/>
      <c r="C439" s="87"/>
      <c r="D439" s="87"/>
      <c r="E439" s="87"/>
      <c r="F439" s="87"/>
      <c r="G439" s="17"/>
      <c r="H439" s="6" t="s">
        <v>46</v>
      </c>
      <c r="I439" s="89">
        <v>0</v>
      </c>
      <c r="J439" s="89"/>
      <c r="K439" s="17"/>
      <c r="L439" s="88" t="s">
        <v>47</v>
      </c>
      <c r="M439" s="88"/>
      <c r="N439" s="89">
        <v>0.91</v>
      </c>
      <c r="O439" s="89"/>
    </row>
    <row r="440" spans="1:19" s="1" customFormat="1" ht="13.35" customHeight="1" x14ac:dyDescent="0.25">
      <c r="A440" s="87"/>
      <c r="B440" s="87"/>
      <c r="C440" s="87"/>
      <c r="D440" s="87"/>
      <c r="E440" s="87"/>
      <c r="F440" s="87"/>
      <c r="G440" s="17"/>
      <c r="H440" s="6" t="s">
        <v>48</v>
      </c>
      <c r="I440" s="89">
        <v>0</v>
      </c>
      <c r="J440" s="89"/>
      <c r="K440" s="17"/>
      <c r="L440" s="88" t="s">
        <v>49</v>
      </c>
      <c r="M440" s="88"/>
      <c r="N440" s="89">
        <v>0</v>
      </c>
      <c r="O440" s="89"/>
    </row>
    <row r="441" spans="1:19" s="1" customFormat="1" ht="13.35" customHeight="1" x14ac:dyDescent="0.25">
      <c r="A441" s="87"/>
      <c r="B441" s="87"/>
      <c r="C441" s="87"/>
      <c r="D441" s="87"/>
      <c r="E441" s="87"/>
      <c r="F441" s="87"/>
      <c r="G441" s="17"/>
      <c r="H441" s="17"/>
      <c r="I441" s="87"/>
      <c r="J441" s="87"/>
      <c r="K441" s="17"/>
      <c r="L441" s="88" t="s">
        <v>50</v>
      </c>
      <c r="M441" s="88"/>
      <c r="N441" s="89">
        <v>0</v>
      </c>
      <c r="O441" s="89"/>
    </row>
    <row r="442" spans="1:19" s="1" customFormat="1" ht="13.35" customHeight="1" x14ac:dyDescent="0.25">
      <c r="A442" s="87"/>
      <c r="B442" s="87"/>
      <c r="C442" s="87"/>
      <c r="D442" s="87"/>
      <c r="E442" s="87"/>
      <c r="F442" s="87"/>
      <c r="G442" s="17"/>
      <c r="H442" s="17"/>
      <c r="I442" s="87"/>
      <c r="J442" s="87"/>
      <c r="K442" s="17"/>
      <c r="L442" s="88" t="s">
        <v>51</v>
      </c>
      <c r="M442" s="88"/>
      <c r="N442" s="89">
        <v>0</v>
      </c>
      <c r="O442" s="89"/>
    </row>
    <row r="443" spans="1:19" s="1" customFormat="1" ht="14.1" customHeight="1" x14ac:dyDescent="0.25">
      <c r="A443" s="86"/>
      <c r="B443" s="86"/>
      <c r="C443" s="86"/>
      <c r="D443" s="86"/>
      <c r="E443" s="86"/>
      <c r="F443" s="86"/>
      <c r="G443" s="86"/>
      <c r="H443" s="86"/>
      <c r="I443" s="86"/>
      <c r="J443" s="86"/>
      <c r="K443" s="86"/>
      <c r="L443" s="86"/>
      <c r="M443" s="86"/>
      <c r="N443" s="86"/>
      <c r="O443" s="86"/>
      <c r="P443" s="86"/>
      <c r="Q443" s="86"/>
      <c r="R443" s="86"/>
      <c r="S443" s="86"/>
    </row>
    <row r="444" spans="1:19" s="1" customFormat="1" ht="14.1" customHeight="1" x14ac:dyDescent="0.25">
      <c r="A444" s="84" t="s">
        <v>52</v>
      </c>
      <c r="B444" s="84"/>
      <c r="C444" s="84"/>
      <c r="D444" s="84"/>
      <c r="E444" s="84"/>
      <c r="F444" s="84"/>
      <c r="G444" s="84"/>
      <c r="H444" s="84"/>
      <c r="I444" s="84"/>
      <c r="J444" s="84"/>
      <c r="K444" s="84"/>
      <c r="L444" s="84"/>
      <c r="M444" s="84"/>
      <c r="N444" s="84"/>
      <c r="O444" s="84"/>
      <c r="P444" s="84"/>
      <c r="Q444" s="84"/>
      <c r="R444" s="84"/>
      <c r="S444" s="84"/>
    </row>
    <row r="445" spans="1:19" s="1" customFormat="1" ht="40.049999999999997" customHeight="1" x14ac:dyDescent="0.25">
      <c r="A445" s="85" t="s">
        <v>368</v>
      </c>
      <c r="B445" s="85"/>
      <c r="C445" s="85"/>
      <c r="D445" s="85"/>
      <c r="E445" s="85"/>
      <c r="F445" s="85"/>
      <c r="G445" s="85"/>
      <c r="H445" s="85"/>
      <c r="I445" s="85"/>
      <c r="J445" s="85"/>
      <c r="K445" s="85"/>
      <c r="L445" s="85"/>
      <c r="M445" s="85"/>
      <c r="N445" s="85"/>
      <c r="O445" s="85"/>
      <c r="P445" s="85"/>
      <c r="Q445" s="85"/>
      <c r="R445" s="85"/>
      <c r="S445" s="85"/>
    </row>
    <row r="446" spans="1:19" s="1" customFormat="1" ht="14.1" customHeight="1" x14ac:dyDescent="0.25">
      <c r="A446" s="86"/>
      <c r="B446" s="86"/>
      <c r="C446" s="86"/>
      <c r="D446" s="86"/>
      <c r="E446" s="86"/>
      <c r="F446" s="86"/>
      <c r="G446" s="86"/>
      <c r="H446" s="86"/>
      <c r="I446" s="86"/>
      <c r="J446" s="86"/>
      <c r="K446" s="86"/>
      <c r="L446" s="86"/>
      <c r="M446" s="86"/>
      <c r="N446" s="86"/>
      <c r="O446" s="86"/>
      <c r="P446" s="86"/>
      <c r="Q446" s="86"/>
      <c r="R446" s="86"/>
      <c r="S446" s="86"/>
    </row>
    <row r="447" spans="1:19" s="1" customFormat="1" ht="14.1" customHeight="1" x14ac:dyDescent="0.25">
      <c r="A447" s="84" t="s">
        <v>56</v>
      </c>
      <c r="B447" s="84"/>
      <c r="C447" s="84"/>
      <c r="D447" s="84"/>
      <c r="E447" s="84"/>
      <c r="F447" s="84"/>
      <c r="G447" s="84"/>
      <c r="H447" s="84"/>
      <c r="I447" s="84"/>
      <c r="J447" s="84"/>
      <c r="K447" s="84"/>
      <c r="L447" s="84"/>
      <c r="M447" s="84"/>
      <c r="N447" s="84"/>
      <c r="O447" s="84"/>
      <c r="P447" s="84"/>
      <c r="Q447" s="84"/>
      <c r="R447" s="84"/>
      <c r="S447" s="84"/>
    </row>
    <row r="448" spans="1:19" s="1" customFormat="1" ht="49.2" customHeight="1" x14ac:dyDescent="0.25">
      <c r="A448" s="85" t="s">
        <v>369</v>
      </c>
      <c r="B448" s="85"/>
      <c r="C448" s="85"/>
      <c r="D448" s="85"/>
      <c r="E448" s="85"/>
      <c r="F448" s="85"/>
      <c r="G448" s="85"/>
      <c r="H448" s="85"/>
      <c r="I448" s="85"/>
      <c r="J448" s="85"/>
      <c r="K448" s="85"/>
      <c r="L448" s="85"/>
      <c r="M448" s="85"/>
      <c r="N448" s="85"/>
      <c r="O448" s="85"/>
      <c r="P448" s="85"/>
      <c r="Q448" s="85"/>
      <c r="R448" s="85"/>
      <c r="S448" s="85"/>
    </row>
    <row r="449" spans="1:20" s="1" customFormat="1" ht="72.45" customHeight="1" x14ac:dyDescent="0.25">
      <c r="J449" s="100" t="s">
        <v>0</v>
      </c>
      <c r="K449" s="100"/>
      <c r="L449" s="100"/>
      <c r="M449" s="100"/>
      <c r="N449" s="100"/>
      <c r="O449" s="100"/>
      <c r="P449" s="100"/>
      <c r="Q449" s="100"/>
      <c r="R449" s="100"/>
      <c r="S449" s="100"/>
      <c r="T449" s="100"/>
    </row>
    <row r="450" spans="1:20" s="1" customFormat="1" ht="7.05" customHeight="1" x14ac:dyDescent="0.25"/>
    <row r="451" spans="1:20" s="1" customFormat="1" ht="14.1" customHeight="1" x14ac:dyDescent="0.25">
      <c r="B451" s="101" t="s">
        <v>370</v>
      </c>
      <c r="C451" s="101"/>
      <c r="D451" s="101"/>
      <c r="E451" s="101"/>
      <c r="F451" s="101"/>
      <c r="G451" s="101"/>
      <c r="H451" s="101"/>
      <c r="I451" s="101"/>
      <c r="J451" s="101"/>
      <c r="K451" s="101"/>
      <c r="L451" s="101"/>
      <c r="M451" s="101"/>
      <c r="N451" s="101"/>
      <c r="O451" s="101"/>
      <c r="P451" s="101"/>
      <c r="Q451" s="101"/>
      <c r="R451" s="101"/>
    </row>
    <row r="452" spans="1:20" s="1" customFormat="1" ht="14.1" customHeight="1" x14ac:dyDescent="0.25"/>
    <row r="453" spans="1:20" s="1" customFormat="1" ht="14.1" customHeight="1" x14ac:dyDescent="0.25">
      <c r="A453" s="102" t="s">
        <v>2</v>
      </c>
      <c r="B453" s="102"/>
      <c r="C453" s="102"/>
      <c r="D453" s="103" t="s">
        <v>371</v>
      </c>
      <c r="E453" s="103"/>
      <c r="F453" s="103"/>
      <c r="G453" s="103"/>
      <c r="H453" s="103"/>
      <c r="I453" s="103"/>
      <c r="J453" s="103"/>
      <c r="K453" s="103"/>
      <c r="L453" s="103"/>
      <c r="M453" s="103"/>
      <c r="N453" s="103"/>
      <c r="O453" s="103"/>
      <c r="P453" s="103"/>
      <c r="Q453" s="103"/>
      <c r="R453" s="103"/>
      <c r="S453" s="103"/>
      <c r="T453" s="103"/>
    </row>
    <row r="454" spans="1:20" s="1" customFormat="1" ht="14.1" customHeight="1" x14ac:dyDescent="0.25">
      <c r="A454" s="102" t="s">
        <v>4</v>
      </c>
      <c r="B454" s="102"/>
      <c r="C454" s="103" t="s">
        <v>372</v>
      </c>
      <c r="D454" s="103"/>
      <c r="E454" s="103"/>
      <c r="F454" s="103"/>
      <c r="G454" s="103"/>
      <c r="H454" s="103"/>
      <c r="I454" s="103"/>
      <c r="J454" s="103"/>
      <c r="K454" s="103"/>
      <c r="L454" s="103"/>
      <c r="M454" s="103"/>
      <c r="N454" s="103"/>
      <c r="O454" s="103"/>
      <c r="P454" s="103"/>
      <c r="Q454" s="103"/>
      <c r="R454" s="103"/>
      <c r="S454" s="103"/>
      <c r="T454" s="103"/>
    </row>
    <row r="455" spans="1:20" s="1" customFormat="1" ht="14.1" customHeight="1" x14ac:dyDescent="0.25">
      <c r="A455" s="102" t="s">
        <v>6</v>
      </c>
      <c r="B455" s="102"/>
      <c r="C455" s="102"/>
      <c r="D455" s="102"/>
      <c r="E455" s="102"/>
      <c r="F455" s="103" t="s">
        <v>7</v>
      </c>
      <c r="G455" s="103"/>
      <c r="H455" s="103"/>
      <c r="I455" s="103"/>
      <c r="J455" s="103"/>
      <c r="K455" s="103"/>
      <c r="L455" s="103"/>
      <c r="M455" s="103"/>
      <c r="N455" s="103"/>
      <c r="O455" s="103"/>
      <c r="P455" s="103"/>
      <c r="Q455" s="103"/>
      <c r="R455" s="103"/>
      <c r="S455" s="103"/>
      <c r="T455" s="103"/>
    </row>
    <row r="456" spans="1:20" s="1" customFormat="1" ht="22.35" customHeight="1" x14ac:dyDescent="0.25">
      <c r="F456" s="103"/>
      <c r="G456" s="103"/>
      <c r="H456" s="103"/>
      <c r="I456" s="103"/>
      <c r="J456" s="103"/>
      <c r="K456" s="103"/>
      <c r="L456" s="103"/>
      <c r="M456" s="103"/>
      <c r="N456" s="103"/>
      <c r="O456" s="103"/>
      <c r="P456" s="103"/>
      <c r="Q456" s="103"/>
      <c r="R456" s="103"/>
      <c r="S456" s="103"/>
      <c r="T456" s="103"/>
    </row>
    <row r="457" spans="1:20" s="1" customFormat="1" ht="7.05" customHeight="1" x14ac:dyDescent="0.25">
      <c r="A457" s="86"/>
      <c r="B457" s="86"/>
      <c r="C457" s="86"/>
      <c r="D457" s="86"/>
      <c r="E457" s="86"/>
      <c r="F457" s="86"/>
      <c r="G457" s="86"/>
      <c r="H457" s="86"/>
      <c r="I457" s="86"/>
      <c r="J457" s="86"/>
      <c r="K457" s="86"/>
      <c r="L457" s="86"/>
      <c r="M457" s="86"/>
      <c r="N457" s="86"/>
      <c r="O457" s="86"/>
      <c r="P457" s="86"/>
      <c r="Q457" s="16"/>
      <c r="R457" s="86"/>
      <c r="S457" s="86"/>
      <c r="T457" s="86"/>
    </row>
    <row r="458" spans="1:20" s="1" customFormat="1" ht="16.95" customHeight="1" x14ac:dyDescent="0.25">
      <c r="A458" s="94" t="s">
        <v>8</v>
      </c>
      <c r="B458" s="94"/>
      <c r="C458" s="94"/>
      <c r="D458" s="94"/>
      <c r="E458" s="94"/>
      <c r="F458" s="94"/>
      <c r="G458" s="94"/>
      <c r="H458" s="94"/>
      <c r="I458" s="94"/>
      <c r="J458" s="94"/>
      <c r="K458" s="94"/>
      <c r="L458" s="94"/>
      <c r="M458" s="95" t="s">
        <v>9</v>
      </c>
      <c r="N458" s="95"/>
      <c r="O458" s="95"/>
      <c r="P458" s="95"/>
      <c r="Q458" s="95"/>
      <c r="R458" s="95"/>
      <c r="S458" s="95"/>
      <c r="T458" s="95"/>
    </row>
    <row r="459" spans="1:20" s="1" customFormat="1" ht="16.95" customHeight="1" x14ac:dyDescent="0.25">
      <c r="A459" s="94"/>
      <c r="B459" s="94"/>
      <c r="C459" s="94"/>
      <c r="D459" s="94"/>
      <c r="E459" s="94"/>
      <c r="F459" s="94"/>
      <c r="G459" s="94"/>
      <c r="H459" s="94"/>
      <c r="I459" s="94"/>
      <c r="J459" s="94"/>
      <c r="K459" s="94"/>
      <c r="L459" s="94"/>
      <c r="M459" s="96" t="s">
        <v>10</v>
      </c>
      <c r="N459" s="96"/>
      <c r="O459" s="96"/>
      <c r="P459" s="96"/>
      <c r="Q459" s="97" t="s">
        <v>11</v>
      </c>
      <c r="R459" s="97"/>
      <c r="S459" s="97"/>
      <c r="T459" s="97"/>
    </row>
    <row r="460" spans="1:20" s="1" customFormat="1" ht="16.95" customHeight="1" x14ac:dyDescent="0.25">
      <c r="A460" s="94"/>
      <c r="B460" s="94"/>
      <c r="C460" s="94"/>
      <c r="D460" s="94"/>
      <c r="E460" s="94"/>
      <c r="F460" s="94"/>
      <c r="G460" s="94"/>
      <c r="H460" s="94"/>
      <c r="I460" s="94"/>
      <c r="J460" s="94"/>
      <c r="K460" s="94"/>
      <c r="L460" s="94"/>
      <c r="M460" s="98" t="s">
        <v>12</v>
      </c>
      <c r="N460" s="98"/>
      <c r="O460" s="98" t="s">
        <v>13</v>
      </c>
      <c r="P460" s="98"/>
      <c r="Q460" s="13" t="s">
        <v>14</v>
      </c>
      <c r="R460" s="99" t="s">
        <v>15</v>
      </c>
      <c r="S460" s="99"/>
      <c r="T460" s="99"/>
    </row>
    <row r="461" spans="1:20" s="1" customFormat="1" ht="13.35" customHeight="1" x14ac:dyDescent="0.25">
      <c r="A461" s="88" t="s">
        <v>763</v>
      </c>
      <c r="B461" s="88"/>
      <c r="C461" s="88"/>
      <c r="D461" s="88"/>
      <c r="E461" s="88"/>
      <c r="F461" s="88"/>
      <c r="G461" s="88"/>
      <c r="H461" s="88"/>
      <c r="I461" s="88"/>
      <c r="J461" s="88"/>
      <c r="K461" s="88"/>
      <c r="L461" s="88"/>
      <c r="M461" s="88" t="s">
        <v>373</v>
      </c>
      <c r="N461" s="88"/>
      <c r="O461" s="88" t="s">
        <v>373</v>
      </c>
      <c r="P461" s="88"/>
      <c r="Q461" s="6" t="s">
        <v>374</v>
      </c>
      <c r="R461" s="88" t="s">
        <v>374</v>
      </c>
      <c r="S461" s="88"/>
      <c r="T461" s="88"/>
    </row>
    <row r="462" spans="1:20" s="1" customFormat="1" ht="13.35" customHeight="1" x14ac:dyDescent="0.25">
      <c r="A462" s="88" t="s">
        <v>109</v>
      </c>
      <c r="B462" s="88"/>
      <c r="C462" s="88"/>
      <c r="D462" s="88"/>
      <c r="E462" s="88"/>
      <c r="F462" s="88"/>
      <c r="G462" s="88"/>
      <c r="H462" s="88"/>
      <c r="I462" s="88"/>
      <c r="J462" s="88"/>
      <c r="K462" s="88"/>
      <c r="L462" s="88"/>
      <c r="M462" s="88" t="s">
        <v>101</v>
      </c>
      <c r="N462" s="88"/>
      <c r="O462" s="88" t="s">
        <v>101</v>
      </c>
      <c r="P462" s="88"/>
      <c r="Q462" s="6" t="s">
        <v>103</v>
      </c>
      <c r="R462" s="88" t="s">
        <v>103</v>
      </c>
      <c r="S462" s="88"/>
      <c r="T462" s="88"/>
    </row>
    <row r="463" spans="1:20" s="1" customFormat="1" ht="13.35" customHeight="1" x14ac:dyDescent="0.25">
      <c r="A463" s="88" t="s">
        <v>260</v>
      </c>
      <c r="B463" s="88"/>
      <c r="C463" s="88"/>
      <c r="D463" s="88"/>
      <c r="E463" s="88"/>
      <c r="F463" s="88"/>
      <c r="G463" s="88"/>
      <c r="H463" s="88"/>
      <c r="I463" s="88"/>
      <c r="J463" s="88"/>
      <c r="K463" s="88"/>
      <c r="L463" s="88"/>
      <c r="M463" s="88" t="s">
        <v>79</v>
      </c>
      <c r="N463" s="88"/>
      <c r="O463" s="88" t="s">
        <v>79</v>
      </c>
      <c r="P463" s="88"/>
      <c r="Q463" s="6" t="s">
        <v>262</v>
      </c>
      <c r="R463" s="88" t="s">
        <v>262</v>
      </c>
      <c r="S463" s="88"/>
      <c r="T463" s="88"/>
    </row>
    <row r="464" spans="1:20" s="1" customFormat="1" ht="13.35" customHeight="1" x14ac:dyDescent="0.25">
      <c r="A464" s="88" t="s">
        <v>114</v>
      </c>
      <c r="B464" s="88"/>
      <c r="C464" s="88"/>
      <c r="D464" s="88"/>
      <c r="E464" s="88"/>
      <c r="F464" s="88"/>
      <c r="G464" s="88"/>
      <c r="H464" s="88"/>
      <c r="I464" s="88"/>
      <c r="J464" s="88"/>
      <c r="K464" s="88"/>
      <c r="L464" s="88"/>
      <c r="M464" s="88" t="s">
        <v>375</v>
      </c>
      <c r="N464" s="88"/>
      <c r="O464" s="88" t="s">
        <v>375</v>
      </c>
      <c r="P464" s="88"/>
      <c r="Q464" s="6" t="s">
        <v>376</v>
      </c>
      <c r="R464" s="88" t="s">
        <v>376</v>
      </c>
      <c r="S464" s="88"/>
      <c r="T464" s="88"/>
    </row>
    <row r="465" spans="1:20" s="1" customFormat="1" ht="14.1" customHeight="1" x14ac:dyDescent="0.25">
      <c r="A465" s="90" t="s">
        <v>217</v>
      </c>
      <c r="B465" s="90"/>
      <c r="C465" s="90"/>
      <c r="D465" s="90"/>
      <c r="E465" s="90"/>
      <c r="F465" s="90"/>
      <c r="G465" s="90"/>
      <c r="H465" s="90"/>
      <c r="I465" s="90"/>
      <c r="J465" s="90"/>
      <c r="K465" s="90"/>
      <c r="L465" s="90"/>
      <c r="M465" s="90"/>
      <c r="N465" s="90"/>
      <c r="O465" s="90"/>
      <c r="P465" s="90"/>
      <c r="Q465" s="90"/>
      <c r="R465" s="90"/>
      <c r="S465" s="90"/>
      <c r="T465" s="90"/>
    </row>
    <row r="466" spans="1:20" s="1" customFormat="1" ht="21.3" customHeight="1" x14ac:dyDescent="0.25"/>
    <row r="467" spans="1:20" s="1" customFormat="1" ht="14.1" customHeight="1" x14ac:dyDescent="0.25">
      <c r="A467" s="91" t="s">
        <v>33</v>
      </c>
      <c r="B467" s="91"/>
      <c r="C467" s="91"/>
      <c r="D467" s="91"/>
      <c r="E467" s="91"/>
      <c r="F467" s="91"/>
      <c r="G467" s="91"/>
      <c r="H467" s="91"/>
      <c r="I467" s="91"/>
      <c r="J467" s="91"/>
      <c r="K467" s="91"/>
      <c r="L467" s="91"/>
      <c r="M467" s="91"/>
      <c r="N467" s="91"/>
    </row>
    <row r="468" spans="1:20" s="1" customFormat="1" ht="13.35" customHeight="1" x14ac:dyDescent="0.25">
      <c r="A468" s="88" t="s">
        <v>34</v>
      </c>
      <c r="B468" s="88"/>
      <c r="C468" s="88"/>
      <c r="D468" s="88"/>
      <c r="E468" s="89">
        <v>0.05</v>
      </c>
      <c r="F468" s="89"/>
      <c r="G468" s="17"/>
      <c r="H468" s="6" t="s">
        <v>35</v>
      </c>
      <c r="I468" s="89">
        <v>0</v>
      </c>
      <c r="J468" s="89"/>
      <c r="K468" s="17"/>
      <c r="L468" s="88" t="s">
        <v>36</v>
      </c>
      <c r="M468" s="88"/>
      <c r="N468" s="89">
        <v>10.62</v>
      </c>
      <c r="O468" s="89"/>
    </row>
    <row r="469" spans="1:20" s="1" customFormat="1" ht="13.35" customHeight="1" x14ac:dyDescent="0.25">
      <c r="A469" s="88" t="s">
        <v>37</v>
      </c>
      <c r="B469" s="88"/>
      <c r="C469" s="88"/>
      <c r="D469" s="88"/>
      <c r="E469" s="89">
        <v>0.05</v>
      </c>
      <c r="F469" s="89"/>
      <c r="G469" s="17"/>
      <c r="H469" s="6" t="s">
        <v>38</v>
      </c>
      <c r="I469" s="89">
        <v>0.54</v>
      </c>
      <c r="J469" s="89"/>
      <c r="K469" s="17"/>
      <c r="L469" s="88" t="s">
        <v>39</v>
      </c>
      <c r="M469" s="88"/>
      <c r="N469" s="89">
        <v>2.86</v>
      </c>
      <c r="O469" s="89"/>
    </row>
    <row r="470" spans="1:20" s="1" customFormat="1" ht="13.35" customHeight="1" x14ac:dyDescent="0.25">
      <c r="A470" s="88" t="s">
        <v>40</v>
      </c>
      <c r="B470" s="88"/>
      <c r="C470" s="88"/>
      <c r="D470" s="88"/>
      <c r="E470" s="89">
        <v>10.96</v>
      </c>
      <c r="F470" s="89"/>
      <c r="G470" s="17"/>
      <c r="H470" s="6" t="s">
        <v>41</v>
      </c>
      <c r="I470" s="89">
        <v>0</v>
      </c>
      <c r="J470" s="89"/>
      <c r="K470" s="17"/>
      <c r="L470" s="88" t="s">
        <v>42</v>
      </c>
      <c r="M470" s="88"/>
      <c r="N470" s="89">
        <v>1.34</v>
      </c>
      <c r="O470" s="89"/>
    </row>
    <row r="471" spans="1:20" s="1" customFormat="1" ht="13.35" customHeight="1" x14ac:dyDescent="0.25">
      <c r="A471" s="88" t="s">
        <v>43</v>
      </c>
      <c r="B471" s="88"/>
      <c r="C471" s="88"/>
      <c r="D471" s="88"/>
      <c r="E471" s="89">
        <v>44.86</v>
      </c>
      <c r="F471" s="89"/>
      <c r="G471" s="17"/>
      <c r="H471" s="6" t="s">
        <v>44</v>
      </c>
      <c r="I471" s="89">
        <v>0.09</v>
      </c>
      <c r="J471" s="89"/>
      <c r="K471" s="17"/>
      <c r="L471" s="88" t="s">
        <v>45</v>
      </c>
      <c r="M471" s="88"/>
      <c r="N471" s="89">
        <v>0.27</v>
      </c>
      <c r="O471" s="89"/>
    </row>
    <row r="472" spans="1:20" s="1" customFormat="1" ht="13.35" customHeight="1" x14ac:dyDescent="0.25">
      <c r="A472" s="87"/>
      <c r="B472" s="87"/>
      <c r="C472" s="87"/>
      <c r="D472" s="87"/>
      <c r="E472" s="87"/>
      <c r="F472" s="87"/>
      <c r="G472" s="17"/>
      <c r="H472" s="6" t="s">
        <v>46</v>
      </c>
      <c r="I472" s="89">
        <v>0</v>
      </c>
      <c r="J472" s="89"/>
      <c r="K472" s="17"/>
      <c r="L472" s="88" t="s">
        <v>47</v>
      </c>
      <c r="M472" s="88"/>
      <c r="N472" s="89">
        <v>38.46</v>
      </c>
      <c r="O472" s="89"/>
    </row>
    <row r="473" spans="1:20" s="1" customFormat="1" ht="13.35" customHeight="1" x14ac:dyDescent="0.25">
      <c r="A473" s="87"/>
      <c r="B473" s="87"/>
      <c r="C473" s="87"/>
      <c r="D473" s="87"/>
      <c r="E473" s="87"/>
      <c r="F473" s="87"/>
      <c r="G473" s="17"/>
      <c r="H473" s="6" t="s">
        <v>48</v>
      </c>
      <c r="I473" s="89">
        <v>0</v>
      </c>
      <c r="J473" s="89"/>
      <c r="K473" s="17"/>
      <c r="L473" s="88" t="s">
        <v>49</v>
      </c>
      <c r="M473" s="88"/>
      <c r="N473" s="89">
        <v>0.27</v>
      </c>
      <c r="O473" s="89"/>
    </row>
    <row r="474" spans="1:20" s="1" customFormat="1" ht="13.35" customHeight="1" x14ac:dyDescent="0.25">
      <c r="A474" s="87"/>
      <c r="B474" s="87"/>
      <c r="C474" s="87"/>
      <c r="D474" s="87"/>
      <c r="E474" s="87"/>
      <c r="F474" s="87"/>
      <c r="G474" s="17"/>
      <c r="H474" s="17"/>
      <c r="I474" s="87"/>
      <c r="J474" s="87"/>
      <c r="K474" s="17"/>
      <c r="L474" s="88" t="s">
        <v>50</v>
      </c>
      <c r="M474" s="88"/>
      <c r="N474" s="89">
        <v>0</v>
      </c>
      <c r="O474" s="89"/>
    </row>
    <row r="475" spans="1:20" s="1" customFormat="1" ht="13.35" customHeight="1" x14ac:dyDescent="0.25">
      <c r="A475" s="87"/>
      <c r="B475" s="87"/>
      <c r="C475" s="87"/>
      <c r="D475" s="87"/>
      <c r="E475" s="87"/>
      <c r="F475" s="87"/>
      <c r="G475" s="17"/>
      <c r="H475" s="17"/>
      <c r="I475" s="87"/>
      <c r="J475" s="87"/>
      <c r="K475" s="17"/>
      <c r="L475" s="88" t="s">
        <v>51</v>
      </c>
      <c r="M475" s="88"/>
      <c r="N475" s="89">
        <v>0</v>
      </c>
      <c r="O475" s="89"/>
    </row>
    <row r="476" spans="1:20" s="1" customFormat="1" ht="14.1" customHeight="1" x14ac:dyDescent="0.25">
      <c r="A476" s="86"/>
      <c r="B476" s="86"/>
      <c r="C476" s="86"/>
      <c r="D476" s="86"/>
      <c r="E476" s="86"/>
      <c r="F476" s="86"/>
      <c r="G476" s="86"/>
      <c r="H476" s="86"/>
      <c r="I476" s="86"/>
      <c r="J476" s="86"/>
      <c r="K476" s="86"/>
      <c r="L476" s="86"/>
      <c r="M476" s="86"/>
      <c r="N476" s="86"/>
      <c r="O476" s="86"/>
      <c r="P476" s="86"/>
      <c r="Q476" s="86"/>
      <c r="R476" s="86"/>
      <c r="S476" s="86"/>
    </row>
    <row r="477" spans="1:20" s="1" customFormat="1" ht="14.1" customHeight="1" x14ac:dyDescent="0.25">
      <c r="A477" s="84" t="s">
        <v>52</v>
      </c>
      <c r="B477" s="84"/>
      <c r="C477" s="84"/>
      <c r="D477" s="84"/>
      <c r="E477" s="84"/>
      <c r="F477" s="84"/>
      <c r="G477" s="84"/>
      <c r="H477" s="84"/>
      <c r="I477" s="84"/>
      <c r="J477" s="84"/>
      <c r="K477" s="84"/>
      <c r="L477" s="84"/>
      <c r="M477" s="84"/>
      <c r="N477" s="84"/>
      <c r="O477" s="84"/>
      <c r="P477" s="84"/>
      <c r="Q477" s="84"/>
      <c r="R477" s="84"/>
      <c r="S477" s="84"/>
    </row>
    <row r="478" spans="1:20" s="1" customFormat="1" ht="40.049999999999997" customHeight="1" x14ac:dyDescent="0.25">
      <c r="A478" s="85" t="s">
        <v>377</v>
      </c>
      <c r="B478" s="85"/>
      <c r="C478" s="85"/>
      <c r="D478" s="85"/>
      <c r="E478" s="85"/>
      <c r="F478" s="85"/>
      <c r="G478" s="85"/>
      <c r="H478" s="85"/>
      <c r="I478" s="85"/>
      <c r="J478" s="85"/>
      <c r="K478" s="85"/>
      <c r="L478" s="85"/>
      <c r="M478" s="85"/>
      <c r="N478" s="85"/>
      <c r="O478" s="85"/>
      <c r="P478" s="85"/>
      <c r="Q478" s="85"/>
      <c r="R478" s="85"/>
      <c r="S478" s="85"/>
    </row>
    <row r="479" spans="1:20" s="1" customFormat="1" ht="14.1" customHeight="1" x14ac:dyDescent="0.25">
      <c r="A479" s="86"/>
      <c r="B479" s="86"/>
      <c r="C479" s="86"/>
      <c r="D479" s="86"/>
      <c r="E479" s="86"/>
      <c r="F479" s="86"/>
      <c r="G479" s="86"/>
      <c r="H479" s="86"/>
      <c r="I479" s="86"/>
      <c r="J479" s="86"/>
      <c r="K479" s="86"/>
      <c r="L479" s="86"/>
      <c r="M479" s="86"/>
      <c r="N479" s="86"/>
      <c r="O479" s="86"/>
      <c r="P479" s="86"/>
      <c r="Q479" s="86"/>
      <c r="R479" s="86"/>
      <c r="S479" s="86"/>
    </row>
    <row r="480" spans="1:20" s="1" customFormat="1" ht="14.1" customHeight="1" x14ac:dyDescent="0.25">
      <c r="A480" s="84" t="s">
        <v>54</v>
      </c>
      <c r="B480" s="84"/>
      <c r="C480" s="84"/>
      <c r="D480" s="84"/>
      <c r="E480" s="84"/>
      <c r="F480" s="84"/>
      <c r="G480" s="84"/>
      <c r="H480" s="84"/>
      <c r="I480" s="84"/>
      <c r="J480" s="84"/>
      <c r="K480" s="84"/>
      <c r="L480" s="84"/>
      <c r="M480" s="84"/>
      <c r="N480" s="84"/>
      <c r="O480" s="84"/>
      <c r="P480" s="84"/>
      <c r="Q480" s="84"/>
      <c r="R480" s="84"/>
      <c r="S480" s="84"/>
    </row>
    <row r="481" spans="1:20" s="1" customFormat="1" ht="12.15" customHeight="1" x14ac:dyDescent="0.25">
      <c r="A481" s="85" t="s">
        <v>378</v>
      </c>
      <c r="B481" s="85"/>
      <c r="C481" s="85"/>
      <c r="D481" s="85"/>
      <c r="E481" s="85"/>
      <c r="F481" s="85"/>
      <c r="G481" s="85"/>
      <c r="H481" s="85"/>
      <c r="I481" s="85"/>
      <c r="J481" s="85"/>
      <c r="K481" s="85"/>
      <c r="L481" s="85"/>
      <c r="M481" s="85"/>
      <c r="N481" s="85"/>
      <c r="O481" s="85"/>
      <c r="P481" s="85"/>
      <c r="Q481" s="85"/>
      <c r="R481" s="85"/>
      <c r="S481" s="85"/>
    </row>
    <row r="482" spans="1:20" s="1" customFormat="1" ht="14.1" customHeight="1" x14ac:dyDescent="0.25">
      <c r="A482" s="86"/>
      <c r="B482" s="86"/>
      <c r="C482" s="86"/>
      <c r="D482" s="86"/>
      <c r="E482" s="86"/>
      <c r="F482" s="86"/>
      <c r="G482" s="86"/>
      <c r="H482" s="86"/>
      <c r="I482" s="86"/>
      <c r="J482" s="86"/>
      <c r="K482" s="86"/>
      <c r="L482" s="86"/>
      <c r="M482" s="86"/>
      <c r="N482" s="86"/>
      <c r="O482" s="86"/>
      <c r="P482" s="86"/>
      <c r="Q482" s="86"/>
      <c r="R482" s="86"/>
      <c r="S482" s="86"/>
    </row>
    <row r="483" spans="1:20" s="1" customFormat="1" ht="14.1" customHeight="1" x14ac:dyDescent="0.25">
      <c r="A483" s="84" t="s">
        <v>56</v>
      </c>
      <c r="B483" s="84"/>
      <c r="C483" s="84"/>
      <c r="D483" s="84"/>
      <c r="E483" s="84"/>
      <c r="F483" s="84"/>
      <c r="G483" s="84"/>
      <c r="H483" s="84"/>
      <c r="I483" s="84"/>
      <c r="J483" s="84"/>
      <c r="K483" s="84"/>
      <c r="L483" s="84"/>
      <c r="M483" s="84"/>
      <c r="N483" s="84"/>
      <c r="O483" s="84"/>
      <c r="P483" s="84"/>
      <c r="Q483" s="84"/>
      <c r="R483" s="84"/>
      <c r="S483" s="84"/>
    </row>
    <row r="484" spans="1:20" s="1" customFormat="1" ht="58.5" customHeight="1" x14ac:dyDescent="0.25">
      <c r="A484" s="85" t="s">
        <v>379</v>
      </c>
      <c r="B484" s="85"/>
      <c r="C484" s="85"/>
      <c r="D484" s="85"/>
      <c r="E484" s="85"/>
      <c r="F484" s="85"/>
      <c r="G484" s="85"/>
      <c r="H484" s="85"/>
      <c r="I484" s="85"/>
      <c r="J484" s="85"/>
      <c r="K484" s="85"/>
      <c r="L484" s="85"/>
      <c r="M484" s="85"/>
      <c r="N484" s="85"/>
      <c r="O484" s="85"/>
      <c r="P484" s="85"/>
      <c r="Q484" s="85"/>
      <c r="R484" s="85"/>
      <c r="S484" s="85"/>
    </row>
    <row r="486" spans="1:20" s="1" customFormat="1" ht="72.45" customHeight="1" x14ac:dyDescent="0.25">
      <c r="J486" s="137" t="s">
        <v>0</v>
      </c>
      <c r="K486" s="137"/>
      <c r="L486" s="137"/>
      <c r="M486" s="137"/>
      <c r="N486" s="137"/>
      <c r="O486" s="137"/>
      <c r="P486" s="137"/>
      <c r="Q486" s="137"/>
      <c r="R486" s="137"/>
      <c r="S486" s="137"/>
      <c r="T486" s="137"/>
    </row>
    <row r="487" spans="1:20" s="1" customFormat="1" ht="7.05" customHeight="1" x14ac:dyDescent="0.25"/>
    <row r="488" spans="1:20" s="1" customFormat="1" ht="14.1" customHeight="1" x14ac:dyDescent="0.25">
      <c r="B488" s="138" t="s">
        <v>418</v>
      </c>
      <c r="C488" s="138"/>
      <c r="D488" s="138"/>
      <c r="E488" s="138"/>
      <c r="F488" s="138"/>
      <c r="G488" s="138"/>
      <c r="H488" s="138"/>
      <c r="I488" s="138"/>
      <c r="J488" s="138"/>
      <c r="K488" s="138"/>
      <c r="L488" s="138"/>
      <c r="M488" s="138"/>
      <c r="N488" s="138"/>
      <c r="O488" s="138"/>
      <c r="P488" s="138"/>
      <c r="Q488" s="138"/>
      <c r="R488" s="138"/>
    </row>
    <row r="489" spans="1:20" s="1" customFormat="1" ht="14.1" customHeight="1" x14ac:dyDescent="0.25"/>
    <row r="490" spans="1:20" s="1" customFormat="1" ht="14.1" customHeight="1" x14ac:dyDescent="0.25">
      <c r="A490" s="85" t="s">
        <v>2</v>
      </c>
      <c r="B490" s="85"/>
      <c r="C490" s="85"/>
      <c r="D490" s="136" t="s">
        <v>419</v>
      </c>
      <c r="E490" s="136"/>
      <c r="F490" s="136"/>
      <c r="G490" s="136"/>
      <c r="H490" s="136"/>
      <c r="I490" s="136"/>
      <c r="J490" s="136"/>
      <c r="K490" s="136"/>
      <c r="L490" s="136"/>
      <c r="M490" s="136"/>
      <c r="N490" s="136"/>
      <c r="O490" s="136"/>
      <c r="P490" s="136"/>
      <c r="Q490" s="136"/>
      <c r="R490" s="136"/>
      <c r="S490" s="136"/>
      <c r="T490" s="136"/>
    </row>
    <row r="491" spans="1:20" s="1" customFormat="1" ht="14.1" customHeight="1" x14ac:dyDescent="0.25">
      <c r="A491" s="85" t="s">
        <v>4</v>
      </c>
      <c r="B491" s="85"/>
      <c r="C491" s="136" t="s">
        <v>420</v>
      </c>
      <c r="D491" s="136"/>
      <c r="E491" s="136"/>
      <c r="F491" s="136"/>
      <c r="G491" s="136"/>
      <c r="H491" s="136"/>
      <c r="I491" s="136"/>
      <c r="J491" s="136"/>
      <c r="K491" s="136"/>
      <c r="L491" s="136"/>
      <c r="M491" s="136"/>
      <c r="N491" s="136"/>
      <c r="O491" s="136"/>
      <c r="P491" s="136"/>
      <c r="Q491" s="136"/>
      <c r="R491" s="136"/>
      <c r="S491" s="136"/>
      <c r="T491" s="136"/>
    </row>
    <row r="492" spans="1:20" s="1" customFormat="1" ht="14.1" customHeight="1" x14ac:dyDescent="0.25">
      <c r="A492" s="85" t="s">
        <v>6</v>
      </c>
      <c r="B492" s="85"/>
      <c r="C492" s="85"/>
      <c r="D492" s="85"/>
      <c r="E492" s="85"/>
      <c r="F492" s="136" t="s">
        <v>60</v>
      </c>
      <c r="G492" s="136"/>
      <c r="H492" s="136"/>
      <c r="I492" s="136"/>
      <c r="J492" s="136"/>
      <c r="K492" s="136"/>
      <c r="L492" s="136"/>
      <c r="M492" s="136"/>
      <c r="N492" s="136"/>
      <c r="O492" s="136"/>
      <c r="P492" s="136"/>
      <c r="Q492" s="136"/>
      <c r="R492" s="136"/>
      <c r="S492" s="136"/>
      <c r="T492" s="136"/>
    </row>
    <row r="493" spans="1:20" s="1" customFormat="1" ht="22.35" customHeight="1" x14ac:dyDescent="0.25">
      <c r="F493" s="136"/>
      <c r="G493" s="136"/>
      <c r="H493" s="136"/>
      <c r="I493" s="136"/>
      <c r="J493" s="136"/>
      <c r="K493" s="136"/>
      <c r="L493" s="136"/>
      <c r="M493" s="136"/>
      <c r="N493" s="136"/>
      <c r="O493" s="136"/>
      <c r="P493" s="136"/>
      <c r="Q493" s="136"/>
      <c r="R493" s="136"/>
      <c r="S493" s="136"/>
      <c r="T493" s="136"/>
    </row>
    <row r="494" spans="1:20" s="1" customFormat="1" ht="7.05" customHeight="1" x14ac:dyDescent="0.25">
      <c r="A494" s="85"/>
      <c r="B494" s="85"/>
      <c r="C494" s="85"/>
      <c r="D494" s="85"/>
      <c r="E494" s="85"/>
      <c r="F494" s="85"/>
      <c r="G494" s="85"/>
      <c r="H494" s="85"/>
      <c r="I494" s="85"/>
      <c r="J494" s="85"/>
      <c r="K494" s="85"/>
      <c r="L494" s="85"/>
      <c r="M494" s="85"/>
      <c r="N494" s="85"/>
      <c r="O494" s="85"/>
      <c r="P494" s="85"/>
      <c r="Q494" s="7"/>
      <c r="R494" s="85"/>
      <c r="S494" s="85"/>
      <c r="T494" s="85"/>
    </row>
    <row r="495" spans="1:20" s="1" customFormat="1" ht="16.95" customHeight="1" x14ac:dyDescent="0.25">
      <c r="A495" s="140" t="s">
        <v>8</v>
      </c>
      <c r="B495" s="140"/>
      <c r="C495" s="140"/>
      <c r="D495" s="140"/>
      <c r="E495" s="140"/>
      <c r="F495" s="140"/>
      <c r="G495" s="140"/>
      <c r="H495" s="140"/>
      <c r="I495" s="140"/>
      <c r="J495" s="140"/>
      <c r="K495" s="140"/>
      <c r="L495" s="140"/>
      <c r="M495" s="140" t="s">
        <v>9</v>
      </c>
      <c r="N495" s="140"/>
      <c r="O495" s="140"/>
      <c r="P495" s="140"/>
      <c r="Q495" s="140"/>
      <c r="R495" s="140"/>
      <c r="S495" s="140"/>
      <c r="T495" s="140"/>
    </row>
    <row r="496" spans="1:20" s="1" customFormat="1" ht="16.95" customHeight="1" x14ac:dyDescent="0.25">
      <c r="A496" s="140"/>
      <c r="B496" s="140"/>
      <c r="C496" s="140"/>
      <c r="D496" s="140"/>
      <c r="E496" s="140"/>
      <c r="F496" s="140"/>
      <c r="G496" s="140"/>
      <c r="H496" s="140"/>
      <c r="I496" s="140"/>
      <c r="J496" s="140"/>
      <c r="K496" s="140"/>
      <c r="L496" s="140"/>
      <c r="M496" s="140" t="s">
        <v>10</v>
      </c>
      <c r="N496" s="140"/>
      <c r="O496" s="140"/>
      <c r="P496" s="140"/>
      <c r="Q496" s="140" t="s">
        <v>11</v>
      </c>
      <c r="R496" s="140"/>
      <c r="S496" s="140"/>
      <c r="T496" s="140"/>
    </row>
    <row r="497" spans="1:20" s="1" customFormat="1" ht="16.95" customHeight="1" x14ac:dyDescent="0.25">
      <c r="A497" s="140"/>
      <c r="B497" s="140"/>
      <c r="C497" s="140"/>
      <c r="D497" s="140"/>
      <c r="E497" s="140"/>
      <c r="F497" s="140"/>
      <c r="G497" s="140"/>
      <c r="H497" s="140"/>
      <c r="I497" s="140"/>
      <c r="J497" s="140"/>
      <c r="K497" s="140"/>
      <c r="L497" s="140"/>
      <c r="M497" s="140" t="s">
        <v>12</v>
      </c>
      <c r="N497" s="140"/>
      <c r="O497" s="140" t="s">
        <v>13</v>
      </c>
      <c r="P497" s="140"/>
      <c r="Q497" s="12" t="s">
        <v>14</v>
      </c>
      <c r="R497" s="140" t="s">
        <v>15</v>
      </c>
      <c r="S497" s="140"/>
      <c r="T497" s="140"/>
    </row>
    <row r="498" spans="1:20" s="1" customFormat="1" ht="13.35" customHeight="1" x14ac:dyDescent="0.25">
      <c r="A498" s="139" t="s">
        <v>421</v>
      </c>
      <c r="B498" s="139"/>
      <c r="C498" s="139"/>
      <c r="D498" s="139"/>
      <c r="E498" s="139"/>
      <c r="F498" s="139"/>
      <c r="G498" s="139"/>
      <c r="H498" s="139"/>
      <c r="I498" s="139"/>
      <c r="J498" s="139"/>
      <c r="K498" s="139"/>
      <c r="L498" s="139"/>
      <c r="M498" s="139" t="s">
        <v>62</v>
      </c>
      <c r="N498" s="139"/>
      <c r="O498" s="139" t="s">
        <v>62</v>
      </c>
      <c r="P498" s="139"/>
      <c r="Q498" s="11" t="s">
        <v>63</v>
      </c>
      <c r="R498" s="139" t="s">
        <v>63</v>
      </c>
      <c r="S498" s="139"/>
      <c r="T498" s="139"/>
    </row>
    <row r="499" spans="1:20" s="1" customFormat="1" ht="13.35" customHeight="1" x14ac:dyDescent="0.25">
      <c r="A499" s="139" t="s">
        <v>114</v>
      </c>
      <c r="B499" s="139"/>
      <c r="C499" s="139"/>
      <c r="D499" s="139"/>
      <c r="E499" s="139"/>
      <c r="F499" s="139"/>
      <c r="G499" s="139"/>
      <c r="H499" s="139"/>
      <c r="I499" s="139"/>
      <c r="J499" s="139"/>
      <c r="K499" s="139"/>
      <c r="L499" s="139"/>
      <c r="M499" s="139" t="s">
        <v>703</v>
      </c>
      <c r="N499" s="139"/>
      <c r="O499" s="139" t="s">
        <v>703</v>
      </c>
      <c r="P499" s="139"/>
      <c r="Q499" s="11" t="s">
        <v>162</v>
      </c>
      <c r="R499" s="139" t="s">
        <v>162</v>
      </c>
      <c r="S499" s="139"/>
      <c r="T499" s="139"/>
    </row>
    <row r="500" spans="1:20" s="1" customFormat="1" ht="13.35" customHeight="1" x14ac:dyDescent="0.25">
      <c r="A500" s="139" t="s">
        <v>109</v>
      </c>
      <c r="B500" s="139"/>
      <c r="C500" s="139"/>
      <c r="D500" s="139"/>
      <c r="E500" s="139"/>
      <c r="F500" s="139"/>
      <c r="G500" s="139"/>
      <c r="H500" s="139"/>
      <c r="I500" s="139"/>
      <c r="J500" s="139"/>
      <c r="K500" s="139"/>
      <c r="L500" s="139"/>
      <c r="M500" s="139">
        <v>20</v>
      </c>
      <c r="N500" s="139"/>
      <c r="O500" s="139">
        <v>20</v>
      </c>
      <c r="P500" s="139"/>
      <c r="Q500" s="11">
        <v>2</v>
      </c>
      <c r="R500" s="139">
        <v>2</v>
      </c>
      <c r="S500" s="139"/>
      <c r="T500" s="139"/>
    </row>
    <row r="501" spans="1:20" s="1" customFormat="1" ht="13.35" customHeight="1" x14ac:dyDescent="0.25">
      <c r="A501" s="139" t="s">
        <v>66</v>
      </c>
      <c r="B501" s="139"/>
      <c r="C501" s="139"/>
      <c r="D501" s="139"/>
      <c r="E501" s="139"/>
      <c r="F501" s="139"/>
      <c r="G501" s="139"/>
      <c r="H501" s="139"/>
      <c r="I501" s="139"/>
      <c r="J501" s="139"/>
      <c r="K501" s="139"/>
      <c r="L501" s="139"/>
      <c r="M501" s="139" t="s">
        <v>255</v>
      </c>
      <c r="N501" s="139"/>
      <c r="O501" s="139" t="s">
        <v>255</v>
      </c>
      <c r="P501" s="139"/>
      <c r="Q501" s="11" t="s">
        <v>101</v>
      </c>
      <c r="R501" s="139" t="s">
        <v>101</v>
      </c>
      <c r="S501" s="139"/>
      <c r="T501" s="139"/>
    </row>
    <row r="502" spans="1:20" s="1" customFormat="1" ht="14.1" customHeight="1" x14ac:dyDescent="0.25">
      <c r="A502" s="131" t="s">
        <v>116</v>
      </c>
      <c r="B502" s="131"/>
      <c r="C502" s="131"/>
      <c r="D502" s="131"/>
      <c r="E502" s="131"/>
      <c r="F502" s="131"/>
      <c r="G502" s="131"/>
      <c r="H502" s="131"/>
      <c r="I502" s="131"/>
      <c r="J502" s="131"/>
      <c r="K502" s="131"/>
      <c r="L502" s="131"/>
      <c r="M502" s="131"/>
      <c r="N502" s="131"/>
      <c r="O502" s="131"/>
      <c r="P502" s="131"/>
      <c r="Q502" s="131"/>
      <c r="R502" s="131"/>
      <c r="S502" s="131"/>
      <c r="T502" s="131"/>
    </row>
    <row r="503" spans="1:20" s="1" customFormat="1" ht="14.1" customHeight="1" x14ac:dyDescent="0.25"/>
    <row r="504" spans="1:20" s="1" customFormat="1" ht="14.1" customHeight="1" x14ac:dyDescent="0.25">
      <c r="A504" s="142" t="s">
        <v>33</v>
      </c>
      <c r="B504" s="142"/>
      <c r="C504" s="142"/>
      <c r="D504" s="142"/>
      <c r="E504" s="142"/>
      <c r="F504" s="142"/>
      <c r="G504" s="142"/>
      <c r="H504" s="142"/>
      <c r="I504" s="142"/>
      <c r="J504" s="142"/>
      <c r="K504" s="142"/>
      <c r="L504" s="142"/>
      <c r="M504" s="142"/>
      <c r="N504" s="142"/>
    </row>
    <row r="505" spans="1:20" s="1" customFormat="1" ht="13.35" customHeight="1" x14ac:dyDescent="0.25">
      <c r="A505" s="139" t="s">
        <v>34</v>
      </c>
      <c r="B505" s="139"/>
      <c r="C505" s="139"/>
      <c r="D505" s="139"/>
      <c r="E505" s="141">
        <v>3.1659999999999999</v>
      </c>
      <c r="F505" s="141"/>
      <c r="G505" s="10"/>
      <c r="H505" s="11" t="s">
        <v>35</v>
      </c>
      <c r="I505" s="141">
        <v>0.05</v>
      </c>
      <c r="J505" s="141"/>
      <c r="K505" s="10"/>
      <c r="L505" s="139" t="s">
        <v>36</v>
      </c>
      <c r="M505" s="139"/>
      <c r="N505" s="141">
        <v>111.23</v>
      </c>
      <c r="O505" s="141"/>
    </row>
    <row r="506" spans="1:20" s="1" customFormat="1" ht="13.35" customHeight="1" x14ac:dyDescent="0.25">
      <c r="A506" s="139" t="s">
        <v>37</v>
      </c>
      <c r="B506" s="139"/>
      <c r="C506" s="139"/>
      <c r="D506" s="139"/>
      <c r="E506" s="141">
        <v>2.7</v>
      </c>
      <c r="F506" s="141"/>
      <c r="G506" s="10"/>
      <c r="H506" s="11" t="s">
        <v>38</v>
      </c>
      <c r="I506" s="141">
        <v>0.52</v>
      </c>
      <c r="J506" s="141"/>
      <c r="K506" s="10"/>
      <c r="L506" s="139" t="s">
        <v>39</v>
      </c>
      <c r="M506" s="139"/>
      <c r="N506" s="141">
        <v>19.03</v>
      </c>
      <c r="O506" s="141"/>
    </row>
    <row r="507" spans="1:20" s="1" customFormat="1" ht="13.35" customHeight="1" x14ac:dyDescent="0.25">
      <c r="A507" s="139" t="s">
        <v>40</v>
      </c>
      <c r="B507" s="139"/>
      <c r="C507" s="139"/>
      <c r="D507" s="139"/>
      <c r="E507" s="141">
        <v>15.94</v>
      </c>
      <c r="F507" s="141"/>
      <c r="G507" s="10"/>
      <c r="H507" s="11" t="s">
        <v>41</v>
      </c>
      <c r="I507" s="141">
        <v>0.02</v>
      </c>
      <c r="J507" s="141"/>
      <c r="K507" s="10"/>
      <c r="L507" s="139" t="s">
        <v>42</v>
      </c>
      <c r="M507" s="139"/>
      <c r="N507" s="141">
        <v>87.89</v>
      </c>
      <c r="O507" s="141"/>
    </row>
    <row r="508" spans="1:20" s="1" customFormat="1" ht="13.35" customHeight="1" x14ac:dyDescent="0.25">
      <c r="A508" s="139" t="s">
        <v>43</v>
      </c>
      <c r="B508" s="139"/>
      <c r="C508" s="139"/>
      <c r="D508" s="139"/>
      <c r="E508" s="141">
        <v>103.5</v>
      </c>
      <c r="F508" s="141"/>
      <c r="G508" s="10"/>
      <c r="H508" s="11" t="s">
        <v>44</v>
      </c>
      <c r="I508" s="141">
        <v>0</v>
      </c>
      <c r="J508" s="141"/>
      <c r="K508" s="10"/>
      <c r="L508" s="139" t="s">
        <v>45</v>
      </c>
      <c r="M508" s="139"/>
      <c r="N508" s="141">
        <v>0.4</v>
      </c>
      <c r="O508" s="141"/>
    </row>
    <row r="509" spans="1:20" s="1" customFormat="1" ht="13.35" customHeight="1" x14ac:dyDescent="0.25">
      <c r="A509" s="143"/>
      <c r="B509" s="143"/>
      <c r="C509" s="143"/>
      <c r="D509" s="143"/>
      <c r="E509" s="143"/>
      <c r="F509" s="143"/>
      <c r="G509" s="10"/>
      <c r="H509" s="11" t="s">
        <v>46</v>
      </c>
      <c r="I509" s="141">
        <v>0</v>
      </c>
      <c r="J509" s="141"/>
      <c r="K509" s="10"/>
      <c r="L509" s="139" t="s">
        <v>47</v>
      </c>
      <c r="M509" s="139"/>
      <c r="N509" s="141">
        <v>169.31</v>
      </c>
      <c r="O509" s="141"/>
    </row>
    <row r="510" spans="1:20" s="1" customFormat="1" ht="13.35" customHeight="1" x14ac:dyDescent="0.25">
      <c r="A510" s="143"/>
      <c r="B510" s="143"/>
      <c r="C510" s="143"/>
      <c r="D510" s="143"/>
      <c r="E510" s="143"/>
      <c r="F510" s="143"/>
      <c r="G510" s="10"/>
      <c r="H510" s="11" t="s">
        <v>48</v>
      </c>
      <c r="I510" s="141">
        <v>0.12</v>
      </c>
      <c r="J510" s="141"/>
      <c r="K510" s="10"/>
      <c r="L510" s="139" t="s">
        <v>49</v>
      </c>
      <c r="M510" s="139"/>
      <c r="N510" s="141">
        <v>9</v>
      </c>
      <c r="O510" s="141"/>
    </row>
    <row r="511" spans="1:20" s="1" customFormat="1" ht="13.35" customHeight="1" x14ac:dyDescent="0.25">
      <c r="A511" s="143"/>
      <c r="B511" s="143"/>
      <c r="C511" s="143"/>
      <c r="D511" s="143"/>
      <c r="E511" s="143"/>
      <c r="F511" s="143"/>
      <c r="G511" s="10"/>
      <c r="H511" s="10"/>
      <c r="I511" s="143"/>
      <c r="J511" s="143"/>
      <c r="K511" s="10"/>
      <c r="L511" s="139" t="s">
        <v>50</v>
      </c>
      <c r="M511" s="139"/>
      <c r="N511" s="141">
        <v>0</v>
      </c>
      <c r="O511" s="141"/>
    </row>
    <row r="512" spans="1:20" s="1" customFormat="1" ht="13.35" customHeight="1" x14ac:dyDescent="0.25">
      <c r="A512" s="143"/>
      <c r="B512" s="143"/>
      <c r="C512" s="143"/>
      <c r="D512" s="143"/>
      <c r="E512" s="143"/>
      <c r="F512" s="143"/>
      <c r="G512" s="10"/>
      <c r="H512" s="10"/>
      <c r="I512" s="143"/>
      <c r="J512" s="143"/>
      <c r="K512" s="10"/>
      <c r="L512" s="139" t="s">
        <v>51</v>
      </c>
      <c r="M512" s="139"/>
      <c r="N512" s="141">
        <v>0</v>
      </c>
      <c r="O512" s="141"/>
    </row>
    <row r="513" spans="1:20" s="1" customFormat="1" ht="14.1" customHeight="1" x14ac:dyDescent="0.25">
      <c r="A513" s="85"/>
      <c r="B513" s="85"/>
      <c r="C513" s="85"/>
      <c r="D513" s="85"/>
      <c r="E513" s="85"/>
      <c r="F513" s="85"/>
      <c r="G513" s="85"/>
      <c r="H513" s="85"/>
      <c r="I513" s="85"/>
      <c r="J513" s="85"/>
      <c r="K513" s="85"/>
      <c r="L513" s="85"/>
      <c r="M513" s="85"/>
      <c r="N513" s="85"/>
      <c r="O513" s="85"/>
      <c r="P513" s="85"/>
      <c r="Q513" s="85"/>
      <c r="R513" s="85"/>
      <c r="S513" s="85"/>
    </row>
    <row r="514" spans="1:20" s="1" customFormat="1" ht="14.1" customHeight="1" x14ac:dyDescent="0.25">
      <c r="A514" s="142" t="s">
        <v>52</v>
      </c>
      <c r="B514" s="142"/>
      <c r="C514" s="142"/>
      <c r="D514" s="142"/>
      <c r="E514" s="142"/>
      <c r="F514" s="142"/>
      <c r="G514" s="142"/>
      <c r="H514" s="142"/>
      <c r="I514" s="142"/>
      <c r="J514" s="142"/>
      <c r="K514" s="142"/>
      <c r="L514" s="142"/>
      <c r="M514" s="142"/>
      <c r="N514" s="142"/>
      <c r="O514" s="142"/>
      <c r="P514" s="142"/>
      <c r="Q514" s="142"/>
      <c r="R514" s="142"/>
      <c r="S514" s="142"/>
    </row>
    <row r="515" spans="1:20" s="1" customFormat="1" ht="12.15" customHeight="1" x14ac:dyDescent="0.25">
      <c r="A515" s="85" t="s">
        <v>424</v>
      </c>
      <c r="B515" s="85"/>
      <c r="C515" s="85"/>
      <c r="D515" s="85"/>
      <c r="E515" s="85"/>
      <c r="F515" s="85"/>
      <c r="G515" s="85"/>
      <c r="H515" s="85"/>
      <c r="I515" s="85"/>
      <c r="J515" s="85"/>
      <c r="K515" s="85"/>
      <c r="L515" s="85"/>
      <c r="M515" s="85"/>
      <c r="N515" s="85"/>
      <c r="O515" s="85"/>
      <c r="P515" s="85"/>
      <c r="Q515" s="85"/>
      <c r="R515" s="85"/>
      <c r="S515" s="85"/>
    </row>
    <row r="516" spans="1:20" s="1" customFormat="1" ht="14.1" customHeight="1" x14ac:dyDescent="0.25">
      <c r="A516" s="85"/>
      <c r="B516" s="85"/>
      <c r="C516" s="85"/>
      <c r="D516" s="85"/>
      <c r="E516" s="85"/>
      <c r="F516" s="85"/>
      <c r="G516" s="85"/>
      <c r="H516" s="85"/>
      <c r="I516" s="85"/>
      <c r="J516" s="85"/>
      <c r="K516" s="85"/>
      <c r="L516" s="85"/>
      <c r="M516" s="85"/>
      <c r="N516" s="85"/>
      <c r="O516" s="85"/>
      <c r="P516" s="85"/>
      <c r="Q516" s="85"/>
      <c r="R516" s="85"/>
      <c r="S516" s="85"/>
    </row>
    <row r="517" spans="1:20" s="1" customFormat="1" ht="14.1" customHeight="1" x14ac:dyDescent="0.25">
      <c r="A517" s="142" t="s">
        <v>54</v>
      </c>
      <c r="B517" s="142"/>
      <c r="C517" s="142"/>
      <c r="D517" s="142"/>
      <c r="E517" s="142"/>
      <c r="F517" s="142"/>
      <c r="G517" s="142"/>
      <c r="H517" s="142"/>
      <c r="I517" s="142"/>
      <c r="J517" s="142"/>
      <c r="K517" s="142"/>
      <c r="L517" s="142"/>
      <c r="M517" s="142"/>
      <c r="N517" s="142"/>
      <c r="O517" s="142"/>
      <c r="P517" s="142"/>
      <c r="Q517" s="142"/>
      <c r="R517" s="142"/>
      <c r="S517" s="142"/>
    </row>
    <row r="518" spans="1:20" s="1" customFormat="1" ht="12.45" customHeight="1" x14ac:dyDescent="0.25">
      <c r="A518" s="85" t="s">
        <v>425</v>
      </c>
      <c r="B518" s="85"/>
      <c r="C518" s="85"/>
      <c r="D518" s="85"/>
      <c r="E518" s="85"/>
      <c r="F518" s="85"/>
      <c r="G518" s="85"/>
      <c r="H518" s="85"/>
      <c r="I518" s="85"/>
      <c r="J518" s="85"/>
      <c r="K518" s="85"/>
      <c r="L518" s="85"/>
      <c r="M518" s="85"/>
      <c r="N518" s="85"/>
      <c r="O518" s="85"/>
      <c r="P518" s="85"/>
      <c r="Q518" s="85"/>
      <c r="R518" s="85"/>
      <c r="S518" s="85"/>
    </row>
    <row r="519" spans="1:20" s="1" customFormat="1" ht="14.1" customHeight="1" x14ac:dyDescent="0.25">
      <c r="A519" s="85"/>
      <c r="B519" s="85"/>
      <c r="C519" s="85"/>
      <c r="D519" s="85"/>
      <c r="E519" s="85"/>
      <c r="F519" s="85"/>
      <c r="G519" s="85"/>
      <c r="H519" s="85"/>
      <c r="I519" s="85"/>
      <c r="J519" s="85"/>
      <c r="K519" s="85"/>
      <c r="L519" s="85"/>
      <c r="M519" s="85"/>
      <c r="N519" s="85"/>
      <c r="O519" s="85"/>
      <c r="P519" s="85"/>
      <c r="Q519" s="85"/>
      <c r="R519" s="85"/>
      <c r="S519" s="85"/>
    </row>
    <row r="520" spans="1:20" s="1" customFormat="1" ht="14.1" customHeight="1" x14ac:dyDescent="0.25">
      <c r="A520" s="142" t="s">
        <v>56</v>
      </c>
      <c r="B520" s="142"/>
      <c r="C520" s="142"/>
      <c r="D520" s="142"/>
      <c r="E520" s="142"/>
      <c r="F520" s="142"/>
      <c r="G520" s="142"/>
      <c r="H520" s="142"/>
      <c r="I520" s="142"/>
      <c r="J520" s="142"/>
      <c r="K520" s="142"/>
      <c r="L520" s="142"/>
      <c r="M520" s="142"/>
      <c r="N520" s="142"/>
      <c r="O520" s="142"/>
      <c r="P520" s="142"/>
      <c r="Q520" s="142"/>
      <c r="R520" s="142"/>
      <c r="S520" s="142"/>
    </row>
    <row r="521" spans="1:20" s="1" customFormat="1" ht="49.2" customHeight="1" x14ac:dyDescent="0.25">
      <c r="A521" s="85" t="s">
        <v>426</v>
      </c>
      <c r="B521" s="85"/>
      <c r="C521" s="85"/>
      <c r="D521" s="85"/>
      <c r="E521" s="85"/>
      <c r="F521" s="85"/>
      <c r="G521" s="85"/>
      <c r="H521" s="85"/>
      <c r="I521" s="85"/>
      <c r="J521" s="85"/>
      <c r="K521" s="85"/>
      <c r="L521" s="85"/>
      <c r="M521" s="85"/>
      <c r="N521" s="85"/>
      <c r="O521" s="85"/>
      <c r="P521" s="85"/>
      <c r="Q521" s="85"/>
      <c r="R521" s="85"/>
      <c r="S521" s="85"/>
    </row>
    <row r="522" spans="1:20" s="1" customFormat="1" ht="72.45" customHeight="1" x14ac:dyDescent="0.25">
      <c r="J522" s="100" t="s">
        <v>0</v>
      </c>
      <c r="K522" s="100"/>
      <c r="L522" s="100"/>
      <c r="M522" s="100"/>
      <c r="N522" s="100"/>
      <c r="O522" s="100"/>
      <c r="P522" s="100"/>
      <c r="Q522" s="100"/>
      <c r="R522" s="100"/>
      <c r="S522" s="100"/>
      <c r="T522" s="100"/>
    </row>
    <row r="523" spans="1:20" s="1" customFormat="1" ht="7.05" customHeight="1" x14ac:dyDescent="0.25"/>
    <row r="524" spans="1:20" s="1" customFormat="1" ht="14.1" customHeight="1" x14ac:dyDescent="0.25">
      <c r="B524" s="101" t="s">
        <v>418</v>
      </c>
      <c r="C524" s="101"/>
      <c r="D524" s="101"/>
      <c r="E524" s="101"/>
      <c r="F524" s="101"/>
      <c r="G524" s="101"/>
      <c r="H524" s="101"/>
      <c r="I524" s="101"/>
      <c r="J524" s="101"/>
      <c r="K524" s="101"/>
      <c r="L524" s="101"/>
      <c r="M524" s="101"/>
      <c r="N524" s="101"/>
      <c r="O524" s="101"/>
      <c r="P524" s="101"/>
      <c r="Q524" s="101"/>
      <c r="R524" s="101"/>
    </row>
    <row r="525" spans="1:20" s="1" customFormat="1" ht="14.1" customHeight="1" x14ac:dyDescent="0.25"/>
    <row r="526" spans="1:20" s="1" customFormat="1" ht="14.1" customHeight="1" x14ac:dyDescent="0.25">
      <c r="A526" s="102" t="s">
        <v>2</v>
      </c>
      <c r="B526" s="102"/>
      <c r="C526" s="102"/>
      <c r="D526" s="103" t="s">
        <v>419</v>
      </c>
      <c r="E526" s="103"/>
      <c r="F526" s="103"/>
      <c r="G526" s="103"/>
      <c r="H526" s="103"/>
      <c r="I526" s="103"/>
      <c r="J526" s="103"/>
      <c r="K526" s="103"/>
      <c r="L526" s="103"/>
      <c r="M526" s="103"/>
      <c r="N526" s="103"/>
      <c r="O526" s="103"/>
      <c r="P526" s="103"/>
      <c r="Q526" s="103"/>
      <c r="R526" s="103"/>
      <c r="S526" s="103"/>
      <c r="T526" s="103"/>
    </row>
    <row r="527" spans="1:20" s="1" customFormat="1" ht="14.1" customHeight="1" x14ac:dyDescent="0.25">
      <c r="A527" s="102" t="s">
        <v>4</v>
      </c>
      <c r="B527" s="102"/>
      <c r="C527" s="103" t="s">
        <v>420</v>
      </c>
      <c r="D527" s="103"/>
      <c r="E527" s="103"/>
      <c r="F527" s="103"/>
      <c r="G527" s="103"/>
      <c r="H527" s="103"/>
      <c r="I527" s="103"/>
      <c r="J527" s="103"/>
      <c r="K527" s="103"/>
      <c r="L527" s="103"/>
      <c r="M527" s="103"/>
      <c r="N527" s="103"/>
      <c r="O527" s="103"/>
      <c r="P527" s="103"/>
      <c r="Q527" s="103"/>
      <c r="R527" s="103"/>
      <c r="S527" s="103"/>
      <c r="T527" s="103"/>
    </row>
    <row r="528" spans="1:20" s="1" customFormat="1" ht="14.1" customHeight="1" x14ac:dyDescent="0.25">
      <c r="A528" s="102" t="s">
        <v>6</v>
      </c>
      <c r="B528" s="102"/>
      <c r="C528" s="102"/>
      <c r="D528" s="102"/>
      <c r="E528" s="102"/>
      <c r="F528" s="103" t="s">
        <v>60</v>
      </c>
      <c r="G528" s="103"/>
      <c r="H528" s="103"/>
      <c r="I528" s="103"/>
      <c r="J528" s="103"/>
      <c r="K528" s="103"/>
      <c r="L528" s="103"/>
      <c r="M528" s="103"/>
      <c r="N528" s="103"/>
      <c r="O528" s="103"/>
      <c r="P528" s="103"/>
      <c r="Q528" s="103"/>
      <c r="R528" s="103"/>
      <c r="S528" s="103"/>
      <c r="T528" s="103"/>
    </row>
    <row r="529" spans="1:20" s="1" customFormat="1" ht="22.35" customHeight="1" x14ac:dyDescent="0.25">
      <c r="F529" s="103"/>
      <c r="G529" s="103"/>
      <c r="H529" s="103"/>
      <c r="I529" s="103"/>
      <c r="J529" s="103"/>
      <c r="K529" s="103"/>
      <c r="L529" s="103"/>
      <c r="M529" s="103"/>
      <c r="N529" s="103"/>
      <c r="O529" s="103"/>
      <c r="P529" s="103"/>
      <c r="Q529" s="103"/>
      <c r="R529" s="103"/>
      <c r="S529" s="103"/>
      <c r="T529" s="103"/>
    </row>
    <row r="530" spans="1:20" s="1" customFormat="1" ht="7.05" customHeight="1" x14ac:dyDescent="0.25">
      <c r="A530" s="86"/>
      <c r="B530" s="86"/>
      <c r="C530" s="86"/>
      <c r="D530" s="86"/>
      <c r="E530" s="86"/>
      <c r="F530" s="86"/>
      <c r="G530" s="86"/>
      <c r="H530" s="86"/>
      <c r="I530" s="86"/>
      <c r="J530" s="86"/>
      <c r="K530" s="86"/>
      <c r="L530" s="86"/>
      <c r="M530" s="86"/>
      <c r="N530" s="86"/>
      <c r="O530" s="86"/>
      <c r="P530" s="86"/>
      <c r="Q530" s="16"/>
      <c r="R530" s="86"/>
      <c r="S530" s="86"/>
      <c r="T530" s="86"/>
    </row>
    <row r="531" spans="1:20" s="1" customFormat="1" ht="16.95" customHeight="1" x14ac:dyDescent="0.25">
      <c r="A531" s="94" t="s">
        <v>8</v>
      </c>
      <c r="B531" s="94"/>
      <c r="C531" s="94"/>
      <c r="D531" s="94"/>
      <c r="E531" s="94"/>
      <c r="F531" s="94"/>
      <c r="G531" s="94"/>
      <c r="H531" s="94"/>
      <c r="I531" s="94"/>
      <c r="J531" s="94"/>
      <c r="K531" s="94"/>
      <c r="L531" s="94"/>
      <c r="M531" s="95" t="s">
        <v>9</v>
      </c>
      <c r="N531" s="95"/>
      <c r="O531" s="95"/>
      <c r="P531" s="95"/>
      <c r="Q531" s="95"/>
      <c r="R531" s="95"/>
      <c r="S531" s="95"/>
      <c r="T531" s="95"/>
    </row>
    <row r="532" spans="1:20" s="1" customFormat="1" ht="16.95" customHeight="1" x14ac:dyDescent="0.25">
      <c r="A532" s="94"/>
      <c r="B532" s="94"/>
      <c r="C532" s="94"/>
      <c r="D532" s="94"/>
      <c r="E532" s="94"/>
      <c r="F532" s="94"/>
      <c r="G532" s="94"/>
      <c r="H532" s="94"/>
      <c r="I532" s="94"/>
      <c r="J532" s="94"/>
      <c r="K532" s="94"/>
      <c r="L532" s="94"/>
      <c r="M532" s="96" t="s">
        <v>10</v>
      </c>
      <c r="N532" s="96"/>
      <c r="O532" s="96"/>
      <c r="P532" s="96"/>
      <c r="Q532" s="97" t="s">
        <v>11</v>
      </c>
      <c r="R532" s="97"/>
      <c r="S532" s="97"/>
      <c r="T532" s="97"/>
    </row>
    <row r="533" spans="1:20" s="1" customFormat="1" ht="16.95" customHeight="1" x14ac:dyDescent="0.25">
      <c r="A533" s="94"/>
      <c r="B533" s="94"/>
      <c r="C533" s="94"/>
      <c r="D533" s="94"/>
      <c r="E533" s="94"/>
      <c r="F533" s="94"/>
      <c r="G533" s="94"/>
      <c r="H533" s="94"/>
      <c r="I533" s="94"/>
      <c r="J533" s="94"/>
      <c r="K533" s="94"/>
      <c r="L533" s="94"/>
      <c r="M533" s="98" t="s">
        <v>12</v>
      </c>
      <c r="N533" s="98"/>
      <c r="O533" s="98" t="s">
        <v>13</v>
      </c>
      <c r="P533" s="98"/>
      <c r="Q533" s="13" t="s">
        <v>14</v>
      </c>
      <c r="R533" s="99" t="s">
        <v>15</v>
      </c>
      <c r="S533" s="99"/>
      <c r="T533" s="99"/>
    </row>
    <row r="534" spans="1:20" s="1" customFormat="1" ht="13.35" customHeight="1" x14ac:dyDescent="0.25">
      <c r="A534" s="88" t="s">
        <v>421</v>
      </c>
      <c r="B534" s="88"/>
      <c r="C534" s="88"/>
      <c r="D534" s="88"/>
      <c r="E534" s="88"/>
      <c r="F534" s="88"/>
      <c r="G534" s="88"/>
      <c r="H534" s="88"/>
      <c r="I534" s="88"/>
      <c r="J534" s="88"/>
      <c r="K534" s="88"/>
      <c r="L534" s="88"/>
      <c r="M534" s="88" t="s">
        <v>152</v>
      </c>
      <c r="N534" s="88"/>
      <c r="O534" s="88" t="s">
        <v>152</v>
      </c>
      <c r="P534" s="88"/>
      <c r="Q534" s="6" t="s">
        <v>153</v>
      </c>
      <c r="R534" s="88" t="s">
        <v>153</v>
      </c>
      <c r="S534" s="88"/>
      <c r="T534" s="88"/>
    </row>
    <row r="535" spans="1:20" s="1" customFormat="1" ht="13.35" customHeight="1" x14ac:dyDescent="0.25">
      <c r="A535" s="88" t="s">
        <v>114</v>
      </c>
      <c r="B535" s="88"/>
      <c r="C535" s="88"/>
      <c r="D535" s="88"/>
      <c r="E535" s="88"/>
      <c r="F535" s="88"/>
      <c r="G535" s="88"/>
      <c r="H535" s="88"/>
      <c r="I535" s="88"/>
      <c r="J535" s="88"/>
      <c r="K535" s="88"/>
      <c r="L535" s="88"/>
      <c r="M535" s="88" t="s">
        <v>422</v>
      </c>
      <c r="N535" s="88"/>
      <c r="O535" s="88" t="s">
        <v>422</v>
      </c>
      <c r="P535" s="88"/>
      <c r="Q535" s="6" t="s">
        <v>423</v>
      </c>
      <c r="R535" s="88" t="s">
        <v>423</v>
      </c>
      <c r="S535" s="88"/>
      <c r="T535" s="88"/>
    </row>
    <row r="536" spans="1:20" s="1" customFormat="1" ht="13.35" customHeight="1" x14ac:dyDescent="0.25">
      <c r="A536" s="88" t="s">
        <v>109</v>
      </c>
      <c r="B536" s="88"/>
      <c r="C536" s="88"/>
      <c r="D536" s="88"/>
      <c r="E536" s="88"/>
      <c r="F536" s="88"/>
      <c r="G536" s="88"/>
      <c r="H536" s="88"/>
      <c r="I536" s="88"/>
      <c r="J536" s="88"/>
      <c r="K536" s="88"/>
      <c r="L536" s="88"/>
      <c r="M536" s="88">
        <v>18</v>
      </c>
      <c r="N536" s="88"/>
      <c r="O536" s="88">
        <v>18</v>
      </c>
      <c r="P536" s="88"/>
      <c r="Q536" s="6">
        <v>1.8</v>
      </c>
      <c r="R536" s="88">
        <v>1.8</v>
      </c>
      <c r="S536" s="88"/>
      <c r="T536" s="88"/>
    </row>
    <row r="537" spans="1:20" s="1" customFormat="1" ht="13.35" customHeight="1" x14ac:dyDescent="0.25">
      <c r="A537" s="88" t="s">
        <v>66</v>
      </c>
      <c r="B537" s="88"/>
      <c r="C537" s="88"/>
      <c r="D537" s="88"/>
      <c r="E537" s="88"/>
      <c r="F537" s="88"/>
      <c r="G537" s="88"/>
      <c r="H537" s="88"/>
      <c r="I537" s="88"/>
      <c r="J537" s="88"/>
      <c r="K537" s="88"/>
      <c r="L537" s="88"/>
      <c r="M537" s="88" t="s">
        <v>250</v>
      </c>
      <c r="N537" s="88"/>
      <c r="O537" s="88" t="s">
        <v>250</v>
      </c>
      <c r="P537" s="88"/>
      <c r="Q537" s="6" t="s">
        <v>23</v>
      </c>
      <c r="R537" s="88" t="s">
        <v>23</v>
      </c>
      <c r="S537" s="88"/>
      <c r="T537" s="88"/>
    </row>
    <row r="538" spans="1:20" s="1" customFormat="1" ht="14.1" customHeight="1" x14ac:dyDescent="0.25">
      <c r="A538" s="90" t="s">
        <v>217</v>
      </c>
      <c r="B538" s="90"/>
      <c r="C538" s="90"/>
      <c r="D538" s="90"/>
      <c r="E538" s="90"/>
      <c r="F538" s="90"/>
      <c r="G538" s="90"/>
      <c r="H538" s="90"/>
      <c r="I538" s="90"/>
      <c r="J538" s="90"/>
      <c r="K538" s="90"/>
      <c r="L538" s="90"/>
      <c r="M538" s="90"/>
      <c r="N538" s="90"/>
      <c r="O538" s="90"/>
      <c r="P538" s="90"/>
      <c r="Q538" s="90"/>
      <c r="R538" s="90"/>
      <c r="S538" s="90"/>
      <c r="T538" s="90"/>
    </row>
    <row r="539" spans="1:20" s="1" customFormat="1" ht="21.3" customHeight="1" x14ac:dyDescent="0.25"/>
    <row r="540" spans="1:20" s="1" customFormat="1" ht="14.1" customHeight="1" x14ac:dyDescent="0.25">
      <c r="A540" s="91" t="s">
        <v>33</v>
      </c>
      <c r="B540" s="91"/>
      <c r="C540" s="91"/>
      <c r="D540" s="91"/>
      <c r="E540" s="91"/>
      <c r="F540" s="91"/>
      <c r="G540" s="91"/>
      <c r="H540" s="91"/>
      <c r="I540" s="91"/>
      <c r="J540" s="91"/>
      <c r="K540" s="91"/>
      <c r="L540" s="91"/>
      <c r="M540" s="91"/>
      <c r="N540" s="91"/>
    </row>
    <row r="541" spans="1:20" s="1" customFormat="1" ht="13.35" customHeight="1" x14ac:dyDescent="0.25">
      <c r="A541" s="88" t="s">
        <v>34</v>
      </c>
      <c r="B541" s="88"/>
      <c r="C541" s="88"/>
      <c r="D541" s="88"/>
      <c r="E541" s="89">
        <f>3.17*180/200</f>
        <v>2.8530000000000002</v>
      </c>
      <c r="F541" s="89"/>
      <c r="G541" s="17"/>
      <c r="H541" s="6" t="s">
        <v>35</v>
      </c>
      <c r="I541" s="89">
        <v>0.04</v>
      </c>
      <c r="J541" s="89"/>
      <c r="K541" s="17"/>
      <c r="L541" s="88" t="s">
        <v>36</v>
      </c>
      <c r="M541" s="88"/>
      <c r="N541" s="89">
        <v>100.12</v>
      </c>
      <c r="O541" s="89"/>
    </row>
    <row r="542" spans="1:20" s="1" customFormat="1" ht="13.35" customHeight="1" x14ac:dyDescent="0.25">
      <c r="A542" s="88" t="s">
        <v>37</v>
      </c>
      <c r="B542" s="88"/>
      <c r="C542" s="88"/>
      <c r="D542" s="88"/>
      <c r="E542" s="89">
        <f>2.7*180/200</f>
        <v>2.4300000000000002</v>
      </c>
      <c r="F542" s="89"/>
      <c r="G542" s="17"/>
      <c r="H542" s="6" t="s">
        <v>38</v>
      </c>
      <c r="I542" s="89">
        <v>0.47</v>
      </c>
      <c r="J542" s="89"/>
      <c r="K542" s="17"/>
      <c r="L542" s="88" t="s">
        <v>39</v>
      </c>
      <c r="M542" s="88"/>
      <c r="N542" s="89">
        <v>17.13</v>
      </c>
      <c r="O542" s="89"/>
    </row>
    <row r="543" spans="1:20" s="1" customFormat="1" ht="13.35" customHeight="1" x14ac:dyDescent="0.25">
      <c r="A543" s="88" t="s">
        <v>40</v>
      </c>
      <c r="B543" s="88"/>
      <c r="C543" s="88"/>
      <c r="D543" s="88"/>
      <c r="E543" s="89">
        <f>15.94*180/200</f>
        <v>14.345999999999998</v>
      </c>
      <c r="F543" s="89"/>
      <c r="G543" s="17"/>
      <c r="H543" s="6" t="s">
        <v>41</v>
      </c>
      <c r="I543" s="89">
        <v>0.01</v>
      </c>
      <c r="J543" s="89"/>
      <c r="K543" s="17"/>
      <c r="L543" s="88" t="s">
        <v>42</v>
      </c>
      <c r="M543" s="88"/>
      <c r="N543" s="89">
        <v>79.099999999999994</v>
      </c>
      <c r="O543" s="89"/>
    </row>
    <row r="544" spans="1:20" s="1" customFormat="1" ht="13.35" customHeight="1" x14ac:dyDescent="0.25">
      <c r="A544" s="88" t="s">
        <v>43</v>
      </c>
      <c r="B544" s="88"/>
      <c r="C544" s="88"/>
      <c r="D544" s="88"/>
      <c r="E544" s="89">
        <f>103.5*180/200</f>
        <v>93.15</v>
      </c>
      <c r="F544" s="89"/>
      <c r="G544" s="17"/>
      <c r="H544" s="6" t="s">
        <v>44</v>
      </c>
      <c r="I544" s="89">
        <v>0</v>
      </c>
      <c r="J544" s="89"/>
      <c r="K544" s="17"/>
      <c r="L544" s="88" t="s">
        <v>45</v>
      </c>
      <c r="M544" s="88"/>
      <c r="N544" s="89">
        <v>0.36</v>
      </c>
      <c r="O544" s="89"/>
    </row>
    <row r="545" spans="1:20" s="1" customFormat="1" ht="13.35" customHeight="1" x14ac:dyDescent="0.25">
      <c r="A545" s="87"/>
      <c r="B545" s="87"/>
      <c r="C545" s="87"/>
      <c r="D545" s="87"/>
      <c r="E545" s="87"/>
      <c r="F545" s="87"/>
      <c r="G545" s="17"/>
      <c r="H545" s="6" t="s">
        <v>46</v>
      </c>
      <c r="I545" s="89">
        <v>0</v>
      </c>
      <c r="J545" s="89"/>
      <c r="K545" s="17"/>
      <c r="L545" s="88" t="s">
        <v>47</v>
      </c>
      <c r="M545" s="88"/>
      <c r="N545" s="89">
        <v>152.41</v>
      </c>
      <c r="O545" s="89"/>
    </row>
    <row r="546" spans="1:20" s="1" customFormat="1" ht="13.35" customHeight="1" x14ac:dyDescent="0.25">
      <c r="A546" s="87"/>
      <c r="B546" s="87"/>
      <c r="C546" s="87"/>
      <c r="D546" s="87"/>
      <c r="E546" s="87"/>
      <c r="F546" s="87"/>
      <c r="G546" s="17"/>
      <c r="H546" s="6" t="s">
        <v>48</v>
      </c>
      <c r="I546" s="89">
        <v>0.11</v>
      </c>
      <c r="J546" s="89"/>
      <c r="K546" s="17"/>
      <c r="L546" s="88" t="s">
        <v>49</v>
      </c>
      <c r="M546" s="88"/>
      <c r="N546" s="89">
        <v>8.1</v>
      </c>
      <c r="O546" s="89"/>
    </row>
    <row r="547" spans="1:20" s="1" customFormat="1" ht="13.35" customHeight="1" x14ac:dyDescent="0.25">
      <c r="A547" s="87"/>
      <c r="B547" s="87"/>
      <c r="C547" s="87"/>
      <c r="D547" s="87"/>
      <c r="E547" s="87"/>
      <c r="F547" s="87"/>
      <c r="G547" s="17"/>
      <c r="H547" s="17"/>
      <c r="I547" s="87"/>
      <c r="J547" s="87"/>
      <c r="K547" s="17"/>
      <c r="L547" s="88" t="s">
        <v>50</v>
      </c>
      <c r="M547" s="88"/>
      <c r="N547" s="89">
        <v>0</v>
      </c>
      <c r="O547" s="89"/>
    </row>
    <row r="548" spans="1:20" s="1" customFormat="1" ht="13.35" customHeight="1" x14ac:dyDescent="0.25">
      <c r="A548" s="87"/>
      <c r="B548" s="87"/>
      <c r="C548" s="87"/>
      <c r="D548" s="87"/>
      <c r="E548" s="87"/>
      <c r="F548" s="87"/>
      <c r="G548" s="17"/>
      <c r="H548" s="17"/>
      <c r="I548" s="87"/>
      <c r="J548" s="87"/>
      <c r="K548" s="17"/>
      <c r="L548" s="88" t="s">
        <v>51</v>
      </c>
      <c r="M548" s="88"/>
      <c r="N548" s="89">
        <v>0</v>
      </c>
      <c r="O548" s="89"/>
    </row>
    <row r="549" spans="1:20" s="1" customFormat="1" ht="14.1" customHeight="1" x14ac:dyDescent="0.25">
      <c r="A549" s="86"/>
      <c r="B549" s="86"/>
      <c r="C549" s="86"/>
      <c r="D549" s="86"/>
      <c r="E549" s="86"/>
      <c r="F549" s="86"/>
      <c r="G549" s="86"/>
      <c r="H549" s="86"/>
      <c r="I549" s="86"/>
      <c r="J549" s="86"/>
      <c r="K549" s="86"/>
      <c r="L549" s="86"/>
      <c r="M549" s="86"/>
      <c r="N549" s="86"/>
      <c r="O549" s="86"/>
      <c r="P549" s="86"/>
      <c r="Q549" s="86"/>
      <c r="R549" s="86"/>
      <c r="S549" s="86"/>
    </row>
    <row r="550" spans="1:20" s="1" customFormat="1" ht="14.1" customHeight="1" x14ac:dyDescent="0.25">
      <c r="A550" s="84" t="s">
        <v>52</v>
      </c>
      <c r="B550" s="84"/>
      <c r="C550" s="84"/>
      <c r="D550" s="84"/>
      <c r="E550" s="84"/>
      <c r="F550" s="84"/>
      <c r="G550" s="84"/>
      <c r="H550" s="84"/>
      <c r="I550" s="84"/>
      <c r="J550" s="84"/>
      <c r="K550" s="84"/>
      <c r="L550" s="84"/>
      <c r="M550" s="84"/>
      <c r="N550" s="84"/>
      <c r="O550" s="84"/>
      <c r="P550" s="84"/>
      <c r="Q550" s="84"/>
      <c r="R550" s="84"/>
      <c r="S550" s="84"/>
    </row>
    <row r="551" spans="1:20" s="1" customFormat="1" ht="12.15" customHeight="1" x14ac:dyDescent="0.25">
      <c r="A551" s="85" t="s">
        <v>424</v>
      </c>
      <c r="B551" s="85"/>
      <c r="C551" s="85"/>
      <c r="D551" s="85"/>
      <c r="E551" s="85"/>
      <c r="F551" s="85"/>
      <c r="G551" s="85"/>
      <c r="H551" s="85"/>
      <c r="I551" s="85"/>
      <c r="J551" s="85"/>
      <c r="K551" s="85"/>
      <c r="L551" s="85"/>
      <c r="M551" s="85"/>
      <c r="N551" s="85"/>
      <c r="O551" s="85"/>
      <c r="P551" s="85"/>
      <c r="Q551" s="85"/>
      <c r="R551" s="85"/>
      <c r="S551" s="85"/>
    </row>
    <row r="552" spans="1:20" s="1" customFormat="1" ht="14.1" customHeight="1" x14ac:dyDescent="0.25">
      <c r="A552" s="86"/>
      <c r="B552" s="86"/>
      <c r="C552" s="86"/>
      <c r="D552" s="86"/>
      <c r="E552" s="86"/>
      <c r="F552" s="86"/>
      <c r="G552" s="86"/>
      <c r="H552" s="86"/>
      <c r="I552" s="86"/>
      <c r="J552" s="86"/>
      <c r="K552" s="86"/>
      <c r="L552" s="86"/>
      <c r="M552" s="86"/>
      <c r="N552" s="86"/>
      <c r="O552" s="86"/>
      <c r="P552" s="86"/>
      <c r="Q552" s="86"/>
      <c r="R552" s="86"/>
      <c r="S552" s="86"/>
    </row>
    <row r="553" spans="1:20" s="1" customFormat="1" ht="14.1" customHeight="1" x14ac:dyDescent="0.25">
      <c r="A553" s="84" t="s">
        <v>54</v>
      </c>
      <c r="B553" s="84"/>
      <c r="C553" s="84"/>
      <c r="D553" s="84"/>
      <c r="E553" s="84"/>
      <c r="F553" s="84"/>
      <c r="G553" s="84"/>
      <c r="H553" s="84"/>
      <c r="I553" s="84"/>
      <c r="J553" s="84"/>
      <c r="K553" s="84"/>
      <c r="L553" s="84"/>
      <c r="M553" s="84"/>
      <c r="N553" s="84"/>
      <c r="O553" s="84"/>
      <c r="P553" s="84"/>
      <c r="Q553" s="84"/>
      <c r="R553" s="84"/>
      <c r="S553" s="84"/>
    </row>
    <row r="554" spans="1:20" s="1" customFormat="1" ht="12.45" customHeight="1" x14ac:dyDescent="0.25">
      <c r="A554" s="85" t="s">
        <v>425</v>
      </c>
      <c r="B554" s="85"/>
      <c r="C554" s="85"/>
      <c r="D554" s="85"/>
      <c r="E554" s="85"/>
      <c r="F554" s="85"/>
      <c r="G554" s="85"/>
      <c r="H554" s="85"/>
      <c r="I554" s="85"/>
      <c r="J554" s="85"/>
      <c r="K554" s="85"/>
      <c r="L554" s="85"/>
      <c r="M554" s="85"/>
      <c r="N554" s="85"/>
      <c r="O554" s="85"/>
      <c r="P554" s="85"/>
      <c r="Q554" s="85"/>
      <c r="R554" s="85"/>
      <c r="S554" s="85"/>
    </row>
    <row r="555" spans="1:20" s="1" customFormat="1" ht="14.1" customHeight="1" x14ac:dyDescent="0.25">
      <c r="A555" s="86"/>
      <c r="B555" s="86"/>
      <c r="C555" s="86"/>
      <c r="D555" s="86"/>
      <c r="E555" s="86"/>
      <c r="F555" s="86"/>
      <c r="G555" s="86"/>
      <c r="H555" s="86"/>
      <c r="I555" s="86"/>
      <c r="J555" s="86"/>
      <c r="K555" s="86"/>
      <c r="L555" s="86"/>
      <c r="M555" s="86"/>
      <c r="N555" s="86"/>
      <c r="O555" s="86"/>
      <c r="P555" s="86"/>
      <c r="Q555" s="86"/>
      <c r="R555" s="86"/>
      <c r="S555" s="86"/>
    </row>
    <row r="556" spans="1:20" s="1" customFormat="1" ht="14.1" customHeight="1" x14ac:dyDescent="0.25">
      <c r="A556" s="84" t="s">
        <v>56</v>
      </c>
      <c r="B556" s="84"/>
      <c r="C556" s="84"/>
      <c r="D556" s="84"/>
      <c r="E556" s="84"/>
      <c r="F556" s="84"/>
      <c r="G556" s="84"/>
      <c r="H556" s="84"/>
      <c r="I556" s="84"/>
      <c r="J556" s="84"/>
      <c r="K556" s="84"/>
      <c r="L556" s="84"/>
      <c r="M556" s="84"/>
      <c r="N556" s="84"/>
      <c r="O556" s="84"/>
      <c r="P556" s="84"/>
      <c r="Q556" s="84"/>
      <c r="R556" s="84"/>
      <c r="S556" s="84"/>
    </row>
    <row r="557" spans="1:20" s="1" customFormat="1" ht="49.2" customHeight="1" x14ac:dyDescent="0.25">
      <c r="A557" s="85" t="s">
        <v>426</v>
      </c>
      <c r="B557" s="85"/>
      <c r="C557" s="85"/>
      <c r="D557" s="85"/>
      <c r="E557" s="85"/>
      <c r="F557" s="85"/>
      <c r="G557" s="85"/>
      <c r="H557" s="85"/>
      <c r="I557" s="85"/>
      <c r="J557" s="85"/>
      <c r="K557" s="85"/>
      <c r="L557" s="85"/>
      <c r="M557" s="85"/>
      <c r="N557" s="85"/>
      <c r="O557" s="85"/>
      <c r="P557" s="85"/>
      <c r="Q557" s="85"/>
      <c r="R557" s="85"/>
      <c r="S557" s="85"/>
    </row>
    <row r="559" spans="1:20" s="1" customFormat="1" ht="72.45" customHeight="1" x14ac:dyDescent="0.25">
      <c r="J559" s="100" t="s">
        <v>0</v>
      </c>
      <c r="K559" s="100"/>
      <c r="L559" s="100"/>
      <c r="M559" s="100"/>
      <c r="N559" s="100"/>
      <c r="O559" s="100"/>
      <c r="P559" s="100"/>
      <c r="Q559" s="100"/>
      <c r="R559" s="100"/>
      <c r="S559" s="100"/>
      <c r="T559" s="100"/>
    </row>
    <row r="560" spans="1:20" s="1" customFormat="1" ht="7.05" customHeight="1" x14ac:dyDescent="0.25"/>
    <row r="561" spans="1:20" s="1" customFormat="1" ht="14.1" customHeight="1" x14ac:dyDescent="0.25">
      <c r="B561" s="101" t="s">
        <v>380</v>
      </c>
      <c r="C561" s="101"/>
      <c r="D561" s="101"/>
      <c r="E561" s="101"/>
      <c r="F561" s="101"/>
      <c r="G561" s="101"/>
      <c r="H561" s="101"/>
      <c r="I561" s="101"/>
      <c r="J561" s="101"/>
      <c r="K561" s="101"/>
      <c r="L561" s="101"/>
      <c r="M561" s="101"/>
      <c r="N561" s="101"/>
      <c r="O561" s="101"/>
      <c r="P561" s="101"/>
      <c r="Q561" s="101"/>
      <c r="R561" s="101"/>
    </row>
    <row r="562" spans="1:20" s="1" customFormat="1" ht="14.1" customHeight="1" x14ac:dyDescent="0.25"/>
    <row r="563" spans="1:20" s="1" customFormat="1" ht="14.1" customHeight="1" x14ac:dyDescent="0.25">
      <c r="A563" s="102" t="s">
        <v>2</v>
      </c>
      <c r="B563" s="102"/>
      <c r="C563" s="102"/>
      <c r="D563" s="103" t="s">
        <v>441</v>
      </c>
      <c r="E563" s="103"/>
      <c r="F563" s="103"/>
      <c r="G563" s="103"/>
      <c r="H563" s="103"/>
      <c r="I563" s="103"/>
      <c r="J563" s="103"/>
      <c r="K563" s="103"/>
      <c r="L563" s="103"/>
      <c r="M563" s="103"/>
      <c r="N563" s="103"/>
      <c r="O563" s="103"/>
      <c r="P563" s="103"/>
      <c r="Q563" s="103"/>
      <c r="R563" s="103"/>
      <c r="S563" s="103"/>
      <c r="T563" s="103"/>
    </row>
    <row r="564" spans="1:20" s="1" customFormat="1" ht="14.1" customHeight="1" x14ac:dyDescent="0.25">
      <c r="A564" s="102" t="s">
        <v>4</v>
      </c>
      <c r="B564" s="102"/>
      <c r="C564" s="103"/>
      <c r="D564" s="103"/>
      <c r="E564" s="103"/>
      <c r="F564" s="103"/>
      <c r="G564" s="103"/>
      <c r="H564" s="103"/>
      <c r="I564" s="103"/>
      <c r="J564" s="103"/>
      <c r="K564" s="103"/>
      <c r="L564" s="103"/>
      <c r="M564" s="103"/>
      <c r="N564" s="103"/>
      <c r="O564" s="103"/>
      <c r="P564" s="103"/>
      <c r="Q564" s="103"/>
      <c r="R564" s="103"/>
      <c r="S564" s="103"/>
      <c r="T564" s="103"/>
    </row>
    <row r="565" spans="1:20" s="1" customFormat="1" ht="14.1" customHeight="1" x14ac:dyDescent="0.25">
      <c r="A565" s="102" t="s">
        <v>6</v>
      </c>
      <c r="B565" s="102"/>
      <c r="C565" s="102"/>
      <c r="D565" s="102"/>
      <c r="E565" s="102"/>
      <c r="F565" s="103" t="s">
        <v>677</v>
      </c>
      <c r="G565" s="103"/>
      <c r="H565" s="103"/>
      <c r="I565" s="103"/>
      <c r="J565" s="103"/>
      <c r="K565" s="103"/>
      <c r="L565" s="103"/>
      <c r="M565" s="103"/>
      <c r="N565" s="103"/>
      <c r="O565" s="103"/>
      <c r="P565" s="103"/>
      <c r="Q565" s="103"/>
      <c r="R565" s="103"/>
      <c r="S565" s="103"/>
      <c r="T565" s="103"/>
    </row>
    <row r="566" spans="1:20" s="1" customFormat="1" ht="1.35" customHeight="1" x14ac:dyDescent="0.25"/>
    <row r="567" spans="1:20" s="1" customFormat="1" ht="7.05" customHeight="1" x14ac:dyDescent="0.25">
      <c r="A567" s="86"/>
      <c r="B567" s="86"/>
      <c r="C567" s="86"/>
      <c r="D567" s="86"/>
      <c r="E567" s="86"/>
      <c r="F567" s="86"/>
      <c r="G567" s="86"/>
      <c r="H567" s="86"/>
      <c r="I567" s="86"/>
      <c r="J567" s="86"/>
      <c r="K567" s="86"/>
      <c r="L567" s="86"/>
      <c r="M567" s="86"/>
      <c r="N567" s="86"/>
      <c r="O567" s="86"/>
      <c r="P567" s="86"/>
      <c r="Q567" s="16"/>
      <c r="R567" s="86"/>
      <c r="S567" s="86"/>
      <c r="T567" s="86"/>
    </row>
    <row r="568" spans="1:20" s="1" customFormat="1" ht="16.95" customHeight="1" x14ac:dyDescent="0.25">
      <c r="A568" s="94" t="s">
        <v>8</v>
      </c>
      <c r="B568" s="94"/>
      <c r="C568" s="94"/>
      <c r="D568" s="94"/>
      <c r="E568" s="94"/>
      <c r="F568" s="94"/>
      <c r="G568" s="94"/>
      <c r="H568" s="94"/>
      <c r="I568" s="94"/>
      <c r="J568" s="94"/>
      <c r="K568" s="94"/>
      <c r="L568" s="94"/>
      <c r="M568" s="95" t="s">
        <v>9</v>
      </c>
      <c r="N568" s="95"/>
      <c r="O568" s="95"/>
      <c r="P568" s="95"/>
      <c r="Q568" s="95"/>
      <c r="R568" s="95"/>
      <c r="S568" s="95"/>
      <c r="T568" s="95"/>
    </row>
    <row r="569" spans="1:20" s="1" customFormat="1" ht="16.95" customHeight="1" x14ac:dyDescent="0.25">
      <c r="A569" s="94"/>
      <c r="B569" s="94"/>
      <c r="C569" s="94"/>
      <c r="D569" s="94"/>
      <c r="E569" s="94"/>
      <c r="F569" s="94"/>
      <c r="G569" s="94"/>
      <c r="H569" s="94"/>
      <c r="I569" s="94"/>
      <c r="J569" s="94"/>
      <c r="K569" s="94"/>
      <c r="L569" s="94"/>
      <c r="M569" s="96" t="s">
        <v>10</v>
      </c>
      <c r="N569" s="96"/>
      <c r="O569" s="96"/>
      <c r="P569" s="96"/>
      <c r="Q569" s="97" t="s">
        <v>11</v>
      </c>
      <c r="R569" s="97"/>
      <c r="S569" s="97"/>
      <c r="T569" s="97"/>
    </row>
    <row r="570" spans="1:20" s="1" customFormat="1" ht="16.95" customHeight="1" x14ac:dyDescent="0.25">
      <c r="A570" s="94"/>
      <c r="B570" s="94"/>
      <c r="C570" s="94"/>
      <c r="D570" s="94"/>
      <c r="E570" s="94"/>
      <c r="F570" s="94"/>
      <c r="G570" s="94"/>
      <c r="H570" s="94"/>
      <c r="I570" s="94"/>
      <c r="J570" s="94"/>
      <c r="K570" s="94"/>
      <c r="L570" s="94"/>
      <c r="M570" s="98" t="s">
        <v>12</v>
      </c>
      <c r="N570" s="98"/>
      <c r="O570" s="98" t="s">
        <v>13</v>
      </c>
      <c r="P570" s="98"/>
      <c r="Q570" s="13" t="s">
        <v>14</v>
      </c>
      <c r="R570" s="99" t="s">
        <v>15</v>
      </c>
      <c r="S570" s="99"/>
      <c r="T570" s="99"/>
    </row>
    <row r="571" spans="1:20" s="1" customFormat="1" ht="13.35" customHeight="1" x14ac:dyDescent="0.25">
      <c r="A571" s="88" t="s">
        <v>442</v>
      </c>
      <c r="B571" s="88"/>
      <c r="C571" s="88"/>
      <c r="D571" s="88"/>
      <c r="E571" s="88"/>
      <c r="F571" s="88"/>
      <c r="G571" s="88"/>
      <c r="H571" s="88"/>
      <c r="I571" s="88"/>
      <c r="J571" s="88"/>
      <c r="K571" s="88"/>
      <c r="L571" s="88"/>
      <c r="M571" s="88" t="s">
        <v>443</v>
      </c>
      <c r="N571" s="88"/>
      <c r="O571" s="88" t="s">
        <v>103</v>
      </c>
      <c r="P571" s="88"/>
      <c r="Q571" s="6" t="s">
        <v>444</v>
      </c>
      <c r="R571" s="88" t="s">
        <v>133</v>
      </c>
      <c r="S571" s="88"/>
      <c r="T571" s="88"/>
    </row>
    <row r="572" spans="1:20" s="1" customFormat="1" ht="14.1" customHeight="1" x14ac:dyDescent="0.25">
      <c r="A572" s="90" t="s">
        <v>116</v>
      </c>
      <c r="B572" s="90"/>
      <c r="C572" s="90"/>
      <c r="D572" s="90"/>
      <c r="E572" s="90"/>
      <c r="F572" s="90"/>
      <c r="G572" s="90"/>
      <c r="H572" s="90"/>
      <c r="I572" s="90"/>
      <c r="J572" s="90"/>
      <c r="K572" s="90"/>
      <c r="L572" s="90"/>
      <c r="M572" s="90"/>
      <c r="N572" s="90"/>
      <c r="O572" s="90"/>
      <c r="P572" s="90"/>
      <c r="Q572" s="90"/>
      <c r="R572" s="90"/>
      <c r="S572" s="90"/>
      <c r="T572" s="90"/>
    </row>
    <row r="573" spans="1:20" s="1" customFormat="1" ht="21.3" customHeight="1" x14ac:dyDescent="0.25"/>
    <row r="574" spans="1:20" s="1" customFormat="1" ht="14.1" customHeight="1" x14ac:dyDescent="0.25">
      <c r="A574" s="91" t="s">
        <v>33</v>
      </c>
      <c r="B574" s="91"/>
      <c r="C574" s="91"/>
      <c r="D574" s="91"/>
      <c r="E574" s="91"/>
      <c r="F574" s="91"/>
      <c r="G574" s="91"/>
      <c r="H574" s="91"/>
      <c r="I574" s="91"/>
      <c r="J574" s="91"/>
      <c r="K574" s="91"/>
      <c r="L574" s="91"/>
      <c r="M574" s="91"/>
      <c r="N574" s="91"/>
    </row>
    <row r="575" spans="1:20" s="1" customFormat="1" ht="13.35" customHeight="1" x14ac:dyDescent="0.25">
      <c r="A575" s="88" t="s">
        <v>34</v>
      </c>
      <c r="B575" s="88"/>
      <c r="C575" s="88"/>
      <c r="D575" s="88"/>
      <c r="E575" s="89">
        <v>5.8</v>
      </c>
      <c r="F575" s="89"/>
      <c r="G575" s="17"/>
      <c r="H575" s="6" t="s">
        <v>35</v>
      </c>
      <c r="I575" s="89">
        <v>0</v>
      </c>
      <c r="J575" s="89"/>
      <c r="K575" s="17"/>
      <c r="L575" s="88" t="s">
        <v>36</v>
      </c>
      <c r="M575" s="88"/>
      <c r="N575" s="89">
        <v>0</v>
      </c>
      <c r="O575" s="89"/>
    </row>
    <row r="576" spans="1:20" s="1" customFormat="1" ht="13.35" customHeight="1" x14ac:dyDescent="0.25">
      <c r="A576" s="88" t="s">
        <v>37</v>
      </c>
      <c r="B576" s="88"/>
      <c r="C576" s="88"/>
      <c r="D576" s="88"/>
      <c r="E576" s="89">
        <v>5</v>
      </c>
      <c r="F576" s="89"/>
      <c r="G576" s="17"/>
      <c r="H576" s="6" t="s">
        <v>38</v>
      </c>
      <c r="I576" s="89">
        <v>0</v>
      </c>
      <c r="J576" s="89"/>
      <c r="K576" s="17"/>
      <c r="L576" s="88" t="s">
        <v>39</v>
      </c>
      <c r="M576" s="88"/>
      <c r="N576" s="89">
        <v>0</v>
      </c>
      <c r="O576" s="89"/>
    </row>
    <row r="577" spans="1:20" s="1" customFormat="1" ht="13.35" customHeight="1" x14ac:dyDescent="0.25">
      <c r="A577" s="88" t="s">
        <v>40</v>
      </c>
      <c r="B577" s="88"/>
      <c r="C577" s="88"/>
      <c r="D577" s="88"/>
      <c r="E577" s="89">
        <v>9.6</v>
      </c>
      <c r="F577" s="89"/>
      <c r="G577" s="17"/>
      <c r="H577" s="6" t="s">
        <v>41</v>
      </c>
      <c r="I577" s="89">
        <v>0</v>
      </c>
      <c r="J577" s="89"/>
      <c r="K577" s="17"/>
      <c r="L577" s="88" t="s">
        <v>42</v>
      </c>
      <c r="M577" s="88"/>
      <c r="N577" s="89">
        <v>0</v>
      </c>
      <c r="O577" s="89"/>
    </row>
    <row r="578" spans="1:20" s="1" customFormat="1" ht="13.35" customHeight="1" x14ac:dyDescent="0.25">
      <c r="A578" s="88" t="s">
        <v>43</v>
      </c>
      <c r="B578" s="88"/>
      <c r="C578" s="88"/>
      <c r="D578" s="88"/>
      <c r="E578" s="89">
        <v>107</v>
      </c>
      <c r="F578" s="89"/>
      <c r="G578" s="17"/>
      <c r="H578" s="6" t="s">
        <v>44</v>
      </c>
      <c r="I578" s="89">
        <v>0</v>
      </c>
      <c r="J578" s="89"/>
      <c r="K578" s="17"/>
      <c r="L578" s="88" t="s">
        <v>45</v>
      </c>
      <c r="M578" s="88"/>
      <c r="N578" s="89">
        <v>0</v>
      </c>
      <c r="O578" s="89"/>
    </row>
    <row r="579" spans="1:20" s="1" customFormat="1" ht="13.35" customHeight="1" x14ac:dyDescent="0.25">
      <c r="A579" s="87"/>
      <c r="B579" s="87"/>
      <c r="C579" s="87"/>
      <c r="D579" s="87"/>
      <c r="E579" s="87"/>
      <c r="F579" s="87"/>
      <c r="G579" s="17"/>
      <c r="H579" s="6" t="s">
        <v>46</v>
      </c>
      <c r="I579" s="89">
        <v>0</v>
      </c>
      <c r="J579" s="89"/>
      <c r="K579" s="17"/>
      <c r="L579" s="88" t="s">
        <v>47</v>
      </c>
      <c r="M579" s="88"/>
      <c r="N579" s="89">
        <v>0</v>
      </c>
      <c r="O579" s="89"/>
    </row>
    <row r="580" spans="1:20" s="1" customFormat="1" ht="13.35" customHeight="1" x14ac:dyDescent="0.25">
      <c r="A580" s="87"/>
      <c r="B580" s="87"/>
      <c r="C580" s="87"/>
      <c r="D580" s="87"/>
      <c r="E580" s="87"/>
      <c r="F580" s="87"/>
      <c r="G580" s="17"/>
      <c r="H580" s="6" t="s">
        <v>48</v>
      </c>
      <c r="I580" s="89">
        <v>0</v>
      </c>
      <c r="J580" s="89"/>
      <c r="K580" s="17"/>
      <c r="L580" s="88" t="s">
        <v>49</v>
      </c>
      <c r="M580" s="88"/>
      <c r="N580" s="89">
        <v>0</v>
      </c>
      <c r="O580" s="89"/>
    </row>
    <row r="581" spans="1:20" s="1" customFormat="1" ht="13.35" customHeight="1" x14ac:dyDescent="0.25">
      <c r="A581" s="87"/>
      <c r="B581" s="87"/>
      <c r="C581" s="87"/>
      <c r="D581" s="87"/>
      <c r="E581" s="87"/>
      <c r="F581" s="87"/>
      <c r="G581" s="17"/>
      <c r="H581" s="17"/>
      <c r="I581" s="87"/>
      <c r="J581" s="87"/>
      <c r="K581" s="17"/>
      <c r="L581" s="88" t="s">
        <v>50</v>
      </c>
      <c r="M581" s="88"/>
      <c r="N581" s="89">
        <v>0</v>
      </c>
      <c r="O581" s="89"/>
    </row>
    <row r="582" spans="1:20" s="1" customFormat="1" ht="13.35" customHeight="1" x14ac:dyDescent="0.25">
      <c r="A582" s="87"/>
      <c r="B582" s="87"/>
      <c r="C582" s="87"/>
      <c r="D582" s="87"/>
      <c r="E582" s="87"/>
      <c r="F582" s="87"/>
      <c r="G582" s="17"/>
      <c r="H582" s="17"/>
      <c r="I582" s="87"/>
      <c r="J582" s="87"/>
      <c r="K582" s="17"/>
      <c r="L582" s="88" t="s">
        <v>51</v>
      </c>
      <c r="M582" s="88"/>
      <c r="N582" s="89">
        <v>0</v>
      </c>
      <c r="O582" s="89"/>
    </row>
    <row r="583" spans="1:20" s="1" customFormat="1" ht="72.45" customHeight="1" x14ac:dyDescent="0.25">
      <c r="J583" s="100" t="s">
        <v>0</v>
      </c>
      <c r="K583" s="100"/>
      <c r="L583" s="100"/>
      <c r="M583" s="100"/>
      <c r="N583" s="100"/>
      <c r="O583" s="100"/>
      <c r="P583" s="100"/>
      <c r="Q583" s="100"/>
      <c r="R583" s="100"/>
      <c r="S583" s="100"/>
      <c r="T583" s="100"/>
    </row>
    <row r="584" spans="1:20" s="1" customFormat="1" ht="7.05" customHeight="1" x14ac:dyDescent="0.25"/>
    <row r="585" spans="1:20" s="1" customFormat="1" ht="14.1" customHeight="1" x14ac:dyDescent="0.25">
      <c r="B585" s="101" t="s">
        <v>532</v>
      </c>
      <c r="C585" s="101"/>
      <c r="D585" s="101"/>
      <c r="E585" s="101"/>
      <c r="F585" s="101"/>
      <c r="G585" s="101"/>
      <c r="H585" s="101"/>
      <c r="I585" s="101"/>
      <c r="J585" s="101"/>
      <c r="K585" s="101"/>
      <c r="L585" s="101"/>
      <c r="M585" s="101"/>
      <c r="N585" s="101"/>
      <c r="O585" s="101"/>
      <c r="P585" s="101"/>
      <c r="Q585" s="101"/>
      <c r="R585" s="101"/>
    </row>
    <row r="586" spans="1:20" s="1" customFormat="1" ht="14.1" customHeight="1" x14ac:dyDescent="0.25"/>
    <row r="587" spans="1:20" s="1" customFormat="1" ht="14.1" customHeight="1" x14ac:dyDescent="0.25">
      <c r="A587" s="102" t="s">
        <v>2</v>
      </c>
      <c r="B587" s="102"/>
      <c r="C587" s="102"/>
      <c r="D587" s="103" t="s">
        <v>533</v>
      </c>
      <c r="E587" s="103"/>
      <c r="F587" s="103"/>
      <c r="G587" s="103"/>
      <c r="H587" s="103"/>
      <c r="I587" s="103"/>
      <c r="J587" s="103"/>
      <c r="K587" s="103"/>
      <c r="L587" s="103"/>
      <c r="M587" s="103"/>
      <c r="N587" s="103"/>
      <c r="O587" s="103"/>
      <c r="P587" s="103"/>
      <c r="Q587" s="103"/>
      <c r="R587" s="103"/>
      <c r="S587" s="103"/>
      <c r="T587" s="103"/>
    </row>
    <row r="588" spans="1:20" s="1" customFormat="1" ht="14.1" customHeight="1" x14ac:dyDescent="0.25">
      <c r="A588" s="102" t="s">
        <v>4</v>
      </c>
      <c r="B588" s="102"/>
      <c r="C588" s="103" t="s">
        <v>534</v>
      </c>
      <c r="D588" s="103"/>
      <c r="E588" s="103"/>
      <c r="F588" s="103"/>
      <c r="G588" s="103"/>
      <c r="H588" s="103"/>
      <c r="I588" s="103"/>
      <c r="J588" s="103"/>
      <c r="K588" s="103"/>
      <c r="L588" s="103"/>
      <c r="M588" s="103"/>
      <c r="N588" s="103"/>
      <c r="O588" s="103"/>
      <c r="P588" s="103"/>
      <c r="Q588" s="103"/>
      <c r="R588" s="103"/>
      <c r="S588" s="103"/>
      <c r="T588" s="103"/>
    </row>
    <row r="589" spans="1:20" s="1" customFormat="1" ht="14.1" customHeight="1" x14ac:dyDescent="0.25">
      <c r="A589" s="102" t="s">
        <v>6</v>
      </c>
      <c r="B589" s="102"/>
      <c r="C589" s="102"/>
      <c r="D589" s="102"/>
      <c r="E589" s="102"/>
      <c r="F589" s="103" t="s">
        <v>248</v>
      </c>
      <c r="G589" s="103"/>
      <c r="H589" s="103"/>
      <c r="I589" s="103"/>
      <c r="J589" s="103"/>
      <c r="K589" s="103"/>
      <c r="L589" s="103"/>
      <c r="M589" s="103"/>
      <c r="N589" s="103"/>
      <c r="O589" s="103"/>
      <c r="P589" s="103"/>
      <c r="Q589" s="103"/>
      <c r="R589" s="103"/>
      <c r="S589" s="103"/>
      <c r="T589" s="103"/>
    </row>
    <row r="590" spans="1:20" s="1" customFormat="1" ht="22.35" customHeight="1" x14ac:dyDescent="0.25">
      <c r="F590" s="103"/>
      <c r="G590" s="103"/>
      <c r="H590" s="103"/>
      <c r="I590" s="103"/>
      <c r="J590" s="103"/>
      <c r="K590" s="103"/>
      <c r="L590" s="103"/>
      <c r="M590" s="103"/>
      <c r="N590" s="103"/>
      <c r="O590" s="103"/>
      <c r="P590" s="103"/>
      <c r="Q590" s="103"/>
      <c r="R590" s="103"/>
      <c r="S590" s="103"/>
      <c r="T590" s="103"/>
    </row>
    <row r="591" spans="1:20" s="1" customFormat="1" ht="7.05" customHeight="1" x14ac:dyDescent="0.25">
      <c r="A591" s="86"/>
      <c r="B591" s="86"/>
      <c r="C591" s="86"/>
      <c r="D591" s="86"/>
      <c r="E591" s="86"/>
      <c r="F591" s="86"/>
      <c r="G591" s="86"/>
      <c r="H591" s="86"/>
      <c r="I591" s="86"/>
      <c r="J591" s="86"/>
      <c r="K591" s="86"/>
      <c r="L591" s="86"/>
      <c r="M591" s="86"/>
      <c r="N591" s="86"/>
      <c r="O591" s="86"/>
      <c r="P591" s="86"/>
      <c r="Q591" s="16"/>
      <c r="R591" s="86"/>
      <c r="S591" s="86"/>
      <c r="T591" s="86"/>
    </row>
    <row r="592" spans="1:20" s="1" customFormat="1" ht="16.95" customHeight="1" x14ac:dyDescent="0.25">
      <c r="A592" s="94" t="s">
        <v>8</v>
      </c>
      <c r="B592" s="94"/>
      <c r="C592" s="94"/>
      <c r="D592" s="94"/>
      <c r="E592" s="94"/>
      <c r="F592" s="94"/>
      <c r="G592" s="94"/>
      <c r="H592" s="94"/>
      <c r="I592" s="94"/>
      <c r="J592" s="94"/>
      <c r="K592" s="94"/>
      <c r="L592" s="94"/>
      <c r="M592" s="95" t="s">
        <v>9</v>
      </c>
      <c r="N592" s="95"/>
      <c r="O592" s="95"/>
      <c r="P592" s="95"/>
      <c r="Q592" s="95"/>
      <c r="R592" s="95"/>
      <c r="S592" s="95"/>
      <c r="T592" s="95"/>
    </row>
    <row r="593" spans="1:20" s="1" customFormat="1" ht="16.95" customHeight="1" x14ac:dyDescent="0.25">
      <c r="A593" s="94"/>
      <c r="B593" s="94"/>
      <c r="C593" s="94"/>
      <c r="D593" s="94"/>
      <c r="E593" s="94"/>
      <c r="F593" s="94"/>
      <c r="G593" s="94"/>
      <c r="H593" s="94"/>
      <c r="I593" s="94"/>
      <c r="J593" s="94"/>
      <c r="K593" s="94"/>
      <c r="L593" s="94"/>
      <c r="M593" s="96" t="s">
        <v>10</v>
      </c>
      <c r="N593" s="96"/>
      <c r="O593" s="96"/>
      <c r="P593" s="96"/>
      <c r="Q593" s="97" t="s">
        <v>11</v>
      </c>
      <c r="R593" s="97"/>
      <c r="S593" s="97"/>
      <c r="T593" s="97"/>
    </row>
    <row r="594" spans="1:20" s="1" customFormat="1" ht="16.95" customHeight="1" x14ac:dyDescent="0.25">
      <c r="A594" s="94"/>
      <c r="B594" s="94"/>
      <c r="C594" s="94"/>
      <c r="D594" s="94"/>
      <c r="E594" s="94"/>
      <c r="F594" s="94"/>
      <c r="G594" s="94"/>
      <c r="H594" s="94"/>
      <c r="I594" s="94"/>
      <c r="J594" s="94"/>
      <c r="K594" s="94"/>
      <c r="L594" s="94"/>
      <c r="M594" s="98" t="s">
        <v>12</v>
      </c>
      <c r="N594" s="98"/>
      <c r="O594" s="98" t="s">
        <v>13</v>
      </c>
      <c r="P594" s="98"/>
      <c r="Q594" s="13" t="s">
        <v>14</v>
      </c>
      <c r="R594" s="99" t="s">
        <v>15</v>
      </c>
      <c r="S594" s="99"/>
      <c r="T594" s="99"/>
    </row>
    <row r="595" spans="1:20" s="1" customFormat="1" ht="13.35" customHeight="1" x14ac:dyDescent="0.25">
      <c r="A595" s="88" t="s">
        <v>535</v>
      </c>
      <c r="B595" s="88"/>
      <c r="C595" s="88"/>
      <c r="D595" s="88"/>
      <c r="E595" s="88"/>
      <c r="F595" s="88"/>
      <c r="G595" s="88"/>
      <c r="H595" s="88"/>
      <c r="I595" s="88"/>
      <c r="J595" s="88"/>
      <c r="K595" s="88"/>
      <c r="L595" s="88"/>
      <c r="M595" s="88" t="s">
        <v>350</v>
      </c>
      <c r="N595" s="88"/>
      <c r="O595" s="88" t="s">
        <v>350</v>
      </c>
      <c r="P595" s="88"/>
      <c r="Q595" s="6" t="s">
        <v>85</v>
      </c>
      <c r="R595" s="88" t="s">
        <v>85</v>
      </c>
      <c r="S595" s="88"/>
      <c r="T595" s="88"/>
    </row>
    <row r="596" spans="1:20" s="1" customFormat="1" ht="14.1" customHeight="1" x14ac:dyDescent="0.25">
      <c r="A596" s="90" t="s">
        <v>116</v>
      </c>
      <c r="B596" s="90"/>
      <c r="C596" s="90"/>
      <c r="D596" s="90"/>
      <c r="E596" s="90"/>
      <c r="F596" s="90"/>
      <c r="G596" s="90"/>
      <c r="H596" s="90"/>
      <c r="I596" s="90"/>
      <c r="J596" s="90"/>
      <c r="K596" s="90"/>
      <c r="L596" s="90"/>
      <c r="M596" s="90"/>
      <c r="N596" s="90"/>
      <c r="O596" s="90"/>
      <c r="P596" s="90"/>
      <c r="Q596" s="90"/>
      <c r="R596" s="90"/>
      <c r="S596" s="90"/>
      <c r="T596" s="90"/>
    </row>
    <row r="597" spans="1:20" s="1" customFormat="1" ht="21.3" customHeight="1" x14ac:dyDescent="0.25"/>
    <row r="598" spans="1:20" s="1" customFormat="1" ht="14.1" customHeight="1" x14ac:dyDescent="0.25">
      <c r="A598" s="91" t="s">
        <v>33</v>
      </c>
      <c r="B598" s="91"/>
      <c r="C598" s="91"/>
      <c r="D598" s="91"/>
      <c r="E598" s="91"/>
      <c r="F598" s="91"/>
      <c r="G598" s="91"/>
      <c r="H598" s="91"/>
      <c r="I598" s="91"/>
      <c r="J598" s="91"/>
      <c r="K598" s="91"/>
      <c r="L598" s="91"/>
      <c r="M598" s="91"/>
      <c r="N598" s="91"/>
    </row>
    <row r="599" spans="1:20" s="1" customFormat="1" ht="13.35" customHeight="1" x14ac:dyDescent="0.25">
      <c r="A599" s="88" t="s">
        <v>34</v>
      </c>
      <c r="B599" s="88"/>
      <c r="C599" s="88"/>
      <c r="D599" s="88"/>
      <c r="E599" s="89">
        <f>7*0.2</f>
        <v>1.4000000000000001</v>
      </c>
      <c r="F599" s="89"/>
      <c r="G599" s="17"/>
      <c r="H599" s="6" t="s">
        <v>35</v>
      </c>
      <c r="I599" s="89">
        <v>0.02</v>
      </c>
      <c r="J599" s="89"/>
      <c r="K599" s="17"/>
      <c r="L599" s="88" t="s">
        <v>36</v>
      </c>
      <c r="M599" s="88"/>
      <c r="N599" s="89">
        <v>30.6</v>
      </c>
      <c r="O599" s="89"/>
    </row>
    <row r="600" spans="1:20" s="1" customFormat="1" ht="13.35" customHeight="1" x14ac:dyDescent="0.25">
      <c r="A600" s="88" t="s">
        <v>37</v>
      </c>
      <c r="B600" s="88"/>
      <c r="C600" s="88"/>
      <c r="D600" s="88"/>
      <c r="E600" s="89">
        <f>2*0.2</f>
        <v>0.4</v>
      </c>
      <c r="F600" s="89"/>
      <c r="G600" s="17"/>
      <c r="H600" s="6" t="s">
        <v>38</v>
      </c>
      <c r="I600" s="89">
        <v>5.92</v>
      </c>
      <c r="J600" s="89"/>
      <c r="K600" s="17"/>
      <c r="L600" s="88" t="s">
        <v>39</v>
      </c>
      <c r="M600" s="88"/>
      <c r="N600" s="89">
        <v>10.8</v>
      </c>
      <c r="O600" s="89"/>
    </row>
    <row r="601" spans="1:20" s="1" customFormat="1" ht="13.35" customHeight="1" x14ac:dyDescent="0.25">
      <c r="A601" s="88" t="s">
        <v>40</v>
      </c>
      <c r="B601" s="88"/>
      <c r="C601" s="88"/>
      <c r="D601" s="88"/>
      <c r="E601" s="89">
        <f>114*0.2</f>
        <v>22.8</v>
      </c>
      <c r="F601" s="89"/>
      <c r="G601" s="17"/>
      <c r="H601" s="6" t="s">
        <v>41</v>
      </c>
      <c r="I601" s="89">
        <v>0.02</v>
      </c>
      <c r="J601" s="89"/>
      <c r="K601" s="17"/>
      <c r="L601" s="88" t="s">
        <v>42</v>
      </c>
      <c r="M601" s="88"/>
      <c r="N601" s="89">
        <v>32.4</v>
      </c>
      <c r="O601" s="89"/>
    </row>
    <row r="602" spans="1:20" s="1" customFormat="1" ht="13.35" customHeight="1" x14ac:dyDescent="0.25">
      <c r="A602" s="88" t="s">
        <v>43</v>
      </c>
      <c r="B602" s="88"/>
      <c r="C602" s="88"/>
      <c r="D602" s="88"/>
      <c r="E602" s="89">
        <f>502*0.2</f>
        <v>100.4</v>
      </c>
      <c r="F602" s="89"/>
      <c r="G602" s="17"/>
      <c r="H602" s="6" t="s">
        <v>44</v>
      </c>
      <c r="I602" s="89">
        <v>0</v>
      </c>
      <c r="J602" s="89"/>
      <c r="K602" s="17"/>
      <c r="L602" s="88" t="s">
        <v>45</v>
      </c>
      <c r="M602" s="88"/>
      <c r="N602" s="89">
        <v>0.54</v>
      </c>
      <c r="O602" s="89"/>
    </row>
    <row r="603" spans="1:20" s="1" customFormat="1" ht="13.35" customHeight="1" x14ac:dyDescent="0.25">
      <c r="A603" s="87"/>
      <c r="B603" s="87"/>
      <c r="C603" s="87"/>
      <c r="D603" s="87"/>
      <c r="E603" s="87"/>
      <c r="F603" s="87"/>
      <c r="G603" s="17"/>
      <c r="H603" s="6" t="s">
        <v>46</v>
      </c>
      <c r="I603" s="89">
        <v>0</v>
      </c>
      <c r="J603" s="89"/>
      <c r="K603" s="17"/>
      <c r="L603" s="88" t="s">
        <v>47</v>
      </c>
      <c r="M603" s="88"/>
      <c r="N603" s="89">
        <v>500</v>
      </c>
      <c r="O603" s="89"/>
    </row>
    <row r="604" spans="1:20" s="1" customFormat="1" ht="13.35" customHeight="1" x14ac:dyDescent="0.25">
      <c r="A604" s="87"/>
      <c r="B604" s="87"/>
      <c r="C604" s="87"/>
      <c r="D604" s="87"/>
      <c r="E604" s="87"/>
      <c r="F604" s="87"/>
      <c r="G604" s="17"/>
      <c r="H604" s="6" t="s">
        <v>48</v>
      </c>
      <c r="I604" s="89">
        <v>0.03</v>
      </c>
      <c r="J604" s="89"/>
      <c r="K604" s="17"/>
      <c r="L604" s="88" t="s">
        <v>49</v>
      </c>
      <c r="M604" s="88"/>
      <c r="N604" s="89">
        <v>0</v>
      </c>
      <c r="O604" s="89"/>
    </row>
    <row r="605" spans="1:20" s="1" customFormat="1" ht="13.35" customHeight="1" x14ac:dyDescent="0.25">
      <c r="A605" s="87"/>
      <c r="B605" s="87"/>
      <c r="C605" s="87"/>
      <c r="D605" s="87"/>
      <c r="E605" s="87"/>
      <c r="F605" s="87"/>
      <c r="G605" s="17"/>
      <c r="H605" s="17"/>
      <c r="I605" s="87"/>
      <c r="J605" s="87"/>
      <c r="K605" s="17"/>
      <c r="L605" s="88" t="s">
        <v>50</v>
      </c>
      <c r="M605" s="88"/>
      <c r="N605" s="89">
        <v>0</v>
      </c>
      <c r="O605" s="89"/>
    </row>
    <row r="606" spans="1:20" s="1" customFormat="1" ht="13.35" customHeight="1" x14ac:dyDescent="0.25">
      <c r="A606" s="87"/>
      <c r="B606" s="87"/>
      <c r="C606" s="87"/>
      <c r="D606" s="87"/>
      <c r="E606" s="87"/>
      <c r="F606" s="87"/>
      <c r="G606" s="17"/>
      <c r="H606" s="17"/>
      <c r="I606" s="87"/>
      <c r="J606" s="87"/>
      <c r="K606" s="17"/>
      <c r="L606" s="88" t="s">
        <v>51</v>
      </c>
      <c r="M606" s="88"/>
      <c r="N606" s="89">
        <v>0</v>
      </c>
      <c r="O606" s="89"/>
    </row>
    <row r="607" spans="1:20" s="1" customFormat="1" ht="14.1" customHeight="1" x14ac:dyDescent="0.25">
      <c r="A607" s="86"/>
      <c r="B607" s="86"/>
      <c r="C607" s="86"/>
      <c r="D607" s="86"/>
      <c r="E607" s="86"/>
      <c r="F607" s="86"/>
      <c r="G607" s="86"/>
      <c r="H607" s="86"/>
      <c r="I607" s="86"/>
      <c r="J607" s="86"/>
      <c r="K607" s="86"/>
      <c r="L607" s="86"/>
      <c r="M607" s="86"/>
      <c r="N607" s="86"/>
      <c r="O607" s="86"/>
      <c r="P607" s="86"/>
      <c r="Q607" s="86"/>
      <c r="R607" s="86"/>
      <c r="S607" s="86"/>
    </row>
    <row r="608" spans="1:20" s="1" customFormat="1" ht="14.1" customHeight="1" x14ac:dyDescent="0.25">
      <c r="A608" s="84" t="s">
        <v>52</v>
      </c>
      <c r="B608" s="84"/>
      <c r="C608" s="84"/>
      <c r="D608" s="84"/>
      <c r="E608" s="84"/>
      <c r="F608" s="84"/>
      <c r="G608" s="84"/>
      <c r="H608" s="84"/>
      <c r="I608" s="84"/>
      <c r="J608" s="84"/>
      <c r="K608" s="84"/>
      <c r="L608" s="84"/>
      <c r="M608" s="84"/>
      <c r="N608" s="84"/>
      <c r="O608" s="84"/>
      <c r="P608" s="84"/>
      <c r="Q608" s="84"/>
      <c r="R608" s="84"/>
      <c r="S608" s="84"/>
    </row>
    <row r="609" spans="1:20" s="1" customFormat="1" ht="12.15" customHeight="1" x14ac:dyDescent="0.25">
      <c r="A609" s="85" t="s">
        <v>536</v>
      </c>
      <c r="B609" s="85"/>
      <c r="C609" s="85"/>
      <c r="D609" s="85"/>
      <c r="E609" s="85"/>
      <c r="F609" s="85"/>
      <c r="G609" s="85"/>
      <c r="H609" s="85"/>
      <c r="I609" s="85"/>
      <c r="J609" s="85"/>
      <c r="K609" s="85"/>
      <c r="L609" s="85"/>
      <c r="M609" s="85"/>
      <c r="N609" s="85"/>
      <c r="O609" s="85"/>
      <c r="P609" s="85"/>
      <c r="Q609" s="85"/>
      <c r="R609" s="85"/>
      <c r="S609" s="85"/>
    </row>
    <row r="610" spans="1:20" s="1" customFormat="1" ht="14.1" customHeight="1" x14ac:dyDescent="0.25">
      <c r="A610" s="84" t="s">
        <v>54</v>
      </c>
      <c r="B610" s="84"/>
      <c r="C610" s="84"/>
      <c r="D610" s="84"/>
      <c r="E610" s="84"/>
      <c r="F610" s="84"/>
      <c r="G610" s="84"/>
      <c r="H610" s="84"/>
      <c r="I610" s="84"/>
      <c r="J610" s="84"/>
      <c r="K610" s="84"/>
      <c r="L610" s="84"/>
      <c r="M610" s="84"/>
      <c r="N610" s="84"/>
      <c r="O610" s="84"/>
      <c r="P610" s="84"/>
      <c r="Q610" s="84"/>
      <c r="R610" s="84"/>
      <c r="S610" s="84"/>
    </row>
    <row r="611" spans="1:20" s="1" customFormat="1" ht="12.15" customHeight="1" x14ac:dyDescent="0.25">
      <c r="A611" s="85" t="s">
        <v>724</v>
      </c>
      <c r="B611" s="85"/>
      <c r="C611" s="85"/>
      <c r="D611" s="85"/>
      <c r="E611" s="85"/>
      <c r="F611" s="85"/>
      <c r="G611" s="85"/>
      <c r="H611" s="85"/>
      <c r="I611" s="85"/>
      <c r="J611" s="85"/>
      <c r="K611" s="85"/>
      <c r="L611" s="85"/>
      <c r="M611" s="85"/>
      <c r="N611" s="85"/>
      <c r="O611" s="85"/>
      <c r="P611" s="85"/>
      <c r="Q611" s="85"/>
      <c r="R611" s="85"/>
      <c r="S611" s="85"/>
    </row>
    <row r="612" spans="1:20" s="1" customFormat="1" ht="14.1" customHeight="1" x14ac:dyDescent="0.25">
      <c r="A612" s="86"/>
      <c r="B612" s="86"/>
      <c r="C612" s="86"/>
      <c r="D612" s="86"/>
      <c r="E612" s="86"/>
      <c r="F612" s="86"/>
      <c r="G612" s="86"/>
      <c r="H612" s="86"/>
      <c r="I612" s="86"/>
      <c r="J612" s="86"/>
      <c r="K612" s="86"/>
      <c r="L612" s="86"/>
      <c r="M612" s="86"/>
      <c r="N612" s="86"/>
      <c r="O612" s="86"/>
      <c r="P612" s="86"/>
      <c r="Q612" s="86"/>
      <c r="R612" s="86"/>
      <c r="S612" s="86"/>
    </row>
    <row r="613" spans="1:20" s="1" customFormat="1" ht="14.1" customHeight="1" x14ac:dyDescent="0.25">
      <c r="A613" s="84" t="s">
        <v>56</v>
      </c>
      <c r="B613" s="84"/>
      <c r="C613" s="84"/>
      <c r="D613" s="84"/>
      <c r="E613" s="84"/>
      <c r="F613" s="84"/>
      <c r="G613" s="84"/>
      <c r="H613" s="84"/>
      <c r="I613" s="84"/>
      <c r="J613" s="84"/>
      <c r="K613" s="84"/>
      <c r="L613" s="84"/>
      <c r="M613" s="84"/>
      <c r="N613" s="84"/>
      <c r="O613" s="84"/>
      <c r="P613" s="84"/>
      <c r="Q613" s="84"/>
      <c r="R613" s="84"/>
      <c r="S613" s="84"/>
    </row>
    <row r="614" spans="1:20" s="1" customFormat="1" ht="49.2" customHeight="1" x14ac:dyDescent="0.25">
      <c r="A614" s="85" t="s">
        <v>537</v>
      </c>
      <c r="B614" s="85"/>
      <c r="C614" s="85"/>
      <c r="D614" s="85"/>
      <c r="E614" s="85"/>
      <c r="F614" s="85"/>
      <c r="G614" s="85"/>
      <c r="H614" s="85"/>
      <c r="I614" s="85"/>
      <c r="J614" s="85"/>
      <c r="K614" s="85"/>
      <c r="L614" s="85"/>
      <c r="M614" s="85"/>
      <c r="N614" s="85"/>
      <c r="O614" s="85"/>
      <c r="P614" s="85"/>
      <c r="Q614" s="85"/>
      <c r="R614" s="85"/>
      <c r="S614" s="85"/>
    </row>
    <row r="615" spans="1:20" s="1" customFormat="1" ht="72.45" customHeight="1" x14ac:dyDescent="0.25">
      <c r="J615" s="100" t="s">
        <v>0</v>
      </c>
      <c r="K615" s="100"/>
      <c r="L615" s="100"/>
      <c r="M615" s="100"/>
      <c r="N615" s="100"/>
      <c r="O615" s="100"/>
      <c r="P615" s="100"/>
      <c r="Q615" s="100"/>
      <c r="R615" s="100"/>
      <c r="S615" s="100"/>
      <c r="T615" s="100"/>
    </row>
    <row r="616" spans="1:20" s="1" customFormat="1" ht="7.05" customHeight="1" x14ac:dyDescent="0.25"/>
    <row r="617" spans="1:20" s="1" customFormat="1" ht="14.1" customHeight="1" x14ac:dyDescent="0.25">
      <c r="B617" s="101" t="s">
        <v>532</v>
      </c>
      <c r="C617" s="101"/>
      <c r="D617" s="101"/>
      <c r="E617" s="101"/>
      <c r="F617" s="101"/>
      <c r="G617" s="101"/>
      <c r="H617" s="101"/>
      <c r="I617" s="101"/>
      <c r="J617" s="101"/>
      <c r="K617" s="101"/>
      <c r="L617" s="101"/>
      <c r="M617" s="101"/>
      <c r="N617" s="101"/>
      <c r="O617" s="101"/>
      <c r="P617" s="101"/>
      <c r="Q617" s="101"/>
      <c r="R617" s="101"/>
    </row>
    <row r="618" spans="1:20" s="1" customFormat="1" ht="14.1" customHeight="1" x14ac:dyDescent="0.25"/>
    <row r="619" spans="1:20" s="1" customFormat="1" ht="14.1" customHeight="1" x14ac:dyDescent="0.25">
      <c r="A619" s="102" t="s">
        <v>2</v>
      </c>
      <c r="B619" s="102"/>
      <c r="C619" s="102"/>
      <c r="D619" s="103" t="s">
        <v>538</v>
      </c>
      <c r="E619" s="103"/>
      <c r="F619" s="103"/>
      <c r="G619" s="103"/>
      <c r="H619" s="103"/>
      <c r="I619" s="103"/>
      <c r="J619" s="103"/>
      <c r="K619" s="103"/>
      <c r="L619" s="103"/>
      <c r="M619" s="103"/>
      <c r="N619" s="103"/>
      <c r="O619" s="103"/>
      <c r="P619" s="103"/>
      <c r="Q619" s="103"/>
      <c r="R619" s="103"/>
      <c r="S619" s="103"/>
      <c r="T619" s="103"/>
    </row>
    <row r="620" spans="1:20" s="1" customFormat="1" ht="14.1" customHeight="1" x14ac:dyDescent="0.25">
      <c r="A620" s="102" t="s">
        <v>4</v>
      </c>
      <c r="B620" s="102"/>
      <c r="C620" s="103" t="s">
        <v>534</v>
      </c>
      <c r="D620" s="103"/>
      <c r="E620" s="103"/>
      <c r="F620" s="103"/>
      <c r="G620" s="103"/>
      <c r="H620" s="103"/>
      <c r="I620" s="103"/>
      <c r="J620" s="103"/>
      <c r="K620" s="103"/>
      <c r="L620" s="103"/>
      <c r="M620" s="103"/>
      <c r="N620" s="103"/>
      <c r="O620" s="103"/>
      <c r="P620" s="103"/>
      <c r="Q620" s="103"/>
      <c r="R620" s="103"/>
      <c r="S620" s="103"/>
      <c r="T620" s="103"/>
    </row>
    <row r="621" spans="1:20" s="1" customFormat="1" ht="14.1" customHeight="1" x14ac:dyDescent="0.25">
      <c r="A621" s="102" t="s">
        <v>6</v>
      </c>
      <c r="B621" s="102"/>
      <c r="C621" s="102"/>
      <c r="D621" s="102"/>
      <c r="E621" s="102"/>
      <c r="F621" s="103" t="s">
        <v>320</v>
      </c>
      <c r="G621" s="103"/>
      <c r="H621" s="103"/>
      <c r="I621" s="103"/>
      <c r="J621" s="103"/>
      <c r="K621" s="103"/>
      <c r="L621" s="103"/>
      <c r="M621" s="103"/>
      <c r="N621" s="103"/>
      <c r="O621" s="103"/>
      <c r="P621" s="103"/>
      <c r="Q621" s="103"/>
      <c r="R621" s="103"/>
      <c r="S621" s="103"/>
      <c r="T621" s="103"/>
    </row>
    <row r="622" spans="1:20" s="1" customFormat="1" ht="22.35" customHeight="1" x14ac:dyDescent="0.25">
      <c r="F622" s="103"/>
      <c r="G622" s="103"/>
      <c r="H622" s="103"/>
      <c r="I622" s="103"/>
      <c r="J622" s="103"/>
      <c r="K622" s="103"/>
      <c r="L622" s="103"/>
      <c r="M622" s="103"/>
      <c r="N622" s="103"/>
      <c r="O622" s="103"/>
      <c r="P622" s="103"/>
      <c r="Q622" s="103"/>
      <c r="R622" s="103"/>
      <c r="S622" s="103"/>
      <c r="T622" s="103"/>
    </row>
    <row r="623" spans="1:20" s="1" customFormat="1" ht="7.05" customHeight="1" x14ac:dyDescent="0.25">
      <c r="A623" s="86"/>
      <c r="B623" s="86"/>
      <c r="C623" s="86"/>
      <c r="D623" s="86"/>
      <c r="E623" s="86"/>
      <c r="F623" s="86"/>
      <c r="G623" s="86"/>
      <c r="H623" s="86"/>
      <c r="I623" s="86"/>
      <c r="J623" s="86"/>
      <c r="K623" s="86"/>
      <c r="L623" s="86"/>
      <c r="M623" s="86"/>
      <c r="N623" s="86"/>
      <c r="O623" s="86"/>
      <c r="P623" s="86"/>
      <c r="Q623" s="16"/>
      <c r="R623" s="86"/>
      <c r="S623" s="86"/>
      <c r="T623" s="86"/>
    </row>
    <row r="624" spans="1:20" s="1" customFormat="1" ht="16.95" customHeight="1" x14ac:dyDescent="0.25">
      <c r="A624" s="94" t="s">
        <v>8</v>
      </c>
      <c r="B624" s="94"/>
      <c r="C624" s="94"/>
      <c r="D624" s="94"/>
      <c r="E624" s="94"/>
      <c r="F624" s="94"/>
      <c r="G624" s="94"/>
      <c r="H624" s="94"/>
      <c r="I624" s="94"/>
      <c r="J624" s="94"/>
      <c r="K624" s="94"/>
      <c r="L624" s="94"/>
      <c r="M624" s="95" t="s">
        <v>9</v>
      </c>
      <c r="N624" s="95"/>
      <c r="O624" s="95"/>
      <c r="P624" s="95"/>
      <c r="Q624" s="95"/>
      <c r="R624" s="95"/>
      <c r="S624" s="95"/>
      <c r="T624" s="95"/>
    </row>
    <row r="625" spans="1:20" s="1" customFormat="1" ht="16.95" customHeight="1" x14ac:dyDescent="0.25">
      <c r="A625" s="94"/>
      <c r="B625" s="94"/>
      <c r="C625" s="94"/>
      <c r="D625" s="94"/>
      <c r="E625" s="94"/>
      <c r="F625" s="94"/>
      <c r="G625" s="94"/>
      <c r="H625" s="94"/>
      <c r="I625" s="94"/>
      <c r="J625" s="94"/>
      <c r="K625" s="94"/>
      <c r="L625" s="94"/>
      <c r="M625" s="96" t="s">
        <v>10</v>
      </c>
      <c r="N625" s="96"/>
      <c r="O625" s="96"/>
      <c r="P625" s="96"/>
      <c r="Q625" s="97" t="s">
        <v>11</v>
      </c>
      <c r="R625" s="97"/>
      <c r="S625" s="97"/>
      <c r="T625" s="97"/>
    </row>
    <row r="626" spans="1:20" s="1" customFormat="1" ht="16.95" customHeight="1" x14ac:dyDescent="0.25">
      <c r="A626" s="94"/>
      <c r="B626" s="94"/>
      <c r="C626" s="94"/>
      <c r="D626" s="94"/>
      <c r="E626" s="94"/>
      <c r="F626" s="94"/>
      <c r="G626" s="94"/>
      <c r="H626" s="94"/>
      <c r="I626" s="94"/>
      <c r="J626" s="94"/>
      <c r="K626" s="94"/>
      <c r="L626" s="94"/>
      <c r="M626" s="98" t="s">
        <v>12</v>
      </c>
      <c r="N626" s="98"/>
      <c r="O626" s="98" t="s">
        <v>13</v>
      </c>
      <c r="P626" s="98"/>
      <c r="Q626" s="13" t="s">
        <v>14</v>
      </c>
      <c r="R626" s="99" t="s">
        <v>15</v>
      </c>
      <c r="S626" s="99"/>
      <c r="T626" s="99"/>
    </row>
    <row r="627" spans="1:20" s="1" customFormat="1" ht="13.35" customHeight="1" x14ac:dyDescent="0.25">
      <c r="A627" s="88" t="s">
        <v>539</v>
      </c>
      <c r="B627" s="88"/>
      <c r="C627" s="88"/>
      <c r="D627" s="88"/>
      <c r="E627" s="88"/>
      <c r="F627" s="88"/>
      <c r="G627" s="88"/>
      <c r="H627" s="88"/>
      <c r="I627" s="88"/>
      <c r="J627" s="88"/>
      <c r="K627" s="88"/>
      <c r="L627" s="88"/>
      <c r="M627" s="88" t="s">
        <v>350</v>
      </c>
      <c r="N627" s="88"/>
      <c r="O627" s="88" t="s">
        <v>350</v>
      </c>
      <c r="P627" s="88"/>
      <c r="Q627" s="6" t="s">
        <v>85</v>
      </c>
      <c r="R627" s="88" t="s">
        <v>85</v>
      </c>
      <c r="S627" s="88"/>
      <c r="T627" s="88"/>
    </row>
    <row r="628" spans="1:20" s="1" customFormat="1" ht="14.1" customHeight="1" x14ac:dyDescent="0.25">
      <c r="A628" s="90" t="s">
        <v>116</v>
      </c>
      <c r="B628" s="90"/>
      <c r="C628" s="90"/>
      <c r="D628" s="90"/>
      <c r="E628" s="90"/>
      <c r="F628" s="90"/>
      <c r="G628" s="90"/>
      <c r="H628" s="90"/>
      <c r="I628" s="90"/>
      <c r="J628" s="90"/>
      <c r="K628" s="90"/>
      <c r="L628" s="90"/>
      <c r="M628" s="90"/>
      <c r="N628" s="90"/>
      <c r="O628" s="90"/>
      <c r="P628" s="90"/>
      <c r="Q628" s="90"/>
      <c r="R628" s="90"/>
      <c r="S628" s="90"/>
      <c r="T628" s="90"/>
    </row>
    <row r="629" spans="1:20" s="1" customFormat="1" ht="21.3" customHeight="1" x14ac:dyDescent="0.25"/>
    <row r="630" spans="1:20" s="1" customFormat="1" ht="14.1" customHeight="1" x14ac:dyDescent="0.25">
      <c r="A630" s="91" t="s">
        <v>33</v>
      </c>
      <c r="B630" s="91"/>
      <c r="C630" s="91"/>
      <c r="D630" s="91"/>
      <c r="E630" s="91"/>
      <c r="F630" s="91"/>
      <c r="G630" s="91"/>
      <c r="H630" s="91"/>
      <c r="I630" s="91"/>
      <c r="J630" s="91"/>
      <c r="K630" s="91"/>
      <c r="L630" s="91"/>
      <c r="M630" s="91"/>
      <c r="N630" s="91"/>
    </row>
    <row r="631" spans="1:20" s="1" customFormat="1" ht="13.35" customHeight="1" x14ac:dyDescent="0.25">
      <c r="A631" s="88" t="s">
        <v>34</v>
      </c>
      <c r="B631" s="88"/>
      <c r="C631" s="88"/>
      <c r="D631" s="88"/>
      <c r="E631" s="89">
        <v>1</v>
      </c>
      <c r="F631" s="89"/>
      <c r="G631" s="17"/>
      <c r="H631" s="6" t="s">
        <v>35</v>
      </c>
      <c r="I631" s="89">
        <v>0.02</v>
      </c>
      <c r="J631" s="89"/>
      <c r="K631" s="17"/>
      <c r="L631" s="88" t="s">
        <v>36</v>
      </c>
      <c r="M631" s="88"/>
      <c r="N631" s="89">
        <v>12.6</v>
      </c>
      <c r="O631" s="89"/>
    </row>
    <row r="632" spans="1:20" s="1" customFormat="1" ht="13.35" customHeight="1" x14ac:dyDescent="0.25">
      <c r="A632" s="88" t="s">
        <v>37</v>
      </c>
      <c r="B632" s="88"/>
      <c r="C632" s="88"/>
      <c r="D632" s="88"/>
      <c r="E632" s="89">
        <v>0</v>
      </c>
      <c r="F632" s="89"/>
      <c r="G632" s="17"/>
      <c r="H632" s="6" t="s">
        <v>38</v>
      </c>
      <c r="I632" s="89">
        <v>1.6</v>
      </c>
      <c r="J632" s="89"/>
      <c r="K632" s="17"/>
      <c r="L632" s="88" t="s">
        <v>39</v>
      </c>
      <c r="M632" s="88"/>
      <c r="N632" s="89">
        <v>7.2</v>
      </c>
      <c r="O632" s="89"/>
    </row>
    <row r="633" spans="1:20" s="1" customFormat="1" ht="13.35" customHeight="1" x14ac:dyDescent="0.25">
      <c r="A633" s="88" t="s">
        <v>40</v>
      </c>
      <c r="B633" s="88"/>
      <c r="C633" s="88"/>
      <c r="D633" s="88"/>
      <c r="E633" s="89">
        <v>20.2</v>
      </c>
      <c r="F633" s="89"/>
      <c r="G633" s="17"/>
      <c r="H633" s="6" t="s">
        <v>41</v>
      </c>
      <c r="I633" s="89">
        <v>0</v>
      </c>
      <c r="J633" s="89"/>
      <c r="K633" s="17"/>
      <c r="L633" s="88" t="s">
        <v>42</v>
      </c>
      <c r="M633" s="88"/>
      <c r="N633" s="89">
        <v>12.6</v>
      </c>
      <c r="O633" s="89"/>
    </row>
    <row r="634" spans="1:20" s="1" customFormat="1" ht="13.35" customHeight="1" x14ac:dyDescent="0.25">
      <c r="A634" s="88" t="s">
        <v>43</v>
      </c>
      <c r="B634" s="88"/>
      <c r="C634" s="88"/>
      <c r="D634" s="88"/>
      <c r="E634" s="89">
        <v>84.8</v>
      </c>
      <c r="F634" s="89"/>
      <c r="G634" s="17"/>
      <c r="H634" s="6" t="s">
        <v>44</v>
      </c>
      <c r="I634" s="89">
        <v>0</v>
      </c>
      <c r="J634" s="89"/>
      <c r="K634" s="17"/>
      <c r="L634" s="88" t="s">
        <v>45</v>
      </c>
      <c r="M634" s="88"/>
      <c r="N634" s="89">
        <v>2.52</v>
      </c>
      <c r="O634" s="89"/>
    </row>
    <row r="635" spans="1:20" s="1" customFormat="1" ht="13.35" customHeight="1" x14ac:dyDescent="0.25">
      <c r="A635" s="87"/>
      <c r="B635" s="87"/>
      <c r="C635" s="87"/>
      <c r="D635" s="87"/>
      <c r="E635" s="87">
        <v>4.8</v>
      </c>
      <c r="F635" s="87"/>
      <c r="G635" s="17"/>
      <c r="H635" s="6" t="s">
        <v>46</v>
      </c>
      <c r="I635" s="89">
        <v>0</v>
      </c>
      <c r="J635" s="89"/>
      <c r="K635" s="17"/>
      <c r="L635" s="88" t="s">
        <v>47</v>
      </c>
      <c r="M635" s="88"/>
      <c r="N635" s="89">
        <v>240</v>
      </c>
      <c r="O635" s="89"/>
    </row>
    <row r="636" spans="1:20" s="1" customFormat="1" ht="13.35" customHeight="1" x14ac:dyDescent="0.25">
      <c r="A636" s="87"/>
      <c r="B636" s="87"/>
      <c r="C636" s="87"/>
      <c r="D636" s="87"/>
      <c r="E636" s="87"/>
      <c r="F636" s="87"/>
      <c r="G636" s="17"/>
      <c r="H636" s="6" t="s">
        <v>48</v>
      </c>
      <c r="I636" s="89">
        <v>0.02</v>
      </c>
      <c r="J636" s="89"/>
      <c r="K636" s="17"/>
      <c r="L636" s="88" t="s">
        <v>49</v>
      </c>
      <c r="M636" s="88"/>
      <c r="N636" s="89">
        <v>2</v>
      </c>
      <c r="O636" s="89"/>
    </row>
    <row r="637" spans="1:20" s="1" customFormat="1" ht="13.35" customHeight="1" x14ac:dyDescent="0.25">
      <c r="A637" s="87"/>
      <c r="B637" s="87"/>
      <c r="C637" s="87"/>
      <c r="D637" s="87"/>
      <c r="E637" s="87"/>
      <c r="F637" s="87"/>
      <c r="G637" s="17"/>
      <c r="H637" s="17"/>
      <c r="I637" s="87"/>
      <c r="J637" s="87"/>
      <c r="K637" s="17"/>
      <c r="L637" s="88" t="s">
        <v>50</v>
      </c>
      <c r="M637" s="88"/>
      <c r="N637" s="89">
        <v>0</v>
      </c>
      <c r="O637" s="89"/>
    </row>
    <row r="638" spans="1:20" s="1" customFormat="1" ht="13.35" customHeight="1" x14ac:dyDescent="0.25">
      <c r="A638" s="87"/>
      <c r="B638" s="87"/>
      <c r="C638" s="87"/>
      <c r="D638" s="87"/>
      <c r="E638" s="87"/>
      <c r="F638" s="87"/>
      <c r="G638" s="17"/>
      <c r="H638" s="17"/>
      <c r="I638" s="87"/>
      <c r="J638" s="87"/>
      <c r="K638" s="17"/>
      <c r="L638" s="88" t="s">
        <v>51</v>
      </c>
      <c r="M638" s="88"/>
      <c r="N638" s="89">
        <v>0</v>
      </c>
      <c r="O638" s="89"/>
    </row>
    <row r="639" spans="1:20" s="1" customFormat="1" ht="14.1" customHeight="1" x14ac:dyDescent="0.25">
      <c r="A639" s="86"/>
      <c r="B639" s="86"/>
      <c r="C639" s="86"/>
      <c r="D639" s="86"/>
      <c r="E639" s="86"/>
      <c r="F639" s="86"/>
      <c r="G639" s="86"/>
      <c r="H639" s="86"/>
      <c r="I639" s="86"/>
      <c r="J639" s="86"/>
      <c r="K639" s="86"/>
      <c r="L639" s="86"/>
      <c r="M639" s="86"/>
      <c r="N639" s="86"/>
      <c r="O639" s="86"/>
      <c r="P639" s="86"/>
      <c r="Q639" s="86"/>
      <c r="R639" s="86"/>
      <c r="S639" s="86"/>
    </row>
    <row r="640" spans="1:20" s="1" customFormat="1" ht="14.1" customHeight="1" x14ac:dyDescent="0.25">
      <c r="A640" s="84" t="s">
        <v>52</v>
      </c>
      <c r="B640" s="84"/>
      <c r="C640" s="84"/>
      <c r="D640" s="84"/>
      <c r="E640" s="84"/>
      <c r="F640" s="84"/>
      <c r="G640" s="84"/>
      <c r="H640" s="84"/>
      <c r="I640" s="84"/>
      <c r="J640" s="84"/>
      <c r="K640" s="84"/>
      <c r="L640" s="84"/>
      <c r="M640" s="84"/>
      <c r="N640" s="84"/>
      <c r="O640" s="84"/>
      <c r="P640" s="84"/>
      <c r="Q640" s="84"/>
      <c r="R640" s="84"/>
      <c r="S640" s="84"/>
    </row>
    <row r="641" spans="1:20" s="1" customFormat="1" ht="12.15" customHeight="1" x14ac:dyDescent="0.25">
      <c r="A641" s="85" t="s">
        <v>536</v>
      </c>
      <c r="B641" s="85"/>
      <c r="C641" s="85"/>
      <c r="D641" s="85"/>
      <c r="E641" s="85"/>
      <c r="F641" s="85"/>
      <c r="G641" s="85"/>
      <c r="H641" s="85"/>
      <c r="I641" s="85"/>
      <c r="J641" s="85"/>
      <c r="K641" s="85"/>
      <c r="L641" s="85"/>
      <c r="M641" s="85"/>
      <c r="N641" s="85"/>
      <c r="O641" s="85"/>
      <c r="P641" s="85"/>
      <c r="Q641" s="85"/>
      <c r="R641" s="85"/>
      <c r="S641" s="85"/>
    </row>
    <row r="642" spans="1:20" s="1" customFormat="1" ht="14.1" customHeight="1" x14ac:dyDescent="0.25">
      <c r="A642" s="84" t="s">
        <v>54</v>
      </c>
      <c r="B642" s="84"/>
      <c r="C642" s="84"/>
      <c r="D642" s="84"/>
      <c r="E642" s="84"/>
      <c r="F642" s="84"/>
      <c r="G642" s="84"/>
      <c r="H642" s="84"/>
      <c r="I642" s="84"/>
      <c r="J642" s="84"/>
      <c r="K642" s="84"/>
      <c r="L642" s="84"/>
      <c r="M642" s="84"/>
      <c r="N642" s="84"/>
      <c r="O642" s="84"/>
      <c r="P642" s="84"/>
      <c r="Q642" s="84"/>
      <c r="R642" s="84"/>
      <c r="S642" s="84"/>
    </row>
    <row r="643" spans="1:20" s="1" customFormat="1" ht="12.15" customHeight="1" x14ac:dyDescent="0.25">
      <c r="A643" s="85" t="s">
        <v>724</v>
      </c>
      <c r="B643" s="85"/>
      <c r="C643" s="85"/>
      <c r="D643" s="85"/>
      <c r="E643" s="85"/>
      <c r="F643" s="85"/>
      <c r="G643" s="85"/>
      <c r="H643" s="85"/>
      <c r="I643" s="85"/>
      <c r="J643" s="85"/>
      <c r="K643" s="85"/>
      <c r="L643" s="85"/>
      <c r="M643" s="85"/>
      <c r="N643" s="85"/>
      <c r="O643" s="85"/>
      <c r="P643" s="85"/>
      <c r="Q643" s="85"/>
      <c r="R643" s="85"/>
      <c r="S643" s="85"/>
    </row>
    <row r="644" spans="1:20" s="1" customFormat="1" ht="14.1" customHeight="1" x14ac:dyDescent="0.25">
      <c r="A644" s="86"/>
      <c r="B644" s="86"/>
      <c r="C644" s="86"/>
      <c r="D644" s="86"/>
      <c r="E644" s="86"/>
      <c r="F644" s="86"/>
      <c r="G644" s="86"/>
      <c r="H644" s="86"/>
      <c r="I644" s="86"/>
      <c r="J644" s="86"/>
      <c r="K644" s="86"/>
      <c r="L644" s="86"/>
      <c r="M644" s="86"/>
      <c r="N644" s="86"/>
      <c r="O644" s="86"/>
      <c r="P644" s="86"/>
      <c r="Q644" s="86"/>
      <c r="R644" s="86"/>
      <c r="S644" s="86"/>
    </row>
    <row r="645" spans="1:20" s="1" customFormat="1" ht="14.1" customHeight="1" x14ac:dyDescent="0.25">
      <c r="A645" s="84" t="s">
        <v>56</v>
      </c>
      <c r="B645" s="84"/>
      <c r="C645" s="84"/>
      <c r="D645" s="84"/>
      <c r="E645" s="84"/>
      <c r="F645" s="84"/>
      <c r="G645" s="84"/>
      <c r="H645" s="84"/>
      <c r="I645" s="84"/>
      <c r="J645" s="84"/>
      <c r="K645" s="84"/>
      <c r="L645" s="84"/>
      <c r="M645" s="84"/>
      <c r="N645" s="84"/>
      <c r="O645" s="84"/>
      <c r="P645" s="84"/>
      <c r="Q645" s="84"/>
      <c r="R645" s="84"/>
      <c r="S645" s="84"/>
    </row>
    <row r="646" spans="1:20" s="1" customFormat="1" ht="49.2" customHeight="1" x14ac:dyDescent="0.25">
      <c r="A646" s="85" t="s">
        <v>537</v>
      </c>
      <c r="B646" s="85"/>
      <c r="C646" s="85"/>
      <c r="D646" s="85"/>
      <c r="E646" s="85"/>
      <c r="F646" s="85"/>
      <c r="G646" s="85"/>
      <c r="H646" s="85"/>
      <c r="I646" s="85"/>
      <c r="J646" s="85"/>
      <c r="K646" s="85"/>
      <c r="L646" s="85"/>
      <c r="M646" s="85"/>
      <c r="N646" s="85"/>
      <c r="O646" s="85"/>
      <c r="P646" s="85"/>
      <c r="Q646" s="85"/>
      <c r="R646" s="85"/>
      <c r="S646" s="85"/>
    </row>
    <row r="647" spans="1:20" s="1" customFormat="1" ht="72.45" customHeight="1" x14ac:dyDescent="0.25">
      <c r="J647" s="100" t="s">
        <v>0</v>
      </c>
      <c r="K647" s="100"/>
      <c r="L647" s="100"/>
      <c r="M647" s="100"/>
      <c r="N647" s="100"/>
      <c r="O647" s="100"/>
      <c r="P647" s="100"/>
      <c r="Q647" s="100"/>
      <c r="R647" s="100"/>
      <c r="S647" s="100"/>
      <c r="T647" s="100"/>
    </row>
    <row r="648" spans="1:20" s="1" customFormat="1" ht="7.05" customHeight="1" x14ac:dyDescent="0.25"/>
    <row r="649" spans="1:20" s="1" customFormat="1" ht="14.1" customHeight="1" x14ac:dyDescent="0.25">
      <c r="B649" s="101" t="s">
        <v>532</v>
      </c>
      <c r="C649" s="101"/>
      <c r="D649" s="101"/>
      <c r="E649" s="101"/>
      <c r="F649" s="101"/>
      <c r="G649" s="101"/>
      <c r="H649" s="101"/>
      <c r="I649" s="101"/>
      <c r="J649" s="101"/>
      <c r="K649" s="101"/>
      <c r="L649" s="101"/>
      <c r="M649" s="101"/>
      <c r="N649" s="101"/>
      <c r="O649" s="101"/>
      <c r="P649" s="101"/>
      <c r="Q649" s="101"/>
      <c r="R649" s="101"/>
    </row>
    <row r="650" spans="1:20" s="1" customFormat="1" ht="14.1" customHeight="1" x14ac:dyDescent="0.25"/>
    <row r="651" spans="1:20" s="1" customFormat="1" ht="14.1" customHeight="1" x14ac:dyDescent="0.25">
      <c r="A651" s="102" t="s">
        <v>2</v>
      </c>
      <c r="B651" s="102"/>
      <c r="C651" s="102"/>
      <c r="D651" s="103" t="s">
        <v>540</v>
      </c>
      <c r="E651" s="103"/>
      <c r="F651" s="103"/>
      <c r="G651" s="103"/>
      <c r="H651" s="103"/>
      <c r="I651" s="103"/>
      <c r="J651" s="103"/>
      <c r="K651" s="103"/>
      <c r="L651" s="103"/>
      <c r="M651" s="103"/>
      <c r="N651" s="103"/>
      <c r="O651" s="103"/>
      <c r="P651" s="103"/>
      <c r="Q651" s="103"/>
      <c r="R651" s="103"/>
      <c r="S651" s="103"/>
      <c r="T651" s="103"/>
    </row>
    <row r="652" spans="1:20" s="1" customFormat="1" ht="14.1" customHeight="1" x14ac:dyDescent="0.25">
      <c r="A652" s="102" t="s">
        <v>4</v>
      </c>
      <c r="B652" s="102"/>
      <c r="C652" s="103" t="s">
        <v>534</v>
      </c>
      <c r="D652" s="103"/>
      <c r="E652" s="103"/>
      <c r="F652" s="103"/>
      <c r="G652" s="103"/>
      <c r="H652" s="103"/>
      <c r="I652" s="103"/>
      <c r="J652" s="103"/>
      <c r="K652" s="103"/>
      <c r="L652" s="103"/>
      <c r="M652" s="103"/>
      <c r="N652" s="103"/>
      <c r="O652" s="103"/>
      <c r="P652" s="103"/>
      <c r="Q652" s="103"/>
      <c r="R652" s="103"/>
      <c r="S652" s="103"/>
      <c r="T652" s="103"/>
    </row>
    <row r="653" spans="1:20" s="1" customFormat="1" ht="14.1" customHeight="1" x14ac:dyDescent="0.25">
      <c r="A653" s="102" t="s">
        <v>6</v>
      </c>
      <c r="B653" s="102"/>
      <c r="C653" s="102"/>
      <c r="D653" s="102"/>
      <c r="E653" s="102"/>
      <c r="F653" s="103" t="s">
        <v>60</v>
      </c>
      <c r="G653" s="103"/>
      <c r="H653" s="103"/>
      <c r="I653" s="103"/>
      <c r="J653" s="103"/>
      <c r="K653" s="103"/>
      <c r="L653" s="103"/>
      <c r="M653" s="103"/>
      <c r="N653" s="103"/>
      <c r="O653" s="103"/>
      <c r="P653" s="103"/>
      <c r="Q653" s="103"/>
      <c r="R653" s="103"/>
      <c r="S653" s="103"/>
      <c r="T653" s="103"/>
    </row>
    <row r="654" spans="1:20" s="1" customFormat="1" ht="22.35" customHeight="1" x14ac:dyDescent="0.25">
      <c r="F654" s="103"/>
      <c r="G654" s="103"/>
      <c r="H654" s="103"/>
      <c r="I654" s="103"/>
      <c r="J654" s="103"/>
      <c r="K654" s="103"/>
      <c r="L654" s="103"/>
      <c r="M654" s="103"/>
      <c r="N654" s="103"/>
      <c r="O654" s="103"/>
      <c r="P654" s="103"/>
      <c r="Q654" s="103"/>
      <c r="R654" s="103"/>
      <c r="S654" s="103"/>
      <c r="T654" s="103"/>
    </row>
    <row r="655" spans="1:20" s="1" customFormat="1" ht="7.05" customHeight="1" x14ac:dyDescent="0.25">
      <c r="A655" s="86"/>
      <c r="B655" s="86"/>
      <c r="C655" s="86"/>
      <c r="D655" s="86"/>
      <c r="E655" s="86"/>
      <c r="F655" s="86"/>
      <c r="G655" s="86"/>
      <c r="H655" s="86"/>
      <c r="I655" s="86"/>
      <c r="J655" s="86"/>
      <c r="K655" s="86"/>
      <c r="L655" s="86"/>
      <c r="M655" s="86"/>
      <c r="N655" s="86"/>
      <c r="O655" s="86"/>
      <c r="P655" s="86"/>
      <c r="Q655" s="16"/>
      <c r="R655" s="86"/>
      <c r="S655" s="86"/>
      <c r="T655" s="86"/>
    </row>
    <row r="656" spans="1:20" s="1" customFormat="1" ht="16.95" customHeight="1" x14ac:dyDescent="0.25">
      <c r="A656" s="94" t="s">
        <v>8</v>
      </c>
      <c r="B656" s="94"/>
      <c r="C656" s="94"/>
      <c r="D656" s="94"/>
      <c r="E656" s="94"/>
      <c r="F656" s="94"/>
      <c r="G656" s="94"/>
      <c r="H656" s="94"/>
      <c r="I656" s="94"/>
      <c r="J656" s="94"/>
      <c r="K656" s="94"/>
      <c r="L656" s="94"/>
      <c r="M656" s="95" t="s">
        <v>9</v>
      </c>
      <c r="N656" s="95"/>
      <c r="O656" s="95"/>
      <c r="P656" s="95"/>
      <c r="Q656" s="95"/>
      <c r="R656" s="95"/>
      <c r="S656" s="95"/>
      <c r="T656" s="95"/>
    </row>
    <row r="657" spans="1:20" s="1" customFormat="1" ht="16.95" customHeight="1" x14ac:dyDescent="0.25">
      <c r="A657" s="94"/>
      <c r="B657" s="94"/>
      <c r="C657" s="94"/>
      <c r="D657" s="94"/>
      <c r="E657" s="94"/>
      <c r="F657" s="94"/>
      <c r="G657" s="94"/>
      <c r="H657" s="94"/>
      <c r="I657" s="94"/>
      <c r="J657" s="94"/>
      <c r="K657" s="94"/>
      <c r="L657" s="94"/>
      <c r="M657" s="96" t="s">
        <v>10</v>
      </c>
      <c r="N657" s="96"/>
      <c r="O657" s="96"/>
      <c r="P657" s="96"/>
      <c r="Q657" s="97" t="s">
        <v>11</v>
      </c>
      <c r="R657" s="97"/>
      <c r="S657" s="97"/>
      <c r="T657" s="97"/>
    </row>
    <row r="658" spans="1:20" s="1" customFormat="1" ht="16.95" customHeight="1" x14ac:dyDescent="0.25">
      <c r="A658" s="94"/>
      <c r="B658" s="94"/>
      <c r="C658" s="94"/>
      <c r="D658" s="94"/>
      <c r="E658" s="94"/>
      <c r="F658" s="94"/>
      <c r="G658" s="94"/>
      <c r="H658" s="94"/>
      <c r="I658" s="94"/>
      <c r="J658" s="94"/>
      <c r="K658" s="94"/>
      <c r="L658" s="94"/>
      <c r="M658" s="98" t="s">
        <v>12</v>
      </c>
      <c r="N658" s="98"/>
      <c r="O658" s="98" t="s">
        <v>13</v>
      </c>
      <c r="P658" s="98"/>
      <c r="Q658" s="13" t="s">
        <v>14</v>
      </c>
      <c r="R658" s="99" t="s">
        <v>15</v>
      </c>
      <c r="S658" s="99"/>
      <c r="T658" s="99"/>
    </row>
    <row r="659" spans="1:20" s="1" customFormat="1" ht="13.35" customHeight="1" x14ac:dyDescent="0.25">
      <c r="A659" s="88" t="s">
        <v>541</v>
      </c>
      <c r="B659" s="88"/>
      <c r="C659" s="88"/>
      <c r="D659" s="88"/>
      <c r="E659" s="88"/>
      <c r="F659" s="88"/>
      <c r="G659" s="88"/>
      <c r="H659" s="88"/>
      <c r="I659" s="88"/>
      <c r="J659" s="88"/>
      <c r="K659" s="88"/>
      <c r="L659" s="88"/>
      <c r="M659" s="88" t="s">
        <v>350</v>
      </c>
      <c r="N659" s="88"/>
      <c r="O659" s="88" t="s">
        <v>350</v>
      </c>
      <c r="P659" s="88"/>
      <c r="Q659" s="6" t="s">
        <v>85</v>
      </c>
      <c r="R659" s="88" t="s">
        <v>85</v>
      </c>
      <c r="S659" s="88"/>
      <c r="T659" s="88"/>
    </row>
    <row r="660" spans="1:20" s="1" customFormat="1" ht="14.1" customHeight="1" x14ac:dyDescent="0.25">
      <c r="A660" s="90" t="s">
        <v>116</v>
      </c>
      <c r="B660" s="90"/>
      <c r="C660" s="90"/>
      <c r="D660" s="90"/>
      <c r="E660" s="90"/>
      <c r="F660" s="90"/>
      <c r="G660" s="90"/>
      <c r="H660" s="90"/>
      <c r="I660" s="90"/>
      <c r="J660" s="90"/>
      <c r="K660" s="90"/>
      <c r="L660" s="90"/>
      <c r="M660" s="90"/>
      <c r="N660" s="90"/>
      <c r="O660" s="90"/>
      <c r="P660" s="90"/>
      <c r="Q660" s="90"/>
      <c r="R660" s="90"/>
      <c r="S660" s="90"/>
      <c r="T660" s="90"/>
    </row>
    <row r="661" spans="1:20" s="1" customFormat="1" ht="21.3" customHeight="1" x14ac:dyDescent="0.25"/>
    <row r="662" spans="1:20" s="1" customFormat="1" ht="14.1" customHeight="1" x14ac:dyDescent="0.25">
      <c r="A662" s="91" t="s">
        <v>33</v>
      </c>
      <c r="B662" s="91"/>
      <c r="C662" s="91"/>
      <c r="D662" s="91"/>
      <c r="E662" s="91"/>
      <c r="F662" s="91"/>
      <c r="G662" s="91"/>
      <c r="H662" s="91"/>
      <c r="I662" s="91"/>
      <c r="J662" s="91"/>
      <c r="K662" s="91"/>
      <c r="L662" s="91"/>
      <c r="M662" s="91"/>
      <c r="N662" s="91"/>
    </row>
    <row r="663" spans="1:20" s="1" customFormat="1" ht="13.35" customHeight="1" x14ac:dyDescent="0.25">
      <c r="A663" s="88" t="s">
        <v>34</v>
      </c>
      <c r="B663" s="88"/>
      <c r="C663" s="88"/>
      <c r="D663" s="88"/>
      <c r="E663" s="89">
        <v>0.6</v>
      </c>
      <c r="F663" s="89"/>
      <c r="G663" s="17"/>
      <c r="H663" s="6" t="s">
        <v>35</v>
      </c>
      <c r="I663" s="89">
        <v>0.03</v>
      </c>
      <c r="J663" s="89"/>
      <c r="K663" s="17"/>
      <c r="L663" s="88" t="s">
        <v>36</v>
      </c>
      <c r="M663" s="88"/>
      <c r="N663" s="89">
        <v>36</v>
      </c>
      <c r="O663" s="89"/>
    </row>
    <row r="664" spans="1:20" s="1" customFormat="1" ht="13.35" customHeight="1" x14ac:dyDescent="0.25">
      <c r="A664" s="88" t="s">
        <v>37</v>
      </c>
      <c r="B664" s="88"/>
      <c r="C664" s="88"/>
      <c r="D664" s="88"/>
      <c r="E664" s="89">
        <v>0.4</v>
      </c>
      <c r="F664" s="89"/>
      <c r="G664" s="17"/>
      <c r="H664" s="6" t="s">
        <v>38</v>
      </c>
      <c r="I664" s="89">
        <v>1.6</v>
      </c>
      <c r="J664" s="89"/>
      <c r="K664" s="17"/>
      <c r="L664" s="88" t="s">
        <v>39</v>
      </c>
      <c r="M664" s="88"/>
      <c r="N664" s="89">
        <v>16.2</v>
      </c>
      <c r="O664" s="89"/>
    </row>
    <row r="665" spans="1:20" s="1" customFormat="1" ht="13.35" customHeight="1" x14ac:dyDescent="0.25">
      <c r="A665" s="88" t="s">
        <v>40</v>
      </c>
      <c r="B665" s="88"/>
      <c r="C665" s="88"/>
      <c r="D665" s="88"/>
      <c r="E665" s="89">
        <v>32.6</v>
      </c>
      <c r="F665" s="89"/>
      <c r="G665" s="17"/>
      <c r="H665" s="6" t="s">
        <v>41</v>
      </c>
      <c r="I665" s="89">
        <v>0</v>
      </c>
      <c r="J665" s="89"/>
      <c r="K665" s="17"/>
      <c r="L665" s="88" t="s">
        <v>42</v>
      </c>
      <c r="M665" s="88"/>
      <c r="N665" s="89">
        <v>21.6</v>
      </c>
      <c r="O665" s="89"/>
    </row>
    <row r="666" spans="1:20" s="1" customFormat="1" ht="13.35" customHeight="1" x14ac:dyDescent="0.25">
      <c r="A666" s="88" t="s">
        <v>43</v>
      </c>
      <c r="B666" s="88"/>
      <c r="C666" s="88"/>
      <c r="D666" s="88"/>
      <c r="E666" s="89">
        <v>136.4</v>
      </c>
      <c r="F666" s="89"/>
      <c r="G666" s="17"/>
      <c r="H666" s="6" t="s">
        <v>44</v>
      </c>
      <c r="I666" s="89">
        <v>0</v>
      </c>
      <c r="J666" s="89"/>
      <c r="K666" s="17"/>
      <c r="L666" s="88" t="s">
        <v>45</v>
      </c>
      <c r="M666" s="88"/>
      <c r="N666" s="89">
        <v>0.72</v>
      </c>
      <c r="O666" s="89"/>
    </row>
    <row r="667" spans="1:20" s="1" customFormat="1" ht="13.35" customHeight="1" x14ac:dyDescent="0.25">
      <c r="A667" s="87"/>
      <c r="B667" s="87"/>
      <c r="C667" s="87"/>
      <c r="D667" s="87"/>
      <c r="E667" s="87"/>
      <c r="F667" s="87"/>
      <c r="G667" s="17"/>
      <c r="H667" s="6" t="s">
        <v>46</v>
      </c>
      <c r="I667" s="89">
        <v>0</v>
      </c>
      <c r="J667" s="89"/>
      <c r="K667" s="17"/>
      <c r="L667" s="88" t="s">
        <v>47</v>
      </c>
      <c r="M667" s="88"/>
      <c r="N667" s="89">
        <v>300</v>
      </c>
      <c r="O667" s="89"/>
    </row>
    <row r="668" spans="1:20" s="1" customFormat="1" ht="13.35" customHeight="1" x14ac:dyDescent="0.25">
      <c r="A668" s="87"/>
      <c r="B668" s="87"/>
      <c r="C668" s="87"/>
      <c r="D668" s="87"/>
      <c r="E668" s="87"/>
      <c r="F668" s="87"/>
      <c r="G668" s="17"/>
      <c r="H668" s="6" t="s">
        <v>48</v>
      </c>
      <c r="I668" s="89">
        <v>0.02</v>
      </c>
      <c r="J668" s="89"/>
      <c r="K668" s="17"/>
      <c r="L668" s="88" t="s">
        <v>49</v>
      </c>
      <c r="M668" s="88"/>
      <c r="N668" s="89">
        <v>12</v>
      </c>
      <c r="O668" s="89"/>
    </row>
    <row r="669" spans="1:20" s="1" customFormat="1" ht="13.35" customHeight="1" x14ac:dyDescent="0.25">
      <c r="A669" s="87"/>
      <c r="B669" s="87"/>
      <c r="C669" s="87"/>
      <c r="D669" s="87"/>
      <c r="E669" s="87"/>
      <c r="F669" s="87"/>
      <c r="G669" s="17"/>
      <c r="H669" s="17"/>
      <c r="I669" s="87"/>
      <c r="J669" s="87"/>
      <c r="K669" s="17"/>
      <c r="L669" s="88" t="s">
        <v>50</v>
      </c>
      <c r="M669" s="88"/>
      <c r="N669" s="89">
        <v>0</v>
      </c>
      <c r="O669" s="89"/>
    </row>
    <row r="670" spans="1:20" s="1" customFormat="1" ht="13.35" customHeight="1" x14ac:dyDescent="0.25">
      <c r="A670" s="87"/>
      <c r="B670" s="87"/>
      <c r="C670" s="87"/>
      <c r="D670" s="87"/>
      <c r="E670" s="87"/>
      <c r="F670" s="87"/>
      <c r="G670" s="17"/>
      <c r="H670" s="17"/>
      <c r="I670" s="87"/>
      <c r="J670" s="87"/>
      <c r="K670" s="17"/>
      <c r="L670" s="88" t="s">
        <v>51</v>
      </c>
      <c r="M670" s="88"/>
      <c r="N670" s="89">
        <v>0</v>
      </c>
      <c r="O670" s="89"/>
    </row>
    <row r="671" spans="1:20" s="1" customFormat="1" ht="14.1" customHeight="1" x14ac:dyDescent="0.25">
      <c r="A671" s="86"/>
      <c r="B671" s="86"/>
      <c r="C671" s="86"/>
      <c r="D671" s="86"/>
      <c r="E671" s="86"/>
      <c r="F671" s="86"/>
      <c r="G671" s="86"/>
      <c r="H671" s="86"/>
      <c r="I671" s="86"/>
      <c r="J671" s="86"/>
      <c r="K671" s="86"/>
      <c r="L671" s="86"/>
      <c r="M671" s="86"/>
      <c r="N671" s="86"/>
      <c r="O671" s="86"/>
      <c r="P671" s="86"/>
      <c r="Q671" s="86"/>
      <c r="R671" s="86"/>
      <c r="S671" s="86"/>
    </row>
    <row r="672" spans="1:20" s="1" customFormat="1" ht="14.1" customHeight="1" x14ac:dyDescent="0.25">
      <c r="A672" s="84" t="s">
        <v>52</v>
      </c>
      <c r="B672" s="84"/>
      <c r="C672" s="84"/>
      <c r="D672" s="84"/>
      <c r="E672" s="84"/>
      <c r="F672" s="84"/>
      <c r="G672" s="84"/>
      <c r="H672" s="84"/>
      <c r="I672" s="84"/>
      <c r="J672" s="84"/>
      <c r="K672" s="84"/>
      <c r="L672" s="84"/>
      <c r="M672" s="84"/>
      <c r="N672" s="84"/>
      <c r="O672" s="84"/>
      <c r="P672" s="84"/>
      <c r="Q672" s="84"/>
      <c r="R672" s="84"/>
      <c r="S672" s="84"/>
    </row>
    <row r="673" spans="1:20" s="1" customFormat="1" ht="12.15" customHeight="1" x14ac:dyDescent="0.25">
      <c r="A673" s="85" t="s">
        <v>536</v>
      </c>
      <c r="B673" s="85"/>
      <c r="C673" s="85"/>
      <c r="D673" s="85"/>
      <c r="E673" s="85"/>
      <c r="F673" s="85"/>
      <c r="G673" s="85"/>
      <c r="H673" s="85"/>
      <c r="I673" s="85"/>
      <c r="J673" s="85"/>
      <c r="K673" s="85"/>
      <c r="L673" s="85"/>
      <c r="M673" s="85"/>
      <c r="N673" s="85"/>
      <c r="O673" s="85"/>
      <c r="P673" s="85"/>
      <c r="Q673" s="85"/>
      <c r="R673" s="85"/>
      <c r="S673" s="85"/>
    </row>
    <row r="674" spans="1:20" s="1" customFormat="1" ht="14.1" customHeight="1" x14ac:dyDescent="0.25">
      <c r="A674" s="86"/>
      <c r="B674" s="86"/>
      <c r="C674" s="86"/>
      <c r="D674" s="86"/>
      <c r="E674" s="86"/>
      <c r="F674" s="86"/>
      <c r="G674" s="86"/>
      <c r="H674" s="86"/>
      <c r="I674" s="86"/>
      <c r="J674" s="86"/>
      <c r="K674" s="86"/>
      <c r="L674" s="86"/>
      <c r="M674" s="86"/>
      <c r="N674" s="86"/>
      <c r="O674" s="86"/>
      <c r="P674" s="86"/>
      <c r="Q674" s="86"/>
      <c r="R674" s="86"/>
      <c r="S674" s="86"/>
    </row>
    <row r="675" spans="1:20" s="1" customFormat="1" ht="14.1" customHeight="1" x14ac:dyDescent="0.25">
      <c r="A675" s="84" t="s">
        <v>54</v>
      </c>
      <c r="B675" s="84"/>
      <c r="C675" s="84"/>
      <c r="D675" s="84"/>
      <c r="E675" s="84"/>
      <c r="F675" s="84"/>
      <c r="G675" s="84"/>
      <c r="H675" s="84"/>
      <c r="I675" s="84"/>
      <c r="J675" s="84"/>
      <c r="K675" s="84"/>
      <c r="L675" s="84"/>
      <c r="M675" s="84"/>
      <c r="N675" s="84"/>
      <c r="O675" s="84"/>
      <c r="P675" s="84"/>
      <c r="Q675" s="84"/>
      <c r="R675" s="84"/>
      <c r="S675" s="84"/>
    </row>
    <row r="676" spans="1:20" s="1" customFormat="1" ht="12.15" customHeight="1" x14ac:dyDescent="0.25">
      <c r="A676" s="85" t="s">
        <v>542</v>
      </c>
      <c r="B676" s="85"/>
      <c r="C676" s="85"/>
      <c r="D676" s="85"/>
      <c r="E676" s="85"/>
      <c r="F676" s="85"/>
      <c r="G676" s="85"/>
      <c r="H676" s="85"/>
      <c r="I676" s="85"/>
      <c r="J676" s="85"/>
      <c r="K676" s="85"/>
      <c r="L676" s="85"/>
      <c r="M676" s="85"/>
      <c r="N676" s="85"/>
      <c r="O676" s="85"/>
      <c r="P676" s="85"/>
      <c r="Q676" s="85"/>
      <c r="R676" s="85"/>
      <c r="S676" s="85"/>
    </row>
    <row r="677" spans="1:20" s="1" customFormat="1" ht="14.1" customHeight="1" x14ac:dyDescent="0.25">
      <c r="A677" s="86"/>
      <c r="B677" s="86"/>
      <c r="C677" s="86"/>
      <c r="D677" s="86"/>
      <c r="E677" s="86"/>
      <c r="F677" s="86"/>
      <c r="G677" s="86"/>
      <c r="H677" s="86"/>
      <c r="I677" s="86"/>
      <c r="J677" s="86"/>
      <c r="K677" s="86"/>
      <c r="L677" s="86"/>
      <c r="M677" s="86"/>
      <c r="N677" s="86"/>
      <c r="O677" s="86"/>
      <c r="P677" s="86"/>
      <c r="Q677" s="86"/>
      <c r="R677" s="86"/>
      <c r="S677" s="86"/>
    </row>
    <row r="678" spans="1:20" s="1" customFormat="1" ht="14.1" customHeight="1" x14ac:dyDescent="0.25">
      <c r="A678" s="84" t="s">
        <v>56</v>
      </c>
      <c r="B678" s="84"/>
      <c r="C678" s="84"/>
      <c r="D678" s="84"/>
      <c r="E678" s="84"/>
      <c r="F678" s="84"/>
      <c r="G678" s="84"/>
      <c r="H678" s="84"/>
      <c r="I678" s="84"/>
      <c r="J678" s="84"/>
      <c r="K678" s="84"/>
      <c r="L678" s="84"/>
      <c r="M678" s="84"/>
      <c r="N678" s="84"/>
      <c r="O678" s="84"/>
      <c r="P678" s="84"/>
      <c r="Q678" s="84"/>
      <c r="R678" s="84"/>
      <c r="S678" s="84"/>
    </row>
    <row r="679" spans="1:20" s="1" customFormat="1" ht="49.2" customHeight="1" x14ac:dyDescent="0.25">
      <c r="A679" s="85" t="s">
        <v>537</v>
      </c>
      <c r="B679" s="85"/>
      <c r="C679" s="85"/>
      <c r="D679" s="85"/>
      <c r="E679" s="85"/>
      <c r="F679" s="85"/>
      <c r="G679" s="85"/>
      <c r="H679" s="85"/>
      <c r="I679" s="85"/>
      <c r="J679" s="85"/>
      <c r="K679" s="85"/>
      <c r="L679" s="85"/>
      <c r="M679" s="85"/>
      <c r="N679" s="85"/>
      <c r="O679" s="85"/>
      <c r="P679" s="85"/>
      <c r="Q679" s="85"/>
      <c r="R679" s="85"/>
      <c r="S679" s="85"/>
    </row>
    <row r="681" spans="1:20" s="1" customFormat="1" ht="72.45" customHeight="1" x14ac:dyDescent="0.25">
      <c r="J681" s="100" t="s">
        <v>0</v>
      </c>
      <c r="K681" s="100"/>
      <c r="L681" s="100"/>
      <c r="M681" s="100"/>
      <c r="N681" s="100"/>
      <c r="O681" s="100"/>
      <c r="P681" s="100"/>
      <c r="Q681" s="100"/>
      <c r="R681" s="100"/>
      <c r="S681" s="100"/>
      <c r="T681" s="100"/>
    </row>
    <row r="682" spans="1:20" s="1" customFormat="1" ht="7.05" customHeight="1" x14ac:dyDescent="0.25"/>
    <row r="683" spans="1:20" s="1" customFormat="1" ht="14.1" customHeight="1" x14ac:dyDescent="0.25">
      <c r="B683" s="101" t="s">
        <v>749</v>
      </c>
      <c r="C683" s="101"/>
      <c r="D683" s="101"/>
      <c r="E683" s="101"/>
      <c r="F683" s="101"/>
      <c r="G683" s="101"/>
      <c r="H683" s="101"/>
      <c r="I683" s="101"/>
      <c r="J683" s="101"/>
      <c r="K683" s="101"/>
      <c r="L683" s="101"/>
      <c r="M683" s="101"/>
      <c r="N683" s="101"/>
      <c r="O683" s="101"/>
      <c r="P683" s="101"/>
      <c r="Q683" s="101"/>
      <c r="R683" s="101"/>
    </row>
    <row r="684" spans="1:20" s="1" customFormat="1" ht="14.1" customHeight="1" x14ac:dyDescent="0.25"/>
    <row r="685" spans="1:20" s="1" customFormat="1" ht="14.1" customHeight="1" x14ac:dyDescent="0.25">
      <c r="A685" s="102" t="s">
        <v>2</v>
      </c>
      <c r="B685" s="102"/>
      <c r="C685" s="102"/>
      <c r="D685" s="103" t="s">
        <v>611</v>
      </c>
      <c r="E685" s="103"/>
      <c r="F685" s="103"/>
      <c r="G685" s="103"/>
      <c r="H685" s="103"/>
      <c r="I685" s="103"/>
      <c r="J685" s="103"/>
      <c r="K685" s="103"/>
      <c r="L685" s="103"/>
      <c r="M685" s="103"/>
      <c r="N685" s="103"/>
      <c r="O685" s="103"/>
      <c r="P685" s="103"/>
      <c r="Q685" s="103"/>
      <c r="R685" s="103"/>
      <c r="S685" s="103"/>
      <c r="T685" s="103"/>
    </row>
    <row r="686" spans="1:20" s="1" customFormat="1" ht="14.1" customHeight="1" x14ac:dyDescent="0.25">
      <c r="A686" s="102" t="s">
        <v>4</v>
      </c>
      <c r="B686" s="102"/>
      <c r="C686" s="103">
        <v>17</v>
      </c>
      <c r="D686" s="103"/>
      <c r="E686" s="103"/>
      <c r="F686" s="103"/>
      <c r="G686" s="103"/>
      <c r="H686" s="103"/>
      <c r="I686" s="103"/>
      <c r="J686" s="103"/>
      <c r="K686" s="103"/>
      <c r="L686" s="103"/>
      <c r="M686" s="103"/>
      <c r="N686" s="103"/>
      <c r="O686" s="103"/>
      <c r="P686" s="103"/>
      <c r="Q686" s="103"/>
      <c r="R686" s="103"/>
      <c r="S686" s="103"/>
      <c r="T686" s="103"/>
    </row>
    <row r="687" spans="1:20" s="1" customFormat="1" ht="14.1" customHeight="1" x14ac:dyDescent="0.25">
      <c r="A687" s="102" t="s">
        <v>6</v>
      </c>
      <c r="B687" s="102"/>
      <c r="C687" s="102"/>
      <c r="D687" s="102"/>
      <c r="E687" s="102"/>
      <c r="F687" s="103" t="s">
        <v>75</v>
      </c>
      <c r="G687" s="103"/>
      <c r="H687" s="103"/>
      <c r="I687" s="103"/>
      <c r="J687" s="103"/>
      <c r="K687" s="103"/>
      <c r="L687" s="103"/>
      <c r="M687" s="103"/>
      <c r="N687" s="103"/>
      <c r="O687" s="103"/>
      <c r="P687" s="103"/>
      <c r="Q687" s="103"/>
      <c r="R687" s="103"/>
      <c r="S687" s="103"/>
      <c r="T687" s="103"/>
    </row>
    <row r="688" spans="1:20" s="1" customFormat="1" ht="1.35" customHeight="1" x14ac:dyDescent="0.25"/>
    <row r="689" spans="1:20" s="1" customFormat="1" ht="13.2" x14ac:dyDescent="0.25">
      <c r="A689" s="104" t="s">
        <v>754</v>
      </c>
      <c r="B689" s="93"/>
      <c r="C689" s="93"/>
      <c r="D689" s="93"/>
      <c r="E689" s="93"/>
      <c r="F689" s="93"/>
      <c r="G689" s="93"/>
      <c r="H689" s="93"/>
      <c r="I689" s="93"/>
      <c r="J689" s="93"/>
      <c r="K689" s="93"/>
      <c r="L689" s="93"/>
      <c r="M689" s="93"/>
      <c r="N689" s="93"/>
      <c r="O689" s="93"/>
      <c r="P689" s="93"/>
      <c r="Q689" s="93"/>
      <c r="R689" s="93"/>
      <c r="S689" s="93"/>
    </row>
    <row r="690" spans="1:20" s="1" customFormat="1" ht="49.95" customHeight="1" x14ac:dyDescent="0.25">
      <c r="A690" s="92" t="s">
        <v>758</v>
      </c>
      <c r="B690" s="93"/>
      <c r="C690" s="93"/>
      <c r="D690" s="93"/>
      <c r="E690" s="93"/>
      <c r="F690" s="93"/>
      <c r="G690" s="93"/>
      <c r="H690" s="93"/>
      <c r="I690" s="93"/>
      <c r="J690" s="93"/>
      <c r="K690" s="93"/>
      <c r="L690" s="93"/>
      <c r="M690" s="93"/>
      <c r="N690" s="93"/>
      <c r="O690" s="93"/>
      <c r="P690" s="93"/>
      <c r="Q690" s="93"/>
      <c r="R690" s="93"/>
      <c r="S690" s="93"/>
    </row>
    <row r="691" spans="1:20" s="1" customFormat="1" ht="7.05" customHeight="1" x14ac:dyDescent="0.25">
      <c r="A691" s="86"/>
      <c r="B691" s="86"/>
      <c r="C691" s="86"/>
      <c r="D691" s="86"/>
      <c r="E691" s="86"/>
      <c r="F691" s="86"/>
      <c r="G691" s="86"/>
      <c r="H691" s="86"/>
      <c r="I691" s="86"/>
      <c r="J691" s="86"/>
      <c r="K691" s="86"/>
      <c r="L691" s="86"/>
      <c r="M691" s="86"/>
      <c r="N691" s="86"/>
      <c r="O691" s="86"/>
      <c r="P691" s="86"/>
      <c r="Q691" s="16"/>
      <c r="R691" s="86"/>
      <c r="S691" s="86"/>
      <c r="T691" s="86"/>
    </row>
    <row r="692" spans="1:20" s="1" customFormat="1" ht="16.95" customHeight="1" x14ac:dyDescent="0.25">
      <c r="A692" s="94" t="s">
        <v>8</v>
      </c>
      <c r="B692" s="94"/>
      <c r="C692" s="94"/>
      <c r="D692" s="94"/>
      <c r="E692" s="94"/>
      <c r="F692" s="94"/>
      <c r="G692" s="94"/>
      <c r="H692" s="94"/>
      <c r="I692" s="94"/>
      <c r="J692" s="94"/>
      <c r="K692" s="94"/>
      <c r="L692" s="94"/>
      <c r="M692" s="95" t="s">
        <v>9</v>
      </c>
      <c r="N692" s="95"/>
      <c r="O692" s="95"/>
      <c r="P692" s="95"/>
      <c r="Q692" s="95"/>
      <c r="R692" s="95"/>
      <c r="S692" s="95"/>
      <c r="T692" s="95"/>
    </row>
    <row r="693" spans="1:20" s="1" customFormat="1" ht="16.95" customHeight="1" x14ac:dyDescent="0.25">
      <c r="A693" s="94"/>
      <c r="B693" s="94"/>
      <c r="C693" s="94"/>
      <c r="D693" s="94"/>
      <c r="E693" s="94"/>
      <c r="F693" s="94"/>
      <c r="G693" s="94"/>
      <c r="H693" s="94"/>
      <c r="I693" s="94"/>
      <c r="J693" s="94"/>
      <c r="K693" s="94"/>
      <c r="L693" s="94"/>
      <c r="M693" s="96" t="s">
        <v>10</v>
      </c>
      <c r="N693" s="96"/>
      <c r="O693" s="96"/>
      <c r="P693" s="96"/>
      <c r="Q693" s="97" t="s">
        <v>11</v>
      </c>
      <c r="R693" s="97"/>
      <c r="S693" s="97"/>
      <c r="T693" s="97"/>
    </row>
    <row r="694" spans="1:20" s="1" customFormat="1" ht="16.95" customHeight="1" x14ac:dyDescent="0.25">
      <c r="A694" s="94"/>
      <c r="B694" s="94"/>
      <c r="C694" s="94"/>
      <c r="D694" s="94"/>
      <c r="E694" s="94"/>
      <c r="F694" s="94"/>
      <c r="G694" s="94"/>
      <c r="H694" s="94"/>
      <c r="I694" s="94"/>
      <c r="J694" s="94"/>
      <c r="K694" s="94"/>
      <c r="L694" s="94"/>
      <c r="M694" s="98" t="s">
        <v>12</v>
      </c>
      <c r="N694" s="98"/>
      <c r="O694" s="98" t="s">
        <v>13</v>
      </c>
      <c r="P694" s="98"/>
      <c r="Q694" s="13" t="s">
        <v>14</v>
      </c>
      <c r="R694" s="99" t="s">
        <v>15</v>
      </c>
      <c r="S694" s="99"/>
      <c r="T694" s="99"/>
    </row>
    <row r="695" spans="1:20" s="1" customFormat="1" ht="13.35" customHeight="1" x14ac:dyDescent="0.25">
      <c r="A695" s="88" t="s">
        <v>365</v>
      </c>
      <c r="B695" s="88"/>
      <c r="C695" s="88"/>
      <c r="D695" s="88"/>
      <c r="E695" s="88"/>
      <c r="F695" s="88"/>
      <c r="G695" s="88"/>
      <c r="H695" s="88"/>
      <c r="I695" s="88"/>
      <c r="J695" s="88"/>
      <c r="K695" s="88"/>
      <c r="L695" s="88"/>
      <c r="M695" s="88" t="s">
        <v>391</v>
      </c>
      <c r="N695" s="88"/>
      <c r="O695" s="88" t="s">
        <v>391</v>
      </c>
      <c r="P695" s="88"/>
      <c r="Q695" s="6" t="s">
        <v>239</v>
      </c>
      <c r="R695" s="88" t="s">
        <v>239</v>
      </c>
      <c r="S695" s="88"/>
      <c r="T695" s="88"/>
    </row>
    <row r="696" spans="1:20" s="1" customFormat="1" ht="13.35" customHeight="1" x14ac:dyDescent="0.25">
      <c r="A696" s="88" t="s">
        <v>612</v>
      </c>
      <c r="B696" s="88"/>
      <c r="C696" s="88"/>
      <c r="D696" s="88"/>
      <c r="E696" s="88"/>
      <c r="F696" s="88"/>
      <c r="G696" s="88"/>
      <c r="H696" s="88"/>
      <c r="I696" s="88"/>
      <c r="J696" s="88"/>
      <c r="K696" s="88"/>
      <c r="L696" s="88"/>
      <c r="M696" s="88" t="s">
        <v>391</v>
      </c>
      <c r="N696" s="88"/>
      <c r="O696" s="88" t="s">
        <v>391</v>
      </c>
      <c r="P696" s="88"/>
      <c r="Q696" s="6" t="s">
        <v>239</v>
      </c>
      <c r="R696" s="88" t="s">
        <v>239</v>
      </c>
      <c r="S696" s="88"/>
      <c r="T696" s="88"/>
    </row>
    <row r="697" spans="1:20" s="1" customFormat="1" ht="13.35" customHeight="1" x14ac:dyDescent="0.25">
      <c r="A697" s="88" t="s">
        <v>114</v>
      </c>
      <c r="B697" s="88"/>
      <c r="C697" s="88"/>
      <c r="D697" s="88"/>
      <c r="E697" s="88"/>
      <c r="F697" s="88"/>
      <c r="G697" s="88"/>
      <c r="H697" s="88"/>
      <c r="I697" s="88"/>
      <c r="J697" s="88"/>
      <c r="K697" s="88"/>
      <c r="L697" s="88"/>
      <c r="M697" s="88" t="s">
        <v>343</v>
      </c>
      <c r="N697" s="88"/>
      <c r="O697" s="88" t="s">
        <v>343</v>
      </c>
      <c r="P697" s="88"/>
      <c r="Q697" s="6" t="s">
        <v>189</v>
      </c>
      <c r="R697" s="88" t="s">
        <v>189</v>
      </c>
      <c r="S697" s="88"/>
      <c r="T697" s="88"/>
    </row>
    <row r="698" spans="1:20" s="1" customFormat="1" ht="13.35" customHeight="1" x14ac:dyDescent="0.25">
      <c r="A698" s="88" t="s">
        <v>109</v>
      </c>
      <c r="B698" s="88"/>
      <c r="C698" s="88"/>
      <c r="D698" s="88"/>
      <c r="E698" s="88"/>
      <c r="F698" s="88"/>
      <c r="G698" s="88"/>
      <c r="H698" s="88"/>
      <c r="I698" s="88"/>
      <c r="J698" s="88"/>
      <c r="K698" s="88"/>
      <c r="L698" s="88"/>
      <c r="M698" s="88">
        <v>24</v>
      </c>
      <c r="N698" s="88"/>
      <c r="O698" s="88">
        <v>24</v>
      </c>
      <c r="P698" s="88"/>
      <c r="Q698" s="6">
        <v>2.4</v>
      </c>
      <c r="R698" s="88">
        <v>2.4</v>
      </c>
      <c r="S698" s="88"/>
      <c r="T698" s="88"/>
    </row>
    <row r="699" spans="1:20" s="1" customFormat="1" ht="14.1" customHeight="1" x14ac:dyDescent="0.25">
      <c r="A699" s="90" t="s">
        <v>217</v>
      </c>
      <c r="B699" s="90"/>
      <c r="C699" s="90"/>
      <c r="D699" s="90"/>
      <c r="E699" s="90"/>
      <c r="F699" s="90"/>
      <c r="G699" s="90"/>
      <c r="H699" s="90"/>
      <c r="I699" s="90"/>
      <c r="J699" s="90"/>
      <c r="K699" s="90"/>
      <c r="L699" s="90"/>
      <c r="M699" s="90"/>
      <c r="N699" s="90"/>
      <c r="O699" s="90"/>
      <c r="P699" s="90"/>
      <c r="Q699" s="90"/>
      <c r="R699" s="90"/>
      <c r="S699" s="90"/>
      <c r="T699" s="90"/>
    </row>
    <row r="700" spans="1:20" s="1" customFormat="1" ht="21.3" customHeight="1" x14ac:dyDescent="0.25"/>
    <row r="701" spans="1:20" s="1" customFormat="1" ht="14.1" customHeight="1" x14ac:dyDescent="0.25">
      <c r="A701" s="91" t="s">
        <v>33</v>
      </c>
      <c r="B701" s="91"/>
      <c r="C701" s="91"/>
      <c r="D701" s="91"/>
      <c r="E701" s="91"/>
      <c r="F701" s="91"/>
      <c r="G701" s="91"/>
      <c r="H701" s="91"/>
      <c r="I701" s="91"/>
      <c r="J701" s="91"/>
      <c r="K701" s="91"/>
      <c r="L701" s="91"/>
      <c r="M701" s="91"/>
      <c r="N701" s="91"/>
    </row>
    <row r="702" spans="1:20" s="1" customFormat="1" ht="13.35" customHeight="1" x14ac:dyDescent="0.25">
      <c r="A702" s="88" t="s">
        <v>34</v>
      </c>
      <c r="B702" s="88"/>
      <c r="C702" s="88"/>
      <c r="D702" s="88"/>
      <c r="E702" s="89">
        <v>0.3</v>
      </c>
      <c r="F702" s="89"/>
      <c r="G702" s="17"/>
      <c r="H702" s="6" t="s">
        <v>35</v>
      </c>
      <c r="I702" s="89">
        <v>0.01</v>
      </c>
      <c r="J702" s="89"/>
      <c r="K702" s="17"/>
      <c r="L702" s="88" t="s">
        <v>36</v>
      </c>
      <c r="M702" s="88"/>
      <c r="N702" s="89">
        <v>14.33</v>
      </c>
      <c r="O702" s="89"/>
    </row>
    <row r="703" spans="1:20" s="1" customFormat="1" ht="13.35" customHeight="1" x14ac:dyDescent="0.25">
      <c r="A703" s="88" t="s">
        <v>37</v>
      </c>
      <c r="B703" s="88"/>
      <c r="C703" s="88"/>
      <c r="D703" s="88"/>
      <c r="E703" s="89">
        <v>0.1</v>
      </c>
      <c r="F703" s="89"/>
      <c r="G703" s="17"/>
      <c r="H703" s="6" t="s">
        <v>38</v>
      </c>
      <c r="I703" s="89">
        <v>55</v>
      </c>
      <c r="J703" s="89"/>
      <c r="K703" s="17"/>
      <c r="L703" s="88" t="s">
        <v>39</v>
      </c>
      <c r="M703" s="88"/>
      <c r="N703" s="89">
        <v>3.54</v>
      </c>
      <c r="O703" s="89"/>
    </row>
    <row r="704" spans="1:20" s="1" customFormat="1" ht="13.35" customHeight="1" x14ac:dyDescent="0.25">
      <c r="A704" s="88" t="s">
        <v>40</v>
      </c>
      <c r="B704" s="88"/>
      <c r="C704" s="88"/>
      <c r="D704" s="88"/>
      <c r="E704" s="89">
        <v>20.2</v>
      </c>
      <c r="F704" s="89"/>
      <c r="G704" s="17"/>
      <c r="H704" s="6" t="s">
        <v>41</v>
      </c>
      <c r="I704" s="89">
        <v>0.1</v>
      </c>
      <c r="J704" s="89"/>
      <c r="K704" s="17"/>
      <c r="L704" s="88" t="s">
        <v>42</v>
      </c>
      <c r="M704" s="88"/>
      <c r="N704" s="89">
        <v>1.92</v>
      </c>
      <c r="O704" s="89"/>
    </row>
    <row r="705" spans="1:19" s="1" customFormat="1" ht="13.35" customHeight="1" x14ac:dyDescent="0.25">
      <c r="A705" s="88" t="s">
        <v>43</v>
      </c>
      <c r="B705" s="88"/>
      <c r="C705" s="88"/>
      <c r="D705" s="88"/>
      <c r="E705" s="89">
        <v>89.5</v>
      </c>
      <c r="F705" s="89"/>
      <c r="G705" s="17"/>
      <c r="H705" s="6" t="s">
        <v>44</v>
      </c>
      <c r="I705" s="89">
        <v>0</v>
      </c>
      <c r="J705" s="89"/>
      <c r="K705" s="17"/>
      <c r="L705" s="88" t="s">
        <v>45</v>
      </c>
      <c r="M705" s="88"/>
      <c r="N705" s="89">
        <v>0.34</v>
      </c>
      <c r="O705" s="89"/>
    </row>
    <row r="706" spans="1:19" s="1" customFormat="1" ht="13.35" customHeight="1" x14ac:dyDescent="0.25">
      <c r="A706" s="87"/>
      <c r="B706" s="87"/>
      <c r="C706" s="87"/>
      <c r="D706" s="87"/>
      <c r="E706" s="87"/>
      <c r="F706" s="87"/>
      <c r="G706" s="17"/>
      <c r="H706" s="6" t="s">
        <v>46</v>
      </c>
      <c r="I706" s="89">
        <v>0</v>
      </c>
      <c r="J706" s="89"/>
      <c r="K706" s="17"/>
      <c r="L706" s="88" t="s">
        <v>47</v>
      </c>
      <c r="M706" s="88"/>
      <c r="N706" s="89">
        <v>7.27</v>
      </c>
      <c r="O706" s="89"/>
    </row>
    <row r="707" spans="1:19" s="1" customFormat="1" ht="13.35" customHeight="1" x14ac:dyDescent="0.25">
      <c r="A707" s="87"/>
      <c r="B707" s="87"/>
      <c r="C707" s="87"/>
      <c r="D707" s="87"/>
      <c r="E707" s="87"/>
      <c r="F707" s="87"/>
      <c r="G707" s="17"/>
      <c r="H707" s="6" t="s">
        <v>48</v>
      </c>
      <c r="I707" s="89">
        <v>0.03</v>
      </c>
      <c r="J707" s="89"/>
      <c r="K707" s="17"/>
      <c r="L707" s="88" t="s">
        <v>49</v>
      </c>
      <c r="M707" s="88"/>
      <c r="N707" s="89">
        <v>0</v>
      </c>
      <c r="O707" s="89"/>
    </row>
    <row r="708" spans="1:19" s="1" customFormat="1" ht="13.35" customHeight="1" x14ac:dyDescent="0.25">
      <c r="A708" s="87"/>
      <c r="B708" s="87"/>
      <c r="C708" s="87"/>
      <c r="D708" s="87"/>
      <c r="E708" s="87"/>
      <c r="F708" s="87"/>
      <c r="G708" s="17"/>
      <c r="H708" s="17"/>
      <c r="I708" s="87"/>
      <c r="J708" s="87"/>
      <c r="K708" s="17"/>
      <c r="L708" s="88" t="s">
        <v>50</v>
      </c>
      <c r="M708" s="88"/>
      <c r="N708" s="89">
        <v>0</v>
      </c>
      <c r="O708" s="89"/>
    </row>
    <row r="709" spans="1:19" s="1" customFormat="1" ht="13.35" customHeight="1" x14ac:dyDescent="0.25">
      <c r="A709" s="87"/>
      <c r="B709" s="87"/>
      <c r="C709" s="87"/>
      <c r="D709" s="87"/>
      <c r="E709" s="87"/>
      <c r="F709" s="87"/>
      <c r="G709" s="17"/>
      <c r="H709" s="17"/>
      <c r="I709" s="87"/>
      <c r="J709" s="87"/>
      <c r="K709" s="17"/>
      <c r="L709" s="88" t="s">
        <v>51</v>
      </c>
      <c r="M709" s="88"/>
      <c r="N709" s="89">
        <v>0</v>
      </c>
      <c r="O709" s="89"/>
    </row>
    <row r="710" spans="1:19" s="1" customFormat="1" ht="14.1" customHeight="1" x14ac:dyDescent="0.25">
      <c r="A710" s="86"/>
      <c r="B710" s="86"/>
      <c r="C710" s="86"/>
      <c r="D710" s="86"/>
      <c r="E710" s="86"/>
      <c r="F710" s="86"/>
      <c r="G710" s="86"/>
      <c r="H710" s="86"/>
      <c r="I710" s="86"/>
      <c r="J710" s="86"/>
      <c r="K710" s="86"/>
      <c r="L710" s="86"/>
      <c r="M710" s="86"/>
      <c r="N710" s="86"/>
      <c r="O710" s="86"/>
      <c r="P710" s="86"/>
      <c r="Q710" s="86"/>
      <c r="R710" s="86"/>
      <c r="S710" s="86"/>
    </row>
    <row r="711" spans="1:19" s="1" customFormat="1" ht="14.1" customHeight="1" x14ac:dyDescent="0.25">
      <c r="A711" s="84" t="s">
        <v>52</v>
      </c>
      <c r="B711" s="84"/>
      <c r="C711" s="84"/>
      <c r="D711" s="84"/>
      <c r="E711" s="84"/>
      <c r="F711" s="84"/>
      <c r="G711" s="84"/>
      <c r="H711" s="84"/>
      <c r="I711" s="84"/>
      <c r="J711" s="84"/>
      <c r="K711" s="84"/>
      <c r="L711" s="84"/>
      <c r="M711" s="84"/>
      <c r="N711" s="84"/>
      <c r="O711" s="84"/>
      <c r="P711" s="84"/>
      <c r="Q711" s="84"/>
      <c r="R711" s="84"/>
      <c r="S711" s="84"/>
    </row>
    <row r="712" spans="1:19" s="1" customFormat="1" ht="30.9" customHeight="1" x14ac:dyDescent="0.25">
      <c r="A712" s="85" t="s">
        <v>613</v>
      </c>
      <c r="B712" s="85"/>
      <c r="C712" s="85"/>
      <c r="D712" s="85"/>
      <c r="E712" s="85"/>
      <c r="F712" s="85"/>
      <c r="G712" s="85"/>
      <c r="H712" s="85"/>
      <c r="I712" s="85"/>
      <c r="J712" s="85"/>
      <c r="K712" s="85"/>
      <c r="L712" s="85"/>
      <c r="M712" s="85"/>
      <c r="N712" s="85"/>
      <c r="O712" s="85"/>
      <c r="P712" s="85"/>
      <c r="Q712" s="85"/>
      <c r="R712" s="85"/>
      <c r="S712" s="85"/>
    </row>
    <row r="713" spans="1:19" s="1" customFormat="1" ht="14.1" customHeight="1" x14ac:dyDescent="0.25">
      <c r="A713" s="84" t="s">
        <v>54</v>
      </c>
      <c r="B713" s="84"/>
      <c r="C713" s="84"/>
      <c r="D713" s="84"/>
      <c r="E713" s="84"/>
      <c r="F713" s="84"/>
      <c r="G713" s="84"/>
      <c r="H713" s="84"/>
      <c r="I713" s="84"/>
      <c r="J713" s="84"/>
      <c r="K713" s="84"/>
      <c r="L713" s="84"/>
      <c r="M713" s="84"/>
      <c r="N713" s="84"/>
      <c r="O713" s="84"/>
      <c r="P713" s="84"/>
      <c r="Q713" s="84"/>
      <c r="R713" s="84"/>
      <c r="S713" s="84"/>
    </row>
    <row r="714" spans="1:19" s="1" customFormat="1" ht="12.45" customHeight="1" x14ac:dyDescent="0.25">
      <c r="A714" s="85" t="s">
        <v>750</v>
      </c>
      <c r="B714" s="85"/>
      <c r="C714" s="85"/>
      <c r="D714" s="85"/>
      <c r="E714" s="85"/>
      <c r="F714" s="85"/>
      <c r="G714" s="85"/>
      <c r="H714" s="85"/>
      <c r="I714" s="85"/>
      <c r="J714" s="85"/>
      <c r="K714" s="85"/>
      <c r="L714" s="85"/>
      <c r="M714" s="85"/>
      <c r="N714" s="85"/>
      <c r="O714" s="85"/>
      <c r="P714" s="85"/>
      <c r="Q714" s="85"/>
      <c r="R714" s="85"/>
      <c r="S714" s="85"/>
    </row>
    <row r="715" spans="1:19" s="1" customFormat="1" ht="14.1" customHeight="1" x14ac:dyDescent="0.25">
      <c r="A715" s="86"/>
      <c r="B715" s="86"/>
      <c r="C715" s="86"/>
      <c r="D715" s="86"/>
      <c r="E715" s="86"/>
      <c r="F715" s="86"/>
      <c r="G715" s="86"/>
      <c r="H715" s="86"/>
      <c r="I715" s="86"/>
      <c r="J715" s="86"/>
      <c r="K715" s="86"/>
      <c r="L715" s="86"/>
      <c r="M715" s="86"/>
      <c r="N715" s="86"/>
      <c r="O715" s="86"/>
      <c r="P715" s="86"/>
      <c r="Q715" s="86"/>
      <c r="R715" s="86"/>
      <c r="S715" s="86"/>
    </row>
    <row r="716" spans="1:19" s="1" customFormat="1" ht="14.1" customHeight="1" x14ac:dyDescent="0.25">
      <c r="A716" s="84" t="s">
        <v>56</v>
      </c>
      <c r="B716" s="84"/>
      <c r="C716" s="84"/>
      <c r="D716" s="84"/>
      <c r="E716" s="84"/>
      <c r="F716" s="84"/>
      <c r="G716" s="84"/>
      <c r="H716" s="84"/>
      <c r="I716" s="84"/>
      <c r="J716" s="84"/>
      <c r="K716" s="84"/>
      <c r="L716" s="84"/>
      <c r="M716" s="84"/>
      <c r="N716" s="84"/>
      <c r="O716" s="84"/>
      <c r="P716" s="84"/>
      <c r="Q716" s="84"/>
      <c r="R716" s="84"/>
      <c r="S716" s="84"/>
    </row>
    <row r="717" spans="1:19" s="1" customFormat="1" ht="49.2" customHeight="1" x14ac:dyDescent="0.25">
      <c r="A717" s="85" t="s">
        <v>614</v>
      </c>
      <c r="B717" s="85"/>
      <c r="C717" s="85"/>
      <c r="D717" s="85"/>
      <c r="E717" s="85"/>
      <c r="F717" s="85"/>
      <c r="G717" s="85"/>
      <c r="H717" s="85"/>
      <c r="I717" s="85"/>
      <c r="J717" s="85"/>
      <c r="K717" s="85"/>
      <c r="L717" s="85"/>
      <c r="M717" s="85"/>
      <c r="N717" s="85"/>
      <c r="O717" s="85"/>
      <c r="P717" s="85"/>
      <c r="Q717" s="85"/>
      <c r="R717" s="85"/>
      <c r="S717" s="85"/>
    </row>
    <row r="722" spans="1:20" s="1" customFormat="1" ht="72.45" customHeight="1" x14ac:dyDescent="0.25">
      <c r="J722" s="100" t="s">
        <v>0</v>
      </c>
      <c r="K722" s="100"/>
      <c r="L722" s="100"/>
      <c r="M722" s="100"/>
      <c r="N722" s="100"/>
      <c r="O722" s="100"/>
      <c r="P722" s="100"/>
      <c r="Q722" s="100"/>
      <c r="R722" s="100"/>
      <c r="S722" s="100"/>
      <c r="T722" s="100"/>
    </row>
    <row r="723" spans="1:20" s="1" customFormat="1" ht="7.05" customHeight="1" x14ac:dyDescent="0.25"/>
    <row r="724" spans="1:20" s="1" customFormat="1" ht="14.1" customHeight="1" x14ac:dyDescent="0.25">
      <c r="B724" s="101" t="s">
        <v>633</v>
      </c>
      <c r="C724" s="101"/>
      <c r="D724" s="101"/>
      <c r="E724" s="101"/>
      <c r="F724" s="101"/>
      <c r="G724" s="101"/>
      <c r="H724" s="101"/>
      <c r="I724" s="101"/>
      <c r="J724" s="101"/>
      <c r="K724" s="101"/>
      <c r="L724" s="101"/>
      <c r="M724" s="101"/>
      <c r="N724" s="101"/>
      <c r="O724" s="101"/>
      <c r="P724" s="101"/>
      <c r="Q724" s="101"/>
      <c r="R724" s="101"/>
    </row>
    <row r="725" spans="1:20" s="1" customFormat="1" ht="14.1" customHeight="1" x14ac:dyDescent="0.25"/>
    <row r="726" spans="1:20" s="1" customFormat="1" ht="14.1" customHeight="1" x14ac:dyDescent="0.25">
      <c r="A726" s="102" t="s">
        <v>2</v>
      </c>
      <c r="B726" s="102"/>
      <c r="C726" s="102"/>
      <c r="D726" s="103" t="s">
        <v>634</v>
      </c>
      <c r="E726" s="103"/>
      <c r="F726" s="103"/>
      <c r="G726" s="103"/>
      <c r="H726" s="103"/>
      <c r="I726" s="103"/>
      <c r="J726" s="103"/>
      <c r="K726" s="103"/>
      <c r="L726" s="103"/>
      <c r="M726" s="103"/>
      <c r="N726" s="103"/>
      <c r="O726" s="103"/>
      <c r="P726" s="103"/>
      <c r="Q726" s="103"/>
      <c r="R726" s="103"/>
      <c r="S726" s="103"/>
      <c r="T726" s="103"/>
    </row>
    <row r="727" spans="1:20" s="1" customFormat="1" ht="14.1" customHeight="1" x14ac:dyDescent="0.25">
      <c r="A727" s="102" t="s">
        <v>4</v>
      </c>
      <c r="B727" s="102"/>
      <c r="C727" s="103" t="s">
        <v>635</v>
      </c>
      <c r="D727" s="103"/>
      <c r="E727" s="103"/>
      <c r="F727" s="103"/>
      <c r="G727" s="103"/>
      <c r="H727" s="103"/>
      <c r="I727" s="103"/>
      <c r="J727" s="103"/>
      <c r="K727" s="103"/>
      <c r="L727" s="103"/>
      <c r="M727" s="103"/>
      <c r="N727" s="103"/>
      <c r="O727" s="103"/>
      <c r="P727" s="103"/>
      <c r="Q727" s="103"/>
      <c r="R727" s="103"/>
      <c r="S727" s="103"/>
      <c r="T727" s="103"/>
    </row>
    <row r="728" spans="1:20" s="1" customFormat="1" ht="14.1" customHeight="1" x14ac:dyDescent="0.25">
      <c r="A728" s="102" t="s">
        <v>6</v>
      </c>
      <c r="B728" s="102"/>
      <c r="C728" s="102"/>
      <c r="D728" s="102"/>
      <c r="E728" s="102"/>
      <c r="F728" s="103" t="s">
        <v>60</v>
      </c>
      <c r="G728" s="103"/>
      <c r="H728" s="103"/>
      <c r="I728" s="103"/>
      <c r="J728" s="103"/>
      <c r="K728" s="103"/>
      <c r="L728" s="103"/>
      <c r="M728" s="103"/>
      <c r="N728" s="103"/>
      <c r="O728" s="103"/>
      <c r="P728" s="103"/>
      <c r="Q728" s="103"/>
      <c r="R728" s="103"/>
      <c r="S728" s="103"/>
      <c r="T728" s="103"/>
    </row>
    <row r="729" spans="1:20" s="1" customFormat="1" ht="22.35" customHeight="1" x14ac:dyDescent="0.25">
      <c r="F729" s="103"/>
      <c r="G729" s="103"/>
      <c r="H729" s="103"/>
      <c r="I729" s="103"/>
      <c r="J729" s="103"/>
      <c r="K729" s="103"/>
      <c r="L729" s="103"/>
      <c r="M729" s="103"/>
      <c r="N729" s="103"/>
      <c r="O729" s="103"/>
      <c r="P729" s="103"/>
      <c r="Q729" s="103"/>
      <c r="R729" s="103"/>
      <c r="S729" s="103"/>
      <c r="T729" s="103"/>
    </row>
    <row r="730" spans="1:20" s="3" customFormat="1" ht="49.2" customHeight="1" x14ac:dyDescent="0.2">
      <c r="A730" s="133" t="s">
        <v>679</v>
      </c>
      <c r="B730" s="134"/>
      <c r="C730" s="134"/>
      <c r="D730" s="134"/>
      <c r="E730" s="134"/>
      <c r="F730" s="134"/>
      <c r="G730" s="134"/>
      <c r="H730" s="134"/>
      <c r="I730" s="134"/>
      <c r="J730" s="134"/>
      <c r="K730" s="134"/>
      <c r="L730" s="134"/>
      <c r="M730" s="134"/>
      <c r="N730" s="134"/>
      <c r="O730" s="134"/>
      <c r="P730" s="134"/>
      <c r="Q730" s="134"/>
      <c r="R730" s="134"/>
      <c r="S730" s="10"/>
    </row>
    <row r="731" spans="1:20" s="1" customFormat="1" ht="7.05" customHeight="1" x14ac:dyDescent="0.25">
      <c r="A731" s="86"/>
      <c r="B731" s="86"/>
      <c r="C731" s="86"/>
      <c r="D731" s="86"/>
      <c r="E731" s="86"/>
      <c r="F731" s="86"/>
      <c r="G731" s="86"/>
      <c r="H731" s="86"/>
      <c r="I731" s="86"/>
      <c r="J731" s="86"/>
      <c r="K731" s="86"/>
      <c r="L731" s="86"/>
      <c r="M731" s="86"/>
      <c r="N731" s="86"/>
      <c r="O731" s="86"/>
      <c r="P731" s="86"/>
      <c r="Q731" s="16"/>
      <c r="R731" s="86"/>
      <c r="S731" s="86"/>
      <c r="T731" s="86"/>
    </row>
    <row r="732" spans="1:20" s="1" customFormat="1" ht="16.95" customHeight="1" x14ac:dyDescent="0.25">
      <c r="A732" s="94" t="s">
        <v>8</v>
      </c>
      <c r="B732" s="94"/>
      <c r="C732" s="94"/>
      <c r="D732" s="94"/>
      <c r="E732" s="94"/>
      <c r="F732" s="94"/>
      <c r="G732" s="94"/>
      <c r="H732" s="94"/>
      <c r="I732" s="94"/>
      <c r="J732" s="94"/>
      <c r="K732" s="94"/>
      <c r="L732" s="94"/>
      <c r="M732" s="95" t="s">
        <v>9</v>
      </c>
      <c r="N732" s="95"/>
      <c r="O732" s="95"/>
      <c r="P732" s="95"/>
      <c r="Q732" s="95"/>
      <c r="R732" s="95"/>
      <c r="S732" s="95"/>
      <c r="T732" s="95"/>
    </row>
    <row r="733" spans="1:20" s="1" customFormat="1" ht="16.95" customHeight="1" x14ac:dyDescent="0.25">
      <c r="A733" s="94"/>
      <c r="B733" s="94"/>
      <c r="C733" s="94"/>
      <c r="D733" s="94"/>
      <c r="E733" s="94"/>
      <c r="F733" s="94"/>
      <c r="G733" s="94"/>
      <c r="H733" s="94"/>
      <c r="I733" s="94"/>
      <c r="J733" s="94"/>
      <c r="K733" s="94"/>
      <c r="L733" s="94"/>
      <c r="M733" s="96" t="s">
        <v>10</v>
      </c>
      <c r="N733" s="96"/>
      <c r="O733" s="96"/>
      <c r="P733" s="96"/>
      <c r="Q733" s="97" t="s">
        <v>11</v>
      </c>
      <c r="R733" s="97"/>
      <c r="S733" s="97"/>
      <c r="T733" s="97"/>
    </row>
    <row r="734" spans="1:20" s="1" customFormat="1" ht="16.95" customHeight="1" x14ac:dyDescent="0.25">
      <c r="A734" s="94"/>
      <c r="B734" s="94"/>
      <c r="C734" s="94"/>
      <c r="D734" s="94"/>
      <c r="E734" s="94"/>
      <c r="F734" s="94"/>
      <c r="G734" s="94"/>
      <c r="H734" s="94"/>
      <c r="I734" s="94"/>
      <c r="J734" s="94"/>
      <c r="K734" s="94"/>
      <c r="L734" s="94"/>
      <c r="M734" s="98" t="s">
        <v>12</v>
      </c>
      <c r="N734" s="98"/>
      <c r="O734" s="98" t="s">
        <v>13</v>
      </c>
      <c r="P734" s="98"/>
      <c r="Q734" s="13" t="s">
        <v>14</v>
      </c>
      <c r="R734" s="99" t="s">
        <v>15</v>
      </c>
      <c r="S734" s="99"/>
      <c r="T734" s="99"/>
    </row>
    <row r="735" spans="1:20" s="1" customFormat="1" ht="13.35" customHeight="1" x14ac:dyDescent="0.25">
      <c r="A735" s="131" t="s">
        <v>636</v>
      </c>
      <c r="B735" s="131"/>
      <c r="C735" s="131"/>
      <c r="D735" s="131"/>
      <c r="E735" s="131"/>
      <c r="F735" s="131"/>
      <c r="G735" s="131"/>
      <c r="H735" s="131"/>
      <c r="I735" s="131"/>
      <c r="J735" s="131"/>
      <c r="K735" s="131"/>
      <c r="L735" s="131"/>
      <c r="M735" s="131"/>
      <c r="N735" s="131"/>
      <c r="O735" s="131" t="s">
        <v>437</v>
      </c>
      <c r="P735" s="131"/>
      <c r="Q735" s="15"/>
      <c r="R735" s="131" t="s">
        <v>152</v>
      </c>
      <c r="S735" s="131"/>
      <c r="T735" s="131"/>
    </row>
    <row r="736" spans="1:20" s="1" customFormat="1" ht="13.35" customHeight="1" x14ac:dyDescent="0.25">
      <c r="A736" s="88" t="s">
        <v>637</v>
      </c>
      <c r="B736" s="88"/>
      <c r="C736" s="88"/>
      <c r="D736" s="88"/>
      <c r="E736" s="88"/>
      <c r="F736" s="88"/>
      <c r="G736" s="88"/>
      <c r="H736" s="88"/>
      <c r="I736" s="88"/>
      <c r="J736" s="88"/>
      <c r="K736" s="88"/>
      <c r="L736" s="88"/>
      <c r="M736" s="88">
        <v>1</v>
      </c>
      <c r="N736" s="88"/>
      <c r="O736" s="88">
        <v>1</v>
      </c>
      <c r="P736" s="88"/>
      <c r="Q736" s="6">
        <v>0.1</v>
      </c>
      <c r="R736" s="88">
        <v>0.1</v>
      </c>
      <c r="S736" s="88"/>
      <c r="T736" s="88"/>
    </row>
    <row r="737" spans="1:20" s="1" customFormat="1" ht="13.35" customHeight="1" x14ac:dyDescent="0.25">
      <c r="A737" s="88" t="s">
        <v>114</v>
      </c>
      <c r="B737" s="88"/>
      <c r="C737" s="88"/>
      <c r="D737" s="88"/>
      <c r="E737" s="88"/>
      <c r="F737" s="88"/>
      <c r="G737" s="88"/>
      <c r="H737" s="88"/>
      <c r="I737" s="88"/>
      <c r="J737" s="88"/>
      <c r="K737" s="88"/>
      <c r="L737" s="88"/>
      <c r="M737" s="88">
        <v>150</v>
      </c>
      <c r="N737" s="88"/>
      <c r="O737" s="88">
        <v>150</v>
      </c>
      <c r="P737" s="88"/>
      <c r="Q737" s="6">
        <v>1.5</v>
      </c>
      <c r="R737" s="88">
        <v>1.5</v>
      </c>
      <c r="S737" s="88"/>
      <c r="T737" s="88"/>
    </row>
    <row r="738" spans="1:20" s="1" customFormat="1" ht="13.35" customHeight="1" x14ac:dyDescent="0.25">
      <c r="A738" s="88" t="s">
        <v>109</v>
      </c>
      <c r="B738" s="88"/>
      <c r="C738" s="88"/>
      <c r="D738" s="88"/>
      <c r="E738" s="88"/>
      <c r="F738" s="88"/>
      <c r="G738" s="88"/>
      <c r="H738" s="88"/>
      <c r="I738" s="88"/>
      <c r="J738" s="88"/>
      <c r="K738" s="88"/>
      <c r="L738" s="88"/>
      <c r="M738" s="88">
        <v>15</v>
      </c>
      <c r="N738" s="88"/>
      <c r="O738" s="88">
        <v>15</v>
      </c>
      <c r="P738" s="88"/>
      <c r="Q738" s="6">
        <v>1.5</v>
      </c>
      <c r="R738" s="88">
        <v>1.5</v>
      </c>
      <c r="S738" s="88"/>
      <c r="T738" s="88"/>
    </row>
    <row r="739" spans="1:20" s="1" customFormat="1" ht="13.35" customHeight="1" x14ac:dyDescent="0.25">
      <c r="A739" s="88" t="s">
        <v>640</v>
      </c>
      <c r="B739" s="88"/>
      <c r="C739" s="88"/>
      <c r="D739" s="88"/>
      <c r="E739" s="88"/>
      <c r="F739" s="88"/>
      <c r="G739" s="88"/>
      <c r="H739" s="88"/>
      <c r="I739" s="88"/>
      <c r="J739" s="88"/>
      <c r="K739" s="88"/>
      <c r="L739" s="88"/>
      <c r="M739" s="88">
        <v>8</v>
      </c>
      <c r="N739" s="88"/>
      <c r="O739" s="88">
        <v>7</v>
      </c>
      <c r="P739" s="88"/>
      <c r="Q739" s="6">
        <v>0.8</v>
      </c>
      <c r="R739" s="88">
        <v>0.7</v>
      </c>
      <c r="S739" s="88"/>
      <c r="T739" s="88"/>
    </row>
    <row r="740" spans="1:20" s="1" customFormat="1" ht="14.1" customHeight="1" x14ac:dyDescent="0.25">
      <c r="A740" s="90" t="s">
        <v>116</v>
      </c>
      <c r="B740" s="90"/>
      <c r="C740" s="90"/>
      <c r="D740" s="90"/>
      <c r="E740" s="90"/>
      <c r="F740" s="90"/>
      <c r="G740" s="90"/>
      <c r="H740" s="90"/>
      <c r="I740" s="90"/>
      <c r="J740" s="90"/>
      <c r="K740" s="90"/>
      <c r="L740" s="90"/>
      <c r="M740" s="90"/>
      <c r="N740" s="90"/>
      <c r="O740" s="90"/>
      <c r="P740" s="90"/>
      <c r="Q740" s="90"/>
      <c r="R740" s="90"/>
      <c r="S740" s="90"/>
      <c r="T740" s="90"/>
    </row>
    <row r="741" spans="1:20" s="1" customFormat="1" ht="21.3" customHeight="1" x14ac:dyDescent="0.25"/>
    <row r="742" spans="1:20" s="1" customFormat="1" ht="14.1" customHeight="1" x14ac:dyDescent="0.25">
      <c r="A742" s="91" t="s">
        <v>33</v>
      </c>
      <c r="B742" s="91"/>
      <c r="C742" s="91"/>
      <c r="D742" s="91"/>
      <c r="E742" s="91"/>
      <c r="F742" s="91"/>
      <c r="G742" s="91"/>
      <c r="H742" s="91"/>
      <c r="I742" s="91"/>
      <c r="J742" s="91"/>
      <c r="K742" s="91"/>
      <c r="L742" s="91"/>
      <c r="M742" s="91"/>
      <c r="N742" s="91"/>
    </row>
    <row r="743" spans="1:20" s="1" customFormat="1" ht="13.35" customHeight="1" x14ac:dyDescent="0.25">
      <c r="A743" s="88" t="s">
        <v>34</v>
      </c>
      <c r="B743" s="88"/>
      <c r="C743" s="88"/>
      <c r="D743" s="88"/>
      <c r="E743" s="89">
        <f>0.16*200/180</f>
        <v>0.17777777777777778</v>
      </c>
      <c r="F743" s="89"/>
      <c r="G743" s="17"/>
      <c r="H743" s="6" t="s">
        <v>35</v>
      </c>
      <c r="I743" s="89">
        <v>0</v>
      </c>
      <c r="J743" s="89"/>
      <c r="K743" s="17"/>
      <c r="L743" s="88" t="s">
        <v>36</v>
      </c>
      <c r="M743" s="88"/>
      <c r="N743" s="89">
        <v>12.07</v>
      </c>
      <c r="O743" s="89"/>
    </row>
    <row r="744" spans="1:20" s="1" customFormat="1" ht="13.35" customHeight="1" x14ac:dyDescent="0.25">
      <c r="A744" s="88" t="s">
        <v>37</v>
      </c>
      <c r="B744" s="88"/>
      <c r="C744" s="88"/>
      <c r="D744" s="88"/>
      <c r="E744" s="89">
        <f>0.01*200/180</f>
        <v>1.1111111111111112E-2</v>
      </c>
      <c r="F744" s="89"/>
      <c r="G744" s="17"/>
      <c r="H744" s="6" t="s">
        <v>38</v>
      </c>
      <c r="I744" s="89">
        <v>1.03</v>
      </c>
      <c r="J744" s="89"/>
      <c r="K744" s="17"/>
      <c r="L744" s="88" t="s">
        <v>39</v>
      </c>
      <c r="M744" s="88"/>
      <c r="N744" s="89">
        <v>4.32</v>
      </c>
      <c r="O744" s="89"/>
    </row>
    <row r="745" spans="1:20" s="1" customFormat="1" ht="13.35" customHeight="1" x14ac:dyDescent="0.25">
      <c r="A745" s="88" t="s">
        <v>40</v>
      </c>
      <c r="B745" s="88"/>
      <c r="C745" s="88"/>
      <c r="D745" s="88"/>
      <c r="E745" s="89">
        <f>7.35*200/180</f>
        <v>8.1666666666666661</v>
      </c>
      <c r="F745" s="89"/>
      <c r="G745" s="17"/>
      <c r="H745" s="6" t="s">
        <v>41</v>
      </c>
      <c r="I745" s="89">
        <v>0</v>
      </c>
      <c r="J745" s="89"/>
      <c r="K745" s="17"/>
      <c r="L745" s="88" t="s">
        <v>42</v>
      </c>
      <c r="M745" s="88"/>
      <c r="N745" s="89">
        <v>4.96</v>
      </c>
      <c r="O745" s="89"/>
    </row>
    <row r="746" spans="1:20" s="1" customFormat="1" ht="13.35" customHeight="1" x14ac:dyDescent="0.25">
      <c r="A746" s="88" t="s">
        <v>43</v>
      </c>
      <c r="B746" s="88"/>
      <c r="C746" s="88"/>
      <c r="D746" s="88"/>
      <c r="E746" s="89">
        <f>31.15*200/180</f>
        <v>34.611111111111114</v>
      </c>
      <c r="F746" s="89"/>
      <c r="G746" s="17"/>
      <c r="H746" s="6" t="s">
        <v>44</v>
      </c>
      <c r="I746" s="89">
        <v>0</v>
      </c>
      <c r="J746" s="89"/>
      <c r="K746" s="17"/>
      <c r="L746" s="88" t="s">
        <v>45</v>
      </c>
      <c r="M746" s="88"/>
      <c r="N746" s="89">
        <v>0.42</v>
      </c>
      <c r="O746" s="89"/>
    </row>
    <row r="747" spans="1:20" s="1" customFormat="1" ht="13.35" customHeight="1" x14ac:dyDescent="0.25">
      <c r="A747" s="87"/>
      <c r="B747" s="87"/>
      <c r="C747" s="87"/>
      <c r="D747" s="87"/>
      <c r="E747" s="87"/>
      <c r="F747" s="87"/>
      <c r="G747" s="17"/>
      <c r="H747" s="6" t="s">
        <v>46</v>
      </c>
      <c r="I747" s="89">
        <v>0</v>
      </c>
      <c r="J747" s="89"/>
      <c r="K747" s="17"/>
      <c r="L747" s="88" t="s">
        <v>47</v>
      </c>
      <c r="M747" s="88"/>
      <c r="N747" s="89">
        <v>23.45</v>
      </c>
      <c r="O747" s="89"/>
    </row>
    <row r="748" spans="1:20" s="1" customFormat="1" ht="13.35" customHeight="1" x14ac:dyDescent="0.25">
      <c r="A748" s="87"/>
      <c r="B748" s="87"/>
      <c r="C748" s="87"/>
      <c r="D748" s="87"/>
      <c r="E748" s="87"/>
      <c r="F748" s="87"/>
      <c r="G748" s="17"/>
      <c r="H748" s="6" t="s">
        <v>48</v>
      </c>
      <c r="I748" s="89">
        <v>0.01</v>
      </c>
      <c r="J748" s="89"/>
      <c r="K748" s="17"/>
      <c r="L748" s="88" t="s">
        <v>49</v>
      </c>
      <c r="M748" s="88"/>
      <c r="N748" s="89">
        <v>0</v>
      </c>
      <c r="O748" s="89"/>
    </row>
    <row r="749" spans="1:20" s="1" customFormat="1" ht="13.35" customHeight="1" x14ac:dyDescent="0.25">
      <c r="A749" s="87"/>
      <c r="B749" s="87"/>
      <c r="C749" s="87"/>
      <c r="D749" s="87"/>
      <c r="E749" s="87"/>
      <c r="F749" s="87"/>
      <c r="G749" s="17"/>
      <c r="H749" s="17"/>
      <c r="I749" s="87"/>
      <c r="J749" s="87"/>
      <c r="K749" s="17"/>
      <c r="L749" s="88" t="s">
        <v>50</v>
      </c>
      <c r="M749" s="88"/>
      <c r="N749" s="89">
        <v>0</v>
      </c>
      <c r="O749" s="89"/>
    </row>
    <row r="750" spans="1:20" s="1" customFormat="1" ht="13.35" customHeight="1" x14ac:dyDescent="0.25">
      <c r="A750" s="87"/>
      <c r="B750" s="87"/>
      <c r="C750" s="87"/>
      <c r="D750" s="87"/>
      <c r="E750" s="87"/>
      <c r="F750" s="87"/>
      <c r="G750" s="17"/>
      <c r="H750" s="17"/>
      <c r="I750" s="87"/>
      <c r="J750" s="87"/>
      <c r="K750" s="17"/>
      <c r="L750" s="88" t="s">
        <v>51</v>
      </c>
      <c r="M750" s="88"/>
      <c r="N750" s="89">
        <v>0</v>
      </c>
      <c r="O750" s="89"/>
    </row>
    <row r="751" spans="1:20" s="1" customFormat="1" ht="14.1" customHeight="1" x14ac:dyDescent="0.25">
      <c r="A751" s="86"/>
      <c r="B751" s="86"/>
      <c r="C751" s="86"/>
      <c r="D751" s="86"/>
      <c r="E751" s="86"/>
      <c r="F751" s="86"/>
      <c r="G751" s="86"/>
      <c r="H751" s="86"/>
      <c r="I751" s="86"/>
      <c r="J751" s="86"/>
      <c r="K751" s="86"/>
      <c r="L751" s="86"/>
      <c r="M751" s="86"/>
      <c r="N751" s="86"/>
      <c r="O751" s="86"/>
      <c r="P751" s="86"/>
      <c r="Q751" s="86"/>
      <c r="R751" s="86"/>
      <c r="S751" s="86"/>
    </row>
    <row r="752" spans="1:20" s="1" customFormat="1" ht="14.1" customHeight="1" x14ac:dyDescent="0.25">
      <c r="A752" s="84" t="s">
        <v>52</v>
      </c>
      <c r="B752" s="84"/>
      <c r="C752" s="84"/>
      <c r="D752" s="84"/>
      <c r="E752" s="84"/>
      <c r="F752" s="84"/>
      <c r="G752" s="84"/>
      <c r="H752" s="84"/>
      <c r="I752" s="84"/>
      <c r="J752" s="84"/>
      <c r="K752" s="84"/>
      <c r="L752" s="84"/>
      <c r="M752" s="84"/>
      <c r="N752" s="84"/>
      <c r="O752" s="84"/>
      <c r="P752" s="84"/>
      <c r="Q752" s="84"/>
      <c r="R752" s="84"/>
      <c r="S752" s="84"/>
    </row>
    <row r="753" spans="1:20" s="1" customFormat="1" ht="67.650000000000006" customHeight="1" x14ac:dyDescent="0.25">
      <c r="A753" s="85" t="s">
        <v>642</v>
      </c>
      <c r="B753" s="85"/>
      <c r="C753" s="85"/>
      <c r="D753" s="85"/>
      <c r="E753" s="85"/>
      <c r="F753" s="85"/>
      <c r="G753" s="85"/>
      <c r="H753" s="85"/>
      <c r="I753" s="85"/>
      <c r="J753" s="85"/>
      <c r="K753" s="85"/>
      <c r="L753" s="85"/>
      <c r="M753" s="85"/>
      <c r="N753" s="85"/>
      <c r="O753" s="85"/>
      <c r="P753" s="85"/>
      <c r="Q753" s="85"/>
      <c r="R753" s="85"/>
      <c r="S753" s="85"/>
    </row>
    <row r="754" spans="1:20" s="1" customFormat="1" ht="14.1" customHeight="1" x14ac:dyDescent="0.25">
      <c r="A754" s="86"/>
      <c r="B754" s="86"/>
      <c r="C754" s="86"/>
      <c r="D754" s="86"/>
      <c r="E754" s="86"/>
      <c r="F754" s="86"/>
      <c r="G754" s="86"/>
      <c r="H754" s="86"/>
      <c r="I754" s="86"/>
      <c r="J754" s="86"/>
      <c r="K754" s="86"/>
      <c r="L754" s="86"/>
      <c r="M754" s="86"/>
      <c r="N754" s="86"/>
      <c r="O754" s="86"/>
      <c r="P754" s="86"/>
      <c r="Q754" s="86"/>
      <c r="R754" s="86"/>
      <c r="S754" s="86"/>
    </row>
    <row r="755" spans="1:20" s="1" customFormat="1" ht="14.1" customHeight="1" x14ac:dyDescent="0.25">
      <c r="A755" s="84" t="s">
        <v>56</v>
      </c>
      <c r="B755" s="84"/>
      <c r="C755" s="84"/>
      <c r="D755" s="84"/>
      <c r="E755" s="84"/>
      <c r="F755" s="84"/>
      <c r="G755" s="84"/>
      <c r="H755" s="84"/>
      <c r="I755" s="84"/>
      <c r="J755" s="84"/>
      <c r="K755" s="84"/>
      <c r="L755" s="84"/>
      <c r="M755" s="84"/>
      <c r="N755" s="84"/>
      <c r="O755" s="84"/>
      <c r="P755" s="84"/>
      <c r="Q755" s="84"/>
      <c r="R755" s="84"/>
      <c r="S755" s="84"/>
    </row>
    <row r="756" spans="1:20" s="1" customFormat="1" ht="49.2" customHeight="1" x14ac:dyDescent="0.25">
      <c r="A756" s="85" t="s">
        <v>643</v>
      </c>
      <c r="B756" s="85"/>
      <c r="C756" s="85"/>
      <c r="D756" s="85"/>
      <c r="E756" s="85"/>
      <c r="F756" s="85"/>
      <c r="G756" s="85"/>
      <c r="H756" s="85"/>
      <c r="I756" s="85"/>
      <c r="J756" s="85"/>
      <c r="K756" s="85"/>
      <c r="L756" s="85"/>
      <c r="M756" s="85"/>
      <c r="N756" s="85"/>
      <c r="O756" s="85"/>
      <c r="P756" s="85"/>
      <c r="Q756" s="85"/>
      <c r="R756" s="85"/>
      <c r="S756" s="85"/>
    </row>
    <row r="757" spans="1:20" s="1" customFormat="1" ht="72.45" customHeight="1" x14ac:dyDescent="0.25">
      <c r="J757" s="100" t="s">
        <v>0</v>
      </c>
      <c r="K757" s="100"/>
      <c r="L757" s="100"/>
      <c r="M757" s="100"/>
      <c r="N757" s="100"/>
      <c r="O757" s="100"/>
      <c r="P757" s="100"/>
      <c r="Q757" s="100"/>
      <c r="R757" s="100"/>
      <c r="S757" s="100"/>
      <c r="T757" s="100"/>
    </row>
    <row r="758" spans="1:20" s="1" customFormat="1" ht="7.05" customHeight="1" x14ac:dyDescent="0.25"/>
    <row r="759" spans="1:20" s="1" customFormat="1" ht="14.1" customHeight="1" x14ac:dyDescent="0.25">
      <c r="B759" s="101" t="s">
        <v>633</v>
      </c>
      <c r="C759" s="101"/>
      <c r="D759" s="101"/>
      <c r="E759" s="101"/>
      <c r="F759" s="101"/>
      <c r="G759" s="101"/>
      <c r="H759" s="101"/>
      <c r="I759" s="101"/>
      <c r="J759" s="101"/>
      <c r="K759" s="101"/>
      <c r="L759" s="101"/>
      <c r="M759" s="101"/>
      <c r="N759" s="101"/>
      <c r="O759" s="101"/>
      <c r="P759" s="101"/>
      <c r="Q759" s="101"/>
      <c r="R759" s="101"/>
    </row>
    <row r="760" spans="1:20" s="1" customFormat="1" ht="14.1" customHeight="1" x14ac:dyDescent="0.25"/>
    <row r="761" spans="1:20" s="1" customFormat="1" ht="14.1" customHeight="1" x14ac:dyDescent="0.25">
      <c r="A761" s="102" t="s">
        <v>2</v>
      </c>
      <c r="B761" s="102"/>
      <c r="C761" s="102"/>
      <c r="D761" s="103" t="s">
        <v>634</v>
      </c>
      <c r="E761" s="103"/>
      <c r="F761" s="103"/>
      <c r="G761" s="103"/>
      <c r="H761" s="103"/>
      <c r="I761" s="103"/>
      <c r="J761" s="103"/>
      <c r="K761" s="103"/>
      <c r="L761" s="103"/>
      <c r="M761" s="103"/>
      <c r="N761" s="103"/>
      <c r="O761" s="103"/>
      <c r="P761" s="103"/>
      <c r="Q761" s="103"/>
      <c r="R761" s="103"/>
      <c r="S761" s="103"/>
      <c r="T761" s="103"/>
    </row>
    <row r="762" spans="1:20" s="1" customFormat="1" ht="14.1" customHeight="1" x14ac:dyDescent="0.25">
      <c r="A762" s="102" t="s">
        <v>4</v>
      </c>
      <c r="B762" s="102"/>
      <c r="C762" s="103" t="s">
        <v>635</v>
      </c>
      <c r="D762" s="103"/>
      <c r="E762" s="103"/>
      <c r="F762" s="103"/>
      <c r="G762" s="103"/>
      <c r="H762" s="103"/>
      <c r="I762" s="103"/>
      <c r="J762" s="103"/>
      <c r="K762" s="103"/>
      <c r="L762" s="103"/>
      <c r="M762" s="103"/>
      <c r="N762" s="103"/>
      <c r="O762" s="103"/>
      <c r="P762" s="103"/>
      <c r="Q762" s="103"/>
      <c r="R762" s="103"/>
      <c r="S762" s="103"/>
      <c r="T762" s="103"/>
    </row>
    <row r="763" spans="1:20" s="1" customFormat="1" ht="14.1" customHeight="1" x14ac:dyDescent="0.25">
      <c r="A763" s="102" t="s">
        <v>6</v>
      </c>
      <c r="B763" s="102"/>
      <c r="C763" s="102"/>
      <c r="D763" s="102"/>
      <c r="E763" s="102"/>
      <c r="F763" s="103" t="s">
        <v>60</v>
      </c>
      <c r="G763" s="103"/>
      <c r="H763" s="103"/>
      <c r="I763" s="103"/>
      <c r="J763" s="103"/>
      <c r="K763" s="103"/>
      <c r="L763" s="103"/>
      <c r="M763" s="103"/>
      <c r="N763" s="103"/>
      <c r="O763" s="103"/>
      <c r="P763" s="103"/>
      <c r="Q763" s="103"/>
      <c r="R763" s="103"/>
      <c r="S763" s="103"/>
      <c r="T763" s="103"/>
    </row>
    <row r="764" spans="1:20" s="1" customFormat="1" ht="22.35" customHeight="1" x14ac:dyDescent="0.25">
      <c r="F764" s="103"/>
      <c r="G764" s="103"/>
      <c r="H764" s="103"/>
      <c r="I764" s="103"/>
      <c r="J764" s="103"/>
      <c r="K764" s="103"/>
      <c r="L764" s="103"/>
      <c r="M764" s="103"/>
      <c r="N764" s="103"/>
      <c r="O764" s="103"/>
      <c r="P764" s="103"/>
      <c r="Q764" s="103"/>
      <c r="R764" s="103"/>
      <c r="S764" s="103"/>
      <c r="T764" s="103"/>
    </row>
    <row r="765" spans="1:20" s="3" customFormat="1" ht="49.2" customHeight="1" x14ac:dyDescent="0.2">
      <c r="A765" s="133" t="s">
        <v>679</v>
      </c>
      <c r="B765" s="134"/>
      <c r="C765" s="134"/>
      <c r="D765" s="134"/>
      <c r="E765" s="134"/>
      <c r="F765" s="134"/>
      <c r="G765" s="134"/>
      <c r="H765" s="134"/>
      <c r="I765" s="134"/>
      <c r="J765" s="134"/>
      <c r="K765" s="134"/>
      <c r="L765" s="134"/>
      <c r="M765" s="134"/>
      <c r="N765" s="134"/>
      <c r="O765" s="134"/>
      <c r="P765" s="134"/>
      <c r="Q765" s="134"/>
      <c r="R765" s="134"/>
      <c r="S765" s="10"/>
    </row>
    <row r="766" spans="1:20" s="1" customFormat="1" ht="7.05" customHeight="1" x14ac:dyDescent="0.25">
      <c r="A766" s="86"/>
      <c r="B766" s="86"/>
      <c r="C766" s="86"/>
      <c r="D766" s="86"/>
      <c r="E766" s="86"/>
      <c r="F766" s="86"/>
      <c r="G766" s="86"/>
      <c r="H766" s="86"/>
      <c r="I766" s="86"/>
      <c r="J766" s="86"/>
      <c r="K766" s="86"/>
      <c r="L766" s="86"/>
      <c r="M766" s="86"/>
      <c r="N766" s="86"/>
      <c r="O766" s="86"/>
      <c r="P766" s="86"/>
      <c r="Q766" s="16"/>
      <c r="R766" s="86"/>
      <c r="S766" s="86"/>
      <c r="T766" s="86"/>
    </row>
    <row r="767" spans="1:20" s="1" customFormat="1" ht="16.95" customHeight="1" x14ac:dyDescent="0.25">
      <c r="A767" s="94" t="s">
        <v>8</v>
      </c>
      <c r="B767" s="94"/>
      <c r="C767" s="94"/>
      <c r="D767" s="94"/>
      <c r="E767" s="94"/>
      <c r="F767" s="94"/>
      <c r="G767" s="94"/>
      <c r="H767" s="94"/>
      <c r="I767" s="94"/>
      <c r="J767" s="94"/>
      <c r="K767" s="94"/>
      <c r="L767" s="94"/>
      <c r="M767" s="95" t="s">
        <v>9</v>
      </c>
      <c r="N767" s="95"/>
      <c r="O767" s="95"/>
      <c r="P767" s="95"/>
      <c r="Q767" s="95"/>
      <c r="R767" s="95"/>
      <c r="S767" s="95"/>
      <c r="T767" s="95"/>
    </row>
    <row r="768" spans="1:20" s="1" customFormat="1" ht="16.95" customHeight="1" x14ac:dyDescent="0.25">
      <c r="A768" s="94"/>
      <c r="B768" s="94"/>
      <c r="C768" s="94"/>
      <c r="D768" s="94"/>
      <c r="E768" s="94"/>
      <c r="F768" s="94"/>
      <c r="G768" s="94"/>
      <c r="H768" s="94"/>
      <c r="I768" s="94"/>
      <c r="J768" s="94"/>
      <c r="K768" s="94"/>
      <c r="L768" s="94"/>
      <c r="M768" s="96" t="s">
        <v>10</v>
      </c>
      <c r="N768" s="96"/>
      <c r="O768" s="96"/>
      <c r="P768" s="96"/>
      <c r="Q768" s="97" t="s">
        <v>11</v>
      </c>
      <c r="R768" s="97"/>
      <c r="S768" s="97"/>
      <c r="T768" s="97"/>
    </row>
    <row r="769" spans="1:20" s="1" customFormat="1" ht="16.95" customHeight="1" x14ac:dyDescent="0.25">
      <c r="A769" s="94"/>
      <c r="B769" s="94"/>
      <c r="C769" s="94"/>
      <c r="D769" s="94"/>
      <c r="E769" s="94"/>
      <c r="F769" s="94"/>
      <c r="G769" s="94"/>
      <c r="H769" s="94"/>
      <c r="I769" s="94"/>
      <c r="J769" s="94"/>
      <c r="K769" s="94"/>
      <c r="L769" s="94"/>
      <c r="M769" s="98" t="s">
        <v>12</v>
      </c>
      <c r="N769" s="98"/>
      <c r="O769" s="98" t="s">
        <v>13</v>
      </c>
      <c r="P769" s="98"/>
      <c r="Q769" s="13" t="s">
        <v>14</v>
      </c>
      <c r="R769" s="99" t="s">
        <v>15</v>
      </c>
      <c r="S769" s="99"/>
      <c r="T769" s="99"/>
    </row>
    <row r="770" spans="1:20" s="1" customFormat="1" ht="13.35" customHeight="1" x14ac:dyDescent="0.25">
      <c r="A770" s="131" t="s">
        <v>636</v>
      </c>
      <c r="B770" s="131"/>
      <c r="C770" s="131"/>
      <c r="D770" s="131"/>
      <c r="E770" s="131"/>
      <c r="F770" s="131"/>
      <c r="G770" s="131"/>
      <c r="H770" s="131"/>
      <c r="I770" s="131"/>
      <c r="J770" s="131"/>
      <c r="K770" s="131"/>
      <c r="L770" s="131"/>
      <c r="M770" s="131"/>
      <c r="N770" s="131"/>
      <c r="O770" s="131" t="s">
        <v>437</v>
      </c>
      <c r="P770" s="131"/>
      <c r="Q770" s="15"/>
      <c r="R770" s="131" t="s">
        <v>152</v>
      </c>
      <c r="S770" s="131"/>
      <c r="T770" s="131"/>
    </row>
    <row r="771" spans="1:20" s="1" customFormat="1" ht="13.35" customHeight="1" x14ac:dyDescent="0.25">
      <c r="A771" s="88" t="s">
        <v>637</v>
      </c>
      <c r="B771" s="88"/>
      <c r="C771" s="88"/>
      <c r="D771" s="88"/>
      <c r="E771" s="88"/>
      <c r="F771" s="88"/>
      <c r="G771" s="88"/>
      <c r="H771" s="88"/>
      <c r="I771" s="88"/>
      <c r="J771" s="88"/>
      <c r="K771" s="88"/>
      <c r="L771" s="88"/>
      <c r="M771" s="88">
        <v>0.9</v>
      </c>
      <c r="N771" s="88"/>
      <c r="O771" s="88">
        <v>0.9</v>
      </c>
      <c r="P771" s="88"/>
      <c r="Q771" s="6">
        <v>0.09</v>
      </c>
      <c r="R771" s="88">
        <v>0.09</v>
      </c>
      <c r="S771" s="88"/>
      <c r="T771" s="88"/>
    </row>
    <row r="772" spans="1:20" s="1" customFormat="1" ht="13.35" customHeight="1" x14ac:dyDescent="0.25">
      <c r="A772" s="88" t="s">
        <v>109</v>
      </c>
      <c r="B772" s="88"/>
      <c r="C772" s="88"/>
      <c r="D772" s="88"/>
      <c r="E772" s="88"/>
      <c r="F772" s="88"/>
      <c r="G772" s="88"/>
      <c r="H772" s="88"/>
      <c r="I772" s="88"/>
      <c r="J772" s="88"/>
      <c r="K772" s="88"/>
      <c r="L772" s="88"/>
      <c r="M772" s="88" t="s">
        <v>187</v>
      </c>
      <c r="N772" s="88"/>
      <c r="O772" s="88">
        <v>7.2</v>
      </c>
      <c r="P772" s="88"/>
      <c r="Q772" s="6" t="s">
        <v>188</v>
      </c>
      <c r="R772" s="88" t="s">
        <v>188</v>
      </c>
      <c r="S772" s="88"/>
      <c r="T772" s="88"/>
    </row>
    <row r="773" spans="1:20" s="1" customFormat="1" ht="13.35" customHeight="1" x14ac:dyDescent="0.25">
      <c r="A773" s="88" t="s">
        <v>640</v>
      </c>
      <c r="B773" s="88"/>
      <c r="C773" s="88"/>
      <c r="D773" s="88"/>
      <c r="E773" s="88"/>
      <c r="F773" s="88"/>
      <c r="G773" s="88"/>
      <c r="H773" s="88"/>
      <c r="I773" s="88"/>
      <c r="J773" s="88"/>
      <c r="K773" s="88"/>
      <c r="L773" s="88"/>
      <c r="M773" s="88">
        <v>14.4</v>
      </c>
      <c r="N773" s="88"/>
      <c r="O773" s="88">
        <v>14.4</v>
      </c>
      <c r="P773" s="88"/>
      <c r="Q773" s="6">
        <v>1.44</v>
      </c>
      <c r="R773" s="88">
        <v>1.44</v>
      </c>
      <c r="S773" s="88"/>
      <c r="T773" s="88"/>
    </row>
    <row r="774" spans="1:20" s="1" customFormat="1" ht="13.35" customHeight="1" x14ac:dyDescent="0.25">
      <c r="A774" s="88" t="s">
        <v>114</v>
      </c>
      <c r="B774" s="88"/>
      <c r="C774" s="88"/>
      <c r="D774" s="88"/>
      <c r="E774" s="88"/>
      <c r="F774" s="88"/>
      <c r="G774" s="88"/>
      <c r="H774" s="88"/>
      <c r="I774" s="88"/>
      <c r="J774" s="88"/>
      <c r="K774" s="88"/>
      <c r="L774" s="88"/>
      <c r="M774" s="88" t="s">
        <v>641</v>
      </c>
      <c r="N774" s="88"/>
      <c r="O774" s="88" t="s">
        <v>641</v>
      </c>
      <c r="P774" s="88"/>
      <c r="Q774" s="6" t="s">
        <v>373</v>
      </c>
      <c r="R774" s="88" t="s">
        <v>373</v>
      </c>
      <c r="S774" s="88"/>
      <c r="T774" s="88"/>
    </row>
    <row r="775" spans="1:20" s="1" customFormat="1" ht="14.1" customHeight="1" x14ac:dyDescent="0.25">
      <c r="A775" s="90" t="s">
        <v>217</v>
      </c>
      <c r="B775" s="90"/>
      <c r="C775" s="90"/>
      <c r="D775" s="90"/>
      <c r="E775" s="90"/>
      <c r="F775" s="90"/>
      <c r="G775" s="90"/>
      <c r="H775" s="90"/>
      <c r="I775" s="90"/>
      <c r="J775" s="90"/>
      <c r="K775" s="90"/>
      <c r="L775" s="90"/>
      <c r="M775" s="90"/>
      <c r="N775" s="90"/>
      <c r="O775" s="90"/>
      <c r="P775" s="90"/>
      <c r="Q775" s="90"/>
      <c r="R775" s="90"/>
      <c r="S775" s="90"/>
      <c r="T775" s="90"/>
    </row>
    <row r="776" spans="1:20" s="1" customFormat="1" ht="21.3" customHeight="1" x14ac:dyDescent="0.25"/>
    <row r="777" spans="1:20" s="1" customFormat="1" ht="14.1" customHeight="1" x14ac:dyDescent="0.25">
      <c r="A777" s="91" t="s">
        <v>33</v>
      </c>
      <c r="B777" s="91"/>
      <c r="C777" s="91"/>
      <c r="D777" s="91"/>
      <c r="E777" s="91"/>
      <c r="F777" s="91"/>
      <c r="G777" s="91"/>
      <c r="H777" s="91"/>
      <c r="I777" s="91"/>
      <c r="J777" s="91"/>
      <c r="K777" s="91"/>
      <c r="L777" s="91"/>
      <c r="M777" s="91"/>
      <c r="N777" s="91"/>
    </row>
    <row r="778" spans="1:20" s="1" customFormat="1" ht="13.35" customHeight="1" x14ac:dyDescent="0.25">
      <c r="A778" s="88" t="s">
        <v>34</v>
      </c>
      <c r="B778" s="88"/>
      <c r="C778" s="88"/>
      <c r="D778" s="88"/>
      <c r="E778" s="89">
        <v>0.16</v>
      </c>
      <c r="F778" s="89"/>
      <c r="G778" s="17"/>
      <c r="H778" s="6" t="s">
        <v>35</v>
      </c>
      <c r="I778" s="89">
        <v>0</v>
      </c>
      <c r="J778" s="89"/>
      <c r="K778" s="17"/>
      <c r="L778" s="88" t="s">
        <v>36</v>
      </c>
      <c r="M778" s="88"/>
      <c r="N778" s="89">
        <v>12.07</v>
      </c>
      <c r="O778" s="89"/>
    </row>
    <row r="779" spans="1:20" s="1" customFormat="1" ht="13.35" customHeight="1" x14ac:dyDescent="0.25">
      <c r="A779" s="88" t="s">
        <v>37</v>
      </c>
      <c r="B779" s="88"/>
      <c r="C779" s="88"/>
      <c r="D779" s="88"/>
      <c r="E779" s="89">
        <v>0.01</v>
      </c>
      <c r="F779" s="89"/>
      <c r="G779" s="17"/>
      <c r="H779" s="6" t="s">
        <v>38</v>
      </c>
      <c r="I779" s="89">
        <v>1.03</v>
      </c>
      <c r="J779" s="89"/>
      <c r="K779" s="17"/>
      <c r="L779" s="88" t="s">
        <v>39</v>
      </c>
      <c r="M779" s="88"/>
      <c r="N779" s="89">
        <v>4.32</v>
      </c>
      <c r="O779" s="89"/>
    </row>
    <row r="780" spans="1:20" s="1" customFormat="1" ht="13.35" customHeight="1" x14ac:dyDescent="0.25">
      <c r="A780" s="88" t="s">
        <v>40</v>
      </c>
      <c r="B780" s="88"/>
      <c r="C780" s="88"/>
      <c r="D780" s="88"/>
      <c r="E780" s="89">
        <v>7.35</v>
      </c>
      <c r="F780" s="89"/>
      <c r="G780" s="17"/>
      <c r="H780" s="6" t="s">
        <v>41</v>
      </c>
      <c r="I780" s="89">
        <v>0</v>
      </c>
      <c r="J780" s="89"/>
      <c r="K780" s="17"/>
      <c r="L780" s="88" t="s">
        <v>42</v>
      </c>
      <c r="M780" s="88"/>
      <c r="N780" s="89">
        <v>4.96</v>
      </c>
      <c r="O780" s="89"/>
    </row>
    <row r="781" spans="1:20" s="1" customFormat="1" ht="13.35" customHeight="1" x14ac:dyDescent="0.25">
      <c r="A781" s="88" t="s">
        <v>43</v>
      </c>
      <c r="B781" s="88"/>
      <c r="C781" s="88"/>
      <c r="D781" s="88"/>
      <c r="E781" s="89">
        <v>31.15</v>
      </c>
      <c r="F781" s="89"/>
      <c r="G781" s="17"/>
      <c r="H781" s="6" t="s">
        <v>44</v>
      </c>
      <c r="I781" s="89">
        <v>0</v>
      </c>
      <c r="J781" s="89"/>
      <c r="K781" s="17"/>
      <c r="L781" s="88" t="s">
        <v>45</v>
      </c>
      <c r="M781" s="88"/>
      <c r="N781" s="89">
        <v>0.42</v>
      </c>
      <c r="O781" s="89"/>
    </row>
    <row r="782" spans="1:20" s="1" customFormat="1" ht="13.35" customHeight="1" x14ac:dyDescent="0.25">
      <c r="A782" s="87"/>
      <c r="B782" s="87"/>
      <c r="C782" s="87"/>
      <c r="D782" s="87"/>
      <c r="E782" s="87"/>
      <c r="F782" s="87"/>
      <c r="G782" s="17"/>
      <c r="H782" s="6" t="s">
        <v>46</v>
      </c>
      <c r="I782" s="89">
        <v>0</v>
      </c>
      <c r="J782" s="89"/>
      <c r="K782" s="17"/>
      <c r="L782" s="88" t="s">
        <v>47</v>
      </c>
      <c r="M782" s="88"/>
      <c r="N782" s="89">
        <v>23.45</v>
      </c>
      <c r="O782" s="89"/>
    </row>
    <row r="783" spans="1:20" s="1" customFormat="1" ht="13.35" customHeight="1" x14ac:dyDescent="0.25">
      <c r="A783" s="87"/>
      <c r="B783" s="87"/>
      <c r="C783" s="87"/>
      <c r="D783" s="87"/>
      <c r="E783" s="87"/>
      <c r="F783" s="87"/>
      <c r="G783" s="17"/>
      <c r="H783" s="6" t="s">
        <v>48</v>
      </c>
      <c r="I783" s="89">
        <v>0.01</v>
      </c>
      <c r="J783" s="89"/>
      <c r="K783" s="17"/>
      <c r="L783" s="88" t="s">
        <v>49</v>
      </c>
      <c r="M783" s="88"/>
      <c r="N783" s="89">
        <v>0</v>
      </c>
      <c r="O783" s="89"/>
    </row>
    <row r="784" spans="1:20" s="1" customFormat="1" ht="13.35" customHeight="1" x14ac:dyDescent="0.25">
      <c r="A784" s="87"/>
      <c r="B784" s="87"/>
      <c r="C784" s="87"/>
      <c r="D784" s="87"/>
      <c r="E784" s="87"/>
      <c r="F784" s="87"/>
      <c r="G784" s="17"/>
      <c r="H784" s="17"/>
      <c r="I784" s="87"/>
      <c r="J784" s="87"/>
      <c r="K784" s="17"/>
      <c r="L784" s="88" t="s">
        <v>50</v>
      </c>
      <c r="M784" s="88"/>
      <c r="N784" s="89">
        <v>0</v>
      </c>
      <c r="O784" s="89"/>
    </row>
    <row r="785" spans="1:20" s="1" customFormat="1" ht="13.35" customHeight="1" x14ac:dyDescent="0.25">
      <c r="A785" s="87"/>
      <c r="B785" s="87"/>
      <c r="C785" s="87"/>
      <c r="D785" s="87"/>
      <c r="E785" s="87"/>
      <c r="F785" s="87"/>
      <c r="G785" s="17"/>
      <c r="H785" s="17"/>
      <c r="I785" s="87"/>
      <c r="J785" s="87"/>
      <c r="K785" s="17"/>
      <c r="L785" s="88" t="s">
        <v>51</v>
      </c>
      <c r="M785" s="88"/>
      <c r="N785" s="89">
        <v>0</v>
      </c>
      <c r="O785" s="89"/>
    </row>
    <row r="786" spans="1:20" s="1" customFormat="1" ht="14.1" customHeight="1" x14ac:dyDescent="0.25">
      <c r="A786" s="86"/>
      <c r="B786" s="86"/>
      <c r="C786" s="86"/>
      <c r="D786" s="86"/>
      <c r="E786" s="86"/>
      <c r="F786" s="86"/>
      <c r="G786" s="86"/>
      <c r="H786" s="86"/>
      <c r="I786" s="86"/>
      <c r="J786" s="86"/>
      <c r="K786" s="86"/>
      <c r="L786" s="86"/>
      <c r="M786" s="86"/>
      <c r="N786" s="86"/>
      <c r="O786" s="86"/>
      <c r="P786" s="86"/>
      <c r="Q786" s="86"/>
      <c r="R786" s="86"/>
      <c r="S786" s="86"/>
    </row>
    <row r="787" spans="1:20" s="1" customFormat="1" ht="14.1" customHeight="1" x14ac:dyDescent="0.25">
      <c r="A787" s="84" t="s">
        <v>52</v>
      </c>
      <c r="B787" s="84"/>
      <c r="C787" s="84"/>
      <c r="D787" s="84"/>
      <c r="E787" s="84"/>
      <c r="F787" s="84"/>
      <c r="G787" s="84"/>
      <c r="H787" s="84"/>
      <c r="I787" s="84"/>
      <c r="J787" s="84"/>
      <c r="K787" s="84"/>
      <c r="L787" s="84"/>
      <c r="M787" s="84"/>
      <c r="N787" s="84"/>
      <c r="O787" s="84"/>
      <c r="P787" s="84"/>
      <c r="Q787" s="84"/>
      <c r="R787" s="84"/>
      <c r="S787" s="84"/>
    </row>
    <row r="788" spans="1:20" s="1" customFormat="1" ht="67.650000000000006" customHeight="1" x14ac:dyDescent="0.25">
      <c r="A788" s="85" t="s">
        <v>642</v>
      </c>
      <c r="B788" s="85"/>
      <c r="C788" s="85"/>
      <c r="D788" s="85"/>
      <c r="E788" s="85"/>
      <c r="F788" s="85"/>
      <c r="G788" s="85"/>
      <c r="H788" s="85"/>
      <c r="I788" s="85"/>
      <c r="J788" s="85"/>
      <c r="K788" s="85"/>
      <c r="L788" s="85"/>
      <c r="M788" s="85"/>
      <c r="N788" s="85"/>
      <c r="O788" s="85"/>
      <c r="P788" s="85"/>
      <c r="Q788" s="85"/>
      <c r="R788" s="85"/>
      <c r="S788" s="85"/>
    </row>
    <row r="789" spans="1:20" s="1" customFormat="1" ht="14.1" customHeight="1" x14ac:dyDescent="0.25">
      <c r="A789" s="86"/>
      <c r="B789" s="86"/>
      <c r="C789" s="86"/>
      <c r="D789" s="86"/>
      <c r="E789" s="86"/>
      <c r="F789" s="86"/>
      <c r="G789" s="86"/>
      <c r="H789" s="86"/>
      <c r="I789" s="86"/>
      <c r="J789" s="86"/>
      <c r="K789" s="86"/>
      <c r="L789" s="86"/>
      <c r="M789" s="86"/>
      <c r="N789" s="86"/>
      <c r="O789" s="86"/>
      <c r="P789" s="86"/>
      <c r="Q789" s="86"/>
      <c r="R789" s="86"/>
      <c r="S789" s="86"/>
    </row>
    <row r="790" spans="1:20" s="1" customFormat="1" ht="14.1" customHeight="1" x14ac:dyDescent="0.25">
      <c r="A790" s="84" t="s">
        <v>56</v>
      </c>
      <c r="B790" s="84"/>
      <c r="C790" s="84"/>
      <c r="D790" s="84"/>
      <c r="E790" s="84"/>
      <c r="F790" s="84"/>
      <c r="G790" s="84"/>
      <c r="H790" s="84"/>
      <c r="I790" s="84"/>
      <c r="J790" s="84"/>
      <c r="K790" s="84"/>
      <c r="L790" s="84"/>
      <c r="M790" s="84"/>
      <c r="N790" s="84"/>
      <c r="O790" s="84"/>
      <c r="P790" s="84"/>
      <c r="Q790" s="84"/>
      <c r="R790" s="84"/>
      <c r="S790" s="84"/>
    </row>
    <row r="791" spans="1:20" s="1" customFormat="1" ht="49.2" customHeight="1" x14ac:dyDescent="0.25">
      <c r="A791" s="85" t="s">
        <v>643</v>
      </c>
      <c r="B791" s="85"/>
      <c r="C791" s="85"/>
      <c r="D791" s="85"/>
      <c r="E791" s="85"/>
      <c r="F791" s="85"/>
      <c r="G791" s="85"/>
      <c r="H791" s="85"/>
      <c r="I791" s="85"/>
      <c r="J791" s="85"/>
      <c r="K791" s="85"/>
      <c r="L791" s="85"/>
      <c r="M791" s="85"/>
      <c r="N791" s="85"/>
      <c r="O791" s="85"/>
      <c r="P791" s="85"/>
      <c r="Q791" s="85"/>
      <c r="R791" s="85"/>
      <c r="S791" s="85"/>
    </row>
    <row r="792" spans="1:20" s="1" customFormat="1" ht="72.45" customHeight="1" x14ac:dyDescent="0.25">
      <c r="J792" s="100" t="s">
        <v>0</v>
      </c>
      <c r="K792" s="100"/>
      <c r="L792" s="100"/>
      <c r="M792" s="100"/>
      <c r="N792" s="100"/>
      <c r="O792" s="100"/>
      <c r="P792" s="100"/>
      <c r="Q792" s="100"/>
      <c r="R792" s="100"/>
      <c r="S792" s="100"/>
      <c r="T792" s="100"/>
    </row>
    <row r="793" spans="1:20" s="1" customFormat="1" ht="7.05" customHeight="1" x14ac:dyDescent="0.25"/>
    <row r="794" spans="1:20" s="1" customFormat="1" ht="14.1" customHeight="1" x14ac:dyDescent="0.25">
      <c r="B794" s="101" t="s">
        <v>644</v>
      </c>
      <c r="C794" s="101"/>
      <c r="D794" s="101"/>
      <c r="E794" s="101"/>
      <c r="F794" s="101"/>
      <c r="G794" s="101"/>
      <c r="H794" s="101"/>
      <c r="I794" s="101"/>
      <c r="J794" s="101"/>
      <c r="K794" s="101"/>
      <c r="L794" s="101"/>
      <c r="M794" s="101"/>
      <c r="N794" s="101"/>
      <c r="O794" s="101"/>
      <c r="P794" s="101"/>
      <c r="Q794" s="101"/>
      <c r="R794" s="101"/>
    </row>
    <row r="795" spans="1:20" s="1" customFormat="1" ht="14.1" customHeight="1" x14ac:dyDescent="0.25"/>
    <row r="796" spans="1:20" s="1" customFormat="1" ht="14.1" customHeight="1" x14ac:dyDescent="0.25">
      <c r="A796" s="102" t="s">
        <v>2</v>
      </c>
      <c r="B796" s="102"/>
      <c r="C796" s="102"/>
      <c r="D796" s="103" t="s">
        <v>645</v>
      </c>
      <c r="E796" s="103"/>
      <c r="F796" s="103"/>
      <c r="G796" s="103"/>
      <c r="H796" s="103"/>
      <c r="I796" s="103"/>
      <c r="J796" s="103"/>
      <c r="K796" s="103"/>
      <c r="L796" s="103"/>
      <c r="M796" s="103"/>
      <c r="N796" s="103"/>
      <c r="O796" s="103"/>
      <c r="P796" s="103"/>
      <c r="Q796" s="103"/>
      <c r="R796" s="103"/>
      <c r="S796" s="103"/>
      <c r="T796" s="103"/>
    </row>
    <row r="797" spans="1:20" s="1" customFormat="1" ht="14.1" customHeight="1" x14ac:dyDescent="0.25">
      <c r="A797" s="102" t="s">
        <v>4</v>
      </c>
      <c r="B797" s="102"/>
      <c r="C797" s="103" t="s">
        <v>646</v>
      </c>
      <c r="D797" s="103"/>
      <c r="E797" s="103"/>
      <c r="F797" s="103"/>
      <c r="G797" s="103"/>
      <c r="H797" s="103"/>
      <c r="I797" s="103"/>
      <c r="J797" s="103"/>
      <c r="K797" s="103"/>
      <c r="L797" s="103"/>
      <c r="M797" s="103"/>
      <c r="N797" s="103"/>
      <c r="O797" s="103"/>
      <c r="P797" s="103"/>
      <c r="Q797" s="103"/>
      <c r="R797" s="103"/>
      <c r="S797" s="103"/>
      <c r="T797" s="103"/>
    </row>
    <row r="798" spans="1:20" s="1" customFormat="1" ht="14.1" customHeight="1" x14ac:dyDescent="0.25">
      <c r="A798" s="102" t="s">
        <v>6</v>
      </c>
      <c r="B798" s="102"/>
      <c r="C798" s="102"/>
      <c r="D798" s="102"/>
      <c r="E798" s="102"/>
      <c r="F798" s="103" t="s">
        <v>60</v>
      </c>
      <c r="G798" s="103"/>
      <c r="H798" s="103"/>
      <c r="I798" s="103"/>
      <c r="J798" s="103"/>
      <c r="K798" s="103"/>
      <c r="L798" s="103"/>
      <c r="M798" s="103"/>
      <c r="N798" s="103"/>
      <c r="O798" s="103"/>
      <c r="P798" s="103"/>
      <c r="Q798" s="103"/>
      <c r="R798" s="103"/>
      <c r="S798" s="103"/>
      <c r="T798" s="103"/>
    </row>
    <row r="799" spans="1:20" s="1" customFormat="1" ht="22.35" customHeight="1" x14ac:dyDescent="0.25">
      <c r="F799" s="103"/>
      <c r="G799" s="103"/>
      <c r="H799" s="103"/>
      <c r="I799" s="103"/>
      <c r="J799" s="103"/>
      <c r="K799" s="103"/>
      <c r="L799" s="103"/>
      <c r="M799" s="103"/>
      <c r="N799" s="103"/>
      <c r="O799" s="103"/>
      <c r="P799" s="103"/>
      <c r="Q799" s="103"/>
      <c r="R799" s="103"/>
      <c r="S799" s="103"/>
      <c r="T799" s="103"/>
    </row>
    <row r="800" spans="1:20" s="3" customFormat="1" ht="49.2" customHeight="1" x14ac:dyDescent="0.2">
      <c r="A800" s="133" t="s">
        <v>679</v>
      </c>
      <c r="B800" s="134"/>
      <c r="C800" s="134"/>
      <c r="D800" s="134"/>
      <c r="E800" s="134"/>
      <c r="F800" s="134"/>
      <c r="G800" s="134"/>
      <c r="H800" s="134"/>
      <c r="I800" s="134"/>
      <c r="J800" s="134"/>
      <c r="K800" s="134"/>
      <c r="L800" s="134"/>
      <c r="M800" s="134"/>
      <c r="N800" s="134"/>
      <c r="O800" s="134"/>
      <c r="P800" s="134"/>
      <c r="Q800" s="134"/>
      <c r="R800" s="134"/>
      <c r="S800" s="10"/>
    </row>
    <row r="801" spans="1:20" s="1" customFormat="1" ht="7.05" customHeight="1" x14ac:dyDescent="0.25">
      <c r="A801" s="86"/>
      <c r="B801" s="86"/>
      <c r="C801" s="86"/>
      <c r="D801" s="86"/>
      <c r="E801" s="86"/>
      <c r="F801" s="86"/>
      <c r="G801" s="86"/>
      <c r="H801" s="86"/>
      <c r="I801" s="86"/>
      <c r="J801" s="86"/>
      <c r="K801" s="86"/>
      <c r="L801" s="86"/>
      <c r="M801" s="86"/>
      <c r="N801" s="86"/>
      <c r="O801" s="86"/>
      <c r="P801" s="86"/>
      <c r="Q801" s="16"/>
      <c r="R801" s="86"/>
      <c r="S801" s="86"/>
      <c r="T801" s="86"/>
    </row>
    <row r="802" spans="1:20" s="1" customFormat="1" ht="16.95" customHeight="1" x14ac:dyDescent="0.25">
      <c r="A802" s="94" t="s">
        <v>8</v>
      </c>
      <c r="B802" s="94"/>
      <c r="C802" s="94"/>
      <c r="D802" s="94"/>
      <c r="E802" s="94"/>
      <c r="F802" s="94"/>
      <c r="G802" s="94"/>
      <c r="H802" s="94"/>
      <c r="I802" s="94"/>
      <c r="J802" s="94"/>
      <c r="K802" s="94"/>
      <c r="L802" s="94"/>
      <c r="M802" s="95" t="s">
        <v>9</v>
      </c>
      <c r="N802" s="95"/>
      <c r="O802" s="95"/>
      <c r="P802" s="95"/>
      <c r="Q802" s="95"/>
      <c r="R802" s="95"/>
      <c r="S802" s="95"/>
      <c r="T802" s="95"/>
    </row>
    <row r="803" spans="1:20" s="1" customFormat="1" ht="16.95" customHeight="1" x14ac:dyDescent="0.25">
      <c r="A803" s="94"/>
      <c r="B803" s="94"/>
      <c r="C803" s="94"/>
      <c r="D803" s="94"/>
      <c r="E803" s="94"/>
      <c r="F803" s="94"/>
      <c r="G803" s="94"/>
      <c r="H803" s="94"/>
      <c r="I803" s="94"/>
      <c r="J803" s="94"/>
      <c r="K803" s="94"/>
      <c r="L803" s="94"/>
      <c r="M803" s="96" t="s">
        <v>10</v>
      </c>
      <c r="N803" s="96"/>
      <c r="O803" s="96"/>
      <c r="P803" s="96"/>
      <c r="Q803" s="97" t="s">
        <v>11</v>
      </c>
      <c r="R803" s="97"/>
      <c r="S803" s="97"/>
      <c r="T803" s="97"/>
    </row>
    <row r="804" spans="1:20" s="1" customFormat="1" ht="16.95" customHeight="1" x14ac:dyDescent="0.25">
      <c r="A804" s="94"/>
      <c r="B804" s="94"/>
      <c r="C804" s="94"/>
      <c r="D804" s="94"/>
      <c r="E804" s="94"/>
      <c r="F804" s="94"/>
      <c r="G804" s="94"/>
      <c r="H804" s="94"/>
      <c r="I804" s="94"/>
      <c r="J804" s="94"/>
      <c r="K804" s="94"/>
      <c r="L804" s="94"/>
      <c r="M804" s="98" t="s">
        <v>12</v>
      </c>
      <c r="N804" s="98"/>
      <c r="O804" s="98" t="s">
        <v>13</v>
      </c>
      <c r="P804" s="98"/>
      <c r="Q804" s="13" t="s">
        <v>14</v>
      </c>
      <c r="R804" s="99" t="s">
        <v>15</v>
      </c>
      <c r="S804" s="99"/>
      <c r="T804" s="99"/>
    </row>
    <row r="805" spans="1:20" s="1" customFormat="1" ht="13.35" customHeight="1" x14ac:dyDescent="0.25">
      <c r="A805" s="131" t="s">
        <v>636</v>
      </c>
      <c r="B805" s="131"/>
      <c r="C805" s="131"/>
      <c r="D805" s="131"/>
      <c r="E805" s="131"/>
      <c r="F805" s="131"/>
      <c r="G805" s="131"/>
      <c r="H805" s="131"/>
      <c r="I805" s="131"/>
      <c r="J805" s="131"/>
      <c r="K805" s="131"/>
      <c r="L805" s="131"/>
      <c r="M805" s="131"/>
      <c r="N805" s="131"/>
      <c r="O805" s="131" t="s">
        <v>523</v>
      </c>
      <c r="P805" s="131"/>
      <c r="Q805" s="15"/>
      <c r="R805" s="131" t="s">
        <v>647</v>
      </c>
      <c r="S805" s="131"/>
      <c r="T805" s="131"/>
    </row>
    <row r="806" spans="1:20" s="1" customFormat="1" ht="13.35" customHeight="1" x14ac:dyDescent="0.25">
      <c r="A806" s="88" t="s">
        <v>637</v>
      </c>
      <c r="B806" s="88"/>
      <c r="C806" s="88"/>
      <c r="D806" s="88"/>
      <c r="E806" s="88"/>
      <c r="F806" s="88"/>
      <c r="G806" s="88"/>
      <c r="H806" s="88"/>
      <c r="I806" s="88"/>
      <c r="J806" s="88"/>
      <c r="K806" s="88"/>
      <c r="L806" s="88"/>
      <c r="M806" s="88" t="s">
        <v>24</v>
      </c>
      <c r="N806" s="88"/>
      <c r="O806" s="88" t="s">
        <v>24</v>
      </c>
      <c r="P806" s="88"/>
      <c r="Q806" s="6" t="s">
        <v>648</v>
      </c>
      <c r="R806" s="88" t="s">
        <v>648</v>
      </c>
      <c r="S806" s="88"/>
      <c r="T806" s="88"/>
    </row>
    <row r="807" spans="1:20" s="1" customFormat="1" ht="13.35" customHeight="1" x14ac:dyDescent="0.25">
      <c r="A807" s="88" t="s">
        <v>114</v>
      </c>
      <c r="B807" s="88"/>
      <c r="C807" s="88"/>
      <c r="D807" s="88"/>
      <c r="E807" s="88"/>
      <c r="F807" s="88"/>
      <c r="G807" s="88"/>
      <c r="H807" s="88"/>
      <c r="I807" s="88"/>
      <c r="J807" s="88"/>
      <c r="K807" s="88"/>
      <c r="L807" s="88"/>
      <c r="M807" s="88">
        <v>50.1</v>
      </c>
      <c r="N807" s="88"/>
      <c r="O807" s="88" t="s">
        <v>649</v>
      </c>
      <c r="P807" s="88"/>
      <c r="Q807" s="6" t="s">
        <v>650</v>
      </c>
      <c r="R807" s="88" t="s">
        <v>650</v>
      </c>
      <c r="S807" s="88"/>
      <c r="T807" s="88"/>
    </row>
    <row r="808" spans="1:20" s="1" customFormat="1" ht="13.35" customHeight="1" x14ac:dyDescent="0.25">
      <c r="A808" s="88" t="s">
        <v>109</v>
      </c>
      <c r="B808" s="88"/>
      <c r="C808" s="88"/>
      <c r="D808" s="88"/>
      <c r="E808" s="88"/>
      <c r="F808" s="88"/>
      <c r="G808" s="88"/>
      <c r="H808" s="88"/>
      <c r="I808" s="88"/>
      <c r="J808" s="88"/>
      <c r="K808" s="88"/>
      <c r="L808" s="88"/>
      <c r="M808" s="88">
        <v>12.6</v>
      </c>
      <c r="N808" s="88"/>
      <c r="O808" s="88">
        <v>12.6</v>
      </c>
      <c r="P808" s="88"/>
      <c r="Q808" s="6">
        <v>1.26</v>
      </c>
      <c r="R808" s="88">
        <v>1.26</v>
      </c>
      <c r="S808" s="88"/>
      <c r="T808" s="88"/>
    </row>
    <row r="809" spans="1:20" s="1" customFormat="1" ht="13.35" customHeight="1" x14ac:dyDescent="0.25">
      <c r="A809" s="88" t="s">
        <v>66</v>
      </c>
      <c r="B809" s="88"/>
      <c r="C809" s="88"/>
      <c r="D809" s="88"/>
      <c r="E809" s="88"/>
      <c r="F809" s="88"/>
      <c r="G809" s="88"/>
      <c r="H809" s="88"/>
      <c r="I809" s="88"/>
      <c r="J809" s="88"/>
      <c r="K809" s="88"/>
      <c r="L809" s="88"/>
      <c r="M809" s="88">
        <v>45.9</v>
      </c>
      <c r="N809" s="88"/>
      <c r="O809" s="88">
        <v>45.9</v>
      </c>
      <c r="P809" s="88"/>
      <c r="Q809" s="6" t="s">
        <v>96</v>
      </c>
      <c r="R809" s="88" t="s">
        <v>96</v>
      </c>
      <c r="S809" s="88"/>
      <c r="T809" s="88"/>
    </row>
    <row r="810" spans="1:20" s="1" customFormat="1" ht="13.35" customHeight="1" x14ac:dyDescent="0.25">
      <c r="A810" s="88" t="s">
        <v>114</v>
      </c>
      <c r="B810" s="88"/>
      <c r="C810" s="88"/>
      <c r="D810" s="88"/>
      <c r="E810" s="88"/>
      <c r="F810" s="88"/>
      <c r="G810" s="88"/>
      <c r="H810" s="88"/>
      <c r="I810" s="88"/>
      <c r="J810" s="88"/>
      <c r="K810" s="88"/>
      <c r="L810" s="88"/>
      <c r="M810" s="88" t="s">
        <v>651</v>
      </c>
      <c r="N810" s="88"/>
      <c r="O810" s="88" t="s">
        <v>651</v>
      </c>
      <c r="P810" s="88"/>
      <c r="Q810" s="6" t="s">
        <v>652</v>
      </c>
      <c r="R810" s="88" t="s">
        <v>652</v>
      </c>
      <c r="S810" s="88"/>
      <c r="T810" s="88"/>
    </row>
    <row r="811" spans="1:20" s="1" customFormat="1" ht="14.1" customHeight="1" x14ac:dyDescent="0.25">
      <c r="A811" s="90" t="s">
        <v>217</v>
      </c>
      <c r="B811" s="90"/>
      <c r="C811" s="90"/>
      <c r="D811" s="90"/>
      <c r="E811" s="90"/>
      <c r="F811" s="90"/>
      <c r="G811" s="90"/>
      <c r="H811" s="90"/>
      <c r="I811" s="90"/>
      <c r="J811" s="90"/>
      <c r="K811" s="90"/>
      <c r="L811" s="90"/>
      <c r="M811" s="90"/>
      <c r="N811" s="90"/>
      <c r="O811" s="90"/>
      <c r="P811" s="90"/>
      <c r="Q811" s="90"/>
      <c r="R811" s="90"/>
      <c r="S811" s="90"/>
      <c r="T811" s="90"/>
    </row>
    <row r="812" spans="1:20" s="1" customFormat="1" ht="21.3" customHeight="1" x14ac:dyDescent="0.25"/>
    <row r="813" spans="1:20" s="1" customFormat="1" ht="14.1" customHeight="1" x14ac:dyDescent="0.25">
      <c r="A813" s="91" t="s">
        <v>33</v>
      </c>
      <c r="B813" s="91"/>
      <c r="C813" s="91"/>
      <c r="D813" s="91"/>
      <c r="E813" s="91"/>
      <c r="F813" s="91"/>
      <c r="G813" s="91"/>
      <c r="H813" s="91"/>
      <c r="I813" s="91"/>
      <c r="J813" s="91"/>
      <c r="K813" s="91"/>
      <c r="L813" s="91"/>
      <c r="M813" s="91"/>
      <c r="N813" s="91"/>
    </row>
    <row r="814" spans="1:20" s="1" customFormat="1" ht="13.35" customHeight="1" x14ac:dyDescent="0.25">
      <c r="A814" s="88" t="s">
        <v>34</v>
      </c>
      <c r="B814" s="88"/>
      <c r="C814" s="88"/>
      <c r="D814" s="88"/>
      <c r="E814" s="89">
        <v>1.47</v>
      </c>
      <c r="F814" s="89"/>
      <c r="G814" s="17"/>
      <c r="H814" s="6" t="s">
        <v>35</v>
      </c>
      <c r="I814" s="89">
        <v>0.01</v>
      </c>
      <c r="J814" s="89"/>
      <c r="K814" s="17"/>
      <c r="L814" s="88" t="s">
        <v>36</v>
      </c>
      <c r="M814" s="88"/>
      <c r="N814" s="89">
        <v>57.01</v>
      </c>
      <c r="O814" s="89"/>
    </row>
    <row r="815" spans="1:20" s="1" customFormat="1" ht="13.35" customHeight="1" x14ac:dyDescent="0.25">
      <c r="A815" s="88" t="s">
        <v>37</v>
      </c>
      <c r="B815" s="88"/>
      <c r="C815" s="88"/>
      <c r="D815" s="88"/>
      <c r="E815" s="89">
        <v>1.1299999999999999</v>
      </c>
      <c r="F815" s="89"/>
      <c r="G815" s="17"/>
      <c r="H815" s="6" t="s">
        <v>38</v>
      </c>
      <c r="I815" s="89">
        <v>0.28000000000000003</v>
      </c>
      <c r="J815" s="89"/>
      <c r="K815" s="17"/>
      <c r="L815" s="88" t="s">
        <v>39</v>
      </c>
      <c r="M815" s="88"/>
      <c r="N815" s="89">
        <v>10.029999999999999</v>
      </c>
      <c r="O815" s="89"/>
    </row>
    <row r="816" spans="1:20" s="1" customFormat="1" ht="13.35" customHeight="1" x14ac:dyDescent="0.25">
      <c r="A816" s="88" t="s">
        <v>40</v>
      </c>
      <c r="B816" s="88"/>
      <c r="C816" s="88"/>
      <c r="D816" s="88"/>
      <c r="E816" s="89">
        <v>8.52</v>
      </c>
      <c r="F816" s="89"/>
      <c r="G816" s="17"/>
      <c r="H816" s="6" t="s">
        <v>41</v>
      </c>
      <c r="I816" s="89">
        <v>0.01</v>
      </c>
      <c r="J816" s="89"/>
      <c r="K816" s="17"/>
      <c r="L816" s="88" t="s">
        <v>42</v>
      </c>
      <c r="M816" s="88"/>
      <c r="N816" s="89">
        <v>39.94</v>
      </c>
      <c r="O816" s="89"/>
    </row>
    <row r="817" spans="1:20" s="1" customFormat="1" ht="13.35" customHeight="1" x14ac:dyDescent="0.25">
      <c r="A817" s="88" t="s">
        <v>43</v>
      </c>
      <c r="B817" s="88"/>
      <c r="C817" s="88"/>
      <c r="D817" s="88"/>
      <c r="E817" s="89">
        <v>50.36</v>
      </c>
      <c r="F817" s="89"/>
      <c r="G817" s="17"/>
      <c r="H817" s="6" t="s">
        <v>44</v>
      </c>
      <c r="I817" s="89">
        <v>0</v>
      </c>
      <c r="J817" s="89"/>
      <c r="K817" s="17"/>
      <c r="L817" s="88" t="s">
        <v>45</v>
      </c>
      <c r="M817" s="88"/>
      <c r="N817" s="89">
        <v>0.71</v>
      </c>
      <c r="O817" s="89"/>
    </row>
    <row r="818" spans="1:20" s="1" customFormat="1" ht="13.35" customHeight="1" x14ac:dyDescent="0.25">
      <c r="A818" s="87"/>
      <c r="B818" s="87"/>
      <c r="C818" s="87"/>
      <c r="D818" s="87"/>
      <c r="E818" s="87"/>
      <c r="F818" s="87"/>
      <c r="G818" s="17"/>
      <c r="H818" s="6" t="s">
        <v>46</v>
      </c>
      <c r="I818" s="89">
        <v>0</v>
      </c>
      <c r="J818" s="89"/>
      <c r="K818" s="17"/>
      <c r="L818" s="88" t="s">
        <v>47</v>
      </c>
      <c r="M818" s="88"/>
      <c r="N818" s="89">
        <v>90.39</v>
      </c>
      <c r="O818" s="89"/>
    </row>
    <row r="819" spans="1:20" s="1" customFormat="1" ht="13.35" customHeight="1" x14ac:dyDescent="0.25">
      <c r="A819" s="87"/>
      <c r="B819" s="87"/>
      <c r="C819" s="87"/>
      <c r="D819" s="87"/>
      <c r="E819" s="87"/>
      <c r="F819" s="87"/>
      <c r="G819" s="17"/>
      <c r="H819" s="6" t="s">
        <v>48</v>
      </c>
      <c r="I819" s="89">
        <v>0.06</v>
      </c>
      <c r="J819" s="89"/>
      <c r="K819" s="17"/>
      <c r="L819" s="88" t="s">
        <v>49</v>
      </c>
      <c r="M819" s="88"/>
      <c r="N819" s="89">
        <v>4.16</v>
      </c>
      <c r="O819" s="89"/>
    </row>
    <row r="820" spans="1:20" s="1" customFormat="1" ht="13.35" customHeight="1" x14ac:dyDescent="0.25">
      <c r="A820" s="87"/>
      <c r="B820" s="87"/>
      <c r="C820" s="87"/>
      <c r="D820" s="87"/>
      <c r="E820" s="87"/>
      <c r="F820" s="87"/>
      <c r="G820" s="17"/>
      <c r="H820" s="17"/>
      <c r="I820" s="87"/>
      <c r="J820" s="87"/>
      <c r="K820" s="17"/>
      <c r="L820" s="88" t="s">
        <v>50</v>
      </c>
      <c r="M820" s="88"/>
      <c r="N820" s="89">
        <v>0</v>
      </c>
      <c r="O820" s="89"/>
    </row>
    <row r="821" spans="1:20" s="1" customFormat="1" ht="13.35" customHeight="1" x14ac:dyDescent="0.25">
      <c r="A821" s="87"/>
      <c r="B821" s="87"/>
      <c r="C821" s="87"/>
      <c r="D821" s="87"/>
      <c r="E821" s="87"/>
      <c r="F821" s="87"/>
      <c r="G821" s="17"/>
      <c r="H821" s="17"/>
      <c r="I821" s="87"/>
      <c r="J821" s="87"/>
      <c r="K821" s="17"/>
      <c r="L821" s="88" t="s">
        <v>51</v>
      </c>
      <c r="M821" s="88"/>
      <c r="N821" s="89">
        <v>0</v>
      </c>
      <c r="O821" s="89"/>
    </row>
    <row r="822" spans="1:20" s="1" customFormat="1" ht="14.1" customHeight="1" x14ac:dyDescent="0.25">
      <c r="A822" s="86"/>
      <c r="B822" s="86"/>
      <c r="C822" s="86"/>
      <c r="D822" s="86"/>
      <c r="E822" s="86"/>
      <c r="F822" s="86"/>
      <c r="G822" s="86"/>
      <c r="H822" s="86"/>
      <c r="I822" s="86"/>
      <c r="J822" s="86"/>
      <c r="K822" s="86"/>
      <c r="L822" s="86"/>
      <c r="M822" s="86"/>
      <c r="N822" s="86"/>
      <c r="O822" s="86"/>
      <c r="P822" s="86"/>
      <c r="Q822" s="86"/>
      <c r="R822" s="86"/>
      <c r="S822" s="86"/>
    </row>
    <row r="823" spans="1:20" s="1" customFormat="1" ht="14.1" customHeight="1" x14ac:dyDescent="0.25">
      <c r="A823" s="84" t="s">
        <v>52</v>
      </c>
      <c r="B823" s="84"/>
      <c r="C823" s="84"/>
      <c r="D823" s="84"/>
      <c r="E823" s="84"/>
      <c r="F823" s="84"/>
      <c r="G823" s="84"/>
      <c r="H823" s="84"/>
      <c r="I823" s="84"/>
      <c r="J823" s="84"/>
      <c r="K823" s="84"/>
      <c r="L823" s="84"/>
      <c r="M823" s="84"/>
      <c r="N823" s="84"/>
      <c r="O823" s="84"/>
      <c r="P823" s="84"/>
      <c r="Q823" s="84"/>
      <c r="R823" s="84"/>
      <c r="S823" s="84"/>
    </row>
    <row r="824" spans="1:20" s="1" customFormat="1" ht="70.05" customHeight="1" x14ac:dyDescent="0.25">
      <c r="A824" s="85" t="s">
        <v>653</v>
      </c>
      <c r="B824" s="85"/>
      <c r="C824" s="85"/>
      <c r="D824" s="85"/>
      <c r="E824" s="85"/>
      <c r="F824" s="85"/>
      <c r="G824" s="85"/>
      <c r="H824" s="85"/>
      <c r="I824" s="85"/>
      <c r="J824" s="85"/>
      <c r="K824" s="85"/>
      <c r="L824" s="85"/>
      <c r="M824" s="85"/>
      <c r="N824" s="85"/>
      <c r="O824" s="85"/>
      <c r="P824" s="85"/>
      <c r="Q824" s="85"/>
      <c r="R824" s="85"/>
      <c r="S824" s="85"/>
    </row>
    <row r="825" spans="1:20" s="2" customFormat="1" ht="14.1" customHeight="1" x14ac:dyDescent="0.25">
      <c r="A825" s="144" t="s">
        <v>678</v>
      </c>
      <c r="B825" s="144"/>
      <c r="C825" s="144"/>
      <c r="D825" s="144"/>
      <c r="E825" s="144"/>
      <c r="F825" s="144"/>
      <c r="G825" s="144"/>
      <c r="H825" s="144"/>
      <c r="I825" s="144"/>
      <c r="J825" s="144"/>
      <c r="K825" s="144"/>
      <c r="L825" s="144"/>
      <c r="M825" s="144"/>
      <c r="N825" s="144"/>
      <c r="O825" s="144"/>
      <c r="P825" s="144"/>
      <c r="Q825" s="144"/>
      <c r="R825" s="144"/>
      <c r="S825" s="144"/>
    </row>
    <row r="826" spans="1:20" s="1" customFormat="1" ht="14.1" customHeight="1" x14ac:dyDescent="0.25">
      <c r="A826" s="84" t="s">
        <v>56</v>
      </c>
      <c r="B826" s="84"/>
      <c r="C826" s="84"/>
      <c r="D826" s="84"/>
      <c r="E826" s="84"/>
      <c r="F826" s="84"/>
      <c r="G826" s="84"/>
      <c r="H826" s="84"/>
      <c r="I826" s="84"/>
      <c r="J826" s="84"/>
      <c r="K826" s="84"/>
      <c r="L826" s="84"/>
      <c r="M826" s="84"/>
      <c r="N826" s="84"/>
      <c r="O826" s="84"/>
      <c r="P826" s="84"/>
      <c r="Q826" s="84"/>
      <c r="R826" s="84"/>
      <c r="S826" s="84"/>
    </row>
    <row r="827" spans="1:20" s="1" customFormat="1" ht="55.05" customHeight="1" x14ac:dyDescent="0.25">
      <c r="A827" s="85" t="s">
        <v>654</v>
      </c>
      <c r="B827" s="85"/>
      <c r="C827" s="85"/>
      <c r="D827" s="85"/>
      <c r="E827" s="85"/>
      <c r="F827" s="85"/>
      <c r="G827" s="85"/>
      <c r="H827" s="85"/>
      <c r="I827" s="85"/>
      <c r="J827" s="85"/>
      <c r="K827" s="85"/>
      <c r="L827" s="85"/>
      <c r="M827" s="85"/>
      <c r="N827" s="85"/>
      <c r="O827" s="85"/>
      <c r="P827" s="85"/>
      <c r="Q827" s="85"/>
      <c r="R827" s="85"/>
      <c r="S827" s="85"/>
    </row>
    <row r="828" spans="1:20" s="1" customFormat="1" ht="49.2" customHeight="1" x14ac:dyDescent="0.25">
      <c r="A828" s="7"/>
      <c r="B828" s="7"/>
      <c r="C828" s="7"/>
      <c r="D828" s="7"/>
      <c r="E828" s="7"/>
      <c r="F828" s="7"/>
      <c r="G828" s="7"/>
      <c r="H828" s="7"/>
      <c r="I828" s="7"/>
      <c r="J828" s="7"/>
      <c r="K828" s="7"/>
      <c r="L828" s="7"/>
      <c r="M828" s="7"/>
      <c r="N828" s="7"/>
      <c r="O828" s="7"/>
      <c r="P828" s="7"/>
      <c r="Q828" s="7"/>
      <c r="R828" s="7"/>
      <c r="S828" s="7"/>
    </row>
    <row r="829" spans="1:20" s="1" customFormat="1" ht="72.45" customHeight="1" x14ac:dyDescent="0.25">
      <c r="J829" s="100" t="s">
        <v>0</v>
      </c>
      <c r="K829" s="100"/>
      <c r="L829" s="100"/>
      <c r="M829" s="100"/>
      <c r="N829" s="100"/>
      <c r="O829" s="100"/>
      <c r="P829" s="100"/>
      <c r="Q829" s="100"/>
      <c r="R829" s="100"/>
      <c r="S829" s="100"/>
      <c r="T829" s="100"/>
    </row>
    <row r="830" spans="1:20" s="1" customFormat="1" ht="7.05" customHeight="1" x14ac:dyDescent="0.25"/>
    <row r="831" spans="1:20" s="1" customFormat="1" ht="14.1" customHeight="1" x14ac:dyDescent="0.25">
      <c r="B831" s="101" t="s">
        <v>644</v>
      </c>
      <c r="C831" s="101"/>
      <c r="D831" s="101"/>
      <c r="E831" s="101"/>
      <c r="F831" s="101"/>
      <c r="G831" s="101"/>
      <c r="H831" s="101"/>
      <c r="I831" s="101"/>
      <c r="J831" s="101"/>
      <c r="K831" s="101"/>
      <c r="L831" s="101"/>
      <c r="M831" s="101"/>
      <c r="N831" s="101"/>
      <c r="O831" s="101"/>
      <c r="P831" s="101"/>
      <c r="Q831" s="101"/>
      <c r="R831" s="101"/>
    </row>
    <row r="832" spans="1:20" s="1" customFormat="1" ht="14.1" customHeight="1" x14ac:dyDescent="0.25"/>
    <row r="833" spans="1:20" s="1" customFormat="1" ht="14.1" customHeight="1" x14ac:dyDescent="0.25">
      <c r="A833" s="102" t="s">
        <v>2</v>
      </c>
      <c r="B833" s="102"/>
      <c r="C833" s="102"/>
      <c r="D833" s="103" t="s">
        <v>645</v>
      </c>
      <c r="E833" s="103"/>
      <c r="F833" s="103"/>
      <c r="G833" s="103"/>
      <c r="H833" s="103"/>
      <c r="I833" s="103"/>
      <c r="J833" s="103"/>
      <c r="K833" s="103"/>
      <c r="L833" s="103"/>
      <c r="M833" s="103"/>
      <c r="N833" s="103"/>
      <c r="O833" s="103"/>
      <c r="P833" s="103"/>
      <c r="Q833" s="103"/>
      <c r="R833" s="103"/>
      <c r="S833" s="103"/>
      <c r="T833" s="103"/>
    </row>
    <row r="834" spans="1:20" s="1" customFormat="1" ht="14.1" customHeight="1" x14ac:dyDescent="0.25">
      <c r="A834" s="102" t="s">
        <v>4</v>
      </c>
      <c r="B834" s="102"/>
      <c r="C834" s="103" t="s">
        <v>646</v>
      </c>
      <c r="D834" s="103"/>
      <c r="E834" s="103"/>
      <c r="F834" s="103"/>
      <c r="G834" s="103"/>
      <c r="H834" s="103"/>
      <c r="I834" s="103"/>
      <c r="J834" s="103"/>
      <c r="K834" s="103"/>
      <c r="L834" s="103"/>
      <c r="M834" s="103"/>
      <c r="N834" s="103"/>
      <c r="O834" s="103"/>
      <c r="P834" s="103"/>
      <c r="Q834" s="103"/>
      <c r="R834" s="103"/>
      <c r="S834" s="103"/>
      <c r="T834" s="103"/>
    </row>
    <row r="835" spans="1:20" s="1" customFormat="1" ht="14.1" customHeight="1" x14ac:dyDescent="0.25">
      <c r="A835" s="102" t="s">
        <v>6</v>
      </c>
      <c r="B835" s="102"/>
      <c r="C835" s="102"/>
      <c r="D835" s="102"/>
      <c r="E835" s="102"/>
      <c r="F835" s="103" t="s">
        <v>60</v>
      </c>
      <c r="G835" s="103"/>
      <c r="H835" s="103"/>
      <c r="I835" s="103"/>
      <c r="J835" s="103"/>
      <c r="K835" s="103"/>
      <c r="L835" s="103"/>
      <c r="M835" s="103"/>
      <c r="N835" s="103"/>
      <c r="O835" s="103"/>
      <c r="P835" s="103"/>
      <c r="Q835" s="103"/>
      <c r="R835" s="103"/>
      <c r="S835" s="103"/>
      <c r="T835" s="103"/>
    </row>
    <row r="836" spans="1:20" s="1" customFormat="1" ht="22.35" customHeight="1" x14ac:dyDescent="0.25">
      <c r="F836" s="103"/>
      <c r="G836" s="103"/>
      <c r="H836" s="103"/>
      <c r="I836" s="103"/>
      <c r="J836" s="103"/>
      <c r="K836" s="103"/>
      <c r="L836" s="103"/>
      <c r="M836" s="103"/>
      <c r="N836" s="103"/>
      <c r="O836" s="103"/>
      <c r="P836" s="103"/>
      <c r="Q836" s="103"/>
      <c r="R836" s="103"/>
      <c r="S836" s="103"/>
      <c r="T836" s="103"/>
    </row>
    <row r="837" spans="1:20" s="3" customFormat="1" ht="49.2" customHeight="1" x14ac:dyDescent="0.2">
      <c r="A837" s="133" t="s">
        <v>679</v>
      </c>
      <c r="B837" s="134"/>
      <c r="C837" s="134"/>
      <c r="D837" s="134"/>
      <c r="E837" s="134"/>
      <c r="F837" s="134"/>
      <c r="G837" s="134"/>
      <c r="H837" s="134"/>
      <c r="I837" s="134"/>
      <c r="J837" s="134"/>
      <c r="K837" s="134"/>
      <c r="L837" s="134"/>
      <c r="M837" s="134"/>
      <c r="N837" s="134"/>
      <c r="O837" s="134"/>
      <c r="P837" s="134"/>
      <c r="Q837" s="134"/>
      <c r="R837" s="134"/>
      <c r="S837" s="10"/>
    </row>
    <row r="838" spans="1:20" s="1" customFormat="1" ht="7.05" customHeight="1" x14ac:dyDescent="0.25">
      <c r="A838" s="86"/>
      <c r="B838" s="86"/>
      <c r="C838" s="86"/>
      <c r="D838" s="86"/>
      <c r="E838" s="86"/>
      <c r="F838" s="86"/>
      <c r="G838" s="86"/>
      <c r="H838" s="86"/>
      <c r="I838" s="86"/>
      <c r="J838" s="86"/>
      <c r="K838" s="86"/>
      <c r="L838" s="86"/>
      <c r="M838" s="86"/>
      <c r="N838" s="86"/>
      <c r="O838" s="86"/>
      <c r="P838" s="86"/>
      <c r="Q838" s="16"/>
      <c r="R838" s="86"/>
      <c r="S838" s="86"/>
      <c r="T838" s="86"/>
    </row>
    <row r="839" spans="1:20" s="1" customFormat="1" ht="16.95" customHeight="1" x14ac:dyDescent="0.25">
      <c r="A839" s="94" t="s">
        <v>8</v>
      </c>
      <c r="B839" s="94"/>
      <c r="C839" s="94"/>
      <c r="D839" s="94"/>
      <c r="E839" s="94"/>
      <c r="F839" s="94"/>
      <c r="G839" s="94"/>
      <c r="H839" s="94"/>
      <c r="I839" s="94"/>
      <c r="J839" s="94"/>
      <c r="K839" s="94"/>
      <c r="L839" s="94"/>
      <c r="M839" s="95" t="s">
        <v>9</v>
      </c>
      <c r="N839" s="95"/>
      <c r="O839" s="95"/>
      <c r="P839" s="95"/>
      <c r="Q839" s="95"/>
      <c r="R839" s="95"/>
      <c r="S839" s="95"/>
      <c r="T839" s="95"/>
    </row>
    <row r="840" spans="1:20" s="1" customFormat="1" ht="16.95" customHeight="1" x14ac:dyDescent="0.25">
      <c r="A840" s="94"/>
      <c r="B840" s="94"/>
      <c r="C840" s="94"/>
      <c r="D840" s="94"/>
      <c r="E840" s="94"/>
      <c r="F840" s="94"/>
      <c r="G840" s="94"/>
      <c r="H840" s="94"/>
      <c r="I840" s="94"/>
      <c r="J840" s="94"/>
      <c r="K840" s="94"/>
      <c r="L840" s="94"/>
      <c r="M840" s="96" t="s">
        <v>10</v>
      </c>
      <c r="N840" s="96"/>
      <c r="O840" s="96"/>
      <c r="P840" s="96"/>
      <c r="Q840" s="97" t="s">
        <v>11</v>
      </c>
      <c r="R840" s="97"/>
      <c r="S840" s="97"/>
      <c r="T840" s="97"/>
    </row>
    <row r="841" spans="1:20" s="1" customFormat="1" ht="16.95" customHeight="1" x14ac:dyDescent="0.25">
      <c r="A841" s="94"/>
      <c r="B841" s="94"/>
      <c r="C841" s="94"/>
      <c r="D841" s="94"/>
      <c r="E841" s="94"/>
      <c r="F841" s="94"/>
      <c r="G841" s="94"/>
      <c r="H841" s="94"/>
      <c r="I841" s="94"/>
      <c r="J841" s="94"/>
      <c r="K841" s="94"/>
      <c r="L841" s="94"/>
      <c r="M841" s="98" t="s">
        <v>12</v>
      </c>
      <c r="N841" s="98"/>
      <c r="O841" s="98" t="s">
        <v>13</v>
      </c>
      <c r="P841" s="98"/>
      <c r="Q841" s="13" t="s">
        <v>14</v>
      </c>
      <c r="R841" s="99" t="s">
        <v>15</v>
      </c>
      <c r="S841" s="99"/>
      <c r="T841" s="99"/>
    </row>
    <row r="842" spans="1:20" s="1" customFormat="1" ht="13.35" customHeight="1" x14ac:dyDescent="0.25">
      <c r="A842" s="131" t="s">
        <v>636</v>
      </c>
      <c r="B842" s="131"/>
      <c r="C842" s="131"/>
      <c r="D842" s="131"/>
      <c r="E842" s="131"/>
      <c r="F842" s="131"/>
      <c r="G842" s="131"/>
      <c r="H842" s="131"/>
      <c r="I842" s="131"/>
      <c r="J842" s="131"/>
      <c r="K842" s="131"/>
      <c r="L842" s="131"/>
      <c r="M842" s="131"/>
      <c r="N842" s="131"/>
      <c r="O842" s="131" t="s">
        <v>98</v>
      </c>
      <c r="P842" s="131"/>
      <c r="Q842" s="15"/>
      <c r="R842" s="131" t="s">
        <v>62</v>
      </c>
      <c r="S842" s="131"/>
      <c r="T842" s="131"/>
    </row>
    <row r="843" spans="1:20" s="1" customFormat="1" ht="13.35" customHeight="1" x14ac:dyDescent="0.25">
      <c r="A843" s="88" t="s">
        <v>637</v>
      </c>
      <c r="B843" s="88"/>
      <c r="C843" s="88"/>
      <c r="D843" s="88"/>
      <c r="E843" s="88"/>
      <c r="F843" s="88"/>
      <c r="G843" s="88"/>
      <c r="H843" s="88"/>
      <c r="I843" s="88"/>
      <c r="J843" s="88"/>
      <c r="K843" s="88"/>
      <c r="L843" s="88"/>
      <c r="M843" s="88" t="s">
        <v>103</v>
      </c>
      <c r="N843" s="88"/>
      <c r="O843" s="88" t="s">
        <v>103</v>
      </c>
      <c r="P843" s="88"/>
      <c r="Q843" s="6" t="s">
        <v>133</v>
      </c>
      <c r="R843" s="88" t="s">
        <v>133</v>
      </c>
      <c r="S843" s="88"/>
      <c r="T843" s="88"/>
    </row>
    <row r="844" spans="1:20" s="1" customFormat="1" ht="13.35" customHeight="1" x14ac:dyDescent="0.25">
      <c r="A844" s="88" t="s">
        <v>114</v>
      </c>
      <c r="B844" s="88"/>
      <c r="C844" s="88"/>
      <c r="D844" s="88"/>
      <c r="E844" s="88"/>
      <c r="F844" s="88"/>
      <c r="G844" s="88"/>
      <c r="H844" s="88"/>
      <c r="I844" s="88"/>
      <c r="J844" s="88"/>
      <c r="K844" s="88"/>
      <c r="L844" s="88"/>
      <c r="M844" s="88" t="s">
        <v>655</v>
      </c>
      <c r="N844" s="88"/>
      <c r="O844" s="88" t="s">
        <v>655</v>
      </c>
      <c r="P844" s="88"/>
      <c r="Q844" s="6" t="s">
        <v>405</v>
      </c>
      <c r="R844" s="88" t="s">
        <v>405</v>
      </c>
      <c r="S844" s="88"/>
      <c r="T844" s="88"/>
    </row>
    <row r="845" spans="1:20" s="1" customFormat="1" ht="13.35" customHeight="1" x14ac:dyDescent="0.25">
      <c r="A845" s="88" t="s">
        <v>109</v>
      </c>
      <c r="B845" s="88"/>
      <c r="C845" s="88"/>
      <c r="D845" s="88"/>
      <c r="E845" s="88"/>
      <c r="F845" s="88"/>
      <c r="G845" s="88"/>
      <c r="H845" s="88"/>
      <c r="I845" s="88"/>
      <c r="J845" s="88"/>
      <c r="K845" s="88"/>
      <c r="L845" s="88"/>
      <c r="M845" s="88">
        <v>14</v>
      </c>
      <c r="N845" s="88"/>
      <c r="O845" s="88">
        <v>14</v>
      </c>
      <c r="P845" s="88"/>
      <c r="Q845" s="6">
        <v>1.4</v>
      </c>
      <c r="R845" s="88">
        <v>1.4</v>
      </c>
      <c r="S845" s="88"/>
      <c r="T845" s="88"/>
    </row>
    <row r="846" spans="1:20" s="1" customFormat="1" ht="13.35" customHeight="1" x14ac:dyDescent="0.25">
      <c r="A846" s="88" t="s">
        <v>66</v>
      </c>
      <c r="B846" s="88"/>
      <c r="C846" s="88"/>
      <c r="D846" s="88"/>
      <c r="E846" s="88"/>
      <c r="F846" s="88"/>
      <c r="G846" s="88"/>
      <c r="H846" s="88"/>
      <c r="I846" s="88"/>
      <c r="J846" s="88"/>
      <c r="K846" s="88"/>
      <c r="L846" s="88"/>
      <c r="M846" s="88">
        <v>51</v>
      </c>
      <c r="N846" s="88"/>
      <c r="O846" s="88" t="s">
        <v>98</v>
      </c>
      <c r="P846" s="88"/>
      <c r="Q846" s="6" t="s">
        <v>62</v>
      </c>
      <c r="R846" s="88" t="s">
        <v>62</v>
      </c>
      <c r="S846" s="88"/>
      <c r="T846" s="88"/>
    </row>
    <row r="847" spans="1:20" s="1" customFormat="1" ht="13.35" customHeight="1" x14ac:dyDescent="0.25">
      <c r="A847" s="88" t="s">
        <v>114</v>
      </c>
      <c r="B847" s="88"/>
      <c r="C847" s="88"/>
      <c r="D847" s="88"/>
      <c r="E847" s="88"/>
      <c r="F847" s="88"/>
      <c r="G847" s="88"/>
      <c r="H847" s="88"/>
      <c r="I847" s="88"/>
      <c r="J847" s="88"/>
      <c r="K847" s="88"/>
      <c r="L847" s="88"/>
      <c r="M847" s="88" t="s">
        <v>255</v>
      </c>
      <c r="N847" s="88"/>
      <c r="O847" s="88" t="s">
        <v>255</v>
      </c>
      <c r="P847" s="88"/>
      <c r="Q847" s="6" t="s">
        <v>101</v>
      </c>
      <c r="R847" s="88" t="s">
        <v>101</v>
      </c>
      <c r="S847" s="88"/>
      <c r="T847" s="88"/>
    </row>
    <row r="848" spans="1:20" s="1" customFormat="1" ht="14.1" customHeight="1" x14ac:dyDescent="0.25">
      <c r="A848" s="90" t="s">
        <v>116</v>
      </c>
      <c r="B848" s="90"/>
      <c r="C848" s="90"/>
      <c r="D848" s="90"/>
      <c r="E848" s="90"/>
      <c r="F848" s="90"/>
      <c r="G848" s="90"/>
      <c r="H848" s="90"/>
      <c r="I848" s="90"/>
      <c r="J848" s="90"/>
      <c r="K848" s="90"/>
      <c r="L848" s="90"/>
      <c r="M848" s="90"/>
      <c r="N848" s="90"/>
      <c r="O848" s="90"/>
      <c r="P848" s="90"/>
      <c r="Q848" s="90"/>
      <c r="R848" s="90"/>
      <c r="S848" s="90"/>
      <c r="T848" s="90"/>
    </row>
    <row r="849" spans="1:19" s="1" customFormat="1" ht="21.3" customHeight="1" x14ac:dyDescent="0.25"/>
    <row r="850" spans="1:19" s="1" customFormat="1" ht="14.1" customHeight="1" x14ac:dyDescent="0.25">
      <c r="A850" s="91" t="s">
        <v>33</v>
      </c>
      <c r="B850" s="91"/>
      <c r="C850" s="91"/>
      <c r="D850" s="91"/>
      <c r="E850" s="91"/>
      <c r="F850" s="91"/>
      <c r="G850" s="91"/>
      <c r="H850" s="91"/>
      <c r="I850" s="91"/>
      <c r="J850" s="91"/>
      <c r="K850" s="91"/>
      <c r="L850" s="91"/>
      <c r="M850" s="91"/>
      <c r="N850" s="91"/>
    </row>
    <row r="851" spans="1:19" s="1" customFormat="1" ht="13.35" customHeight="1" x14ac:dyDescent="0.25">
      <c r="A851" s="88" t="s">
        <v>34</v>
      </c>
      <c r="B851" s="88"/>
      <c r="C851" s="88"/>
      <c r="D851" s="88"/>
      <c r="E851" s="89">
        <v>1.6</v>
      </c>
      <c r="F851" s="89"/>
      <c r="G851" s="17"/>
      <c r="H851" s="6" t="s">
        <v>35</v>
      </c>
      <c r="I851" s="89">
        <v>0.01</v>
      </c>
      <c r="J851" s="89"/>
      <c r="K851" s="17"/>
      <c r="L851" s="88" t="s">
        <v>36</v>
      </c>
      <c r="M851" s="88"/>
      <c r="N851" s="89">
        <v>61.88</v>
      </c>
      <c r="O851" s="89"/>
    </row>
    <row r="852" spans="1:19" s="1" customFormat="1" ht="13.35" customHeight="1" x14ac:dyDescent="0.25">
      <c r="A852" s="88" t="s">
        <v>37</v>
      </c>
      <c r="B852" s="88"/>
      <c r="C852" s="88"/>
      <c r="D852" s="88"/>
      <c r="E852" s="89">
        <v>1.21</v>
      </c>
      <c r="F852" s="89"/>
      <c r="G852" s="17"/>
      <c r="H852" s="6" t="s">
        <v>38</v>
      </c>
      <c r="I852" s="89">
        <v>0.3</v>
      </c>
      <c r="J852" s="89"/>
      <c r="K852" s="17"/>
      <c r="L852" s="88" t="s">
        <v>39</v>
      </c>
      <c r="M852" s="88"/>
      <c r="N852" s="89">
        <v>10.95</v>
      </c>
      <c r="O852" s="89"/>
    </row>
    <row r="853" spans="1:19" s="1" customFormat="1" ht="13.35" customHeight="1" x14ac:dyDescent="0.25">
      <c r="A853" s="88" t="s">
        <v>40</v>
      </c>
      <c r="B853" s="88"/>
      <c r="C853" s="88"/>
      <c r="D853" s="88"/>
      <c r="E853" s="89">
        <v>12.42</v>
      </c>
      <c r="F853" s="89"/>
      <c r="G853" s="17"/>
      <c r="H853" s="6" t="s">
        <v>41</v>
      </c>
      <c r="I853" s="89">
        <v>0.01</v>
      </c>
      <c r="J853" s="89"/>
      <c r="K853" s="17"/>
      <c r="L853" s="88" t="s">
        <v>42</v>
      </c>
      <c r="M853" s="88"/>
      <c r="N853" s="89">
        <v>43.42</v>
      </c>
      <c r="O853" s="89"/>
    </row>
    <row r="854" spans="1:19" s="1" customFormat="1" ht="13.35" customHeight="1" x14ac:dyDescent="0.25">
      <c r="A854" s="88" t="s">
        <v>43</v>
      </c>
      <c r="B854" s="88"/>
      <c r="C854" s="88"/>
      <c r="D854" s="88"/>
      <c r="E854" s="89">
        <v>67.3</v>
      </c>
      <c r="F854" s="89"/>
      <c r="G854" s="17"/>
      <c r="H854" s="6" t="s">
        <v>44</v>
      </c>
      <c r="I854" s="89">
        <v>0</v>
      </c>
      <c r="J854" s="89"/>
      <c r="K854" s="17"/>
      <c r="L854" s="88" t="s">
        <v>45</v>
      </c>
      <c r="M854" s="88"/>
      <c r="N854" s="89">
        <v>0.78</v>
      </c>
      <c r="O854" s="89"/>
    </row>
    <row r="855" spans="1:19" s="1" customFormat="1" ht="13.35" customHeight="1" x14ac:dyDescent="0.25">
      <c r="A855" s="87"/>
      <c r="B855" s="87"/>
      <c r="C855" s="87"/>
      <c r="D855" s="87"/>
      <c r="E855" s="87"/>
      <c r="F855" s="87"/>
      <c r="G855" s="17"/>
      <c r="H855" s="6" t="s">
        <v>46</v>
      </c>
      <c r="I855" s="89">
        <v>0</v>
      </c>
      <c r="J855" s="89"/>
      <c r="K855" s="17"/>
      <c r="L855" s="88" t="s">
        <v>47</v>
      </c>
      <c r="M855" s="88"/>
      <c r="N855" s="89">
        <v>98.56</v>
      </c>
      <c r="O855" s="89"/>
    </row>
    <row r="856" spans="1:19" s="1" customFormat="1" ht="13.35" customHeight="1" x14ac:dyDescent="0.25">
      <c r="A856" s="87"/>
      <c r="B856" s="87"/>
      <c r="C856" s="87"/>
      <c r="D856" s="87"/>
      <c r="E856" s="87"/>
      <c r="F856" s="87"/>
      <c r="G856" s="17"/>
      <c r="H856" s="6" t="s">
        <v>48</v>
      </c>
      <c r="I856" s="89">
        <v>7.0000000000000007E-2</v>
      </c>
      <c r="J856" s="89"/>
      <c r="K856" s="17"/>
      <c r="L856" s="88" t="s">
        <v>49</v>
      </c>
      <c r="M856" s="88"/>
      <c r="N856" s="89">
        <v>4.5</v>
      </c>
      <c r="O856" s="89"/>
    </row>
    <row r="857" spans="1:19" s="1" customFormat="1" ht="13.35" customHeight="1" x14ac:dyDescent="0.25">
      <c r="A857" s="87"/>
      <c r="B857" s="87"/>
      <c r="C857" s="87"/>
      <c r="D857" s="87"/>
      <c r="E857" s="87"/>
      <c r="F857" s="87"/>
      <c r="G857" s="17"/>
      <c r="H857" s="17"/>
      <c r="I857" s="87"/>
      <c r="J857" s="87"/>
      <c r="K857" s="17"/>
      <c r="L857" s="88" t="s">
        <v>50</v>
      </c>
      <c r="M857" s="88"/>
      <c r="N857" s="89">
        <v>0</v>
      </c>
      <c r="O857" s="89"/>
    </row>
    <row r="858" spans="1:19" s="1" customFormat="1" ht="13.35" customHeight="1" x14ac:dyDescent="0.25">
      <c r="A858" s="87"/>
      <c r="B858" s="87"/>
      <c r="C858" s="87"/>
      <c r="D858" s="87"/>
      <c r="E858" s="87"/>
      <c r="F858" s="87"/>
      <c r="G858" s="17"/>
      <c r="H858" s="17"/>
      <c r="I858" s="87"/>
      <c r="J858" s="87"/>
      <c r="K858" s="17"/>
      <c r="L858" s="88" t="s">
        <v>51</v>
      </c>
      <c r="M858" s="88"/>
      <c r="N858" s="89">
        <v>0</v>
      </c>
      <c r="O858" s="89"/>
    </row>
    <row r="859" spans="1:19" s="1" customFormat="1" ht="14.1" customHeight="1" x14ac:dyDescent="0.25">
      <c r="A859" s="86"/>
      <c r="B859" s="86"/>
      <c r="C859" s="86"/>
      <c r="D859" s="86"/>
      <c r="E859" s="86"/>
      <c r="F859" s="86"/>
      <c r="G859" s="86"/>
      <c r="H859" s="86"/>
      <c r="I859" s="86"/>
      <c r="J859" s="86"/>
      <c r="K859" s="86"/>
      <c r="L859" s="86"/>
      <c r="M859" s="86"/>
      <c r="N859" s="86"/>
      <c r="O859" s="86"/>
      <c r="P859" s="86"/>
      <c r="Q859" s="86"/>
      <c r="R859" s="86"/>
      <c r="S859" s="86"/>
    </row>
    <row r="860" spans="1:19" s="1" customFormat="1" ht="14.1" customHeight="1" x14ac:dyDescent="0.25">
      <c r="A860" s="84" t="s">
        <v>52</v>
      </c>
      <c r="B860" s="84"/>
      <c r="C860" s="84"/>
      <c r="D860" s="84"/>
      <c r="E860" s="84"/>
      <c r="F860" s="84"/>
      <c r="G860" s="84"/>
      <c r="H860" s="84"/>
      <c r="I860" s="84"/>
      <c r="J860" s="84"/>
      <c r="K860" s="84"/>
      <c r="L860" s="84"/>
      <c r="M860" s="84"/>
      <c r="N860" s="84"/>
      <c r="O860" s="84"/>
      <c r="P860" s="84"/>
      <c r="Q860" s="84"/>
      <c r="R860" s="84"/>
      <c r="S860" s="84"/>
    </row>
    <row r="861" spans="1:19" s="1" customFormat="1" ht="58.5" customHeight="1" x14ac:dyDescent="0.25">
      <c r="A861" s="85" t="s">
        <v>653</v>
      </c>
      <c r="B861" s="85"/>
      <c r="C861" s="85"/>
      <c r="D861" s="85"/>
      <c r="E861" s="85"/>
      <c r="F861" s="85"/>
      <c r="G861" s="85"/>
      <c r="H861" s="85"/>
      <c r="I861" s="85"/>
      <c r="J861" s="85"/>
      <c r="K861" s="85"/>
      <c r="L861" s="85"/>
      <c r="M861" s="85"/>
      <c r="N861" s="85"/>
      <c r="O861" s="85"/>
      <c r="P861" s="85"/>
      <c r="Q861" s="85"/>
      <c r="R861" s="85"/>
      <c r="S861" s="85"/>
    </row>
    <row r="862" spans="1:19" s="1" customFormat="1" ht="14.1" customHeight="1" x14ac:dyDescent="0.25">
      <c r="A862" s="86"/>
      <c r="B862" s="86"/>
      <c r="C862" s="86"/>
      <c r="D862" s="86"/>
      <c r="E862" s="86"/>
      <c r="F862" s="86"/>
      <c r="G862" s="86"/>
      <c r="H862" s="86"/>
      <c r="I862" s="86"/>
      <c r="J862" s="86"/>
      <c r="K862" s="86"/>
      <c r="L862" s="86"/>
      <c r="M862" s="86"/>
      <c r="N862" s="86"/>
      <c r="O862" s="86"/>
      <c r="P862" s="86"/>
      <c r="Q862" s="86"/>
      <c r="R862" s="86"/>
      <c r="S862" s="86"/>
    </row>
    <row r="863" spans="1:19" s="1" customFormat="1" ht="14.1" customHeight="1" x14ac:dyDescent="0.25">
      <c r="A863" s="84" t="s">
        <v>54</v>
      </c>
      <c r="B863" s="84"/>
      <c r="C863" s="84"/>
      <c r="D863" s="84"/>
      <c r="E863" s="84"/>
      <c r="F863" s="84"/>
      <c r="G863" s="84"/>
      <c r="H863" s="84"/>
      <c r="I863" s="84"/>
      <c r="J863" s="84"/>
      <c r="K863" s="84"/>
      <c r="L863" s="84"/>
      <c r="M863" s="84"/>
      <c r="N863" s="84"/>
      <c r="O863" s="84"/>
      <c r="P863" s="84"/>
      <c r="Q863" s="84"/>
      <c r="R863" s="84"/>
      <c r="S863" s="84"/>
    </row>
    <row r="864" spans="1:19" s="1" customFormat="1" ht="12.15" customHeight="1" x14ac:dyDescent="0.25">
      <c r="A864" s="85" t="s">
        <v>656</v>
      </c>
      <c r="B864" s="85"/>
      <c r="C864" s="85"/>
      <c r="D864" s="85"/>
      <c r="E864" s="85"/>
      <c r="F864" s="85"/>
      <c r="G864" s="85"/>
      <c r="H864" s="85"/>
      <c r="I864" s="85"/>
      <c r="J864" s="85"/>
      <c r="K864" s="85"/>
      <c r="L864" s="85"/>
      <c r="M864" s="85"/>
      <c r="N864" s="85"/>
      <c r="O864" s="85"/>
      <c r="P864" s="85"/>
      <c r="Q864" s="85"/>
      <c r="R864" s="85"/>
      <c r="S864" s="85"/>
    </row>
    <row r="865" spans="1:20" s="1" customFormat="1" ht="14.1" customHeight="1" x14ac:dyDescent="0.25">
      <c r="A865" s="86"/>
      <c r="B865" s="86"/>
      <c r="C865" s="86"/>
      <c r="D865" s="86"/>
      <c r="E865" s="86"/>
      <c r="F865" s="86"/>
      <c r="G865" s="86"/>
      <c r="H865" s="86"/>
      <c r="I865" s="86"/>
      <c r="J865" s="86"/>
      <c r="K865" s="86"/>
      <c r="L865" s="86"/>
      <c r="M865" s="86"/>
      <c r="N865" s="86"/>
      <c r="O865" s="86"/>
      <c r="P865" s="86"/>
      <c r="Q865" s="86"/>
      <c r="R865" s="86"/>
      <c r="S865" s="86"/>
    </row>
    <row r="866" spans="1:20" s="1" customFormat="1" ht="14.1" customHeight="1" x14ac:dyDescent="0.25">
      <c r="A866" s="84" t="s">
        <v>56</v>
      </c>
      <c r="B866" s="84"/>
      <c r="C866" s="84"/>
      <c r="D866" s="84"/>
      <c r="E866" s="84"/>
      <c r="F866" s="84"/>
      <c r="G866" s="84"/>
      <c r="H866" s="84"/>
      <c r="I866" s="84"/>
      <c r="J866" s="84"/>
      <c r="K866" s="84"/>
      <c r="L866" s="84"/>
      <c r="M866" s="84"/>
      <c r="N866" s="84"/>
      <c r="O866" s="84"/>
      <c r="P866" s="84"/>
      <c r="Q866" s="84"/>
      <c r="R866" s="84"/>
      <c r="S866" s="84"/>
    </row>
    <row r="867" spans="1:20" s="1" customFormat="1" ht="49.2" customHeight="1" x14ac:dyDescent="0.25">
      <c r="A867" s="85" t="s">
        <v>654</v>
      </c>
      <c r="B867" s="85"/>
      <c r="C867" s="85"/>
      <c r="D867" s="85"/>
      <c r="E867" s="85"/>
      <c r="F867" s="85"/>
      <c r="G867" s="85"/>
      <c r="H867" s="85"/>
      <c r="I867" s="85"/>
      <c r="J867" s="85"/>
      <c r="K867" s="85"/>
      <c r="L867" s="85"/>
      <c r="M867" s="85"/>
      <c r="N867" s="85"/>
      <c r="O867" s="85"/>
      <c r="P867" s="85"/>
      <c r="Q867" s="85"/>
      <c r="R867" s="85"/>
      <c r="S867" s="85"/>
    </row>
    <row r="868" spans="1:20" s="1" customFormat="1" ht="72.45" customHeight="1" x14ac:dyDescent="0.25">
      <c r="J868" s="100" t="s">
        <v>0</v>
      </c>
      <c r="K868" s="100"/>
      <c r="L868" s="100"/>
      <c r="M868" s="100"/>
      <c r="N868" s="100"/>
      <c r="O868" s="100"/>
      <c r="P868" s="100"/>
      <c r="Q868" s="100"/>
      <c r="R868" s="100"/>
      <c r="S868" s="100"/>
      <c r="T868" s="100"/>
    </row>
    <row r="869" spans="1:20" s="1" customFormat="1" ht="7.05" customHeight="1" x14ac:dyDescent="0.25"/>
    <row r="870" spans="1:20" s="1" customFormat="1" ht="14.1" customHeight="1" x14ac:dyDescent="0.25">
      <c r="B870" s="101" t="s">
        <v>657</v>
      </c>
      <c r="C870" s="101"/>
      <c r="D870" s="101"/>
      <c r="E870" s="101"/>
      <c r="F870" s="101"/>
      <c r="G870" s="101"/>
      <c r="H870" s="101"/>
      <c r="I870" s="101"/>
      <c r="J870" s="101"/>
      <c r="K870" s="101"/>
      <c r="L870" s="101"/>
      <c r="M870" s="101"/>
      <c r="N870" s="101"/>
      <c r="O870" s="101"/>
      <c r="P870" s="101"/>
      <c r="Q870" s="101"/>
      <c r="R870" s="101"/>
    </row>
    <row r="871" spans="1:20" s="1" customFormat="1" ht="14.1" customHeight="1" x14ac:dyDescent="0.25"/>
    <row r="872" spans="1:20" s="1" customFormat="1" ht="14.1" customHeight="1" x14ac:dyDescent="0.25">
      <c r="A872" s="102" t="s">
        <v>2</v>
      </c>
      <c r="B872" s="102"/>
      <c r="C872" s="102"/>
      <c r="D872" s="103" t="s">
        <v>658</v>
      </c>
      <c r="E872" s="103"/>
      <c r="F872" s="103"/>
      <c r="G872" s="103"/>
      <c r="H872" s="103"/>
      <c r="I872" s="103"/>
      <c r="J872" s="103"/>
      <c r="K872" s="103"/>
      <c r="L872" s="103"/>
      <c r="M872" s="103"/>
      <c r="N872" s="103"/>
      <c r="O872" s="103"/>
      <c r="P872" s="103"/>
      <c r="Q872" s="103"/>
      <c r="R872" s="103"/>
      <c r="S872" s="103"/>
      <c r="T872" s="103"/>
    </row>
    <row r="873" spans="1:20" s="1" customFormat="1" ht="14.1" customHeight="1" x14ac:dyDescent="0.25">
      <c r="A873" s="102" t="s">
        <v>4</v>
      </c>
      <c r="B873" s="102"/>
      <c r="C873" s="103" t="s">
        <v>659</v>
      </c>
      <c r="D873" s="103"/>
      <c r="E873" s="103"/>
      <c r="F873" s="103"/>
      <c r="G873" s="103"/>
      <c r="H873" s="103"/>
      <c r="I873" s="103"/>
      <c r="J873" s="103"/>
      <c r="K873" s="103"/>
      <c r="L873" s="103"/>
      <c r="M873" s="103"/>
      <c r="N873" s="103"/>
      <c r="O873" s="103"/>
      <c r="P873" s="103"/>
      <c r="Q873" s="103"/>
      <c r="R873" s="103"/>
      <c r="S873" s="103"/>
      <c r="T873" s="103"/>
    </row>
    <row r="874" spans="1:20" s="1" customFormat="1" ht="14.1" customHeight="1" x14ac:dyDescent="0.25">
      <c r="A874" s="102" t="s">
        <v>6</v>
      </c>
      <c r="B874" s="102"/>
      <c r="C874" s="102"/>
      <c r="D874" s="102"/>
      <c r="E874" s="102"/>
      <c r="F874" s="103" t="s">
        <v>248</v>
      </c>
      <c r="G874" s="103"/>
      <c r="H874" s="103"/>
      <c r="I874" s="103"/>
      <c r="J874" s="103"/>
      <c r="K874" s="103"/>
      <c r="L874" s="103"/>
      <c r="M874" s="103"/>
      <c r="N874" s="103"/>
      <c r="O874" s="103"/>
      <c r="P874" s="103"/>
      <c r="Q874" s="103"/>
      <c r="R874" s="103"/>
      <c r="S874" s="103"/>
      <c r="T874" s="103"/>
    </row>
    <row r="875" spans="1:20" s="1" customFormat="1" ht="22.35" customHeight="1" x14ac:dyDescent="0.25">
      <c r="F875" s="103"/>
      <c r="G875" s="103"/>
      <c r="H875" s="103"/>
      <c r="I875" s="103"/>
      <c r="J875" s="103"/>
      <c r="K875" s="103"/>
      <c r="L875" s="103"/>
      <c r="M875" s="103"/>
      <c r="N875" s="103"/>
      <c r="O875" s="103"/>
      <c r="P875" s="103"/>
      <c r="Q875" s="103"/>
      <c r="R875" s="103"/>
      <c r="S875" s="103"/>
      <c r="T875" s="103"/>
    </row>
    <row r="876" spans="1:20" s="3" customFormat="1" ht="49.2" customHeight="1" x14ac:dyDescent="0.2">
      <c r="A876" s="133" t="s">
        <v>679</v>
      </c>
      <c r="B876" s="134"/>
      <c r="C876" s="134"/>
      <c r="D876" s="134"/>
      <c r="E876" s="134"/>
      <c r="F876" s="134"/>
      <c r="G876" s="134"/>
      <c r="H876" s="134"/>
      <c r="I876" s="134"/>
      <c r="J876" s="134"/>
      <c r="K876" s="134"/>
      <c r="L876" s="134"/>
      <c r="M876" s="134"/>
      <c r="N876" s="134"/>
      <c r="O876" s="134"/>
      <c r="P876" s="134"/>
      <c r="Q876" s="134"/>
      <c r="R876" s="134"/>
      <c r="S876" s="10"/>
    </row>
    <row r="877" spans="1:20" s="1" customFormat="1" ht="7.05" customHeight="1" x14ac:dyDescent="0.25">
      <c r="A877" s="86"/>
      <c r="B877" s="86"/>
      <c r="C877" s="86"/>
      <c r="D877" s="86"/>
      <c r="E877" s="86"/>
      <c r="F877" s="86"/>
      <c r="G877" s="86"/>
      <c r="H877" s="86"/>
      <c r="I877" s="86"/>
      <c r="J877" s="86"/>
      <c r="K877" s="86"/>
      <c r="L877" s="86"/>
      <c r="M877" s="86"/>
      <c r="N877" s="86"/>
      <c r="O877" s="86"/>
      <c r="P877" s="86"/>
      <c r="Q877" s="16"/>
      <c r="R877" s="86"/>
      <c r="S877" s="86"/>
      <c r="T877" s="86"/>
    </row>
    <row r="878" spans="1:20" s="1" customFormat="1" ht="16.95" customHeight="1" x14ac:dyDescent="0.25">
      <c r="A878" s="94" t="s">
        <v>8</v>
      </c>
      <c r="B878" s="94"/>
      <c r="C878" s="94"/>
      <c r="D878" s="94"/>
      <c r="E878" s="94"/>
      <c r="F878" s="94"/>
      <c r="G878" s="94"/>
      <c r="H878" s="94"/>
      <c r="I878" s="94"/>
      <c r="J878" s="94"/>
      <c r="K878" s="94"/>
      <c r="L878" s="94"/>
      <c r="M878" s="95" t="s">
        <v>9</v>
      </c>
      <c r="N878" s="95"/>
      <c r="O878" s="95"/>
      <c r="P878" s="95"/>
      <c r="Q878" s="95"/>
      <c r="R878" s="95"/>
      <c r="S878" s="95"/>
      <c r="T878" s="95"/>
    </row>
    <row r="879" spans="1:20" s="1" customFormat="1" ht="16.95" customHeight="1" x14ac:dyDescent="0.25">
      <c r="A879" s="94"/>
      <c r="B879" s="94"/>
      <c r="C879" s="94"/>
      <c r="D879" s="94"/>
      <c r="E879" s="94"/>
      <c r="F879" s="94"/>
      <c r="G879" s="94"/>
      <c r="H879" s="94"/>
      <c r="I879" s="94"/>
      <c r="J879" s="94"/>
      <c r="K879" s="94"/>
      <c r="L879" s="94"/>
      <c r="M879" s="96" t="s">
        <v>10</v>
      </c>
      <c r="N879" s="96"/>
      <c r="O879" s="96"/>
      <c r="P879" s="96"/>
      <c r="Q879" s="97" t="s">
        <v>11</v>
      </c>
      <c r="R879" s="97"/>
      <c r="S879" s="97"/>
      <c r="T879" s="97"/>
    </row>
    <row r="880" spans="1:20" s="1" customFormat="1" ht="16.95" customHeight="1" x14ac:dyDescent="0.25">
      <c r="A880" s="94"/>
      <c r="B880" s="94"/>
      <c r="C880" s="94"/>
      <c r="D880" s="94"/>
      <c r="E880" s="94"/>
      <c r="F880" s="94"/>
      <c r="G880" s="94"/>
      <c r="H880" s="94"/>
      <c r="I880" s="94"/>
      <c r="J880" s="94"/>
      <c r="K880" s="94"/>
      <c r="L880" s="94"/>
      <c r="M880" s="98" t="s">
        <v>12</v>
      </c>
      <c r="N880" s="98"/>
      <c r="O880" s="98" t="s">
        <v>13</v>
      </c>
      <c r="P880" s="98"/>
      <c r="Q880" s="13" t="s">
        <v>14</v>
      </c>
      <c r="R880" s="99" t="s">
        <v>15</v>
      </c>
      <c r="S880" s="99"/>
      <c r="T880" s="99"/>
    </row>
    <row r="881" spans="1:20" s="1" customFormat="1" ht="13.35" customHeight="1" x14ac:dyDescent="0.25">
      <c r="A881" s="131" t="s">
        <v>636</v>
      </c>
      <c r="B881" s="131"/>
      <c r="C881" s="131"/>
      <c r="D881" s="131"/>
      <c r="E881" s="131"/>
      <c r="F881" s="131"/>
      <c r="G881" s="131"/>
      <c r="H881" s="131"/>
      <c r="I881" s="131"/>
      <c r="J881" s="131"/>
      <c r="K881" s="131"/>
      <c r="L881" s="131"/>
      <c r="M881" s="131"/>
      <c r="N881" s="131"/>
      <c r="O881" s="131" t="s">
        <v>437</v>
      </c>
      <c r="P881" s="131"/>
      <c r="Q881" s="15"/>
      <c r="R881" s="131" t="s">
        <v>152</v>
      </c>
      <c r="S881" s="131"/>
      <c r="T881" s="131"/>
    </row>
    <row r="882" spans="1:20" s="1" customFormat="1" ht="13.35" customHeight="1" x14ac:dyDescent="0.25">
      <c r="A882" s="88" t="s">
        <v>637</v>
      </c>
      <c r="B882" s="88"/>
      <c r="C882" s="88"/>
      <c r="D882" s="88"/>
      <c r="E882" s="88"/>
      <c r="F882" s="88"/>
      <c r="G882" s="88"/>
      <c r="H882" s="88"/>
      <c r="I882" s="88"/>
      <c r="J882" s="88"/>
      <c r="K882" s="88"/>
      <c r="L882" s="88"/>
      <c r="M882" s="88" t="s">
        <v>24</v>
      </c>
      <c r="N882" s="88"/>
      <c r="O882" s="88" t="s">
        <v>24</v>
      </c>
      <c r="P882" s="88"/>
      <c r="Q882" s="6" t="s">
        <v>648</v>
      </c>
      <c r="R882" s="88" t="s">
        <v>648</v>
      </c>
      <c r="S882" s="88"/>
      <c r="T882" s="88"/>
    </row>
    <row r="883" spans="1:20" s="1" customFormat="1" ht="13.35" customHeight="1" x14ac:dyDescent="0.25">
      <c r="A883" s="88" t="s">
        <v>114</v>
      </c>
      <c r="B883" s="88"/>
      <c r="C883" s="88"/>
      <c r="D883" s="88"/>
      <c r="E883" s="88"/>
      <c r="F883" s="88"/>
      <c r="G883" s="88"/>
      <c r="H883" s="88"/>
      <c r="I883" s="88"/>
      <c r="J883" s="88"/>
      <c r="K883" s="88"/>
      <c r="L883" s="88"/>
      <c r="M883" s="88" t="s">
        <v>638</v>
      </c>
      <c r="N883" s="88"/>
      <c r="O883" s="88" t="s">
        <v>638</v>
      </c>
      <c r="P883" s="88"/>
      <c r="Q883" s="6" t="s">
        <v>639</v>
      </c>
      <c r="R883" s="88" t="s">
        <v>639</v>
      </c>
      <c r="S883" s="88"/>
      <c r="T883" s="88"/>
    </row>
    <row r="884" spans="1:20" s="1" customFormat="1" ht="13.35" customHeight="1" x14ac:dyDescent="0.25">
      <c r="A884" s="88" t="s">
        <v>109</v>
      </c>
      <c r="B884" s="88"/>
      <c r="C884" s="88"/>
      <c r="D884" s="88"/>
      <c r="E884" s="88"/>
      <c r="F884" s="88"/>
      <c r="G884" s="88"/>
      <c r="H884" s="88"/>
      <c r="I884" s="88"/>
      <c r="J884" s="88"/>
      <c r="K884" s="88"/>
      <c r="L884" s="88"/>
      <c r="M884" s="88">
        <v>15</v>
      </c>
      <c r="N884" s="88"/>
      <c r="O884" s="88">
        <v>15</v>
      </c>
      <c r="P884" s="88"/>
      <c r="Q884" s="6">
        <v>1.5</v>
      </c>
      <c r="R884" s="88">
        <v>1.5</v>
      </c>
      <c r="S884" s="88"/>
      <c r="T884" s="88"/>
    </row>
    <row r="885" spans="1:20" s="1" customFormat="1" ht="13.35" customHeight="1" x14ac:dyDescent="0.25">
      <c r="A885" s="88" t="s">
        <v>114</v>
      </c>
      <c r="B885" s="88"/>
      <c r="C885" s="88"/>
      <c r="D885" s="88"/>
      <c r="E885" s="88"/>
      <c r="F885" s="88"/>
      <c r="G885" s="88"/>
      <c r="H885" s="88"/>
      <c r="I885" s="88"/>
      <c r="J885" s="88"/>
      <c r="K885" s="88"/>
      <c r="L885" s="88"/>
      <c r="M885" s="88" t="s">
        <v>660</v>
      </c>
      <c r="N885" s="88"/>
      <c r="O885" s="88" t="s">
        <v>660</v>
      </c>
      <c r="P885" s="88"/>
      <c r="Q885" s="6" t="s">
        <v>661</v>
      </c>
      <c r="R885" s="88" t="s">
        <v>661</v>
      </c>
      <c r="S885" s="88"/>
      <c r="T885" s="88"/>
    </row>
    <row r="886" spans="1:20" s="1" customFormat="1" ht="14.1" customHeight="1" x14ac:dyDescent="0.25">
      <c r="A886" s="90" t="s">
        <v>217</v>
      </c>
      <c r="B886" s="90"/>
      <c r="C886" s="90"/>
      <c r="D886" s="90"/>
      <c r="E886" s="90"/>
      <c r="F886" s="90"/>
      <c r="G886" s="90"/>
      <c r="H886" s="90"/>
      <c r="I886" s="90"/>
      <c r="J886" s="90"/>
      <c r="K886" s="90"/>
      <c r="L886" s="90"/>
      <c r="M886" s="90"/>
      <c r="N886" s="90"/>
      <c r="O886" s="90"/>
      <c r="P886" s="90"/>
      <c r="Q886" s="90"/>
      <c r="R886" s="90"/>
      <c r="S886" s="90"/>
      <c r="T886" s="90"/>
    </row>
    <row r="887" spans="1:20" s="1" customFormat="1" ht="21.3" customHeight="1" x14ac:dyDescent="0.25"/>
    <row r="888" spans="1:20" s="1" customFormat="1" ht="14.1" customHeight="1" x14ac:dyDescent="0.25">
      <c r="A888" s="91" t="s">
        <v>33</v>
      </c>
      <c r="B888" s="91"/>
      <c r="C888" s="91"/>
      <c r="D888" s="91"/>
      <c r="E888" s="91"/>
      <c r="F888" s="91"/>
      <c r="G888" s="91"/>
      <c r="H888" s="91"/>
      <c r="I888" s="91"/>
      <c r="J888" s="91"/>
      <c r="K888" s="91"/>
      <c r="L888" s="91"/>
      <c r="M888" s="91"/>
      <c r="N888" s="91"/>
    </row>
    <row r="889" spans="1:20" s="1" customFormat="1" ht="13.35" customHeight="1" x14ac:dyDescent="0.25">
      <c r="A889" s="88" t="s">
        <v>34</v>
      </c>
      <c r="B889" s="88"/>
      <c r="C889" s="88"/>
      <c r="D889" s="88"/>
      <c r="E889" s="89">
        <f>0.07*180/200</f>
        <v>6.3E-2</v>
      </c>
      <c r="F889" s="89"/>
      <c r="G889" s="17"/>
      <c r="H889" s="6" t="s">
        <v>35</v>
      </c>
      <c r="I889" s="89">
        <v>0</v>
      </c>
      <c r="J889" s="89"/>
      <c r="K889" s="17"/>
      <c r="L889" s="88" t="s">
        <v>36</v>
      </c>
      <c r="M889" s="88"/>
      <c r="N889" s="89">
        <v>11.95</v>
      </c>
      <c r="O889" s="89"/>
    </row>
    <row r="890" spans="1:20" s="1" customFormat="1" ht="13.35" customHeight="1" x14ac:dyDescent="0.25">
      <c r="A890" s="88" t="s">
        <v>37</v>
      </c>
      <c r="B890" s="88"/>
      <c r="C890" s="88"/>
      <c r="D890" s="88"/>
      <c r="E890" s="89">
        <f>0.02*180/200</f>
        <v>1.8000000000000002E-2</v>
      </c>
      <c r="F890" s="89"/>
      <c r="G890" s="17"/>
      <c r="H890" s="6" t="s">
        <v>38</v>
      </c>
      <c r="I890" s="89">
        <v>0.04</v>
      </c>
      <c r="J890" s="89"/>
      <c r="K890" s="17"/>
      <c r="L890" s="88" t="s">
        <v>39</v>
      </c>
      <c r="M890" s="88"/>
      <c r="N890" s="89">
        <v>5.3</v>
      </c>
      <c r="O890" s="89"/>
    </row>
    <row r="891" spans="1:20" s="1" customFormat="1" ht="13.35" customHeight="1" x14ac:dyDescent="0.25">
      <c r="A891" s="88" t="s">
        <v>40</v>
      </c>
      <c r="B891" s="88"/>
      <c r="C891" s="88"/>
      <c r="D891" s="88"/>
      <c r="E891" s="89">
        <f>15*180/200</f>
        <v>13.5</v>
      </c>
      <c r="F891" s="89"/>
      <c r="G891" s="17"/>
      <c r="H891" s="6" t="s">
        <v>41</v>
      </c>
      <c r="I891" s="89">
        <v>0</v>
      </c>
      <c r="J891" s="89"/>
      <c r="K891" s="17"/>
      <c r="L891" s="88" t="s">
        <v>42</v>
      </c>
      <c r="M891" s="88"/>
      <c r="N891" s="89">
        <v>6.68</v>
      </c>
      <c r="O891" s="89"/>
    </row>
    <row r="892" spans="1:20" s="1" customFormat="1" ht="13.35" customHeight="1" x14ac:dyDescent="0.25">
      <c r="A892" s="88" t="s">
        <v>43</v>
      </c>
      <c r="B892" s="88"/>
      <c r="C892" s="88"/>
      <c r="D892" s="88"/>
      <c r="E892" s="89">
        <f>60*180/200</f>
        <v>54</v>
      </c>
      <c r="F892" s="89"/>
      <c r="G892" s="17"/>
      <c r="H892" s="6" t="s">
        <v>44</v>
      </c>
      <c r="I892" s="89">
        <v>0</v>
      </c>
      <c r="J892" s="89"/>
      <c r="K892" s="17"/>
      <c r="L892" s="88" t="s">
        <v>45</v>
      </c>
      <c r="M892" s="88"/>
      <c r="N892" s="89">
        <v>0.67</v>
      </c>
      <c r="O892" s="89"/>
    </row>
    <row r="893" spans="1:20" s="1" customFormat="1" ht="13.35" customHeight="1" x14ac:dyDescent="0.25">
      <c r="A893" s="87"/>
      <c r="B893" s="87"/>
      <c r="C893" s="87"/>
      <c r="D893" s="87"/>
      <c r="E893" s="87"/>
      <c r="F893" s="87"/>
      <c r="G893" s="17"/>
      <c r="H893" s="6" t="s">
        <v>46</v>
      </c>
      <c r="I893" s="89">
        <v>0</v>
      </c>
      <c r="J893" s="89"/>
      <c r="K893" s="17"/>
      <c r="L893" s="88" t="s">
        <v>47</v>
      </c>
      <c r="M893" s="88"/>
      <c r="N893" s="89">
        <v>23.14</v>
      </c>
      <c r="O893" s="89"/>
    </row>
    <row r="894" spans="1:20" s="1" customFormat="1" ht="13.35" customHeight="1" x14ac:dyDescent="0.25">
      <c r="A894" s="87"/>
      <c r="B894" s="87"/>
      <c r="C894" s="87"/>
      <c r="D894" s="87"/>
      <c r="E894" s="87"/>
      <c r="F894" s="87"/>
      <c r="G894" s="17"/>
      <c r="H894" s="6" t="s">
        <v>48</v>
      </c>
      <c r="I894" s="89">
        <v>0.01</v>
      </c>
      <c r="J894" s="89"/>
      <c r="K894" s="17"/>
      <c r="L894" s="88" t="s">
        <v>49</v>
      </c>
      <c r="M894" s="88"/>
      <c r="N894" s="89">
        <v>0</v>
      </c>
      <c r="O894" s="89"/>
    </row>
    <row r="895" spans="1:20" s="1" customFormat="1" ht="13.35" customHeight="1" x14ac:dyDescent="0.25">
      <c r="A895" s="87"/>
      <c r="B895" s="87"/>
      <c r="C895" s="87"/>
      <c r="D895" s="87"/>
      <c r="E895" s="87"/>
      <c r="F895" s="87"/>
      <c r="G895" s="17"/>
      <c r="H895" s="17"/>
      <c r="I895" s="87"/>
      <c r="J895" s="87"/>
      <c r="K895" s="17"/>
      <c r="L895" s="88" t="s">
        <v>50</v>
      </c>
      <c r="M895" s="88"/>
      <c r="N895" s="89">
        <v>0</v>
      </c>
      <c r="O895" s="89"/>
    </row>
    <row r="896" spans="1:20" s="1" customFormat="1" ht="13.35" customHeight="1" x14ac:dyDescent="0.25">
      <c r="A896" s="87"/>
      <c r="B896" s="87"/>
      <c r="C896" s="87"/>
      <c r="D896" s="87"/>
      <c r="E896" s="87"/>
      <c r="F896" s="87"/>
      <c r="G896" s="17"/>
      <c r="H896" s="17"/>
      <c r="I896" s="87"/>
      <c r="J896" s="87"/>
      <c r="K896" s="17"/>
      <c r="L896" s="88" t="s">
        <v>51</v>
      </c>
      <c r="M896" s="88"/>
      <c r="N896" s="89">
        <v>0</v>
      </c>
      <c r="O896" s="89"/>
    </row>
    <row r="897" spans="1:20" s="1" customFormat="1" ht="14.1" customHeight="1" x14ac:dyDescent="0.25">
      <c r="A897" s="86"/>
      <c r="B897" s="86"/>
      <c r="C897" s="86"/>
      <c r="D897" s="86"/>
      <c r="E897" s="86"/>
      <c r="F897" s="86"/>
      <c r="G897" s="86"/>
      <c r="H897" s="86"/>
      <c r="I897" s="86"/>
      <c r="J897" s="86"/>
      <c r="K897" s="86"/>
      <c r="L897" s="86"/>
      <c r="M897" s="86"/>
      <c r="N897" s="86"/>
      <c r="O897" s="86"/>
      <c r="P897" s="86"/>
      <c r="Q897" s="86"/>
      <c r="R897" s="86"/>
      <c r="S897" s="86"/>
    </row>
    <row r="898" spans="1:20" s="1" customFormat="1" ht="14.1" customHeight="1" x14ac:dyDescent="0.25">
      <c r="A898" s="84" t="s">
        <v>52</v>
      </c>
      <c r="B898" s="84"/>
      <c r="C898" s="84"/>
      <c r="D898" s="84"/>
      <c r="E898" s="84"/>
      <c r="F898" s="84"/>
      <c r="G898" s="84"/>
      <c r="H898" s="84"/>
      <c r="I898" s="84"/>
      <c r="J898" s="84"/>
      <c r="K898" s="84"/>
      <c r="L898" s="84"/>
      <c r="M898" s="84"/>
      <c r="N898" s="84"/>
      <c r="O898" s="84"/>
      <c r="P898" s="84"/>
      <c r="Q898" s="84"/>
      <c r="R898" s="84"/>
      <c r="S898" s="84"/>
    </row>
    <row r="899" spans="1:20" s="1" customFormat="1" ht="58.5" customHeight="1" x14ac:dyDescent="0.25">
      <c r="A899" s="85" t="s">
        <v>662</v>
      </c>
      <c r="B899" s="85"/>
      <c r="C899" s="85"/>
      <c r="D899" s="85"/>
      <c r="E899" s="85"/>
      <c r="F899" s="85"/>
      <c r="G899" s="85"/>
      <c r="H899" s="85"/>
      <c r="I899" s="85"/>
      <c r="J899" s="85"/>
      <c r="K899" s="85"/>
      <c r="L899" s="85"/>
      <c r="M899" s="85"/>
      <c r="N899" s="85"/>
      <c r="O899" s="85"/>
      <c r="P899" s="85"/>
      <c r="Q899" s="85"/>
      <c r="R899" s="85"/>
      <c r="S899" s="85"/>
    </row>
    <row r="900" spans="1:20" s="1" customFormat="1" ht="14.1" customHeight="1" x14ac:dyDescent="0.25">
      <c r="A900" s="84" t="s">
        <v>54</v>
      </c>
      <c r="B900" s="84"/>
      <c r="C900" s="84"/>
      <c r="D900" s="84"/>
      <c r="E900" s="84"/>
      <c r="F900" s="84"/>
      <c r="G900" s="84"/>
      <c r="H900" s="84"/>
      <c r="I900" s="84"/>
      <c r="J900" s="84"/>
      <c r="K900" s="84"/>
      <c r="L900" s="84"/>
      <c r="M900" s="84"/>
      <c r="N900" s="84"/>
      <c r="O900" s="84"/>
      <c r="P900" s="84"/>
      <c r="Q900" s="84"/>
      <c r="R900" s="84"/>
      <c r="S900" s="84"/>
    </row>
    <row r="901" spans="1:20" s="1" customFormat="1" ht="12.15" customHeight="1" x14ac:dyDescent="0.25">
      <c r="A901" s="85" t="s">
        <v>656</v>
      </c>
      <c r="B901" s="85"/>
      <c r="C901" s="85"/>
      <c r="D901" s="85"/>
      <c r="E901" s="85"/>
      <c r="F901" s="85"/>
      <c r="G901" s="85"/>
      <c r="H901" s="85"/>
      <c r="I901" s="85"/>
      <c r="J901" s="85"/>
      <c r="K901" s="85"/>
      <c r="L901" s="85"/>
      <c r="M901" s="85"/>
      <c r="N901" s="85"/>
      <c r="O901" s="85"/>
      <c r="P901" s="85"/>
      <c r="Q901" s="85"/>
      <c r="R901" s="85"/>
      <c r="S901" s="85"/>
    </row>
    <row r="902" spans="1:20" s="1" customFormat="1" ht="14.1" customHeight="1" x14ac:dyDescent="0.25">
      <c r="A902" s="86"/>
      <c r="B902" s="86"/>
      <c r="C902" s="86"/>
      <c r="D902" s="86"/>
      <c r="E902" s="86"/>
      <c r="F902" s="86"/>
      <c r="G902" s="86"/>
      <c r="H902" s="86"/>
      <c r="I902" s="86"/>
      <c r="J902" s="86"/>
      <c r="K902" s="86"/>
      <c r="L902" s="86"/>
      <c r="M902" s="86"/>
      <c r="N902" s="86"/>
      <c r="O902" s="86"/>
      <c r="P902" s="86"/>
      <c r="Q902" s="86"/>
      <c r="R902" s="86"/>
      <c r="S902" s="86"/>
    </row>
    <row r="903" spans="1:20" s="1" customFormat="1" ht="14.1" customHeight="1" x14ac:dyDescent="0.25">
      <c r="A903" s="84" t="s">
        <v>56</v>
      </c>
      <c r="B903" s="84"/>
      <c r="C903" s="84"/>
      <c r="D903" s="84"/>
      <c r="E903" s="84"/>
      <c r="F903" s="84"/>
      <c r="G903" s="84"/>
      <c r="H903" s="84"/>
      <c r="I903" s="84"/>
      <c r="J903" s="84"/>
      <c r="K903" s="84"/>
      <c r="L903" s="84"/>
      <c r="M903" s="84"/>
      <c r="N903" s="84"/>
      <c r="O903" s="84"/>
      <c r="P903" s="84"/>
      <c r="Q903" s="84"/>
      <c r="R903" s="84"/>
      <c r="S903" s="84"/>
    </row>
    <row r="904" spans="1:20" s="1" customFormat="1" ht="49.2" customHeight="1" x14ac:dyDescent="0.25">
      <c r="A904" s="85" t="s">
        <v>663</v>
      </c>
      <c r="B904" s="85"/>
      <c r="C904" s="85"/>
      <c r="D904" s="85"/>
      <c r="E904" s="85"/>
      <c r="F904" s="85"/>
      <c r="G904" s="85"/>
      <c r="H904" s="85"/>
      <c r="I904" s="85"/>
      <c r="J904" s="85"/>
      <c r="K904" s="85"/>
      <c r="L904" s="85"/>
      <c r="M904" s="85"/>
      <c r="N904" s="85"/>
      <c r="O904" s="85"/>
      <c r="P904" s="85"/>
      <c r="Q904" s="85"/>
      <c r="R904" s="85"/>
      <c r="S904" s="85"/>
    </row>
    <row r="906" spans="1:20" ht="61.05" customHeight="1" x14ac:dyDescent="0.2">
      <c r="J906" s="100" t="s">
        <v>0</v>
      </c>
      <c r="K906" s="100"/>
      <c r="L906" s="100"/>
      <c r="M906" s="100"/>
      <c r="N906" s="100"/>
      <c r="O906" s="100"/>
      <c r="P906" s="100"/>
      <c r="Q906" s="100"/>
      <c r="R906" s="100"/>
      <c r="S906" s="100"/>
      <c r="T906" s="100"/>
    </row>
    <row r="907" spans="1:20" ht="7.05" customHeight="1" x14ac:dyDescent="0.2"/>
    <row r="908" spans="1:20" ht="14.1" customHeight="1" x14ac:dyDescent="0.2">
      <c r="B908" s="105" t="s">
        <v>942</v>
      </c>
      <c r="C908" s="105"/>
      <c r="D908" s="105"/>
      <c r="E908" s="105"/>
      <c r="F908" s="105"/>
      <c r="G908" s="105"/>
      <c r="H908" s="105"/>
      <c r="I908" s="105"/>
      <c r="J908" s="105"/>
      <c r="K908" s="105"/>
      <c r="L908" s="105"/>
      <c r="M908" s="105"/>
      <c r="N908" s="105"/>
      <c r="O908" s="105"/>
      <c r="P908" s="105"/>
      <c r="Q908" s="105"/>
      <c r="R908" s="105"/>
    </row>
    <row r="909" spans="1:20" ht="14.1" customHeight="1" x14ac:dyDescent="0.2"/>
    <row r="910" spans="1:20" ht="14.1" customHeight="1" x14ac:dyDescent="0.2">
      <c r="A910" s="106" t="s">
        <v>2</v>
      </c>
      <c r="B910" s="106"/>
      <c r="C910" s="106"/>
      <c r="D910" s="107" t="s">
        <v>943</v>
      </c>
      <c r="E910" s="107"/>
      <c r="F910" s="107"/>
      <c r="G910" s="107"/>
      <c r="H910" s="107"/>
      <c r="I910" s="107"/>
      <c r="J910" s="107"/>
      <c r="K910" s="107"/>
      <c r="L910" s="107"/>
      <c r="M910" s="107"/>
      <c r="N910" s="107"/>
      <c r="O910" s="107"/>
      <c r="P910" s="107"/>
      <c r="Q910" s="107"/>
      <c r="R910" s="107"/>
      <c r="S910" s="107"/>
      <c r="T910" s="107"/>
    </row>
    <row r="911" spans="1:20" ht="14.1" customHeight="1" x14ac:dyDescent="0.2">
      <c r="A911" s="106" t="s">
        <v>4</v>
      </c>
      <c r="B911" s="106"/>
      <c r="C911" s="107" t="s">
        <v>944</v>
      </c>
      <c r="D911" s="107"/>
      <c r="E911" s="107"/>
      <c r="F911" s="107"/>
      <c r="G911" s="107"/>
      <c r="H911" s="107"/>
      <c r="I911" s="107"/>
      <c r="J911" s="107"/>
      <c r="K911" s="107"/>
      <c r="L911" s="107"/>
      <c r="M911" s="107"/>
      <c r="N911" s="107"/>
      <c r="O911" s="107"/>
      <c r="P911" s="107"/>
      <c r="Q911" s="107"/>
      <c r="R911" s="107"/>
      <c r="S911" s="107"/>
      <c r="T911" s="107"/>
    </row>
    <row r="912" spans="1:20" ht="14.1" customHeight="1" x14ac:dyDescent="0.2">
      <c r="A912" s="106" t="s">
        <v>6</v>
      </c>
      <c r="B912" s="106"/>
      <c r="C912" s="106"/>
      <c r="D912" s="106"/>
      <c r="E912" s="106"/>
      <c r="F912" s="107" t="s">
        <v>248</v>
      </c>
      <c r="G912" s="107"/>
      <c r="H912" s="107"/>
      <c r="I912" s="107"/>
      <c r="J912" s="107"/>
      <c r="K912" s="107"/>
      <c r="L912" s="107"/>
      <c r="M912" s="107"/>
      <c r="N912" s="107"/>
      <c r="O912" s="107"/>
      <c r="P912" s="107"/>
      <c r="Q912" s="107"/>
      <c r="R912" s="107"/>
      <c r="S912" s="107"/>
      <c r="T912" s="107"/>
    </row>
    <row r="913" spans="1:20" ht="22.35" customHeight="1" x14ac:dyDescent="0.2">
      <c r="F913" s="107"/>
      <c r="G913" s="107"/>
      <c r="H913" s="107"/>
      <c r="I913" s="107"/>
      <c r="J913" s="107"/>
      <c r="K913" s="107"/>
      <c r="L913" s="107"/>
      <c r="M913" s="107"/>
      <c r="N913" s="107"/>
      <c r="O913" s="107"/>
      <c r="P913" s="107"/>
      <c r="Q913" s="107"/>
      <c r="R913" s="107"/>
      <c r="S913" s="107"/>
      <c r="T913" s="107"/>
    </row>
    <row r="914" spans="1:20" ht="7.05" customHeight="1" x14ac:dyDescent="0.2">
      <c r="A914" s="106"/>
      <c r="B914" s="106"/>
      <c r="C914" s="106"/>
      <c r="D914" s="106"/>
      <c r="E914" s="106"/>
      <c r="F914" s="106"/>
      <c r="G914" s="106"/>
      <c r="H914" s="106"/>
      <c r="I914" s="106"/>
      <c r="J914" s="106"/>
      <c r="K914" s="106"/>
      <c r="L914" s="106"/>
      <c r="M914" s="106"/>
      <c r="N914" s="106"/>
      <c r="O914" s="106"/>
      <c r="P914" s="106"/>
      <c r="Q914" s="66"/>
      <c r="R914" s="106"/>
      <c r="S914" s="106"/>
      <c r="T914" s="106"/>
    </row>
    <row r="915" spans="1:20" ht="16.95" customHeight="1" x14ac:dyDescent="0.2">
      <c r="A915" s="108" t="s">
        <v>8</v>
      </c>
      <c r="B915" s="108"/>
      <c r="C915" s="108"/>
      <c r="D915" s="108"/>
      <c r="E915" s="108"/>
      <c r="F915" s="108"/>
      <c r="G915" s="108"/>
      <c r="H915" s="108"/>
      <c r="I915" s="108"/>
      <c r="J915" s="108"/>
      <c r="K915" s="108"/>
      <c r="L915" s="108"/>
      <c r="M915" s="108" t="s">
        <v>9</v>
      </c>
      <c r="N915" s="108"/>
      <c r="O915" s="108"/>
      <c r="P915" s="108"/>
      <c r="Q915" s="108"/>
      <c r="R915" s="108"/>
      <c r="S915" s="108"/>
      <c r="T915" s="108"/>
    </row>
    <row r="916" spans="1:20" ht="16.95" customHeight="1" x14ac:dyDescent="0.2">
      <c r="A916" s="108"/>
      <c r="B916" s="108"/>
      <c r="C916" s="108"/>
      <c r="D916" s="108"/>
      <c r="E916" s="108"/>
      <c r="F916" s="108"/>
      <c r="G916" s="108"/>
      <c r="H916" s="108"/>
      <c r="I916" s="108"/>
      <c r="J916" s="108"/>
      <c r="K916" s="108"/>
      <c r="L916" s="108"/>
      <c r="M916" s="108" t="s">
        <v>10</v>
      </c>
      <c r="N916" s="108"/>
      <c r="O916" s="108"/>
      <c r="P916" s="108"/>
      <c r="Q916" s="108" t="s">
        <v>11</v>
      </c>
      <c r="R916" s="108"/>
      <c r="S916" s="108"/>
      <c r="T916" s="108"/>
    </row>
    <row r="917" spans="1:20" ht="16.95" customHeight="1" x14ac:dyDescent="0.2">
      <c r="A917" s="108"/>
      <c r="B917" s="108"/>
      <c r="C917" s="108"/>
      <c r="D917" s="108"/>
      <c r="E917" s="108"/>
      <c r="F917" s="108"/>
      <c r="G917" s="108"/>
      <c r="H917" s="108"/>
      <c r="I917" s="108"/>
      <c r="J917" s="108"/>
      <c r="K917" s="108"/>
      <c r="L917" s="108"/>
      <c r="M917" s="108" t="s">
        <v>12</v>
      </c>
      <c r="N917" s="108"/>
      <c r="O917" s="108" t="s">
        <v>13</v>
      </c>
      <c r="P917" s="108"/>
      <c r="Q917" s="69" t="s">
        <v>14</v>
      </c>
      <c r="R917" s="108" t="s">
        <v>15</v>
      </c>
      <c r="S917" s="108"/>
      <c r="T917" s="108"/>
    </row>
    <row r="918" spans="1:20" ht="13.35" customHeight="1" x14ac:dyDescent="0.2">
      <c r="A918" s="109" t="s">
        <v>539</v>
      </c>
      <c r="B918" s="109"/>
      <c r="C918" s="109"/>
      <c r="D918" s="109"/>
      <c r="E918" s="109"/>
      <c r="F918" s="109"/>
      <c r="G918" s="109"/>
      <c r="H918" s="109"/>
      <c r="I918" s="109"/>
      <c r="J918" s="109"/>
      <c r="K918" s="109"/>
      <c r="L918" s="109"/>
      <c r="M918" s="109" t="s">
        <v>945</v>
      </c>
      <c r="N918" s="109"/>
      <c r="O918" s="109" t="s">
        <v>945</v>
      </c>
      <c r="P918" s="109"/>
      <c r="Q918" s="68" t="s">
        <v>124</v>
      </c>
      <c r="R918" s="109" t="s">
        <v>124</v>
      </c>
      <c r="S918" s="109"/>
      <c r="T918" s="109"/>
    </row>
    <row r="919" spans="1:20" ht="13.35" customHeight="1" x14ac:dyDescent="0.2">
      <c r="A919" s="109" t="s">
        <v>109</v>
      </c>
      <c r="B919" s="109"/>
      <c r="C919" s="109"/>
      <c r="D919" s="109"/>
      <c r="E919" s="109"/>
      <c r="F919" s="109"/>
      <c r="G919" s="109"/>
      <c r="H919" s="109"/>
      <c r="I919" s="109"/>
      <c r="J919" s="109"/>
      <c r="K919" s="109"/>
      <c r="L919" s="109"/>
      <c r="M919" s="109" t="s">
        <v>162</v>
      </c>
      <c r="N919" s="109"/>
      <c r="O919" s="109" t="s">
        <v>162</v>
      </c>
      <c r="P919" s="109"/>
      <c r="Q919" s="68" t="s">
        <v>128</v>
      </c>
      <c r="R919" s="109" t="s">
        <v>128</v>
      </c>
      <c r="S919" s="109"/>
      <c r="T919" s="109"/>
    </row>
    <row r="920" spans="1:20" ht="13.35" customHeight="1" x14ac:dyDescent="0.2">
      <c r="A920" s="109" t="s">
        <v>336</v>
      </c>
      <c r="B920" s="109"/>
      <c r="C920" s="109"/>
      <c r="D920" s="109"/>
      <c r="E920" s="109"/>
      <c r="F920" s="109"/>
      <c r="G920" s="109"/>
      <c r="H920" s="109"/>
      <c r="I920" s="109"/>
      <c r="J920" s="109"/>
      <c r="K920" s="109"/>
      <c r="L920" s="109"/>
      <c r="M920" s="109" t="s">
        <v>101</v>
      </c>
      <c r="N920" s="109"/>
      <c r="O920" s="109" t="s">
        <v>101</v>
      </c>
      <c r="P920" s="109"/>
      <c r="Q920" s="68" t="s">
        <v>103</v>
      </c>
      <c r="R920" s="109" t="s">
        <v>103</v>
      </c>
      <c r="S920" s="109"/>
      <c r="T920" s="109"/>
    </row>
    <row r="921" spans="1:20" ht="13.35" customHeight="1" x14ac:dyDescent="0.2">
      <c r="A921" s="109" t="s">
        <v>114</v>
      </c>
      <c r="B921" s="109"/>
      <c r="C921" s="109"/>
      <c r="D921" s="109"/>
      <c r="E921" s="109"/>
      <c r="F921" s="109"/>
      <c r="G921" s="109"/>
      <c r="H921" s="109"/>
      <c r="I921" s="109"/>
      <c r="J921" s="109"/>
      <c r="K921" s="109"/>
      <c r="L921" s="109"/>
      <c r="M921" s="109" t="s">
        <v>660</v>
      </c>
      <c r="N921" s="109"/>
      <c r="O921" s="109" t="s">
        <v>660</v>
      </c>
      <c r="P921" s="109"/>
      <c r="Q921" s="68" t="s">
        <v>661</v>
      </c>
      <c r="R921" s="109" t="s">
        <v>661</v>
      </c>
      <c r="S921" s="109"/>
      <c r="T921" s="109"/>
    </row>
    <row r="922" spans="1:20" ht="14.1" customHeight="1" x14ac:dyDescent="0.2">
      <c r="A922" s="110" t="s">
        <v>116</v>
      </c>
      <c r="B922" s="110"/>
      <c r="C922" s="110"/>
      <c r="D922" s="110"/>
      <c r="E922" s="110"/>
      <c r="F922" s="110"/>
      <c r="G922" s="110"/>
      <c r="H922" s="110"/>
      <c r="I922" s="110"/>
      <c r="J922" s="110"/>
      <c r="K922" s="110"/>
      <c r="L922" s="110"/>
      <c r="M922" s="110"/>
      <c r="N922" s="110"/>
      <c r="O922" s="110"/>
      <c r="P922" s="110"/>
      <c r="Q922" s="110"/>
      <c r="R922" s="110"/>
      <c r="S922" s="110"/>
      <c r="T922" s="110"/>
    </row>
    <row r="923" spans="1:20" ht="14.1" customHeight="1" x14ac:dyDescent="0.2"/>
    <row r="924" spans="1:20" ht="14.1" customHeight="1" x14ac:dyDescent="0.2">
      <c r="A924" s="111" t="s">
        <v>33</v>
      </c>
      <c r="B924" s="111"/>
      <c r="C924" s="111"/>
      <c r="D924" s="111"/>
      <c r="E924" s="111"/>
      <c r="F924" s="111"/>
      <c r="G924" s="111"/>
      <c r="H924" s="111"/>
      <c r="I924" s="111"/>
      <c r="J924" s="111"/>
      <c r="K924" s="111"/>
      <c r="L924" s="111"/>
      <c r="M924" s="111"/>
      <c r="N924" s="111"/>
    </row>
    <row r="925" spans="1:20" ht="13.35" customHeight="1" x14ac:dyDescent="0.2">
      <c r="A925" s="109" t="s">
        <v>34</v>
      </c>
      <c r="B925" s="109"/>
      <c r="C925" s="109"/>
      <c r="D925" s="109"/>
      <c r="E925" s="112">
        <v>0.4</v>
      </c>
      <c r="F925" s="112"/>
      <c r="G925" s="67"/>
      <c r="H925" s="68" t="s">
        <v>35</v>
      </c>
      <c r="I925" s="112">
        <v>0.01</v>
      </c>
      <c r="J925" s="112"/>
      <c r="K925" s="67"/>
      <c r="L925" s="109" t="s">
        <v>36</v>
      </c>
      <c r="M925" s="109"/>
      <c r="N925" s="112">
        <v>14.69</v>
      </c>
      <c r="O925" s="112"/>
    </row>
    <row r="926" spans="1:20" ht="13.35" customHeight="1" x14ac:dyDescent="0.2">
      <c r="A926" s="109" t="s">
        <v>37</v>
      </c>
      <c r="B926" s="109"/>
      <c r="C926" s="109"/>
      <c r="D926" s="109"/>
      <c r="E926" s="112">
        <v>0.08</v>
      </c>
      <c r="F926" s="112"/>
      <c r="G926" s="67"/>
      <c r="H926" s="68" t="s">
        <v>38</v>
      </c>
      <c r="I926" s="112">
        <v>0.64</v>
      </c>
      <c r="J926" s="112"/>
      <c r="K926" s="67"/>
      <c r="L926" s="109" t="s">
        <v>39</v>
      </c>
      <c r="M926" s="109"/>
      <c r="N926" s="112">
        <v>4.2699999999999996</v>
      </c>
      <c r="O926" s="112"/>
    </row>
    <row r="927" spans="1:20" ht="13.35" customHeight="1" x14ac:dyDescent="0.2">
      <c r="A927" s="109" t="s">
        <v>40</v>
      </c>
      <c r="B927" s="109"/>
      <c r="C927" s="109"/>
      <c r="D927" s="109"/>
      <c r="E927" s="112">
        <v>27.05</v>
      </c>
      <c r="F927" s="112"/>
      <c r="G927" s="67"/>
      <c r="H927" s="68" t="s">
        <v>41</v>
      </c>
      <c r="I927" s="112">
        <v>0</v>
      </c>
      <c r="J927" s="112"/>
      <c r="K927" s="67"/>
      <c r="L927" s="109" t="s">
        <v>42</v>
      </c>
      <c r="M927" s="109"/>
      <c r="N927" s="112">
        <v>11.97</v>
      </c>
      <c r="O927" s="112"/>
    </row>
    <row r="928" spans="1:20" ht="13.35" customHeight="1" x14ac:dyDescent="0.2">
      <c r="A928" s="109" t="s">
        <v>43</v>
      </c>
      <c r="B928" s="109"/>
      <c r="C928" s="109"/>
      <c r="D928" s="109"/>
      <c r="E928" s="112">
        <v>110.17</v>
      </c>
      <c r="F928" s="112"/>
      <c r="G928" s="67"/>
      <c r="H928" s="68" t="s">
        <v>44</v>
      </c>
      <c r="I928" s="112">
        <v>0</v>
      </c>
      <c r="J928" s="112"/>
      <c r="K928" s="67"/>
      <c r="L928" s="109" t="s">
        <v>45</v>
      </c>
      <c r="M928" s="109"/>
      <c r="N928" s="112">
        <v>1.01</v>
      </c>
      <c r="O928" s="112"/>
    </row>
    <row r="929" spans="1:19" ht="13.35" customHeight="1" x14ac:dyDescent="0.2">
      <c r="A929" s="113"/>
      <c r="B929" s="113"/>
      <c r="C929" s="113"/>
      <c r="D929" s="113"/>
      <c r="E929" s="113"/>
      <c r="F929" s="113"/>
      <c r="G929" s="67"/>
      <c r="H929" s="68" t="s">
        <v>46</v>
      </c>
      <c r="I929" s="112">
        <v>0</v>
      </c>
      <c r="J929" s="112"/>
      <c r="K929" s="67"/>
      <c r="L929" s="109" t="s">
        <v>47</v>
      </c>
      <c r="M929" s="109"/>
      <c r="N929" s="112">
        <v>98.29</v>
      </c>
      <c r="O929" s="112"/>
    </row>
    <row r="930" spans="1:19" ht="13.35" customHeight="1" x14ac:dyDescent="0.2">
      <c r="A930" s="113"/>
      <c r="B930" s="113"/>
      <c r="C930" s="113"/>
      <c r="D930" s="113"/>
      <c r="E930" s="113"/>
      <c r="F930" s="113"/>
      <c r="G930" s="67"/>
      <c r="H930" s="68" t="s">
        <v>48</v>
      </c>
      <c r="I930" s="112">
        <v>0.01</v>
      </c>
      <c r="J930" s="112"/>
      <c r="K930" s="67"/>
      <c r="L930" s="109" t="s">
        <v>49</v>
      </c>
      <c r="M930" s="109"/>
      <c r="N930" s="112">
        <v>0.8</v>
      </c>
      <c r="O930" s="112"/>
    </row>
    <row r="931" spans="1:19" ht="13.35" customHeight="1" x14ac:dyDescent="0.2">
      <c r="A931" s="113"/>
      <c r="B931" s="113"/>
      <c r="C931" s="113"/>
      <c r="D931" s="113"/>
      <c r="E931" s="113"/>
      <c r="F931" s="113"/>
      <c r="G931" s="67"/>
      <c r="H931" s="67"/>
      <c r="I931" s="113"/>
      <c r="J931" s="113"/>
      <c r="K931" s="67"/>
      <c r="L931" s="109" t="s">
        <v>50</v>
      </c>
      <c r="M931" s="109"/>
      <c r="N931" s="112">
        <v>0</v>
      </c>
      <c r="O931" s="112"/>
    </row>
    <row r="932" spans="1:19" ht="13.35" customHeight="1" x14ac:dyDescent="0.2">
      <c r="A932" s="113"/>
      <c r="B932" s="113"/>
      <c r="C932" s="113"/>
      <c r="D932" s="113"/>
      <c r="E932" s="113"/>
      <c r="F932" s="113"/>
      <c r="G932" s="67"/>
      <c r="H932" s="67"/>
      <c r="I932" s="113"/>
      <c r="J932" s="113"/>
      <c r="K932" s="67"/>
      <c r="L932" s="109" t="s">
        <v>51</v>
      </c>
      <c r="M932" s="109"/>
      <c r="N932" s="112">
        <v>0</v>
      </c>
      <c r="O932" s="112"/>
    </row>
    <row r="933" spans="1:19" ht="14.1" customHeight="1" x14ac:dyDescent="0.2">
      <c r="A933" s="106"/>
      <c r="B933" s="106"/>
      <c r="C933" s="106"/>
      <c r="D933" s="106"/>
      <c r="E933" s="106"/>
      <c r="F933" s="106"/>
      <c r="G933" s="106"/>
      <c r="H933" s="106"/>
      <c r="I933" s="106"/>
      <c r="J933" s="106"/>
      <c r="K933" s="106"/>
      <c r="L933" s="106"/>
      <c r="M933" s="106"/>
      <c r="N933" s="106"/>
      <c r="O933" s="106"/>
      <c r="P933" s="106"/>
      <c r="Q933" s="106"/>
      <c r="R933" s="106"/>
      <c r="S933" s="106"/>
    </row>
    <row r="934" spans="1:19" ht="14.1" customHeight="1" x14ac:dyDescent="0.2">
      <c r="A934" s="111" t="s">
        <v>52</v>
      </c>
      <c r="B934" s="111"/>
      <c r="C934" s="111"/>
      <c r="D934" s="111"/>
      <c r="E934" s="111"/>
      <c r="F934" s="111"/>
      <c r="G934" s="111"/>
      <c r="H934" s="111"/>
      <c r="I934" s="111"/>
      <c r="J934" s="111"/>
      <c r="K934" s="111"/>
      <c r="L934" s="111"/>
      <c r="M934" s="111"/>
      <c r="N934" s="111"/>
      <c r="O934" s="111"/>
      <c r="P934" s="111"/>
      <c r="Q934" s="111"/>
      <c r="R934" s="111"/>
      <c r="S934" s="111"/>
    </row>
    <row r="935" spans="1:19" ht="40.049999999999997" customHeight="1" x14ac:dyDescent="0.2">
      <c r="A935" s="114" t="s">
        <v>946</v>
      </c>
      <c r="B935" s="114"/>
      <c r="C935" s="114"/>
      <c r="D935" s="114"/>
      <c r="E935" s="114"/>
      <c r="F935" s="114"/>
      <c r="G935" s="114"/>
      <c r="H935" s="114"/>
      <c r="I935" s="114"/>
      <c r="J935" s="114"/>
      <c r="K935" s="114"/>
      <c r="L935" s="114"/>
      <c r="M935" s="114"/>
      <c r="N935" s="114"/>
      <c r="O935" s="114"/>
      <c r="P935" s="114"/>
      <c r="Q935" s="114"/>
      <c r="R935" s="114"/>
      <c r="S935" s="114"/>
    </row>
    <row r="936" spans="1:19" ht="14.1" customHeight="1" x14ac:dyDescent="0.2">
      <c r="A936" s="106"/>
      <c r="B936" s="106"/>
      <c r="C936" s="106"/>
      <c r="D936" s="106"/>
      <c r="E936" s="106"/>
      <c r="F936" s="106"/>
      <c r="G936" s="106"/>
      <c r="H936" s="106"/>
      <c r="I936" s="106"/>
      <c r="J936" s="106"/>
      <c r="K936" s="106"/>
      <c r="L936" s="106"/>
      <c r="M936" s="106"/>
      <c r="N936" s="106"/>
      <c r="O936" s="106"/>
      <c r="P936" s="106"/>
      <c r="Q936" s="106"/>
      <c r="R936" s="106"/>
      <c r="S936" s="106"/>
    </row>
    <row r="937" spans="1:19" ht="14.1" customHeight="1" x14ac:dyDescent="0.2">
      <c r="A937" s="111" t="s">
        <v>54</v>
      </c>
      <c r="B937" s="111"/>
      <c r="C937" s="111"/>
      <c r="D937" s="111"/>
      <c r="E937" s="111"/>
      <c r="F937" s="111"/>
      <c r="G937" s="111"/>
      <c r="H937" s="111"/>
      <c r="I937" s="111"/>
      <c r="J937" s="111"/>
      <c r="K937" s="111"/>
      <c r="L937" s="111"/>
      <c r="M937" s="111"/>
      <c r="N937" s="111"/>
      <c r="O937" s="111"/>
      <c r="P937" s="111"/>
      <c r="Q937" s="111"/>
      <c r="R937" s="111"/>
      <c r="S937" s="111"/>
    </row>
    <row r="938" spans="1:19" ht="12.15" customHeight="1" x14ac:dyDescent="0.2">
      <c r="A938" s="114" t="s">
        <v>947</v>
      </c>
      <c r="B938" s="114"/>
      <c r="C938" s="114"/>
      <c r="D938" s="114"/>
      <c r="E938" s="114"/>
      <c r="F938" s="114"/>
      <c r="G938" s="114"/>
      <c r="H938" s="114"/>
      <c r="I938" s="114"/>
      <c r="J938" s="114"/>
      <c r="K938" s="114"/>
      <c r="L938" s="114"/>
      <c r="M938" s="114"/>
      <c r="N938" s="114"/>
      <c r="O938" s="114"/>
      <c r="P938" s="114"/>
      <c r="Q938" s="114"/>
      <c r="R938" s="114"/>
      <c r="S938" s="114"/>
    </row>
    <row r="939" spans="1:19" ht="14.1" customHeight="1" x14ac:dyDescent="0.2">
      <c r="A939" s="106"/>
      <c r="B939" s="106"/>
      <c r="C939" s="106"/>
      <c r="D939" s="106"/>
      <c r="E939" s="106"/>
      <c r="F939" s="106"/>
      <c r="G939" s="106"/>
      <c r="H939" s="106"/>
      <c r="I939" s="106"/>
      <c r="J939" s="106"/>
      <c r="K939" s="106"/>
      <c r="L939" s="106"/>
      <c r="M939" s="106"/>
      <c r="N939" s="106"/>
      <c r="O939" s="106"/>
      <c r="P939" s="106"/>
      <c r="Q939" s="106"/>
      <c r="R939" s="106"/>
      <c r="S939" s="106"/>
    </row>
    <row r="940" spans="1:19" ht="14.1" customHeight="1" x14ac:dyDescent="0.2">
      <c r="A940" s="111" t="s">
        <v>56</v>
      </c>
      <c r="B940" s="111"/>
      <c r="C940" s="111"/>
      <c r="D940" s="111"/>
      <c r="E940" s="111"/>
      <c r="F940" s="111"/>
      <c r="G940" s="111"/>
      <c r="H940" s="111"/>
      <c r="I940" s="111"/>
      <c r="J940" s="111"/>
      <c r="K940" s="111"/>
      <c r="L940" s="111"/>
      <c r="M940" s="111"/>
      <c r="N940" s="111"/>
      <c r="O940" s="111"/>
      <c r="P940" s="111"/>
      <c r="Q940" s="111"/>
      <c r="R940" s="111"/>
      <c r="S940" s="111"/>
    </row>
    <row r="941" spans="1:19" ht="49.2" customHeight="1" x14ac:dyDescent="0.2">
      <c r="A941" s="114" t="s">
        <v>948</v>
      </c>
      <c r="B941" s="114"/>
      <c r="C941" s="114"/>
      <c r="D941" s="114"/>
      <c r="E941" s="114"/>
      <c r="F941" s="114"/>
      <c r="G941" s="114"/>
      <c r="H941" s="114"/>
      <c r="I941" s="114"/>
      <c r="J941" s="114"/>
      <c r="K941" s="114"/>
      <c r="L941" s="114"/>
      <c r="M941" s="114"/>
      <c r="N941" s="114"/>
      <c r="O941" s="114"/>
      <c r="P941" s="114"/>
      <c r="Q941" s="114"/>
      <c r="R941" s="114"/>
      <c r="S941" s="114"/>
    </row>
  </sheetData>
  <mergeCells count="2221">
    <mergeCell ref="A279:S279"/>
    <mergeCell ref="A280:S280"/>
    <mergeCell ref="A270:D270"/>
    <mergeCell ref="E270:F270"/>
    <mergeCell ref="I270:J270"/>
    <mergeCell ref="L270:M270"/>
    <mergeCell ref="N270:O270"/>
    <mergeCell ref="A271:D271"/>
    <mergeCell ref="E271:F271"/>
    <mergeCell ref="I271:J271"/>
    <mergeCell ref="L271:M271"/>
    <mergeCell ref="N271:O271"/>
    <mergeCell ref="A272:S272"/>
    <mergeCell ref="A273:S273"/>
    <mergeCell ref="A274:S274"/>
    <mergeCell ref="A275:S275"/>
    <mergeCell ref="A276:S276"/>
    <mergeCell ref="A277:S277"/>
    <mergeCell ref="A278:S278"/>
    <mergeCell ref="N265:O265"/>
    <mergeCell ref="A266:D266"/>
    <mergeCell ref="E266:F266"/>
    <mergeCell ref="I266:J266"/>
    <mergeCell ref="L266:M266"/>
    <mergeCell ref="N266:O266"/>
    <mergeCell ref="A267:D267"/>
    <mergeCell ref="E267:F267"/>
    <mergeCell ref="I267:J267"/>
    <mergeCell ref="L267:M267"/>
    <mergeCell ref="N267:O267"/>
    <mergeCell ref="A268:D268"/>
    <mergeCell ref="E268:F268"/>
    <mergeCell ref="I268:J268"/>
    <mergeCell ref="L268:M268"/>
    <mergeCell ref="N268:O268"/>
    <mergeCell ref="A269:D269"/>
    <mergeCell ref="E269:F269"/>
    <mergeCell ref="I269:J269"/>
    <mergeCell ref="L269:M269"/>
    <mergeCell ref="N269:O269"/>
    <mergeCell ref="A933:S933"/>
    <mergeCell ref="A934:S934"/>
    <mergeCell ref="A935:S935"/>
    <mergeCell ref="A936:S936"/>
    <mergeCell ref="A937:S937"/>
    <mergeCell ref="A938:S938"/>
    <mergeCell ref="A939:S939"/>
    <mergeCell ref="A940:S940"/>
    <mergeCell ref="A941:S941"/>
    <mergeCell ref="J248:T248"/>
    <mergeCell ref="B250:R250"/>
    <mergeCell ref="A252:C252"/>
    <mergeCell ref="D252:T252"/>
    <mergeCell ref="A253:B253"/>
    <mergeCell ref="C253:T253"/>
    <mergeCell ref="A254:E254"/>
    <mergeCell ref="F254:T255"/>
    <mergeCell ref="A256:L256"/>
    <mergeCell ref="M256:N256"/>
    <mergeCell ref="O256:P256"/>
    <mergeCell ref="R256:T256"/>
    <mergeCell ref="A257:L259"/>
    <mergeCell ref="M257:T257"/>
    <mergeCell ref="M258:P258"/>
    <mergeCell ref="Q258:T258"/>
    <mergeCell ref="M259:N259"/>
    <mergeCell ref="O259:P259"/>
    <mergeCell ref="R259:T259"/>
    <mergeCell ref="A260:L260"/>
    <mergeCell ref="M260:N260"/>
    <mergeCell ref="O260:P260"/>
    <mergeCell ref="R260:T260"/>
    <mergeCell ref="A929:D929"/>
    <mergeCell ref="E929:F929"/>
    <mergeCell ref="I929:J929"/>
    <mergeCell ref="L929:M929"/>
    <mergeCell ref="N929:O929"/>
    <mergeCell ref="A930:D930"/>
    <mergeCell ref="E930:F930"/>
    <mergeCell ref="I930:J930"/>
    <mergeCell ref="L930:M930"/>
    <mergeCell ref="N930:O930"/>
    <mergeCell ref="A931:D931"/>
    <mergeCell ref="E931:F931"/>
    <mergeCell ref="I931:J931"/>
    <mergeCell ref="L931:M931"/>
    <mergeCell ref="N931:O931"/>
    <mergeCell ref="A932:D932"/>
    <mergeCell ref="E932:F932"/>
    <mergeCell ref="I932:J932"/>
    <mergeCell ref="L932:M932"/>
    <mergeCell ref="N932:O932"/>
    <mergeCell ref="A924:N924"/>
    <mergeCell ref="A925:D925"/>
    <mergeCell ref="E925:F925"/>
    <mergeCell ref="I925:J925"/>
    <mergeCell ref="L925:M925"/>
    <mergeCell ref="N925:O925"/>
    <mergeCell ref="A926:D926"/>
    <mergeCell ref="E926:F926"/>
    <mergeCell ref="I926:J926"/>
    <mergeCell ref="L926:M926"/>
    <mergeCell ref="N926:O926"/>
    <mergeCell ref="A927:D927"/>
    <mergeCell ref="E927:F927"/>
    <mergeCell ref="I927:J927"/>
    <mergeCell ref="L927:M927"/>
    <mergeCell ref="N927:O927"/>
    <mergeCell ref="A928:D928"/>
    <mergeCell ref="E928:F928"/>
    <mergeCell ref="I928:J928"/>
    <mergeCell ref="L928:M928"/>
    <mergeCell ref="N928:O928"/>
    <mergeCell ref="A918:L918"/>
    <mergeCell ref="M918:N918"/>
    <mergeCell ref="O918:P918"/>
    <mergeCell ref="R918:T918"/>
    <mergeCell ref="A919:L919"/>
    <mergeCell ref="M919:N919"/>
    <mergeCell ref="O919:P919"/>
    <mergeCell ref="R919:T919"/>
    <mergeCell ref="A920:L920"/>
    <mergeCell ref="M920:N920"/>
    <mergeCell ref="O920:P920"/>
    <mergeCell ref="R920:T920"/>
    <mergeCell ref="A921:L921"/>
    <mergeCell ref="M921:N921"/>
    <mergeCell ref="O921:P921"/>
    <mergeCell ref="R921:T921"/>
    <mergeCell ref="A922:T922"/>
    <mergeCell ref="J906:T906"/>
    <mergeCell ref="B908:R908"/>
    <mergeCell ref="A910:C910"/>
    <mergeCell ref="D910:T910"/>
    <mergeCell ref="A911:B911"/>
    <mergeCell ref="C911:T911"/>
    <mergeCell ref="A912:E912"/>
    <mergeCell ref="F912:T913"/>
    <mergeCell ref="A914:L914"/>
    <mergeCell ref="M914:N914"/>
    <mergeCell ref="O914:P914"/>
    <mergeCell ref="R914:T914"/>
    <mergeCell ref="A915:L917"/>
    <mergeCell ref="M915:T915"/>
    <mergeCell ref="M916:P916"/>
    <mergeCell ref="Q916:T916"/>
    <mergeCell ref="M917:N917"/>
    <mergeCell ref="O917:P917"/>
    <mergeCell ref="R917:T917"/>
    <mergeCell ref="A903:S903"/>
    <mergeCell ref="A904:S904"/>
    <mergeCell ref="A897:S897"/>
    <mergeCell ref="A898:S898"/>
    <mergeCell ref="A899:S899"/>
    <mergeCell ref="A900:S900"/>
    <mergeCell ref="A901:S901"/>
    <mergeCell ref="A902:S902"/>
    <mergeCell ref="A895:D895"/>
    <mergeCell ref="E895:F895"/>
    <mergeCell ref="I895:J895"/>
    <mergeCell ref="L895:M895"/>
    <mergeCell ref="N895:O895"/>
    <mergeCell ref="A896:D896"/>
    <mergeCell ref="E896:F896"/>
    <mergeCell ref="I896:J896"/>
    <mergeCell ref="L896:M896"/>
    <mergeCell ref="N896:O896"/>
    <mergeCell ref="A893:D893"/>
    <mergeCell ref="E893:F893"/>
    <mergeCell ref="I893:J893"/>
    <mergeCell ref="L893:M893"/>
    <mergeCell ref="N893:O893"/>
    <mergeCell ref="A894:D894"/>
    <mergeCell ref="E894:F894"/>
    <mergeCell ref="I894:J894"/>
    <mergeCell ref="L894:M894"/>
    <mergeCell ref="N894:O894"/>
    <mergeCell ref="A891:D891"/>
    <mergeCell ref="E891:F891"/>
    <mergeCell ref="I891:J891"/>
    <mergeCell ref="L891:M891"/>
    <mergeCell ref="N891:O891"/>
    <mergeCell ref="A892:D892"/>
    <mergeCell ref="E892:F892"/>
    <mergeCell ref="I892:J892"/>
    <mergeCell ref="L892:M892"/>
    <mergeCell ref="N892:O892"/>
    <mergeCell ref="A889:D889"/>
    <mergeCell ref="E889:F889"/>
    <mergeCell ref="I889:J889"/>
    <mergeCell ref="L889:M889"/>
    <mergeCell ref="N889:O889"/>
    <mergeCell ref="A890:D890"/>
    <mergeCell ref="E890:F890"/>
    <mergeCell ref="I890:J890"/>
    <mergeCell ref="L890:M890"/>
    <mergeCell ref="N890:O890"/>
    <mergeCell ref="A885:L885"/>
    <mergeCell ref="M885:N885"/>
    <mergeCell ref="O885:P885"/>
    <mergeCell ref="R885:T885"/>
    <mergeCell ref="A886:T886"/>
    <mergeCell ref="A888:N888"/>
    <mergeCell ref="A883:L883"/>
    <mergeCell ref="M883:N883"/>
    <mergeCell ref="O883:P883"/>
    <mergeCell ref="R883:T883"/>
    <mergeCell ref="A884:L884"/>
    <mergeCell ref="M884:N884"/>
    <mergeCell ref="O884:P884"/>
    <mergeCell ref="R884:T884"/>
    <mergeCell ref="A881:L881"/>
    <mergeCell ref="M881:N881"/>
    <mergeCell ref="O881:P881"/>
    <mergeCell ref="R881:T881"/>
    <mergeCell ref="A882:L882"/>
    <mergeCell ref="M882:N882"/>
    <mergeCell ref="O882:P882"/>
    <mergeCell ref="R882:T882"/>
    <mergeCell ref="A878:L880"/>
    <mergeCell ref="M878:T878"/>
    <mergeCell ref="M879:P879"/>
    <mergeCell ref="Q879:T879"/>
    <mergeCell ref="M880:N880"/>
    <mergeCell ref="O880:P880"/>
    <mergeCell ref="R880:T880"/>
    <mergeCell ref="A873:B873"/>
    <mergeCell ref="C873:T873"/>
    <mergeCell ref="A874:E874"/>
    <mergeCell ref="F874:T875"/>
    <mergeCell ref="A876:R876"/>
    <mergeCell ref="A877:L877"/>
    <mergeCell ref="M877:N877"/>
    <mergeCell ref="O877:P877"/>
    <mergeCell ref="R877:T877"/>
    <mergeCell ref="A865:S865"/>
    <mergeCell ref="A866:S866"/>
    <mergeCell ref="A867:S867"/>
    <mergeCell ref="J868:T868"/>
    <mergeCell ref="B870:R870"/>
    <mergeCell ref="A872:C872"/>
    <mergeCell ref="D872:T872"/>
    <mergeCell ref="A859:S859"/>
    <mergeCell ref="A860:S860"/>
    <mergeCell ref="A861:S861"/>
    <mergeCell ref="A862:S862"/>
    <mergeCell ref="A863:S863"/>
    <mergeCell ref="A864:S864"/>
    <mergeCell ref="A857:D857"/>
    <mergeCell ref="E857:F857"/>
    <mergeCell ref="I857:J857"/>
    <mergeCell ref="L857:M857"/>
    <mergeCell ref="N857:O857"/>
    <mergeCell ref="A858:D858"/>
    <mergeCell ref="E858:F858"/>
    <mergeCell ref="I858:J858"/>
    <mergeCell ref="L858:M858"/>
    <mergeCell ref="N858:O858"/>
    <mergeCell ref="A855:D855"/>
    <mergeCell ref="E855:F855"/>
    <mergeCell ref="I855:J855"/>
    <mergeCell ref="L855:M855"/>
    <mergeCell ref="N855:O855"/>
    <mergeCell ref="A856:D856"/>
    <mergeCell ref="E856:F856"/>
    <mergeCell ref="I856:J856"/>
    <mergeCell ref="L856:M856"/>
    <mergeCell ref="N856:O856"/>
    <mergeCell ref="A853:D853"/>
    <mergeCell ref="E853:F853"/>
    <mergeCell ref="I853:J853"/>
    <mergeCell ref="L853:M853"/>
    <mergeCell ref="N853:O853"/>
    <mergeCell ref="A854:D854"/>
    <mergeCell ref="E854:F854"/>
    <mergeCell ref="I854:J854"/>
    <mergeCell ref="L854:M854"/>
    <mergeCell ref="N854:O854"/>
    <mergeCell ref="A851:D851"/>
    <mergeCell ref="E851:F851"/>
    <mergeCell ref="I851:J851"/>
    <mergeCell ref="L851:M851"/>
    <mergeCell ref="N851:O851"/>
    <mergeCell ref="A852:D852"/>
    <mergeCell ref="E852:F852"/>
    <mergeCell ref="I852:J852"/>
    <mergeCell ref="L852:M852"/>
    <mergeCell ref="N852:O852"/>
    <mergeCell ref="A847:L847"/>
    <mergeCell ref="M847:N847"/>
    <mergeCell ref="O847:P847"/>
    <mergeCell ref="R847:T847"/>
    <mergeCell ref="A848:T848"/>
    <mergeCell ref="A850:N850"/>
    <mergeCell ref="A845:L845"/>
    <mergeCell ref="M845:N845"/>
    <mergeCell ref="O845:P845"/>
    <mergeCell ref="R845:T845"/>
    <mergeCell ref="A846:L846"/>
    <mergeCell ref="M846:N846"/>
    <mergeCell ref="O846:P846"/>
    <mergeCell ref="R846:T846"/>
    <mergeCell ref="A843:L843"/>
    <mergeCell ref="M843:N843"/>
    <mergeCell ref="O843:P843"/>
    <mergeCell ref="R843:T843"/>
    <mergeCell ref="A844:L844"/>
    <mergeCell ref="M844:N844"/>
    <mergeCell ref="O844:P844"/>
    <mergeCell ref="R844:T844"/>
    <mergeCell ref="O841:P841"/>
    <mergeCell ref="R841:T841"/>
    <mergeCell ref="A842:L842"/>
    <mergeCell ref="M842:N842"/>
    <mergeCell ref="O842:P842"/>
    <mergeCell ref="R842:T842"/>
    <mergeCell ref="A837:R837"/>
    <mergeCell ref="A838:L838"/>
    <mergeCell ref="M838:N838"/>
    <mergeCell ref="O838:P838"/>
    <mergeCell ref="R838:T838"/>
    <mergeCell ref="A839:L841"/>
    <mergeCell ref="M839:T839"/>
    <mergeCell ref="M840:P840"/>
    <mergeCell ref="Q840:T840"/>
    <mergeCell ref="M841:N841"/>
    <mergeCell ref="B831:R831"/>
    <mergeCell ref="A833:C833"/>
    <mergeCell ref="D833:T833"/>
    <mergeCell ref="A834:B834"/>
    <mergeCell ref="C834:T834"/>
    <mergeCell ref="A835:E835"/>
    <mergeCell ref="F835:T836"/>
    <mergeCell ref="A823:S823"/>
    <mergeCell ref="A824:S824"/>
    <mergeCell ref="A825:S825"/>
    <mergeCell ref="A826:S826"/>
    <mergeCell ref="A827:S827"/>
    <mergeCell ref="J829:T829"/>
    <mergeCell ref="A821:D821"/>
    <mergeCell ref="E821:F821"/>
    <mergeCell ref="I821:J821"/>
    <mergeCell ref="L821:M821"/>
    <mergeCell ref="N821:O821"/>
    <mergeCell ref="A822:S822"/>
    <mergeCell ref="A819:D819"/>
    <mergeCell ref="E819:F819"/>
    <mergeCell ref="I819:J819"/>
    <mergeCell ref="L819:M819"/>
    <mergeCell ref="N819:O819"/>
    <mergeCell ref="A820:D820"/>
    <mergeCell ref="E820:F820"/>
    <mergeCell ref="I820:J820"/>
    <mergeCell ref="L820:M820"/>
    <mergeCell ref="N820:O820"/>
    <mergeCell ref="A817:D817"/>
    <mergeCell ref="E817:F817"/>
    <mergeCell ref="I817:J817"/>
    <mergeCell ref="L817:M817"/>
    <mergeCell ref="N817:O817"/>
    <mergeCell ref="A818:D818"/>
    <mergeCell ref="E818:F818"/>
    <mergeCell ref="I818:J818"/>
    <mergeCell ref="L818:M818"/>
    <mergeCell ref="N818:O818"/>
    <mergeCell ref="A815:D815"/>
    <mergeCell ref="E815:F815"/>
    <mergeCell ref="I815:J815"/>
    <mergeCell ref="L815:M815"/>
    <mergeCell ref="N815:O815"/>
    <mergeCell ref="A816:D816"/>
    <mergeCell ref="E816:F816"/>
    <mergeCell ref="I816:J816"/>
    <mergeCell ref="L816:M816"/>
    <mergeCell ref="N816:O816"/>
    <mergeCell ref="A811:T811"/>
    <mergeCell ref="A813:N813"/>
    <mergeCell ref="A814:D814"/>
    <mergeCell ref="E814:F814"/>
    <mergeCell ref="I814:J814"/>
    <mergeCell ref="L814:M814"/>
    <mergeCell ref="N814:O814"/>
    <mergeCell ref="A809:L809"/>
    <mergeCell ref="M809:N809"/>
    <mergeCell ref="O809:P809"/>
    <mergeCell ref="R809:T809"/>
    <mergeCell ref="A810:L810"/>
    <mergeCell ref="M810:N810"/>
    <mergeCell ref="O810:P810"/>
    <mergeCell ref="R810:T810"/>
    <mergeCell ref="A807:L807"/>
    <mergeCell ref="M807:N807"/>
    <mergeCell ref="O807:P807"/>
    <mergeCell ref="R807:T807"/>
    <mergeCell ref="A808:L808"/>
    <mergeCell ref="M808:N808"/>
    <mergeCell ref="O808:P808"/>
    <mergeCell ref="R808:T808"/>
    <mergeCell ref="A805:L805"/>
    <mergeCell ref="M805:N805"/>
    <mergeCell ref="O805:P805"/>
    <mergeCell ref="R805:T805"/>
    <mergeCell ref="A806:L806"/>
    <mergeCell ref="M806:N806"/>
    <mergeCell ref="O806:P806"/>
    <mergeCell ref="R806:T806"/>
    <mergeCell ref="A802:L804"/>
    <mergeCell ref="M802:T802"/>
    <mergeCell ref="M803:P803"/>
    <mergeCell ref="Q803:T803"/>
    <mergeCell ref="M804:N804"/>
    <mergeCell ref="O804:P804"/>
    <mergeCell ref="R804:T804"/>
    <mergeCell ref="A798:E798"/>
    <mergeCell ref="F798:T799"/>
    <mergeCell ref="A800:R800"/>
    <mergeCell ref="A801:L801"/>
    <mergeCell ref="M801:N801"/>
    <mergeCell ref="O801:P801"/>
    <mergeCell ref="R801:T801"/>
    <mergeCell ref="J792:T792"/>
    <mergeCell ref="B794:R794"/>
    <mergeCell ref="A796:C796"/>
    <mergeCell ref="D796:T796"/>
    <mergeCell ref="A797:B797"/>
    <mergeCell ref="C797:T797"/>
    <mergeCell ref="A786:S786"/>
    <mergeCell ref="A787:S787"/>
    <mergeCell ref="A788:S788"/>
    <mergeCell ref="A789:S789"/>
    <mergeCell ref="A790:S790"/>
    <mergeCell ref="A791:S791"/>
    <mergeCell ref="A784:D784"/>
    <mergeCell ref="E784:F784"/>
    <mergeCell ref="I784:J784"/>
    <mergeCell ref="L784:M784"/>
    <mergeCell ref="N784:O784"/>
    <mergeCell ref="A785:D785"/>
    <mergeCell ref="E785:F785"/>
    <mergeCell ref="I785:J785"/>
    <mergeCell ref="L785:M785"/>
    <mergeCell ref="N785:O785"/>
    <mergeCell ref="A782:D782"/>
    <mergeCell ref="E782:F782"/>
    <mergeCell ref="I782:J782"/>
    <mergeCell ref="L782:M782"/>
    <mergeCell ref="N782:O782"/>
    <mergeCell ref="A783:D783"/>
    <mergeCell ref="E783:F783"/>
    <mergeCell ref="I783:J783"/>
    <mergeCell ref="L783:M783"/>
    <mergeCell ref="N783:O783"/>
    <mergeCell ref="A780:D780"/>
    <mergeCell ref="E780:F780"/>
    <mergeCell ref="I780:J780"/>
    <mergeCell ref="L780:M780"/>
    <mergeCell ref="N780:O780"/>
    <mergeCell ref="A781:D781"/>
    <mergeCell ref="E781:F781"/>
    <mergeCell ref="I781:J781"/>
    <mergeCell ref="L781:M781"/>
    <mergeCell ref="N781:O781"/>
    <mergeCell ref="A778:D778"/>
    <mergeCell ref="E778:F778"/>
    <mergeCell ref="I778:J778"/>
    <mergeCell ref="L778:M778"/>
    <mergeCell ref="N778:O778"/>
    <mergeCell ref="A779:D779"/>
    <mergeCell ref="E779:F779"/>
    <mergeCell ref="I779:J779"/>
    <mergeCell ref="L779:M779"/>
    <mergeCell ref="N779:O779"/>
    <mergeCell ref="A774:L774"/>
    <mergeCell ref="M774:N774"/>
    <mergeCell ref="O774:P774"/>
    <mergeCell ref="R774:T774"/>
    <mergeCell ref="A775:T775"/>
    <mergeCell ref="A777:N777"/>
    <mergeCell ref="A772:L772"/>
    <mergeCell ref="M772:N772"/>
    <mergeCell ref="O772:P772"/>
    <mergeCell ref="R772:T772"/>
    <mergeCell ref="A773:L773"/>
    <mergeCell ref="M773:N773"/>
    <mergeCell ref="O773:P773"/>
    <mergeCell ref="R773:T773"/>
    <mergeCell ref="A770:L770"/>
    <mergeCell ref="M770:N770"/>
    <mergeCell ref="O770:P770"/>
    <mergeCell ref="R770:T770"/>
    <mergeCell ref="A771:L771"/>
    <mergeCell ref="M771:N771"/>
    <mergeCell ref="O771:P771"/>
    <mergeCell ref="R771:T771"/>
    <mergeCell ref="A767:L769"/>
    <mergeCell ref="M767:T767"/>
    <mergeCell ref="M768:P768"/>
    <mergeCell ref="Q768:T768"/>
    <mergeCell ref="M769:N769"/>
    <mergeCell ref="O769:P769"/>
    <mergeCell ref="R769:T769"/>
    <mergeCell ref="A763:E763"/>
    <mergeCell ref="F763:T764"/>
    <mergeCell ref="A765:R765"/>
    <mergeCell ref="A766:L766"/>
    <mergeCell ref="M766:N766"/>
    <mergeCell ref="O766:P766"/>
    <mergeCell ref="R766:T766"/>
    <mergeCell ref="J757:T757"/>
    <mergeCell ref="B759:R759"/>
    <mergeCell ref="A761:C761"/>
    <mergeCell ref="D761:T761"/>
    <mergeCell ref="A762:B762"/>
    <mergeCell ref="C762:T762"/>
    <mergeCell ref="A751:S751"/>
    <mergeCell ref="A752:S752"/>
    <mergeCell ref="A753:S753"/>
    <mergeCell ref="A754:S754"/>
    <mergeCell ref="A755:S755"/>
    <mergeCell ref="A756:S756"/>
    <mergeCell ref="A749:D749"/>
    <mergeCell ref="E749:F749"/>
    <mergeCell ref="I749:J749"/>
    <mergeCell ref="L749:M749"/>
    <mergeCell ref="N749:O749"/>
    <mergeCell ref="A750:D750"/>
    <mergeCell ref="E750:F750"/>
    <mergeCell ref="I750:J750"/>
    <mergeCell ref="L750:M750"/>
    <mergeCell ref="N750:O750"/>
    <mergeCell ref="A747:D747"/>
    <mergeCell ref="E747:F747"/>
    <mergeCell ref="I747:J747"/>
    <mergeCell ref="L747:M747"/>
    <mergeCell ref="N747:O747"/>
    <mergeCell ref="A748:D748"/>
    <mergeCell ref="E748:F748"/>
    <mergeCell ref="I748:J748"/>
    <mergeCell ref="L748:M748"/>
    <mergeCell ref="N748:O748"/>
    <mergeCell ref="A745:D745"/>
    <mergeCell ref="E745:F745"/>
    <mergeCell ref="I745:J745"/>
    <mergeCell ref="L745:M745"/>
    <mergeCell ref="N745:O745"/>
    <mergeCell ref="A746:D746"/>
    <mergeCell ref="E746:F746"/>
    <mergeCell ref="I746:J746"/>
    <mergeCell ref="L746:M746"/>
    <mergeCell ref="N746:O746"/>
    <mergeCell ref="A743:D743"/>
    <mergeCell ref="E743:F743"/>
    <mergeCell ref="I743:J743"/>
    <mergeCell ref="L743:M743"/>
    <mergeCell ref="N743:O743"/>
    <mergeCell ref="A744:D744"/>
    <mergeCell ref="E744:F744"/>
    <mergeCell ref="I744:J744"/>
    <mergeCell ref="L744:M744"/>
    <mergeCell ref="N744:O744"/>
    <mergeCell ref="A739:L739"/>
    <mergeCell ref="M739:N739"/>
    <mergeCell ref="O739:P739"/>
    <mergeCell ref="R739:T739"/>
    <mergeCell ref="A740:T740"/>
    <mergeCell ref="A742:N742"/>
    <mergeCell ref="A737:L737"/>
    <mergeCell ref="M737:N737"/>
    <mergeCell ref="O737:P737"/>
    <mergeCell ref="R737:T737"/>
    <mergeCell ref="A738:L738"/>
    <mergeCell ref="M738:N738"/>
    <mergeCell ref="O738:P738"/>
    <mergeCell ref="R738:T738"/>
    <mergeCell ref="A735:L735"/>
    <mergeCell ref="M735:N735"/>
    <mergeCell ref="O735:P735"/>
    <mergeCell ref="R735:T735"/>
    <mergeCell ref="A736:L736"/>
    <mergeCell ref="M736:N736"/>
    <mergeCell ref="O736:P736"/>
    <mergeCell ref="R736:T736"/>
    <mergeCell ref="A732:L734"/>
    <mergeCell ref="M732:T732"/>
    <mergeCell ref="M733:P733"/>
    <mergeCell ref="Q733:T733"/>
    <mergeCell ref="M734:N734"/>
    <mergeCell ref="O734:P734"/>
    <mergeCell ref="R734:T734"/>
    <mergeCell ref="A727:B727"/>
    <mergeCell ref="C727:T727"/>
    <mergeCell ref="A728:E728"/>
    <mergeCell ref="F728:T729"/>
    <mergeCell ref="A730:R730"/>
    <mergeCell ref="A731:L731"/>
    <mergeCell ref="M731:N731"/>
    <mergeCell ref="O731:P731"/>
    <mergeCell ref="R731:T731"/>
    <mergeCell ref="J722:T722"/>
    <mergeCell ref="B724:R724"/>
    <mergeCell ref="A726:C726"/>
    <mergeCell ref="D726:T726"/>
    <mergeCell ref="A717:S717"/>
    <mergeCell ref="A711:S711"/>
    <mergeCell ref="A712:S712"/>
    <mergeCell ref="A713:S713"/>
    <mergeCell ref="A714:S714"/>
    <mergeCell ref="A715:S715"/>
    <mergeCell ref="A716:S716"/>
    <mergeCell ref="A709:D709"/>
    <mergeCell ref="E709:F709"/>
    <mergeCell ref="I709:J709"/>
    <mergeCell ref="L709:M709"/>
    <mergeCell ref="N709:O709"/>
    <mergeCell ref="A710:S710"/>
    <mergeCell ref="A707:D707"/>
    <mergeCell ref="E707:F707"/>
    <mergeCell ref="I707:J707"/>
    <mergeCell ref="L707:M707"/>
    <mergeCell ref="N707:O707"/>
    <mergeCell ref="A708:D708"/>
    <mergeCell ref="E708:F708"/>
    <mergeCell ref="I708:J708"/>
    <mergeCell ref="L708:M708"/>
    <mergeCell ref="N708:O708"/>
    <mergeCell ref="A705:D705"/>
    <mergeCell ref="E705:F705"/>
    <mergeCell ref="I705:J705"/>
    <mergeCell ref="L705:M705"/>
    <mergeCell ref="N705:O705"/>
    <mergeCell ref="A706:D706"/>
    <mergeCell ref="E706:F706"/>
    <mergeCell ref="I706:J706"/>
    <mergeCell ref="L706:M706"/>
    <mergeCell ref="N706:O706"/>
    <mergeCell ref="A703:D703"/>
    <mergeCell ref="E703:F703"/>
    <mergeCell ref="I703:J703"/>
    <mergeCell ref="L703:M703"/>
    <mergeCell ref="N703:O703"/>
    <mergeCell ref="A704:D704"/>
    <mergeCell ref="E704:F704"/>
    <mergeCell ref="I704:J704"/>
    <mergeCell ref="L704:M704"/>
    <mergeCell ref="N704:O704"/>
    <mergeCell ref="A699:T699"/>
    <mergeCell ref="A701:N701"/>
    <mergeCell ref="A702:D702"/>
    <mergeCell ref="E702:F702"/>
    <mergeCell ref="I702:J702"/>
    <mergeCell ref="L702:M702"/>
    <mergeCell ref="N702:O702"/>
    <mergeCell ref="A697:L697"/>
    <mergeCell ref="M697:N697"/>
    <mergeCell ref="O697:P697"/>
    <mergeCell ref="R697:T697"/>
    <mergeCell ref="A698:L698"/>
    <mergeCell ref="M698:N698"/>
    <mergeCell ref="O698:P698"/>
    <mergeCell ref="R698:T698"/>
    <mergeCell ref="R694:T694"/>
    <mergeCell ref="A695:L695"/>
    <mergeCell ref="M695:N695"/>
    <mergeCell ref="O695:P695"/>
    <mergeCell ref="R695:T695"/>
    <mergeCell ref="A696:L696"/>
    <mergeCell ref="M696:N696"/>
    <mergeCell ref="O696:P696"/>
    <mergeCell ref="R696:T696"/>
    <mergeCell ref="A691:L691"/>
    <mergeCell ref="M691:N691"/>
    <mergeCell ref="O691:P691"/>
    <mergeCell ref="R691:T691"/>
    <mergeCell ref="A692:L694"/>
    <mergeCell ref="M692:T692"/>
    <mergeCell ref="M693:P693"/>
    <mergeCell ref="Q693:T693"/>
    <mergeCell ref="M694:N694"/>
    <mergeCell ref="O694:P694"/>
    <mergeCell ref="A686:B686"/>
    <mergeCell ref="C686:T686"/>
    <mergeCell ref="A687:E687"/>
    <mergeCell ref="F687:T687"/>
    <mergeCell ref="A689:S689"/>
    <mergeCell ref="A690:S690"/>
    <mergeCell ref="A677:S677"/>
    <mergeCell ref="A678:S678"/>
    <mergeCell ref="A679:S679"/>
    <mergeCell ref="J681:T681"/>
    <mergeCell ref="B683:R683"/>
    <mergeCell ref="A685:C685"/>
    <mergeCell ref="D685:T685"/>
    <mergeCell ref="A671:S671"/>
    <mergeCell ref="A672:S672"/>
    <mergeCell ref="A673:S673"/>
    <mergeCell ref="A674:S674"/>
    <mergeCell ref="A675:S675"/>
    <mergeCell ref="A676:S676"/>
    <mergeCell ref="A669:D669"/>
    <mergeCell ref="E669:F669"/>
    <mergeCell ref="I669:J669"/>
    <mergeCell ref="L669:M669"/>
    <mergeCell ref="N669:O669"/>
    <mergeCell ref="A670:D670"/>
    <mergeCell ref="E670:F670"/>
    <mergeCell ref="I670:J670"/>
    <mergeCell ref="L670:M670"/>
    <mergeCell ref="N670:O670"/>
    <mergeCell ref="A667:D667"/>
    <mergeCell ref="E667:F667"/>
    <mergeCell ref="I667:J667"/>
    <mergeCell ref="L667:M667"/>
    <mergeCell ref="N667:O667"/>
    <mergeCell ref="A668:D668"/>
    <mergeCell ref="E668:F668"/>
    <mergeCell ref="I668:J668"/>
    <mergeCell ref="L668:M668"/>
    <mergeCell ref="N668:O668"/>
    <mergeCell ref="A665:D665"/>
    <mergeCell ref="E665:F665"/>
    <mergeCell ref="I665:J665"/>
    <mergeCell ref="L665:M665"/>
    <mergeCell ref="N665:O665"/>
    <mergeCell ref="A666:D666"/>
    <mergeCell ref="E666:F666"/>
    <mergeCell ref="I666:J666"/>
    <mergeCell ref="L666:M666"/>
    <mergeCell ref="N666:O666"/>
    <mergeCell ref="A663:D663"/>
    <mergeCell ref="E663:F663"/>
    <mergeCell ref="I663:J663"/>
    <mergeCell ref="L663:M663"/>
    <mergeCell ref="N663:O663"/>
    <mergeCell ref="A664:D664"/>
    <mergeCell ref="E664:F664"/>
    <mergeCell ref="I664:J664"/>
    <mergeCell ref="L664:M664"/>
    <mergeCell ref="N664:O664"/>
    <mergeCell ref="A659:L659"/>
    <mergeCell ref="M659:N659"/>
    <mergeCell ref="O659:P659"/>
    <mergeCell ref="R659:T659"/>
    <mergeCell ref="A660:T660"/>
    <mergeCell ref="A662:N662"/>
    <mergeCell ref="A656:L658"/>
    <mergeCell ref="M656:T656"/>
    <mergeCell ref="M657:P657"/>
    <mergeCell ref="Q657:T657"/>
    <mergeCell ref="M658:N658"/>
    <mergeCell ref="O658:P658"/>
    <mergeCell ref="R658:T658"/>
    <mergeCell ref="A652:B652"/>
    <mergeCell ref="C652:T652"/>
    <mergeCell ref="A653:E653"/>
    <mergeCell ref="F653:T654"/>
    <mergeCell ref="A655:L655"/>
    <mergeCell ref="M655:N655"/>
    <mergeCell ref="O655:P655"/>
    <mergeCell ref="R655:T655"/>
    <mergeCell ref="A645:S645"/>
    <mergeCell ref="A646:S646"/>
    <mergeCell ref="J647:T647"/>
    <mergeCell ref="B649:R649"/>
    <mergeCell ref="A651:C651"/>
    <mergeCell ref="D651:T651"/>
    <mergeCell ref="A639:S639"/>
    <mergeCell ref="A640:S640"/>
    <mergeCell ref="A641:S641"/>
    <mergeCell ref="A642:S642"/>
    <mergeCell ref="A643:S643"/>
    <mergeCell ref="A644:S644"/>
    <mergeCell ref="A637:D637"/>
    <mergeCell ref="E637:F637"/>
    <mergeCell ref="I637:J637"/>
    <mergeCell ref="L637:M637"/>
    <mergeCell ref="N637:O637"/>
    <mergeCell ref="A638:D638"/>
    <mergeCell ref="E638:F638"/>
    <mergeCell ref="I638:J638"/>
    <mergeCell ref="L638:M638"/>
    <mergeCell ref="N638:O638"/>
    <mergeCell ref="A635:D635"/>
    <mergeCell ref="E635:F635"/>
    <mergeCell ref="I635:J635"/>
    <mergeCell ref="L635:M635"/>
    <mergeCell ref="N635:O635"/>
    <mergeCell ref="A636:D636"/>
    <mergeCell ref="E636:F636"/>
    <mergeCell ref="I636:J636"/>
    <mergeCell ref="L636:M636"/>
    <mergeCell ref="N636:O636"/>
    <mergeCell ref="A633:D633"/>
    <mergeCell ref="E633:F633"/>
    <mergeCell ref="I633:J633"/>
    <mergeCell ref="L633:M633"/>
    <mergeCell ref="N633:O633"/>
    <mergeCell ref="A634:D634"/>
    <mergeCell ref="E634:F634"/>
    <mergeCell ref="I634:J634"/>
    <mergeCell ref="L634:M634"/>
    <mergeCell ref="N634:O634"/>
    <mergeCell ref="A631:D631"/>
    <mergeCell ref="E631:F631"/>
    <mergeCell ref="I631:J631"/>
    <mergeCell ref="L631:M631"/>
    <mergeCell ref="N631:O631"/>
    <mergeCell ref="A632:D632"/>
    <mergeCell ref="E632:F632"/>
    <mergeCell ref="I632:J632"/>
    <mergeCell ref="L632:M632"/>
    <mergeCell ref="N632:O632"/>
    <mergeCell ref="A627:L627"/>
    <mergeCell ref="M627:N627"/>
    <mergeCell ref="O627:P627"/>
    <mergeCell ref="R627:T627"/>
    <mergeCell ref="A628:T628"/>
    <mergeCell ref="A630:N630"/>
    <mergeCell ref="A624:L626"/>
    <mergeCell ref="M624:T624"/>
    <mergeCell ref="M625:P625"/>
    <mergeCell ref="Q625:T625"/>
    <mergeCell ref="M626:N626"/>
    <mergeCell ref="O626:P626"/>
    <mergeCell ref="R626:T626"/>
    <mergeCell ref="A620:B620"/>
    <mergeCell ref="C620:T620"/>
    <mergeCell ref="A621:E621"/>
    <mergeCell ref="F621:T622"/>
    <mergeCell ref="A623:L623"/>
    <mergeCell ref="M623:N623"/>
    <mergeCell ref="O623:P623"/>
    <mergeCell ref="R623:T623"/>
    <mergeCell ref="A613:S613"/>
    <mergeCell ref="A614:S614"/>
    <mergeCell ref="J615:T615"/>
    <mergeCell ref="B617:R617"/>
    <mergeCell ref="A619:C619"/>
    <mergeCell ref="D619:T619"/>
    <mergeCell ref="A607:S607"/>
    <mergeCell ref="A608:S608"/>
    <mergeCell ref="A609:S609"/>
    <mergeCell ref="A610:S610"/>
    <mergeCell ref="A611:S611"/>
    <mergeCell ref="A612:S612"/>
    <mergeCell ref="A605:D605"/>
    <mergeCell ref="E605:F605"/>
    <mergeCell ref="I605:J605"/>
    <mergeCell ref="L605:M605"/>
    <mergeCell ref="N605:O605"/>
    <mergeCell ref="A606:D606"/>
    <mergeCell ref="E606:F606"/>
    <mergeCell ref="I606:J606"/>
    <mergeCell ref="L606:M606"/>
    <mergeCell ref="N606:O606"/>
    <mergeCell ref="A603:D603"/>
    <mergeCell ref="E603:F603"/>
    <mergeCell ref="I603:J603"/>
    <mergeCell ref="L603:M603"/>
    <mergeCell ref="N603:O603"/>
    <mergeCell ref="A604:D604"/>
    <mergeCell ref="E604:F604"/>
    <mergeCell ref="I604:J604"/>
    <mergeCell ref="L604:M604"/>
    <mergeCell ref="N604:O604"/>
    <mergeCell ref="A601:D601"/>
    <mergeCell ref="E601:F601"/>
    <mergeCell ref="I601:J601"/>
    <mergeCell ref="L601:M601"/>
    <mergeCell ref="N601:O601"/>
    <mergeCell ref="A602:D602"/>
    <mergeCell ref="E602:F602"/>
    <mergeCell ref="I602:J602"/>
    <mergeCell ref="L602:M602"/>
    <mergeCell ref="N602:O602"/>
    <mergeCell ref="A599:D599"/>
    <mergeCell ref="E599:F599"/>
    <mergeCell ref="I599:J599"/>
    <mergeCell ref="L599:M599"/>
    <mergeCell ref="N599:O599"/>
    <mergeCell ref="A600:D600"/>
    <mergeCell ref="E600:F600"/>
    <mergeCell ref="I600:J600"/>
    <mergeCell ref="L600:M600"/>
    <mergeCell ref="N600:O600"/>
    <mergeCell ref="A595:L595"/>
    <mergeCell ref="M595:N595"/>
    <mergeCell ref="O595:P595"/>
    <mergeCell ref="R595:T595"/>
    <mergeCell ref="A596:T596"/>
    <mergeCell ref="A598:N598"/>
    <mergeCell ref="A592:L594"/>
    <mergeCell ref="M592:T592"/>
    <mergeCell ref="M593:P593"/>
    <mergeCell ref="Q593:T593"/>
    <mergeCell ref="M594:N594"/>
    <mergeCell ref="O594:P594"/>
    <mergeCell ref="R594:T594"/>
    <mergeCell ref="A589:E589"/>
    <mergeCell ref="F589:T590"/>
    <mergeCell ref="A591:L591"/>
    <mergeCell ref="M591:N591"/>
    <mergeCell ref="O591:P591"/>
    <mergeCell ref="R591:T591"/>
    <mergeCell ref="J583:T583"/>
    <mergeCell ref="B585:R585"/>
    <mergeCell ref="A587:C587"/>
    <mergeCell ref="D587:T587"/>
    <mergeCell ref="A588:B588"/>
    <mergeCell ref="C588:T588"/>
    <mergeCell ref="A581:D581"/>
    <mergeCell ref="E581:F581"/>
    <mergeCell ref="I581:J581"/>
    <mergeCell ref="L581:M581"/>
    <mergeCell ref="N581:O581"/>
    <mergeCell ref="A582:D582"/>
    <mergeCell ref="E582:F582"/>
    <mergeCell ref="I582:J582"/>
    <mergeCell ref="L582:M582"/>
    <mergeCell ref="N582:O582"/>
    <mergeCell ref="A579:D579"/>
    <mergeCell ref="E579:F579"/>
    <mergeCell ref="I579:J579"/>
    <mergeCell ref="L579:M579"/>
    <mergeCell ref="N579:O579"/>
    <mergeCell ref="A580:D580"/>
    <mergeCell ref="E580:F580"/>
    <mergeCell ref="I580:J580"/>
    <mergeCell ref="L580:M580"/>
    <mergeCell ref="N580:O580"/>
    <mergeCell ref="A577:D577"/>
    <mergeCell ref="E577:F577"/>
    <mergeCell ref="I577:J577"/>
    <mergeCell ref="L577:M577"/>
    <mergeCell ref="N577:O577"/>
    <mergeCell ref="A578:D578"/>
    <mergeCell ref="E578:F578"/>
    <mergeCell ref="I578:J578"/>
    <mergeCell ref="L578:M578"/>
    <mergeCell ref="N578:O578"/>
    <mergeCell ref="A575:D575"/>
    <mergeCell ref="E575:F575"/>
    <mergeCell ref="I575:J575"/>
    <mergeCell ref="L575:M575"/>
    <mergeCell ref="N575:O575"/>
    <mergeCell ref="A576:D576"/>
    <mergeCell ref="E576:F576"/>
    <mergeCell ref="I576:J576"/>
    <mergeCell ref="L576:M576"/>
    <mergeCell ref="N576:O576"/>
    <mergeCell ref="A571:L571"/>
    <mergeCell ref="M571:N571"/>
    <mergeCell ref="O571:P571"/>
    <mergeCell ref="R571:T571"/>
    <mergeCell ref="A572:T572"/>
    <mergeCell ref="A574:N574"/>
    <mergeCell ref="A568:L570"/>
    <mergeCell ref="M568:T568"/>
    <mergeCell ref="M569:P569"/>
    <mergeCell ref="Q569:T569"/>
    <mergeCell ref="M570:N570"/>
    <mergeCell ref="O570:P570"/>
    <mergeCell ref="R570:T570"/>
    <mergeCell ref="A564:B564"/>
    <mergeCell ref="C564:T564"/>
    <mergeCell ref="A565:E565"/>
    <mergeCell ref="F565:T565"/>
    <mergeCell ref="A567:L567"/>
    <mergeCell ref="M567:N567"/>
    <mergeCell ref="O567:P567"/>
    <mergeCell ref="R567:T567"/>
    <mergeCell ref="A556:S556"/>
    <mergeCell ref="A557:S557"/>
    <mergeCell ref="J559:T559"/>
    <mergeCell ref="B561:R561"/>
    <mergeCell ref="A563:C563"/>
    <mergeCell ref="D563:T563"/>
    <mergeCell ref="A550:S550"/>
    <mergeCell ref="A551:S551"/>
    <mergeCell ref="A552:S552"/>
    <mergeCell ref="A553:S553"/>
    <mergeCell ref="A554:S554"/>
    <mergeCell ref="A555:S555"/>
    <mergeCell ref="A548:D548"/>
    <mergeCell ref="E548:F548"/>
    <mergeCell ref="I548:J548"/>
    <mergeCell ref="L548:M548"/>
    <mergeCell ref="N548:O548"/>
    <mergeCell ref="A549:S549"/>
    <mergeCell ref="A546:D546"/>
    <mergeCell ref="E546:F546"/>
    <mergeCell ref="I546:J546"/>
    <mergeCell ref="L546:M546"/>
    <mergeCell ref="N546:O546"/>
    <mergeCell ref="A547:D547"/>
    <mergeCell ref="E547:F547"/>
    <mergeCell ref="I547:J547"/>
    <mergeCell ref="L547:M547"/>
    <mergeCell ref="N547:O547"/>
    <mergeCell ref="A544:D544"/>
    <mergeCell ref="E544:F544"/>
    <mergeCell ref="I544:J544"/>
    <mergeCell ref="L544:M544"/>
    <mergeCell ref="N544:O544"/>
    <mergeCell ref="A545:D545"/>
    <mergeCell ref="E545:F545"/>
    <mergeCell ref="I545:J545"/>
    <mergeCell ref="L545:M545"/>
    <mergeCell ref="N545:O545"/>
    <mergeCell ref="A542:D542"/>
    <mergeCell ref="E542:F542"/>
    <mergeCell ref="I542:J542"/>
    <mergeCell ref="L542:M542"/>
    <mergeCell ref="N542:O542"/>
    <mergeCell ref="A543:D543"/>
    <mergeCell ref="E543:F543"/>
    <mergeCell ref="I543:J543"/>
    <mergeCell ref="L543:M543"/>
    <mergeCell ref="N543:O543"/>
    <mergeCell ref="A538:T538"/>
    <mergeCell ref="A540:N540"/>
    <mergeCell ref="A541:D541"/>
    <mergeCell ref="E541:F541"/>
    <mergeCell ref="I541:J541"/>
    <mergeCell ref="L541:M541"/>
    <mergeCell ref="N541:O541"/>
    <mergeCell ref="A536:L536"/>
    <mergeCell ref="M536:N536"/>
    <mergeCell ref="O536:P536"/>
    <mergeCell ref="R536:T536"/>
    <mergeCell ref="A537:L537"/>
    <mergeCell ref="M537:N537"/>
    <mergeCell ref="O537:P537"/>
    <mergeCell ref="R537:T537"/>
    <mergeCell ref="A534:L534"/>
    <mergeCell ref="M534:N534"/>
    <mergeCell ref="O534:P534"/>
    <mergeCell ref="R534:T534"/>
    <mergeCell ref="A535:L535"/>
    <mergeCell ref="M535:N535"/>
    <mergeCell ref="O535:P535"/>
    <mergeCell ref="R535:T535"/>
    <mergeCell ref="A531:L533"/>
    <mergeCell ref="M531:T531"/>
    <mergeCell ref="M532:P532"/>
    <mergeCell ref="Q532:T532"/>
    <mergeCell ref="M533:N533"/>
    <mergeCell ref="O533:P533"/>
    <mergeCell ref="R533:T533"/>
    <mergeCell ref="A527:B527"/>
    <mergeCell ref="C527:T527"/>
    <mergeCell ref="A528:E528"/>
    <mergeCell ref="F528:T529"/>
    <mergeCell ref="A530:L530"/>
    <mergeCell ref="M530:N530"/>
    <mergeCell ref="O530:P530"/>
    <mergeCell ref="R530:T530"/>
    <mergeCell ref="A520:S520"/>
    <mergeCell ref="A521:S521"/>
    <mergeCell ref="J522:T522"/>
    <mergeCell ref="B524:R524"/>
    <mergeCell ref="A526:C526"/>
    <mergeCell ref="D526:T526"/>
    <mergeCell ref="A514:S514"/>
    <mergeCell ref="A515:S515"/>
    <mergeCell ref="A516:S516"/>
    <mergeCell ref="A517:S517"/>
    <mergeCell ref="A518:S518"/>
    <mergeCell ref="A519:S519"/>
    <mergeCell ref="A512:D512"/>
    <mergeCell ref="E512:F512"/>
    <mergeCell ref="I512:J512"/>
    <mergeCell ref="L512:M512"/>
    <mergeCell ref="N512:O512"/>
    <mergeCell ref="A513:S513"/>
    <mergeCell ref="A510:D510"/>
    <mergeCell ref="E510:F510"/>
    <mergeCell ref="I510:J510"/>
    <mergeCell ref="L510:M510"/>
    <mergeCell ref="N510:O510"/>
    <mergeCell ref="A511:D511"/>
    <mergeCell ref="E511:F511"/>
    <mergeCell ref="I511:J511"/>
    <mergeCell ref="L511:M511"/>
    <mergeCell ref="N511:O511"/>
    <mergeCell ref="A508:D508"/>
    <mergeCell ref="E508:F508"/>
    <mergeCell ref="I508:J508"/>
    <mergeCell ref="L508:M508"/>
    <mergeCell ref="N508:O508"/>
    <mergeCell ref="A509:D509"/>
    <mergeCell ref="E509:F509"/>
    <mergeCell ref="I509:J509"/>
    <mergeCell ref="L509:M509"/>
    <mergeCell ref="N509:O509"/>
    <mergeCell ref="A506:D506"/>
    <mergeCell ref="E506:F506"/>
    <mergeCell ref="I506:J506"/>
    <mergeCell ref="L506:M506"/>
    <mergeCell ref="N506:O506"/>
    <mergeCell ref="A507:D507"/>
    <mergeCell ref="E507:F507"/>
    <mergeCell ref="I507:J507"/>
    <mergeCell ref="L507:M507"/>
    <mergeCell ref="N507:O507"/>
    <mergeCell ref="A502:T502"/>
    <mergeCell ref="A504:N504"/>
    <mergeCell ref="A505:D505"/>
    <mergeCell ref="E505:F505"/>
    <mergeCell ref="I505:J505"/>
    <mergeCell ref="L505:M505"/>
    <mergeCell ref="N505:O505"/>
    <mergeCell ref="A500:L500"/>
    <mergeCell ref="M500:N500"/>
    <mergeCell ref="O500:P500"/>
    <mergeCell ref="R500:T500"/>
    <mergeCell ref="A501:L501"/>
    <mergeCell ref="M501:N501"/>
    <mergeCell ref="O501:P501"/>
    <mergeCell ref="R501:T501"/>
    <mergeCell ref="A498:L498"/>
    <mergeCell ref="M498:N498"/>
    <mergeCell ref="O498:P498"/>
    <mergeCell ref="R498:T498"/>
    <mergeCell ref="A499:L499"/>
    <mergeCell ref="M499:N499"/>
    <mergeCell ref="O499:P499"/>
    <mergeCell ref="R499:T499"/>
    <mergeCell ref="A495:L497"/>
    <mergeCell ref="M495:T495"/>
    <mergeCell ref="M496:P496"/>
    <mergeCell ref="Q496:T496"/>
    <mergeCell ref="M497:N497"/>
    <mergeCell ref="O497:P497"/>
    <mergeCell ref="R497:T497"/>
    <mergeCell ref="A491:B491"/>
    <mergeCell ref="C491:T491"/>
    <mergeCell ref="A492:E492"/>
    <mergeCell ref="F492:T493"/>
    <mergeCell ref="A494:L494"/>
    <mergeCell ref="M494:N494"/>
    <mergeCell ref="O494:P494"/>
    <mergeCell ref="R494:T494"/>
    <mergeCell ref="A483:S483"/>
    <mergeCell ref="A484:S484"/>
    <mergeCell ref="J486:T486"/>
    <mergeCell ref="B488:R488"/>
    <mergeCell ref="A490:C490"/>
    <mergeCell ref="D490:T490"/>
    <mergeCell ref="A477:S477"/>
    <mergeCell ref="A478:S478"/>
    <mergeCell ref="A479:S479"/>
    <mergeCell ref="A480:S480"/>
    <mergeCell ref="A481:S481"/>
    <mergeCell ref="A482:S482"/>
    <mergeCell ref="A475:D475"/>
    <mergeCell ref="E475:F475"/>
    <mergeCell ref="I475:J475"/>
    <mergeCell ref="L475:M475"/>
    <mergeCell ref="N475:O475"/>
    <mergeCell ref="A476:S476"/>
    <mergeCell ref="A473:D473"/>
    <mergeCell ref="E473:F473"/>
    <mergeCell ref="I473:J473"/>
    <mergeCell ref="L473:M473"/>
    <mergeCell ref="N473:O473"/>
    <mergeCell ref="A474:D474"/>
    <mergeCell ref="E474:F474"/>
    <mergeCell ref="I474:J474"/>
    <mergeCell ref="L474:M474"/>
    <mergeCell ref="N474:O474"/>
    <mergeCell ref="A471:D471"/>
    <mergeCell ref="E471:F471"/>
    <mergeCell ref="I471:J471"/>
    <mergeCell ref="L471:M471"/>
    <mergeCell ref="N471:O471"/>
    <mergeCell ref="A472:D472"/>
    <mergeCell ref="E472:F472"/>
    <mergeCell ref="I472:J472"/>
    <mergeCell ref="L472:M472"/>
    <mergeCell ref="N472:O472"/>
    <mergeCell ref="A469:D469"/>
    <mergeCell ref="E469:F469"/>
    <mergeCell ref="I469:J469"/>
    <mergeCell ref="L469:M469"/>
    <mergeCell ref="N469:O469"/>
    <mergeCell ref="A470:D470"/>
    <mergeCell ref="E470:F470"/>
    <mergeCell ref="I470:J470"/>
    <mergeCell ref="L470:M470"/>
    <mergeCell ref="N470:O470"/>
    <mergeCell ref="A465:T465"/>
    <mergeCell ref="A467:N467"/>
    <mergeCell ref="A468:D468"/>
    <mergeCell ref="E468:F468"/>
    <mergeCell ref="I468:J468"/>
    <mergeCell ref="L468:M468"/>
    <mergeCell ref="N468:O468"/>
    <mergeCell ref="A463:L463"/>
    <mergeCell ref="M463:N463"/>
    <mergeCell ref="O463:P463"/>
    <mergeCell ref="R463:T463"/>
    <mergeCell ref="A464:L464"/>
    <mergeCell ref="M464:N464"/>
    <mergeCell ref="O464:P464"/>
    <mergeCell ref="R464:T464"/>
    <mergeCell ref="A461:L461"/>
    <mergeCell ref="M461:N461"/>
    <mergeCell ref="O461:P461"/>
    <mergeCell ref="R461:T461"/>
    <mergeCell ref="A462:L462"/>
    <mergeCell ref="M462:N462"/>
    <mergeCell ref="O462:P462"/>
    <mergeCell ref="R462:T462"/>
    <mergeCell ref="A458:L460"/>
    <mergeCell ref="M458:T458"/>
    <mergeCell ref="M459:P459"/>
    <mergeCell ref="Q459:T459"/>
    <mergeCell ref="M460:N460"/>
    <mergeCell ref="O460:P460"/>
    <mergeCell ref="R460:T460"/>
    <mergeCell ref="A455:E455"/>
    <mergeCell ref="F455:T456"/>
    <mergeCell ref="A457:L457"/>
    <mergeCell ref="M457:N457"/>
    <mergeCell ref="O457:P457"/>
    <mergeCell ref="R457:T457"/>
    <mergeCell ref="J449:T449"/>
    <mergeCell ref="B451:R451"/>
    <mergeCell ref="A453:C453"/>
    <mergeCell ref="D453:T453"/>
    <mergeCell ref="A454:B454"/>
    <mergeCell ref="C454:T454"/>
    <mergeCell ref="A443:S443"/>
    <mergeCell ref="A444:S444"/>
    <mergeCell ref="A445:S445"/>
    <mergeCell ref="A446:S446"/>
    <mergeCell ref="A447:S447"/>
    <mergeCell ref="A448:S448"/>
    <mergeCell ref="A441:D441"/>
    <mergeCell ref="E441:F441"/>
    <mergeCell ref="I441:J441"/>
    <mergeCell ref="L441:M441"/>
    <mergeCell ref="N441:O441"/>
    <mergeCell ref="A442:D442"/>
    <mergeCell ref="E442:F442"/>
    <mergeCell ref="I442:J442"/>
    <mergeCell ref="L442:M442"/>
    <mergeCell ref="N442:O442"/>
    <mergeCell ref="A439:D439"/>
    <mergeCell ref="E439:F439"/>
    <mergeCell ref="I439:J439"/>
    <mergeCell ref="L439:M439"/>
    <mergeCell ref="N439:O439"/>
    <mergeCell ref="A440:D440"/>
    <mergeCell ref="E440:F440"/>
    <mergeCell ref="I440:J440"/>
    <mergeCell ref="L440:M440"/>
    <mergeCell ref="N440:O440"/>
    <mergeCell ref="A437:D437"/>
    <mergeCell ref="E437:F437"/>
    <mergeCell ref="I437:J437"/>
    <mergeCell ref="L437:M437"/>
    <mergeCell ref="N437:O437"/>
    <mergeCell ref="A438:D438"/>
    <mergeCell ref="E438:F438"/>
    <mergeCell ref="I438:J438"/>
    <mergeCell ref="L438:M438"/>
    <mergeCell ref="N438:O438"/>
    <mergeCell ref="A435:D435"/>
    <mergeCell ref="E435:F435"/>
    <mergeCell ref="I435:J435"/>
    <mergeCell ref="L435:M435"/>
    <mergeCell ref="N435:O435"/>
    <mergeCell ref="A436:D436"/>
    <mergeCell ref="E436:F436"/>
    <mergeCell ref="I436:J436"/>
    <mergeCell ref="L436:M436"/>
    <mergeCell ref="N436:O436"/>
    <mergeCell ref="A431:L431"/>
    <mergeCell ref="M431:N431"/>
    <mergeCell ref="O431:P431"/>
    <mergeCell ref="R431:T431"/>
    <mergeCell ref="A432:T432"/>
    <mergeCell ref="A434:N434"/>
    <mergeCell ref="A429:L429"/>
    <mergeCell ref="M429:N429"/>
    <mergeCell ref="O429:P429"/>
    <mergeCell ref="R429:T429"/>
    <mergeCell ref="A430:L430"/>
    <mergeCell ref="M430:N430"/>
    <mergeCell ref="O430:P430"/>
    <mergeCell ref="R430:T430"/>
    <mergeCell ref="O427:P427"/>
    <mergeCell ref="R427:T427"/>
    <mergeCell ref="A428:L428"/>
    <mergeCell ref="M428:N428"/>
    <mergeCell ref="O428:P428"/>
    <mergeCell ref="R428:T428"/>
    <mergeCell ref="A423:R423"/>
    <mergeCell ref="A424:L424"/>
    <mergeCell ref="M424:N424"/>
    <mergeCell ref="O424:P424"/>
    <mergeCell ref="R424:T424"/>
    <mergeCell ref="A425:L427"/>
    <mergeCell ref="M425:T425"/>
    <mergeCell ref="M426:P426"/>
    <mergeCell ref="Q426:T426"/>
    <mergeCell ref="M427:N427"/>
    <mergeCell ref="A419:C419"/>
    <mergeCell ref="D419:T419"/>
    <mergeCell ref="A420:B420"/>
    <mergeCell ref="C420:T420"/>
    <mergeCell ref="A421:E421"/>
    <mergeCell ref="F421:T422"/>
    <mergeCell ref="A411:S411"/>
    <mergeCell ref="A412:S412"/>
    <mergeCell ref="A413:S413"/>
    <mergeCell ref="A414:S414"/>
    <mergeCell ref="A415:S415"/>
    <mergeCell ref="B417:R417"/>
    <mergeCell ref="A409:D409"/>
    <mergeCell ref="E409:F409"/>
    <mergeCell ref="I409:J409"/>
    <mergeCell ref="L409:M409"/>
    <mergeCell ref="N409:O409"/>
    <mergeCell ref="A410:S410"/>
    <mergeCell ref="A407:D407"/>
    <mergeCell ref="E407:F407"/>
    <mergeCell ref="I407:J407"/>
    <mergeCell ref="L407:M407"/>
    <mergeCell ref="N407:O407"/>
    <mergeCell ref="A408:D408"/>
    <mergeCell ref="E408:F408"/>
    <mergeCell ref="I408:J408"/>
    <mergeCell ref="L408:M408"/>
    <mergeCell ref="N408:O408"/>
    <mergeCell ref="A405:D405"/>
    <mergeCell ref="E405:F405"/>
    <mergeCell ref="I405:J405"/>
    <mergeCell ref="L405:M405"/>
    <mergeCell ref="N405:O405"/>
    <mergeCell ref="A406:D406"/>
    <mergeCell ref="E406:F406"/>
    <mergeCell ref="I406:J406"/>
    <mergeCell ref="L406:M406"/>
    <mergeCell ref="N406:O406"/>
    <mergeCell ref="A403:D403"/>
    <mergeCell ref="E403:F403"/>
    <mergeCell ref="I403:J403"/>
    <mergeCell ref="L403:M403"/>
    <mergeCell ref="N403:O403"/>
    <mergeCell ref="A404:D404"/>
    <mergeCell ref="E404:F404"/>
    <mergeCell ref="I404:J404"/>
    <mergeCell ref="L404:M404"/>
    <mergeCell ref="N404:O404"/>
    <mergeCell ref="A399:T399"/>
    <mergeCell ref="A401:N401"/>
    <mergeCell ref="A402:D402"/>
    <mergeCell ref="E402:F402"/>
    <mergeCell ref="I402:J402"/>
    <mergeCell ref="L402:M402"/>
    <mergeCell ref="N402:O402"/>
    <mergeCell ref="A397:L397"/>
    <mergeCell ref="M397:N397"/>
    <mergeCell ref="O397:P397"/>
    <mergeCell ref="R397:T397"/>
    <mergeCell ref="A398:L398"/>
    <mergeCell ref="M398:N398"/>
    <mergeCell ref="O398:P398"/>
    <mergeCell ref="R398:T398"/>
    <mergeCell ref="A395:L395"/>
    <mergeCell ref="M395:N395"/>
    <mergeCell ref="O395:P395"/>
    <mergeCell ref="R395:T395"/>
    <mergeCell ref="A396:L396"/>
    <mergeCell ref="M396:N396"/>
    <mergeCell ref="O396:P396"/>
    <mergeCell ref="R396:T396"/>
    <mergeCell ref="A392:L394"/>
    <mergeCell ref="M392:T392"/>
    <mergeCell ref="M393:P393"/>
    <mergeCell ref="Q393:T393"/>
    <mergeCell ref="M394:N394"/>
    <mergeCell ref="O394:P394"/>
    <mergeCell ref="R394:T394"/>
    <mergeCell ref="A388:E388"/>
    <mergeCell ref="F388:T389"/>
    <mergeCell ref="A390:R390"/>
    <mergeCell ref="A391:L391"/>
    <mergeCell ref="M391:N391"/>
    <mergeCell ref="O391:P391"/>
    <mergeCell ref="R391:T391"/>
    <mergeCell ref="A381:S381"/>
    <mergeCell ref="J382:T382"/>
    <mergeCell ref="B384:R384"/>
    <mergeCell ref="A386:C386"/>
    <mergeCell ref="D386:T386"/>
    <mergeCell ref="A387:B387"/>
    <mergeCell ref="C387:T387"/>
    <mergeCell ref="A375:S375"/>
    <mergeCell ref="A376:S376"/>
    <mergeCell ref="A377:S377"/>
    <mergeCell ref="A378:S378"/>
    <mergeCell ref="A379:S379"/>
    <mergeCell ref="A380:S380"/>
    <mergeCell ref="A373:D373"/>
    <mergeCell ref="E373:F373"/>
    <mergeCell ref="I373:J373"/>
    <mergeCell ref="L373:M373"/>
    <mergeCell ref="N373:O373"/>
    <mergeCell ref="A374:S374"/>
    <mergeCell ref="A371:D371"/>
    <mergeCell ref="E371:F371"/>
    <mergeCell ref="I371:J371"/>
    <mergeCell ref="L371:M371"/>
    <mergeCell ref="N371:O371"/>
    <mergeCell ref="A372:D372"/>
    <mergeCell ref="E372:F372"/>
    <mergeCell ref="I372:J372"/>
    <mergeCell ref="L372:M372"/>
    <mergeCell ref="N372:O372"/>
    <mergeCell ref="A369:D369"/>
    <mergeCell ref="E369:F369"/>
    <mergeCell ref="I369:J369"/>
    <mergeCell ref="L369:M369"/>
    <mergeCell ref="N369:O369"/>
    <mergeCell ref="A370:D370"/>
    <mergeCell ref="E370:F370"/>
    <mergeCell ref="I370:J370"/>
    <mergeCell ref="L370:M370"/>
    <mergeCell ref="N370:O370"/>
    <mergeCell ref="A367:D367"/>
    <mergeCell ref="E367:F367"/>
    <mergeCell ref="I367:J367"/>
    <mergeCell ref="L367:M367"/>
    <mergeCell ref="N367:O367"/>
    <mergeCell ref="A368:D368"/>
    <mergeCell ref="E368:F368"/>
    <mergeCell ref="I368:J368"/>
    <mergeCell ref="L368:M368"/>
    <mergeCell ref="N368:O368"/>
    <mergeCell ref="A363:T363"/>
    <mergeCell ref="A365:N365"/>
    <mergeCell ref="A366:D366"/>
    <mergeCell ref="E366:F366"/>
    <mergeCell ref="I366:J366"/>
    <mergeCell ref="L366:M366"/>
    <mergeCell ref="N366:O366"/>
    <mergeCell ref="A361:L361"/>
    <mergeCell ref="M361:N361"/>
    <mergeCell ref="O361:P361"/>
    <mergeCell ref="R361:T361"/>
    <mergeCell ref="A362:L362"/>
    <mergeCell ref="M362:N362"/>
    <mergeCell ref="O362:P362"/>
    <mergeCell ref="R362:T362"/>
    <mergeCell ref="A359:L359"/>
    <mergeCell ref="M359:N359"/>
    <mergeCell ref="O359:P359"/>
    <mergeCell ref="R359:T359"/>
    <mergeCell ref="A360:L360"/>
    <mergeCell ref="M360:N360"/>
    <mergeCell ref="O360:P360"/>
    <mergeCell ref="R360:T360"/>
    <mergeCell ref="A356:L358"/>
    <mergeCell ref="M356:T356"/>
    <mergeCell ref="M357:P357"/>
    <mergeCell ref="Q357:T357"/>
    <mergeCell ref="M358:N358"/>
    <mergeCell ref="O358:P358"/>
    <mergeCell ref="R358:T358"/>
    <mergeCell ref="A351:B351"/>
    <mergeCell ref="C351:T351"/>
    <mergeCell ref="A352:E352"/>
    <mergeCell ref="F352:T353"/>
    <mergeCell ref="A354:R354"/>
    <mergeCell ref="A355:L355"/>
    <mergeCell ref="M355:N355"/>
    <mergeCell ref="O355:P355"/>
    <mergeCell ref="R355:T355"/>
    <mergeCell ref="A343:S343"/>
    <mergeCell ref="A344:S344"/>
    <mergeCell ref="A345:S345"/>
    <mergeCell ref="J346:T346"/>
    <mergeCell ref="B348:R348"/>
    <mergeCell ref="A350:C350"/>
    <mergeCell ref="D350:T350"/>
    <mergeCell ref="A337:S337"/>
    <mergeCell ref="A338:S338"/>
    <mergeCell ref="A339:S339"/>
    <mergeCell ref="A340:S340"/>
    <mergeCell ref="A341:S341"/>
    <mergeCell ref="A342:S342"/>
    <mergeCell ref="A335:D335"/>
    <mergeCell ref="E335:F335"/>
    <mergeCell ref="I335:J335"/>
    <mergeCell ref="L335:M335"/>
    <mergeCell ref="N335:O335"/>
    <mergeCell ref="A336:D336"/>
    <mergeCell ref="E336:F336"/>
    <mergeCell ref="I336:J336"/>
    <mergeCell ref="L336:M336"/>
    <mergeCell ref="N336:O336"/>
    <mergeCell ref="A333:D333"/>
    <mergeCell ref="E333:F333"/>
    <mergeCell ref="I333:J333"/>
    <mergeCell ref="L333:M333"/>
    <mergeCell ref="N333:O333"/>
    <mergeCell ref="A334:D334"/>
    <mergeCell ref="E334:F334"/>
    <mergeCell ref="I334:J334"/>
    <mergeCell ref="L334:M334"/>
    <mergeCell ref="N334:O334"/>
    <mergeCell ref="A331:D331"/>
    <mergeCell ref="E331:F331"/>
    <mergeCell ref="I331:J331"/>
    <mergeCell ref="L331:M331"/>
    <mergeCell ref="N331:O331"/>
    <mergeCell ref="A332:D332"/>
    <mergeCell ref="E332:F332"/>
    <mergeCell ref="I332:J332"/>
    <mergeCell ref="L332:M332"/>
    <mergeCell ref="N332:O332"/>
    <mergeCell ref="A329:D329"/>
    <mergeCell ref="E329:F329"/>
    <mergeCell ref="I329:J329"/>
    <mergeCell ref="L329:M329"/>
    <mergeCell ref="N329:O329"/>
    <mergeCell ref="A330:D330"/>
    <mergeCell ref="E330:F330"/>
    <mergeCell ref="I330:J330"/>
    <mergeCell ref="L330:M330"/>
    <mergeCell ref="N330:O330"/>
    <mergeCell ref="A325:L325"/>
    <mergeCell ref="M325:N325"/>
    <mergeCell ref="O325:P325"/>
    <mergeCell ref="R325:T325"/>
    <mergeCell ref="A326:T326"/>
    <mergeCell ref="A328:N328"/>
    <mergeCell ref="A322:L324"/>
    <mergeCell ref="M322:T322"/>
    <mergeCell ref="M323:P323"/>
    <mergeCell ref="Q323:T323"/>
    <mergeCell ref="M324:N324"/>
    <mergeCell ref="O324:P324"/>
    <mergeCell ref="R324:T324"/>
    <mergeCell ref="A318:B318"/>
    <mergeCell ref="C318:T318"/>
    <mergeCell ref="A319:E319"/>
    <mergeCell ref="F319:T320"/>
    <mergeCell ref="A321:L321"/>
    <mergeCell ref="M321:N321"/>
    <mergeCell ref="O321:P321"/>
    <mergeCell ref="R321:T321"/>
    <mergeCell ref="A311:S311"/>
    <mergeCell ref="A312:S312"/>
    <mergeCell ref="J313:T313"/>
    <mergeCell ref="B315:R315"/>
    <mergeCell ref="A317:C317"/>
    <mergeCell ref="D317:T317"/>
    <mergeCell ref="A305:S305"/>
    <mergeCell ref="A306:S306"/>
    <mergeCell ref="A307:S307"/>
    <mergeCell ref="A308:S308"/>
    <mergeCell ref="A309:S309"/>
    <mergeCell ref="A310:S310"/>
    <mergeCell ref="A303:D303"/>
    <mergeCell ref="E303:F303"/>
    <mergeCell ref="I303:J303"/>
    <mergeCell ref="L303:M303"/>
    <mergeCell ref="N303:O303"/>
    <mergeCell ref="A304:D304"/>
    <mergeCell ref="E304:F304"/>
    <mergeCell ref="I304:J304"/>
    <mergeCell ref="L304:M304"/>
    <mergeCell ref="N304:O304"/>
    <mergeCell ref="A301:D301"/>
    <mergeCell ref="E301:F301"/>
    <mergeCell ref="I301:J301"/>
    <mergeCell ref="L301:M301"/>
    <mergeCell ref="N301:O301"/>
    <mergeCell ref="A302:D302"/>
    <mergeCell ref="E302:F302"/>
    <mergeCell ref="I302:J302"/>
    <mergeCell ref="L302:M302"/>
    <mergeCell ref="N302:O302"/>
    <mergeCell ref="A299:D299"/>
    <mergeCell ref="E299:F299"/>
    <mergeCell ref="I299:J299"/>
    <mergeCell ref="L299:M299"/>
    <mergeCell ref="N299:O299"/>
    <mergeCell ref="A300:D300"/>
    <mergeCell ref="E300:F300"/>
    <mergeCell ref="I300:J300"/>
    <mergeCell ref="L300:M300"/>
    <mergeCell ref="N300:O300"/>
    <mergeCell ref="A297:D297"/>
    <mergeCell ref="E297:F297"/>
    <mergeCell ref="I297:J297"/>
    <mergeCell ref="L297:M297"/>
    <mergeCell ref="N297:O297"/>
    <mergeCell ref="A298:D298"/>
    <mergeCell ref="E298:F298"/>
    <mergeCell ref="I298:J298"/>
    <mergeCell ref="L298:M298"/>
    <mergeCell ref="N298:O298"/>
    <mergeCell ref="A293:L293"/>
    <mergeCell ref="M293:N293"/>
    <mergeCell ref="O293:P293"/>
    <mergeCell ref="R293:T293"/>
    <mergeCell ref="A294:T294"/>
    <mergeCell ref="A296:N296"/>
    <mergeCell ref="A290:L292"/>
    <mergeCell ref="M290:T290"/>
    <mergeCell ref="M291:P291"/>
    <mergeCell ref="Q291:T291"/>
    <mergeCell ref="M292:N292"/>
    <mergeCell ref="O292:P292"/>
    <mergeCell ref="R292:T292"/>
    <mergeCell ref="A286:B286"/>
    <mergeCell ref="C286:T286"/>
    <mergeCell ref="A287:E287"/>
    <mergeCell ref="F287:T288"/>
    <mergeCell ref="A289:L289"/>
    <mergeCell ref="M289:N289"/>
    <mergeCell ref="O289:P289"/>
    <mergeCell ref="R289:T289"/>
    <mergeCell ref="A245:S245"/>
    <mergeCell ref="A246:S246"/>
    <mergeCell ref="A247:S247"/>
    <mergeCell ref="J281:T281"/>
    <mergeCell ref="B283:R283"/>
    <mergeCell ref="A285:C285"/>
    <mergeCell ref="D285:T285"/>
    <mergeCell ref="A239:S239"/>
    <mergeCell ref="A240:S240"/>
    <mergeCell ref="A241:S241"/>
    <mergeCell ref="A242:S242"/>
    <mergeCell ref="A243:S243"/>
    <mergeCell ref="A244:S244"/>
    <mergeCell ref="A261:T261"/>
    <mergeCell ref="A263:N263"/>
    <mergeCell ref="A264:D264"/>
    <mergeCell ref="E264:F264"/>
    <mergeCell ref="I264:J264"/>
    <mergeCell ref="L264:M264"/>
    <mergeCell ref="N264:O264"/>
    <mergeCell ref="A265:D265"/>
    <mergeCell ref="E265:F265"/>
    <mergeCell ref="I265:J265"/>
    <mergeCell ref="L265:M265"/>
    <mergeCell ref="A237:D237"/>
    <mergeCell ref="E237:F237"/>
    <mergeCell ref="I237:J237"/>
    <mergeCell ref="L237:M237"/>
    <mergeCell ref="N237:O237"/>
    <mergeCell ref="A238:D238"/>
    <mergeCell ref="E238:F238"/>
    <mergeCell ref="I238:J238"/>
    <mergeCell ref="L238:M238"/>
    <mergeCell ref="N238:O238"/>
    <mergeCell ref="A235:D235"/>
    <mergeCell ref="E235:F235"/>
    <mergeCell ref="I235:J235"/>
    <mergeCell ref="L235:M235"/>
    <mergeCell ref="N235:O235"/>
    <mergeCell ref="A236:D236"/>
    <mergeCell ref="E236:F236"/>
    <mergeCell ref="I236:J236"/>
    <mergeCell ref="L236:M236"/>
    <mergeCell ref="N236:O236"/>
    <mergeCell ref="A233:D233"/>
    <mergeCell ref="E233:F233"/>
    <mergeCell ref="I233:J233"/>
    <mergeCell ref="L233:M233"/>
    <mergeCell ref="N233:O233"/>
    <mergeCell ref="A234:D234"/>
    <mergeCell ref="E234:F234"/>
    <mergeCell ref="I234:J234"/>
    <mergeCell ref="L234:M234"/>
    <mergeCell ref="N234:O234"/>
    <mergeCell ref="A231:D231"/>
    <mergeCell ref="E231:F231"/>
    <mergeCell ref="I231:J231"/>
    <mergeCell ref="L231:M231"/>
    <mergeCell ref="N231:O231"/>
    <mergeCell ref="A232:D232"/>
    <mergeCell ref="E232:F232"/>
    <mergeCell ref="I232:J232"/>
    <mergeCell ref="L232:M232"/>
    <mergeCell ref="N232:O232"/>
    <mergeCell ref="A227:L227"/>
    <mergeCell ref="M227:N227"/>
    <mergeCell ref="O227:P227"/>
    <mergeCell ref="R227:T227"/>
    <mergeCell ref="A228:T228"/>
    <mergeCell ref="A230:N230"/>
    <mergeCell ref="A224:L226"/>
    <mergeCell ref="M224:T224"/>
    <mergeCell ref="M225:P225"/>
    <mergeCell ref="Q225:T225"/>
    <mergeCell ref="M226:N226"/>
    <mergeCell ref="O226:P226"/>
    <mergeCell ref="R226:T226"/>
    <mergeCell ref="A220:B220"/>
    <mergeCell ref="C220:T220"/>
    <mergeCell ref="A221:E221"/>
    <mergeCell ref="F221:T222"/>
    <mergeCell ref="A223:L223"/>
    <mergeCell ref="M223:N223"/>
    <mergeCell ref="O223:P223"/>
    <mergeCell ref="R223:T223"/>
    <mergeCell ref="A212:S212"/>
    <mergeCell ref="A213:S213"/>
    <mergeCell ref="A214:S214"/>
    <mergeCell ref="J215:T215"/>
    <mergeCell ref="B217:R217"/>
    <mergeCell ref="A219:C219"/>
    <mergeCell ref="D219:T219"/>
    <mergeCell ref="A206:S206"/>
    <mergeCell ref="A207:S207"/>
    <mergeCell ref="A208:S208"/>
    <mergeCell ref="A209:S209"/>
    <mergeCell ref="A210:S210"/>
    <mergeCell ref="A211:S211"/>
    <mergeCell ref="A204:D204"/>
    <mergeCell ref="E204:F204"/>
    <mergeCell ref="I204:J204"/>
    <mergeCell ref="L204:M204"/>
    <mergeCell ref="N204:O204"/>
    <mergeCell ref="A205:D205"/>
    <mergeCell ref="E205:F205"/>
    <mergeCell ref="I205:J205"/>
    <mergeCell ref="L205:M205"/>
    <mergeCell ref="N205:O205"/>
    <mergeCell ref="A202:D202"/>
    <mergeCell ref="E202:F202"/>
    <mergeCell ref="I202:J202"/>
    <mergeCell ref="L202:M202"/>
    <mergeCell ref="N202:O202"/>
    <mergeCell ref="A203:D203"/>
    <mergeCell ref="E203:F203"/>
    <mergeCell ref="I203:J203"/>
    <mergeCell ref="L203:M203"/>
    <mergeCell ref="N203:O203"/>
    <mergeCell ref="A200:D200"/>
    <mergeCell ref="E200:F200"/>
    <mergeCell ref="I200:J200"/>
    <mergeCell ref="L200:M200"/>
    <mergeCell ref="N200:O200"/>
    <mergeCell ref="A201:D201"/>
    <mergeCell ref="E201:F201"/>
    <mergeCell ref="I201:J201"/>
    <mergeCell ref="L201:M201"/>
    <mergeCell ref="N201:O201"/>
    <mergeCell ref="A198:D198"/>
    <mergeCell ref="E198:F198"/>
    <mergeCell ref="I198:J198"/>
    <mergeCell ref="L198:M198"/>
    <mergeCell ref="N198:O198"/>
    <mergeCell ref="A199:D199"/>
    <mergeCell ref="E199:F199"/>
    <mergeCell ref="I199:J199"/>
    <mergeCell ref="L199:M199"/>
    <mergeCell ref="N199:O199"/>
    <mergeCell ref="A194:L194"/>
    <mergeCell ref="M194:N194"/>
    <mergeCell ref="O194:P194"/>
    <mergeCell ref="R194:T194"/>
    <mergeCell ref="A195:T195"/>
    <mergeCell ref="A197:N197"/>
    <mergeCell ref="A191:L193"/>
    <mergeCell ref="M191:T191"/>
    <mergeCell ref="M192:P192"/>
    <mergeCell ref="Q192:T192"/>
    <mergeCell ref="M193:N193"/>
    <mergeCell ref="O193:P193"/>
    <mergeCell ref="R193:T193"/>
    <mergeCell ref="A187:B187"/>
    <mergeCell ref="C187:T187"/>
    <mergeCell ref="A188:E188"/>
    <mergeCell ref="F188:T189"/>
    <mergeCell ref="A190:L190"/>
    <mergeCell ref="M190:N190"/>
    <mergeCell ref="O190:P190"/>
    <mergeCell ref="R190:T190"/>
    <mergeCell ref="A180:S180"/>
    <mergeCell ref="A181:S181"/>
    <mergeCell ref="J182:T182"/>
    <mergeCell ref="B184:R184"/>
    <mergeCell ref="A186:C186"/>
    <mergeCell ref="D186:T186"/>
    <mergeCell ref="A174:S174"/>
    <mergeCell ref="A175:S175"/>
    <mergeCell ref="A176:S176"/>
    <mergeCell ref="A177:S177"/>
    <mergeCell ref="A178:S178"/>
    <mergeCell ref="A179:S179"/>
    <mergeCell ref="A172:D172"/>
    <mergeCell ref="E172:F172"/>
    <mergeCell ref="I172:J172"/>
    <mergeCell ref="L172:M172"/>
    <mergeCell ref="N172:O172"/>
    <mergeCell ref="A173:D173"/>
    <mergeCell ref="E173:F173"/>
    <mergeCell ref="I173:J173"/>
    <mergeCell ref="L173:M173"/>
    <mergeCell ref="N173:O173"/>
    <mergeCell ref="A170:D170"/>
    <mergeCell ref="E170:F170"/>
    <mergeCell ref="I170:J170"/>
    <mergeCell ref="L170:M170"/>
    <mergeCell ref="N170:O170"/>
    <mergeCell ref="A171:D171"/>
    <mergeCell ref="E171:F171"/>
    <mergeCell ref="I171:J171"/>
    <mergeCell ref="L171:M171"/>
    <mergeCell ref="N171:O171"/>
    <mergeCell ref="A168:D168"/>
    <mergeCell ref="E168:F168"/>
    <mergeCell ref="I168:J168"/>
    <mergeCell ref="L168:M168"/>
    <mergeCell ref="N168:O168"/>
    <mergeCell ref="A169:D169"/>
    <mergeCell ref="E169:F169"/>
    <mergeCell ref="I169:J169"/>
    <mergeCell ref="L169:M169"/>
    <mergeCell ref="N169:O169"/>
    <mergeCell ref="A166:D166"/>
    <mergeCell ref="E166:F166"/>
    <mergeCell ref="I166:J166"/>
    <mergeCell ref="L166:M166"/>
    <mergeCell ref="N166:O166"/>
    <mergeCell ref="A167:D167"/>
    <mergeCell ref="E167:F167"/>
    <mergeCell ref="I167:J167"/>
    <mergeCell ref="L167:M167"/>
    <mergeCell ref="N167:O167"/>
    <mergeCell ref="A162:L162"/>
    <mergeCell ref="M162:N162"/>
    <mergeCell ref="O162:P162"/>
    <mergeCell ref="R162:T162"/>
    <mergeCell ref="A163:T163"/>
    <mergeCell ref="A165:N165"/>
    <mergeCell ref="A159:L161"/>
    <mergeCell ref="M159:T159"/>
    <mergeCell ref="M160:P160"/>
    <mergeCell ref="Q160:T160"/>
    <mergeCell ref="M161:N161"/>
    <mergeCell ref="O161:P161"/>
    <mergeCell ref="R161:T161"/>
    <mergeCell ref="A155:B155"/>
    <mergeCell ref="C155:T155"/>
    <mergeCell ref="A156:E156"/>
    <mergeCell ref="F156:T157"/>
    <mergeCell ref="A158:L158"/>
    <mergeCell ref="M158:N158"/>
    <mergeCell ref="O158:P158"/>
    <mergeCell ref="R158:T158"/>
    <mergeCell ref="A147:S147"/>
    <mergeCell ref="A148:S148"/>
    <mergeCell ref="A149:S149"/>
    <mergeCell ref="J150:T150"/>
    <mergeCell ref="B152:R152"/>
    <mergeCell ref="A154:C154"/>
    <mergeCell ref="D154:T154"/>
    <mergeCell ref="A141:S141"/>
    <mergeCell ref="A142:S142"/>
    <mergeCell ref="A143:S143"/>
    <mergeCell ref="A144:S144"/>
    <mergeCell ref="A145:S145"/>
    <mergeCell ref="A146:S146"/>
    <mergeCell ref="A139:D139"/>
    <mergeCell ref="E139:F139"/>
    <mergeCell ref="I139:J139"/>
    <mergeCell ref="L139:M139"/>
    <mergeCell ref="N139:O139"/>
    <mergeCell ref="A140:D140"/>
    <mergeCell ref="E140:F140"/>
    <mergeCell ref="I140:J140"/>
    <mergeCell ref="L140:M140"/>
    <mergeCell ref="N140:O140"/>
    <mergeCell ref="A137:D137"/>
    <mergeCell ref="E137:F137"/>
    <mergeCell ref="I137:J137"/>
    <mergeCell ref="L137:M137"/>
    <mergeCell ref="N137:O137"/>
    <mergeCell ref="A138:D138"/>
    <mergeCell ref="E138:F138"/>
    <mergeCell ref="I138:J138"/>
    <mergeCell ref="L138:M138"/>
    <mergeCell ref="N138:O138"/>
    <mergeCell ref="A135:D135"/>
    <mergeCell ref="E135:F135"/>
    <mergeCell ref="I135:J135"/>
    <mergeCell ref="L135:M135"/>
    <mergeCell ref="N135:O135"/>
    <mergeCell ref="A136:D136"/>
    <mergeCell ref="E136:F136"/>
    <mergeCell ref="I136:J136"/>
    <mergeCell ref="L136:M136"/>
    <mergeCell ref="N136:O136"/>
    <mergeCell ref="A133:D133"/>
    <mergeCell ref="E133:F133"/>
    <mergeCell ref="I133:J133"/>
    <mergeCell ref="L133:M133"/>
    <mergeCell ref="N133:O133"/>
    <mergeCell ref="A134:D134"/>
    <mergeCell ref="E134:F134"/>
    <mergeCell ref="I134:J134"/>
    <mergeCell ref="L134:M134"/>
    <mergeCell ref="N134:O134"/>
    <mergeCell ref="A129:L129"/>
    <mergeCell ref="M129:N129"/>
    <mergeCell ref="O129:P129"/>
    <mergeCell ref="R129:T129"/>
    <mergeCell ref="A130:T130"/>
    <mergeCell ref="A132:N132"/>
    <mergeCell ref="A126:L126"/>
    <mergeCell ref="M126:N126"/>
    <mergeCell ref="O126:P126"/>
    <mergeCell ref="R126:T126"/>
    <mergeCell ref="A127:L127"/>
    <mergeCell ref="M127:N127"/>
    <mergeCell ref="O127:P127"/>
    <mergeCell ref="R127:T127"/>
    <mergeCell ref="A128:L128"/>
    <mergeCell ref="M128:N128"/>
    <mergeCell ref="O128:P128"/>
    <mergeCell ref="R128:T128"/>
    <mergeCell ref="A124:L124"/>
    <mergeCell ref="M124:N124"/>
    <mergeCell ref="O124:P124"/>
    <mergeCell ref="R124:T124"/>
    <mergeCell ref="A125:L125"/>
    <mergeCell ref="M125:N125"/>
    <mergeCell ref="O125:P125"/>
    <mergeCell ref="R125:T125"/>
    <mergeCell ref="A121:L123"/>
    <mergeCell ref="M121:T121"/>
    <mergeCell ref="M122:P122"/>
    <mergeCell ref="Q122:T122"/>
    <mergeCell ref="M123:N123"/>
    <mergeCell ref="O123:P123"/>
    <mergeCell ref="R123:T123"/>
    <mergeCell ref="A117:B117"/>
    <mergeCell ref="C117:T117"/>
    <mergeCell ref="A118:E118"/>
    <mergeCell ref="F118:T119"/>
    <mergeCell ref="A120:L120"/>
    <mergeCell ref="M120:N120"/>
    <mergeCell ref="O120:P120"/>
    <mergeCell ref="R120:T120"/>
    <mergeCell ref="A109:S109"/>
    <mergeCell ref="A110:S110"/>
    <mergeCell ref="A111:S111"/>
    <mergeCell ref="J112:T112"/>
    <mergeCell ref="B114:R114"/>
    <mergeCell ref="A116:C116"/>
    <mergeCell ref="D116:T116"/>
    <mergeCell ref="A103:S103"/>
    <mergeCell ref="A104:S104"/>
    <mergeCell ref="A105:S105"/>
    <mergeCell ref="A106:S106"/>
    <mergeCell ref="A107:S107"/>
    <mergeCell ref="A108:S108"/>
    <mergeCell ref="A101:D101"/>
    <mergeCell ref="E101:F101"/>
    <mergeCell ref="I101:J101"/>
    <mergeCell ref="L101:M101"/>
    <mergeCell ref="N101:O101"/>
    <mergeCell ref="A102:D102"/>
    <mergeCell ref="E102:F102"/>
    <mergeCell ref="I102:J102"/>
    <mergeCell ref="L102:M102"/>
    <mergeCell ref="N102:O102"/>
    <mergeCell ref="A99:D99"/>
    <mergeCell ref="E99:F99"/>
    <mergeCell ref="I99:J99"/>
    <mergeCell ref="L99:M99"/>
    <mergeCell ref="N99:O99"/>
    <mergeCell ref="A100:D100"/>
    <mergeCell ref="E100:F100"/>
    <mergeCell ref="I100:J100"/>
    <mergeCell ref="L100:M100"/>
    <mergeCell ref="N100:O100"/>
    <mergeCell ref="A97:D97"/>
    <mergeCell ref="E97:F97"/>
    <mergeCell ref="I97:J97"/>
    <mergeCell ref="L97:M97"/>
    <mergeCell ref="N97:O97"/>
    <mergeCell ref="A98:D98"/>
    <mergeCell ref="E98:F98"/>
    <mergeCell ref="I98:J98"/>
    <mergeCell ref="L98:M98"/>
    <mergeCell ref="N98:O98"/>
    <mergeCell ref="A95:D95"/>
    <mergeCell ref="E95:F95"/>
    <mergeCell ref="I95:J95"/>
    <mergeCell ref="L95:M95"/>
    <mergeCell ref="N95:O95"/>
    <mergeCell ref="A96:D96"/>
    <mergeCell ref="E96:F96"/>
    <mergeCell ref="I96:J96"/>
    <mergeCell ref="L96:M96"/>
    <mergeCell ref="N96:O96"/>
    <mergeCell ref="A91:L91"/>
    <mergeCell ref="M91:N91"/>
    <mergeCell ref="O91:P91"/>
    <mergeCell ref="R91:T91"/>
    <mergeCell ref="A92:T92"/>
    <mergeCell ref="A94:N94"/>
    <mergeCell ref="A89:L89"/>
    <mergeCell ref="M89:N89"/>
    <mergeCell ref="O89:P89"/>
    <mergeCell ref="R89:T89"/>
    <mergeCell ref="A90:L90"/>
    <mergeCell ref="M90:N90"/>
    <mergeCell ref="O90:P90"/>
    <mergeCell ref="R90:T90"/>
    <mergeCell ref="A87:L87"/>
    <mergeCell ref="M87:N87"/>
    <mergeCell ref="O87:P87"/>
    <mergeCell ref="R87:T87"/>
    <mergeCell ref="A88:L88"/>
    <mergeCell ref="M88:N88"/>
    <mergeCell ref="O88:P88"/>
    <mergeCell ref="R88:T88"/>
    <mergeCell ref="A84:L86"/>
    <mergeCell ref="M84:T84"/>
    <mergeCell ref="M85:P85"/>
    <mergeCell ref="Q85:T85"/>
    <mergeCell ref="M86:N86"/>
    <mergeCell ref="O86:P86"/>
    <mergeCell ref="R86:T86"/>
    <mergeCell ref="A80:B80"/>
    <mergeCell ref="C80:T80"/>
    <mergeCell ref="A81:E81"/>
    <mergeCell ref="F81:T82"/>
    <mergeCell ref="A83:L83"/>
    <mergeCell ref="M83:N83"/>
    <mergeCell ref="O83:P83"/>
    <mergeCell ref="R83:T83"/>
    <mergeCell ref="A72:S72"/>
    <mergeCell ref="A73:S73"/>
    <mergeCell ref="J75:T75"/>
    <mergeCell ref="B77:R77"/>
    <mergeCell ref="A79:C79"/>
    <mergeCell ref="D79:T79"/>
    <mergeCell ref="A66:S66"/>
    <mergeCell ref="A67:S67"/>
    <mergeCell ref="A68:S68"/>
    <mergeCell ref="A69:S69"/>
    <mergeCell ref="A70:S70"/>
    <mergeCell ref="A71:S71"/>
    <mergeCell ref="A64:D64"/>
    <mergeCell ref="E64:F64"/>
    <mergeCell ref="I64:J64"/>
    <mergeCell ref="L64:M64"/>
    <mergeCell ref="N64:O64"/>
    <mergeCell ref="A65:S65"/>
    <mergeCell ref="A62:D62"/>
    <mergeCell ref="E62:F62"/>
    <mergeCell ref="I62:J62"/>
    <mergeCell ref="L62:M62"/>
    <mergeCell ref="N62:O62"/>
    <mergeCell ref="A63:D63"/>
    <mergeCell ref="E63:F63"/>
    <mergeCell ref="I63:J63"/>
    <mergeCell ref="L63:M63"/>
    <mergeCell ref="N63:O63"/>
    <mergeCell ref="A60:D60"/>
    <mergeCell ref="E60:F60"/>
    <mergeCell ref="I60:J60"/>
    <mergeCell ref="L60:M60"/>
    <mergeCell ref="N60:O60"/>
    <mergeCell ref="A61:D61"/>
    <mergeCell ref="E61:F61"/>
    <mergeCell ref="I61:J61"/>
    <mergeCell ref="L61:M61"/>
    <mergeCell ref="N61:O61"/>
    <mergeCell ref="A58:D58"/>
    <mergeCell ref="E58:F58"/>
    <mergeCell ref="I58:J58"/>
    <mergeCell ref="L58:M58"/>
    <mergeCell ref="N58:O58"/>
    <mergeCell ref="A59:D59"/>
    <mergeCell ref="E59:F59"/>
    <mergeCell ref="I59:J59"/>
    <mergeCell ref="L59:M59"/>
    <mergeCell ref="N59:O59"/>
    <mergeCell ref="A54:T54"/>
    <mergeCell ref="A56:N56"/>
    <mergeCell ref="A57:D57"/>
    <mergeCell ref="E57:F57"/>
    <mergeCell ref="I57:J57"/>
    <mergeCell ref="L57:M57"/>
    <mergeCell ref="N57:O57"/>
    <mergeCell ref="A52:L52"/>
    <mergeCell ref="M52:N52"/>
    <mergeCell ref="O52:P52"/>
    <mergeCell ref="R52:T52"/>
    <mergeCell ref="A53:L53"/>
    <mergeCell ref="M53:N53"/>
    <mergeCell ref="O53:P53"/>
    <mergeCell ref="R53:T53"/>
    <mergeCell ref="A50:L50"/>
    <mergeCell ref="M50:N50"/>
    <mergeCell ref="O50:P50"/>
    <mergeCell ref="R50:T50"/>
    <mergeCell ref="A51:L51"/>
    <mergeCell ref="M51:N51"/>
    <mergeCell ref="O51:P51"/>
    <mergeCell ref="R51:T51"/>
    <mergeCell ref="A47:L49"/>
    <mergeCell ref="M47:T47"/>
    <mergeCell ref="M48:P48"/>
    <mergeCell ref="Q48:T48"/>
    <mergeCell ref="M49:N49"/>
    <mergeCell ref="O49:P49"/>
    <mergeCell ref="R49:T49"/>
    <mergeCell ref="A43:E43"/>
    <mergeCell ref="F43:T44"/>
    <mergeCell ref="A45:R45"/>
    <mergeCell ref="A46:L46"/>
    <mergeCell ref="M46:N46"/>
    <mergeCell ref="O46:P46"/>
    <mergeCell ref="R46:T46"/>
    <mergeCell ref="A36:S36"/>
    <mergeCell ref="J37:T37"/>
    <mergeCell ref="B39:R39"/>
    <mergeCell ref="A41:C41"/>
    <mergeCell ref="D41:T41"/>
    <mergeCell ref="A42:B42"/>
    <mergeCell ref="C42:T42"/>
    <mergeCell ref="A30:S30"/>
    <mergeCell ref="A31:S31"/>
    <mergeCell ref="A32:S32"/>
    <mergeCell ref="A33:S33"/>
    <mergeCell ref="A34:S34"/>
    <mergeCell ref="A35:S35"/>
    <mergeCell ref="A28:D28"/>
    <mergeCell ref="E28:F28"/>
    <mergeCell ref="I28:J28"/>
    <mergeCell ref="L28:M28"/>
    <mergeCell ref="N28:O28"/>
    <mergeCell ref="A29:S29"/>
    <mergeCell ref="A26:D26"/>
    <mergeCell ref="E26:F26"/>
    <mergeCell ref="I26:J26"/>
    <mergeCell ref="L26:M26"/>
    <mergeCell ref="N26:O26"/>
    <mergeCell ref="A27:D27"/>
    <mergeCell ref="E27:F27"/>
    <mergeCell ref="I27:J27"/>
    <mergeCell ref="L27:M27"/>
    <mergeCell ref="N27:O27"/>
    <mergeCell ref="A24:D24"/>
    <mergeCell ref="E24:F24"/>
    <mergeCell ref="I24:J24"/>
    <mergeCell ref="L24:M24"/>
    <mergeCell ref="N24:O24"/>
    <mergeCell ref="A25:D25"/>
    <mergeCell ref="E25:F25"/>
    <mergeCell ref="I25:J25"/>
    <mergeCell ref="L25:M25"/>
    <mergeCell ref="N25:O25"/>
    <mergeCell ref="A22:D22"/>
    <mergeCell ref="E22:F22"/>
    <mergeCell ref="I22:J22"/>
    <mergeCell ref="L22:M22"/>
    <mergeCell ref="N22:O22"/>
    <mergeCell ref="A23:D23"/>
    <mergeCell ref="E23:F23"/>
    <mergeCell ref="I23:J23"/>
    <mergeCell ref="L23:M23"/>
    <mergeCell ref="N23:O23"/>
    <mergeCell ref="A18:T18"/>
    <mergeCell ref="A20:N20"/>
    <mergeCell ref="A21:D21"/>
    <mergeCell ref="E21:F21"/>
    <mergeCell ref="I21:J21"/>
    <mergeCell ref="L21:M21"/>
    <mergeCell ref="N21:O21"/>
    <mergeCell ref="A17:L17"/>
    <mergeCell ref="M17:N17"/>
    <mergeCell ref="O17:P17"/>
    <mergeCell ref="R17:T17"/>
    <mergeCell ref="A14:L14"/>
    <mergeCell ref="M14:N14"/>
    <mergeCell ref="O14:P14"/>
    <mergeCell ref="R14:T14"/>
    <mergeCell ref="A15:L15"/>
    <mergeCell ref="M15:N15"/>
    <mergeCell ref="O15:P15"/>
    <mergeCell ref="R15:T15"/>
    <mergeCell ref="A11:L13"/>
    <mergeCell ref="M11:T11"/>
    <mergeCell ref="M12:P12"/>
    <mergeCell ref="Q12:T12"/>
    <mergeCell ref="M13:N13"/>
    <mergeCell ref="O13:P13"/>
    <mergeCell ref="R13:T13"/>
    <mergeCell ref="A7:E7"/>
    <mergeCell ref="F7:T8"/>
    <mergeCell ref="A9:R9"/>
    <mergeCell ref="A10:L10"/>
    <mergeCell ref="M10:N10"/>
    <mergeCell ref="O10:P10"/>
    <mergeCell ref="R10:T10"/>
    <mergeCell ref="J1:T1"/>
    <mergeCell ref="B3:R3"/>
    <mergeCell ref="A5:C5"/>
    <mergeCell ref="D5:T5"/>
    <mergeCell ref="A6:B6"/>
    <mergeCell ref="C6:T6"/>
    <mergeCell ref="A16:L16"/>
    <mergeCell ref="M16:N16"/>
    <mergeCell ref="O16:P16"/>
    <mergeCell ref="R16:T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1"/>
  <sheetViews>
    <sheetView topLeftCell="A83" workbookViewId="0">
      <selection activeCell="O100" sqref="O100:P100"/>
    </sheetView>
  </sheetViews>
  <sheetFormatPr defaultRowHeight="10.199999999999999" x14ac:dyDescent="0.2"/>
  <sheetData>
    <row r="1" spans="1:20" s="1" customFormat="1" ht="72.45" customHeight="1" x14ac:dyDescent="0.25">
      <c r="J1" s="100" t="s">
        <v>0</v>
      </c>
      <c r="K1" s="100"/>
      <c r="L1" s="100"/>
      <c r="M1" s="100"/>
      <c r="N1" s="100"/>
      <c r="O1" s="100"/>
      <c r="P1" s="100"/>
      <c r="Q1" s="100"/>
      <c r="R1" s="100"/>
      <c r="S1" s="100"/>
      <c r="T1" s="100"/>
    </row>
    <row r="2" spans="1:20" s="1" customFormat="1" ht="7.05" customHeight="1" x14ac:dyDescent="0.25"/>
    <row r="3" spans="1:20" s="1" customFormat="1" ht="14.1" customHeight="1" x14ac:dyDescent="0.25">
      <c r="B3" s="101" t="s">
        <v>257</v>
      </c>
      <c r="C3" s="101"/>
      <c r="D3" s="101"/>
      <c r="E3" s="101"/>
      <c r="F3" s="101"/>
      <c r="G3" s="101"/>
      <c r="H3" s="101"/>
      <c r="I3" s="101"/>
      <c r="J3" s="101"/>
      <c r="K3" s="101"/>
      <c r="L3" s="101"/>
      <c r="M3" s="101"/>
      <c r="N3" s="101"/>
      <c r="O3" s="101"/>
      <c r="P3" s="101"/>
      <c r="Q3" s="101"/>
      <c r="R3" s="101"/>
    </row>
    <row r="4" spans="1:20" s="1" customFormat="1" ht="14.1" customHeight="1" x14ac:dyDescent="0.25"/>
    <row r="5" spans="1:20" s="1" customFormat="1" ht="14.1" customHeight="1" x14ac:dyDescent="0.25">
      <c r="A5" s="102" t="s">
        <v>2</v>
      </c>
      <c r="B5" s="102"/>
      <c r="C5" s="102"/>
      <c r="D5" s="103" t="s">
        <v>258</v>
      </c>
      <c r="E5" s="103"/>
      <c r="F5" s="103"/>
      <c r="G5" s="103"/>
      <c r="H5" s="103"/>
      <c r="I5" s="103"/>
      <c r="J5" s="103"/>
      <c r="K5" s="103"/>
      <c r="L5" s="103"/>
      <c r="M5" s="103"/>
      <c r="N5" s="103"/>
      <c r="O5" s="103"/>
      <c r="P5" s="103"/>
      <c r="Q5" s="103"/>
      <c r="R5" s="103"/>
      <c r="S5" s="103"/>
      <c r="T5" s="103"/>
    </row>
    <row r="6" spans="1:20" s="1" customFormat="1" ht="14.1" customHeight="1" x14ac:dyDescent="0.25">
      <c r="A6" s="102" t="s">
        <v>4</v>
      </c>
      <c r="B6" s="102"/>
      <c r="C6" s="103" t="s">
        <v>259</v>
      </c>
      <c r="D6" s="103"/>
      <c r="E6" s="103"/>
      <c r="F6" s="103"/>
      <c r="G6" s="103"/>
      <c r="H6" s="103"/>
      <c r="I6" s="103"/>
      <c r="J6" s="103"/>
      <c r="K6" s="103"/>
      <c r="L6" s="103"/>
      <c r="M6" s="103"/>
      <c r="N6" s="103"/>
      <c r="O6" s="103"/>
      <c r="P6" s="103"/>
      <c r="Q6" s="103"/>
      <c r="R6" s="103"/>
      <c r="S6" s="103"/>
      <c r="T6" s="103"/>
    </row>
    <row r="7" spans="1:20" s="1" customFormat="1" ht="14.1" customHeight="1" x14ac:dyDescent="0.25">
      <c r="A7" s="102" t="s">
        <v>6</v>
      </c>
      <c r="B7" s="102"/>
      <c r="C7" s="102"/>
      <c r="D7" s="102"/>
      <c r="E7" s="102"/>
      <c r="F7" s="103" t="s">
        <v>60</v>
      </c>
      <c r="G7" s="103"/>
      <c r="H7" s="103"/>
      <c r="I7" s="103"/>
      <c r="J7" s="103"/>
      <c r="K7" s="103"/>
      <c r="L7" s="103"/>
      <c r="M7" s="103"/>
      <c r="N7" s="103"/>
      <c r="O7" s="103"/>
      <c r="P7" s="103"/>
      <c r="Q7" s="103"/>
      <c r="R7" s="103"/>
      <c r="S7" s="103"/>
      <c r="T7" s="103"/>
    </row>
    <row r="8" spans="1:20" s="1" customFormat="1" ht="22.35" customHeight="1" x14ac:dyDescent="0.25">
      <c r="F8" s="103"/>
      <c r="G8" s="103"/>
      <c r="H8" s="103"/>
      <c r="I8" s="103"/>
      <c r="J8" s="103"/>
      <c r="K8" s="103"/>
      <c r="L8" s="103"/>
      <c r="M8" s="103"/>
      <c r="N8" s="103"/>
      <c r="O8" s="103"/>
      <c r="P8" s="103"/>
      <c r="Q8" s="103"/>
      <c r="R8" s="103"/>
      <c r="S8" s="103"/>
      <c r="T8" s="103"/>
    </row>
    <row r="9" spans="1:20" s="1" customFormat="1" ht="7.05" customHeight="1" x14ac:dyDescent="0.25">
      <c r="A9" s="86"/>
      <c r="B9" s="86"/>
      <c r="C9" s="86"/>
      <c r="D9" s="86"/>
      <c r="E9" s="86"/>
      <c r="F9" s="86"/>
      <c r="G9" s="86"/>
      <c r="H9" s="86"/>
      <c r="I9" s="86"/>
      <c r="J9" s="86"/>
      <c r="K9" s="86"/>
      <c r="L9" s="86"/>
      <c r="M9" s="86"/>
      <c r="N9" s="86"/>
      <c r="O9" s="86"/>
      <c r="P9" s="86"/>
      <c r="Q9" s="16"/>
      <c r="R9" s="86"/>
      <c r="S9" s="86"/>
      <c r="T9" s="86"/>
    </row>
    <row r="10" spans="1:20" s="1" customFormat="1" ht="16.95" customHeight="1" x14ac:dyDescent="0.25">
      <c r="A10" s="94" t="s">
        <v>8</v>
      </c>
      <c r="B10" s="94"/>
      <c r="C10" s="94"/>
      <c r="D10" s="94"/>
      <c r="E10" s="94"/>
      <c r="F10" s="94"/>
      <c r="G10" s="94"/>
      <c r="H10" s="94"/>
      <c r="I10" s="94"/>
      <c r="J10" s="94"/>
      <c r="K10" s="94"/>
      <c r="L10" s="94"/>
      <c r="M10" s="95" t="s">
        <v>9</v>
      </c>
      <c r="N10" s="95"/>
      <c r="O10" s="95"/>
      <c r="P10" s="95"/>
      <c r="Q10" s="95"/>
      <c r="R10" s="95"/>
      <c r="S10" s="95"/>
      <c r="T10" s="95"/>
    </row>
    <row r="11" spans="1:20" s="1" customFormat="1" ht="16.95" customHeight="1" x14ac:dyDescent="0.25">
      <c r="A11" s="94"/>
      <c r="B11" s="94"/>
      <c r="C11" s="94"/>
      <c r="D11" s="94"/>
      <c r="E11" s="94"/>
      <c r="F11" s="94"/>
      <c r="G11" s="94"/>
      <c r="H11" s="94"/>
      <c r="I11" s="94"/>
      <c r="J11" s="94"/>
      <c r="K11" s="94"/>
      <c r="L11" s="94"/>
      <c r="M11" s="96" t="s">
        <v>10</v>
      </c>
      <c r="N11" s="96"/>
      <c r="O11" s="96"/>
      <c r="P11" s="96"/>
      <c r="Q11" s="97" t="s">
        <v>11</v>
      </c>
      <c r="R11" s="97"/>
      <c r="S11" s="97"/>
      <c r="T11" s="97"/>
    </row>
    <row r="12" spans="1:20" s="1" customFormat="1" ht="16.95" customHeight="1" x14ac:dyDescent="0.25">
      <c r="A12" s="94"/>
      <c r="B12" s="94"/>
      <c r="C12" s="94"/>
      <c r="D12" s="94"/>
      <c r="E12" s="94"/>
      <c r="F12" s="94"/>
      <c r="G12" s="94"/>
      <c r="H12" s="94"/>
      <c r="I12" s="94"/>
      <c r="J12" s="94"/>
      <c r="K12" s="94"/>
      <c r="L12" s="94"/>
      <c r="M12" s="98" t="s">
        <v>12</v>
      </c>
      <c r="N12" s="98"/>
      <c r="O12" s="98" t="s">
        <v>13</v>
      </c>
      <c r="P12" s="98"/>
      <c r="Q12" s="13" t="s">
        <v>14</v>
      </c>
      <c r="R12" s="99" t="s">
        <v>15</v>
      </c>
      <c r="S12" s="99"/>
      <c r="T12" s="99"/>
    </row>
    <row r="13" spans="1:20" s="1" customFormat="1" ht="13.35" customHeight="1" x14ac:dyDescent="0.25">
      <c r="A13" s="88" t="s">
        <v>84</v>
      </c>
      <c r="B13" s="88"/>
      <c r="C13" s="88"/>
      <c r="D13" s="88"/>
      <c r="E13" s="88"/>
      <c r="F13" s="88"/>
      <c r="G13" s="88"/>
      <c r="H13" s="88"/>
      <c r="I13" s="88"/>
      <c r="J13" s="88"/>
      <c r="K13" s="88"/>
      <c r="L13" s="88"/>
      <c r="M13" s="88">
        <f>214.88*180/150</f>
        <v>257.85599999999999</v>
      </c>
      <c r="N13" s="88"/>
      <c r="O13" s="88">
        <f>171.9*180/150</f>
        <v>206.28</v>
      </c>
      <c r="P13" s="88"/>
      <c r="Q13" s="6">
        <v>25.78</v>
      </c>
      <c r="R13" s="88">
        <v>20.63</v>
      </c>
      <c r="S13" s="88"/>
      <c r="T13" s="88"/>
    </row>
    <row r="14" spans="1:20" s="1" customFormat="1" ht="13.35" customHeight="1" x14ac:dyDescent="0.25">
      <c r="A14" s="88" t="s">
        <v>61</v>
      </c>
      <c r="B14" s="88"/>
      <c r="C14" s="88"/>
      <c r="D14" s="88"/>
      <c r="E14" s="88"/>
      <c r="F14" s="88"/>
      <c r="G14" s="88"/>
      <c r="H14" s="88"/>
      <c r="I14" s="88"/>
      <c r="J14" s="88"/>
      <c r="K14" s="88"/>
      <c r="L14" s="88"/>
      <c r="M14" s="88">
        <f>5.25*180/150</f>
        <v>6.3</v>
      </c>
      <c r="N14" s="88"/>
      <c r="O14" s="88">
        <v>6.3</v>
      </c>
      <c r="P14" s="88"/>
      <c r="Q14" s="6">
        <v>0.63</v>
      </c>
      <c r="R14" s="88">
        <v>0.63</v>
      </c>
      <c r="S14" s="88"/>
      <c r="T14" s="88"/>
    </row>
    <row r="15" spans="1:20" s="1" customFormat="1" ht="13.35" customHeight="1" x14ac:dyDescent="0.25">
      <c r="A15" s="88" t="s">
        <v>100</v>
      </c>
      <c r="B15" s="88"/>
      <c r="C15" s="88"/>
      <c r="D15" s="88"/>
      <c r="E15" s="88"/>
      <c r="F15" s="88"/>
      <c r="G15" s="88"/>
      <c r="H15" s="88"/>
      <c r="I15" s="88"/>
      <c r="J15" s="88"/>
      <c r="K15" s="88"/>
      <c r="L15" s="88"/>
      <c r="M15" s="88">
        <f>3.75*180/150</f>
        <v>4.5</v>
      </c>
      <c r="N15" s="88"/>
      <c r="O15" s="88">
        <f>3*180/150</f>
        <v>3.6</v>
      </c>
      <c r="P15" s="88"/>
      <c r="Q15" s="30">
        <v>0.45</v>
      </c>
      <c r="R15" s="88">
        <v>0.36</v>
      </c>
      <c r="S15" s="88"/>
      <c r="T15" s="88"/>
    </row>
    <row r="16" spans="1:20" s="1" customFormat="1" ht="13.35" customHeight="1" x14ac:dyDescent="0.25">
      <c r="A16" s="88" t="s">
        <v>21</v>
      </c>
      <c r="B16" s="88"/>
      <c r="C16" s="88"/>
      <c r="D16" s="88"/>
      <c r="E16" s="88"/>
      <c r="F16" s="88"/>
      <c r="G16" s="88"/>
      <c r="H16" s="88"/>
      <c r="I16" s="88"/>
      <c r="J16" s="88"/>
      <c r="K16" s="88"/>
      <c r="L16" s="88"/>
      <c r="M16" s="88">
        <f>7.14*180/150</f>
        <v>8.5679999999999996</v>
      </c>
      <c r="N16" s="88"/>
      <c r="O16" s="88">
        <f>6*180/150</f>
        <v>7.2</v>
      </c>
      <c r="P16" s="88"/>
      <c r="Q16" s="6">
        <v>0.85</v>
      </c>
      <c r="R16" s="88">
        <v>0.72</v>
      </c>
      <c r="S16" s="88"/>
      <c r="T16" s="88"/>
    </row>
    <row r="17" spans="1:20" s="1" customFormat="1" ht="13.35" customHeight="1" x14ac:dyDescent="0.25">
      <c r="A17" s="88" t="s">
        <v>126</v>
      </c>
      <c r="B17" s="88"/>
      <c r="C17" s="88"/>
      <c r="D17" s="88"/>
      <c r="E17" s="88"/>
      <c r="F17" s="88"/>
      <c r="G17" s="88"/>
      <c r="H17" s="88"/>
      <c r="I17" s="88"/>
      <c r="J17" s="88"/>
      <c r="K17" s="88"/>
      <c r="L17" s="88"/>
      <c r="M17" s="88">
        <f>9*180/150</f>
        <v>10.8</v>
      </c>
      <c r="N17" s="88"/>
      <c r="O17" s="88">
        <v>10.8</v>
      </c>
      <c r="P17" s="88"/>
      <c r="Q17" s="6">
        <v>1.08</v>
      </c>
      <c r="R17" s="88">
        <v>1.08</v>
      </c>
      <c r="S17" s="88"/>
      <c r="T17" s="88"/>
    </row>
    <row r="18" spans="1:20" s="1" customFormat="1" ht="13.35" customHeight="1" x14ac:dyDescent="0.25">
      <c r="A18" s="88" t="s">
        <v>260</v>
      </c>
      <c r="B18" s="88"/>
      <c r="C18" s="88"/>
      <c r="D18" s="88"/>
      <c r="E18" s="88"/>
      <c r="F18" s="88"/>
      <c r="G18" s="88"/>
      <c r="H18" s="88"/>
      <c r="I18" s="88"/>
      <c r="J18" s="88"/>
      <c r="K18" s="88"/>
      <c r="L18" s="88"/>
      <c r="M18" s="88">
        <f>0.14*180/150</f>
        <v>0.16800000000000001</v>
      </c>
      <c r="N18" s="88"/>
      <c r="O18" s="88">
        <v>0.16800000000000001</v>
      </c>
      <c r="P18" s="88"/>
      <c r="Q18" s="6">
        <v>1.6E-2</v>
      </c>
      <c r="R18" s="88">
        <v>1.6E-2</v>
      </c>
      <c r="S18" s="88"/>
      <c r="T18" s="88"/>
    </row>
    <row r="19" spans="1:20" s="1" customFormat="1" ht="13.35" customHeight="1" x14ac:dyDescent="0.25">
      <c r="A19" s="88" t="s">
        <v>114</v>
      </c>
      <c r="B19" s="88"/>
      <c r="C19" s="88"/>
      <c r="D19" s="88"/>
      <c r="E19" s="88"/>
      <c r="F19" s="88"/>
      <c r="G19" s="88"/>
      <c r="H19" s="88"/>
      <c r="I19" s="88"/>
      <c r="J19" s="88"/>
      <c r="K19" s="88"/>
      <c r="L19" s="88"/>
      <c r="M19" s="88">
        <f>4.37*180/150</f>
        <v>5.2439999999999998</v>
      </c>
      <c r="N19" s="88"/>
      <c r="O19" s="88">
        <v>5.2439999999999998</v>
      </c>
      <c r="P19" s="88"/>
      <c r="Q19" s="6">
        <v>0.52</v>
      </c>
      <c r="R19" s="88">
        <v>0.52</v>
      </c>
      <c r="S19" s="88"/>
      <c r="T19" s="88"/>
    </row>
    <row r="20" spans="1:20" s="1" customFormat="1" ht="13.35" customHeight="1" x14ac:dyDescent="0.25">
      <c r="A20" s="88" t="s">
        <v>28</v>
      </c>
      <c r="B20" s="88"/>
      <c r="C20" s="88"/>
      <c r="D20" s="88"/>
      <c r="E20" s="88"/>
      <c r="F20" s="88"/>
      <c r="G20" s="88"/>
      <c r="H20" s="88"/>
      <c r="I20" s="88"/>
      <c r="J20" s="88"/>
      <c r="K20" s="88"/>
      <c r="L20" s="88"/>
      <c r="M20" s="88">
        <f>1.8*180/150</f>
        <v>2.16</v>
      </c>
      <c r="N20" s="88"/>
      <c r="O20" s="88">
        <v>2.16</v>
      </c>
      <c r="P20" s="88"/>
      <c r="Q20" s="6">
        <v>0.216</v>
      </c>
      <c r="R20" s="88">
        <v>0.216</v>
      </c>
      <c r="S20" s="88"/>
      <c r="T20" s="88"/>
    </row>
    <row r="21" spans="1:20" s="1" customFormat="1" ht="13.35" customHeight="1" x14ac:dyDescent="0.25">
      <c r="A21" s="88" t="s">
        <v>109</v>
      </c>
      <c r="B21" s="88"/>
      <c r="C21" s="88"/>
      <c r="D21" s="88"/>
      <c r="E21" s="88"/>
      <c r="F21" s="88"/>
      <c r="G21" s="88"/>
      <c r="H21" s="88"/>
      <c r="I21" s="88"/>
      <c r="J21" s="88"/>
      <c r="K21" s="88"/>
      <c r="L21" s="88"/>
      <c r="M21" s="88">
        <f>4.5*180/150</f>
        <v>5.4</v>
      </c>
      <c r="N21" s="88"/>
      <c r="O21" s="88">
        <v>5.4</v>
      </c>
      <c r="P21" s="88"/>
      <c r="Q21" s="6">
        <v>0.54</v>
      </c>
      <c r="R21" s="88">
        <v>0.54</v>
      </c>
      <c r="S21" s="88"/>
      <c r="T21" s="88"/>
    </row>
    <row r="22" spans="1:20" s="1" customFormat="1" ht="13.35" customHeight="1" x14ac:dyDescent="0.25">
      <c r="A22" s="88" t="s">
        <v>111</v>
      </c>
      <c r="B22" s="88"/>
      <c r="C22" s="88"/>
      <c r="D22" s="88"/>
      <c r="E22" s="88"/>
      <c r="F22" s="88"/>
      <c r="G22" s="88"/>
      <c r="H22" s="88"/>
      <c r="I22" s="88"/>
      <c r="J22" s="88"/>
      <c r="K22" s="88"/>
      <c r="L22" s="88"/>
      <c r="M22" s="88">
        <f>0.02*180/150</f>
        <v>2.4E-2</v>
      </c>
      <c r="N22" s="88"/>
      <c r="O22" s="88">
        <v>2.4E-2</v>
      </c>
      <c r="P22" s="88"/>
      <c r="Q22" s="6">
        <v>2.3999999999999998E-3</v>
      </c>
      <c r="R22" s="88">
        <v>2.3999999999999998E-3</v>
      </c>
      <c r="S22" s="88"/>
      <c r="T22" s="88"/>
    </row>
    <row r="23" spans="1:20" s="1" customFormat="1" ht="13.35" customHeight="1" x14ac:dyDescent="0.25">
      <c r="A23" s="88" t="s">
        <v>70</v>
      </c>
      <c r="B23" s="88"/>
      <c r="C23" s="88"/>
      <c r="D23" s="88"/>
      <c r="E23" s="88"/>
      <c r="F23" s="88"/>
      <c r="G23" s="88"/>
      <c r="H23" s="88"/>
      <c r="I23" s="88"/>
      <c r="J23" s="88"/>
      <c r="K23" s="88"/>
      <c r="L23" s="88"/>
      <c r="M23" s="88">
        <f>1.5*180/150</f>
        <v>1.8</v>
      </c>
      <c r="N23" s="88"/>
      <c r="O23" s="88">
        <v>1.8</v>
      </c>
      <c r="P23" s="88"/>
      <c r="Q23" s="6">
        <v>0.18</v>
      </c>
      <c r="R23" s="88">
        <v>0.18</v>
      </c>
      <c r="S23" s="88"/>
      <c r="T23" s="88"/>
    </row>
    <row r="24" spans="1:20" s="1" customFormat="1" ht="14.1" customHeight="1" x14ac:dyDescent="0.25">
      <c r="A24" s="90" t="s">
        <v>217</v>
      </c>
      <c r="B24" s="90"/>
      <c r="C24" s="90"/>
      <c r="D24" s="90"/>
      <c r="E24" s="90"/>
      <c r="F24" s="90"/>
      <c r="G24" s="90"/>
      <c r="H24" s="90"/>
      <c r="I24" s="90"/>
      <c r="J24" s="90"/>
      <c r="K24" s="90"/>
      <c r="L24" s="90"/>
      <c r="M24" s="90"/>
      <c r="N24" s="90"/>
      <c r="O24" s="90"/>
      <c r="P24" s="90"/>
      <c r="Q24" s="90"/>
      <c r="R24" s="90"/>
      <c r="S24" s="90"/>
      <c r="T24" s="90"/>
    </row>
    <row r="25" spans="1:20" s="1" customFormat="1" ht="21.3" customHeight="1" x14ac:dyDescent="0.25"/>
    <row r="26" spans="1:20" s="1" customFormat="1" ht="14.1" customHeight="1" x14ac:dyDescent="0.25">
      <c r="A26" s="91" t="s">
        <v>33</v>
      </c>
      <c r="B26" s="91"/>
      <c r="C26" s="91"/>
      <c r="D26" s="91"/>
      <c r="E26" s="91"/>
      <c r="F26" s="91"/>
      <c r="G26" s="91"/>
      <c r="H26" s="91"/>
      <c r="I26" s="91"/>
      <c r="J26" s="91"/>
      <c r="K26" s="91"/>
      <c r="L26" s="91"/>
      <c r="M26" s="91"/>
      <c r="N26" s="91"/>
    </row>
    <row r="27" spans="1:20" s="1" customFormat="1" ht="13.35" customHeight="1" x14ac:dyDescent="0.25">
      <c r="A27" s="88" t="s">
        <v>34</v>
      </c>
      <c r="B27" s="88"/>
      <c r="C27" s="88"/>
      <c r="D27" s="88"/>
      <c r="E27" s="89">
        <f>3.1*180/150</f>
        <v>3.72</v>
      </c>
      <c r="F27" s="89"/>
      <c r="G27" s="17"/>
      <c r="H27" s="6" t="s">
        <v>35</v>
      </c>
      <c r="I27" s="89">
        <v>0.04</v>
      </c>
      <c r="J27" s="89"/>
      <c r="K27" s="17"/>
      <c r="L27" s="88" t="s">
        <v>36</v>
      </c>
      <c r="M27" s="88"/>
      <c r="N27" s="89">
        <v>84.99</v>
      </c>
      <c r="O27" s="89"/>
    </row>
    <row r="28" spans="1:20" s="1" customFormat="1" ht="13.35" customHeight="1" x14ac:dyDescent="0.25">
      <c r="A28" s="88" t="s">
        <v>37</v>
      </c>
      <c r="B28" s="88"/>
      <c r="C28" s="88"/>
      <c r="D28" s="88"/>
      <c r="E28" s="89">
        <f>7.86*180/150</f>
        <v>9.4320000000000004</v>
      </c>
      <c r="F28" s="89"/>
      <c r="G28" s="17"/>
      <c r="H28" s="6" t="s">
        <v>38</v>
      </c>
      <c r="I28" s="89">
        <v>32.18</v>
      </c>
      <c r="J28" s="89"/>
      <c r="K28" s="17"/>
      <c r="L28" s="88" t="s">
        <v>39</v>
      </c>
      <c r="M28" s="88"/>
      <c r="N28" s="89">
        <v>30.87</v>
      </c>
      <c r="O28" s="89"/>
    </row>
    <row r="29" spans="1:20" s="1" customFormat="1" ht="13.35" customHeight="1" x14ac:dyDescent="0.25">
      <c r="A29" s="88" t="s">
        <v>40</v>
      </c>
      <c r="B29" s="88"/>
      <c r="C29" s="88"/>
      <c r="D29" s="88"/>
      <c r="E29" s="89">
        <f>14.14*180/150</f>
        <v>16.968000000000004</v>
      </c>
      <c r="F29" s="89"/>
      <c r="G29" s="17"/>
      <c r="H29" s="6" t="s">
        <v>41</v>
      </c>
      <c r="I29" s="89">
        <v>0.11</v>
      </c>
      <c r="J29" s="89"/>
      <c r="K29" s="17"/>
      <c r="L29" s="88" t="s">
        <v>42</v>
      </c>
      <c r="M29" s="88"/>
      <c r="N29" s="89">
        <v>61.47</v>
      </c>
      <c r="O29" s="89"/>
    </row>
    <row r="30" spans="1:20" s="1" customFormat="1" ht="13.35" customHeight="1" x14ac:dyDescent="0.25">
      <c r="A30" s="88" t="s">
        <v>43</v>
      </c>
      <c r="B30" s="88"/>
      <c r="C30" s="88"/>
      <c r="D30" s="88"/>
      <c r="E30" s="89">
        <f>127.65*180/150</f>
        <v>153.18</v>
      </c>
      <c r="F30" s="89"/>
      <c r="G30" s="17"/>
      <c r="H30" s="6" t="s">
        <v>44</v>
      </c>
      <c r="I30" s="89">
        <v>0.25</v>
      </c>
      <c r="J30" s="89"/>
      <c r="K30" s="17"/>
      <c r="L30" s="88" t="s">
        <v>45</v>
      </c>
      <c r="M30" s="88"/>
      <c r="N30" s="89">
        <v>1.86</v>
      </c>
      <c r="O30" s="89"/>
    </row>
    <row r="31" spans="1:20" s="1" customFormat="1" ht="13.35" customHeight="1" x14ac:dyDescent="0.25">
      <c r="A31" s="87"/>
      <c r="B31" s="87"/>
      <c r="C31" s="87"/>
      <c r="D31" s="87"/>
      <c r="E31" s="87"/>
      <c r="F31" s="87"/>
      <c r="G31" s="17"/>
      <c r="H31" s="6" t="s">
        <v>46</v>
      </c>
      <c r="I31" s="89">
        <v>0.08</v>
      </c>
      <c r="J31" s="89"/>
      <c r="K31" s="17"/>
      <c r="L31" s="88" t="s">
        <v>47</v>
      </c>
      <c r="M31" s="88"/>
      <c r="N31" s="89">
        <v>398.1</v>
      </c>
      <c r="O31" s="89"/>
    </row>
    <row r="32" spans="1:20" s="1" customFormat="1" ht="13.35" customHeight="1" x14ac:dyDescent="0.25">
      <c r="A32" s="87"/>
      <c r="B32" s="87"/>
      <c r="C32" s="87"/>
      <c r="D32" s="87"/>
      <c r="E32" s="87"/>
      <c r="F32" s="87"/>
      <c r="G32" s="17"/>
      <c r="H32" s="6" t="s">
        <v>48</v>
      </c>
      <c r="I32" s="89">
        <v>7.0000000000000007E-2</v>
      </c>
      <c r="J32" s="89"/>
      <c r="K32" s="17"/>
      <c r="L32" s="88" t="s">
        <v>49</v>
      </c>
      <c r="M32" s="88"/>
      <c r="N32" s="89">
        <v>5.52</v>
      </c>
      <c r="O32" s="89"/>
    </row>
    <row r="33" spans="1:20" s="1" customFormat="1" ht="13.35" customHeight="1" x14ac:dyDescent="0.25">
      <c r="A33" s="87"/>
      <c r="B33" s="87"/>
      <c r="C33" s="87"/>
      <c r="D33" s="87"/>
      <c r="E33" s="87"/>
      <c r="F33" s="87"/>
      <c r="G33" s="17"/>
      <c r="H33" s="17"/>
      <c r="I33" s="87"/>
      <c r="J33" s="87"/>
      <c r="K33" s="17"/>
      <c r="L33" s="88" t="s">
        <v>50</v>
      </c>
      <c r="M33" s="88"/>
      <c r="N33" s="89">
        <v>0.02</v>
      </c>
      <c r="O33" s="89"/>
    </row>
    <row r="34" spans="1:20" s="1" customFormat="1" ht="13.35" customHeight="1" x14ac:dyDescent="0.25">
      <c r="A34" s="87"/>
      <c r="B34" s="87"/>
      <c r="C34" s="87"/>
      <c r="D34" s="87"/>
      <c r="E34" s="87"/>
      <c r="F34" s="87"/>
      <c r="G34" s="17"/>
      <c r="H34" s="17"/>
      <c r="I34" s="87"/>
      <c r="J34" s="87"/>
      <c r="K34" s="17"/>
      <c r="L34" s="88" t="s">
        <v>51</v>
      </c>
      <c r="M34" s="88"/>
      <c r="N34" s="89">
        <v>0</v>
      </c>
      <c r="O34" s="89"/>
    </row>
    <row r="35" spans="1:20" s="1" customFormat="1" ht="14.1" customHeight="1" x14ac:dyDescent="0.25">
      <c r="A35" s="86"/>
      <c r="B35" s="86"/>
      <c r="C35" s="86"/>
      <c r="D35" s="86"/>
      <c r="E35" s="86"/>
      <c r="F35" s="86"/>
      <c r="G35" s="86"/>
      <c r="H35" s="86"/>
      <c r="I35" s="86"/>
      <c r="J35" s="86"/>
      <c r="K35" s="86"/>
      <c r="L35" s="86"/>
      <c r="M35" s="86"/>
      <c r="N35" s="86"/>
      <c r="O35" s="86"/>
      <c r="P35" s="86"/>
      <c r="Q35" s="86"/>
      <c r="R35" s="86"/>
      <c r="S35" s="86"/>
    </row>
    <row r="36" spans="1:20" s="1" customFormat="1" ht="14.1" customHeight="1" x14ac:dyDescent="0.25">
      <c r="A36" s="84" t="s">
        <v>52</v>
      </c>
      <c r="B36" s="84"/>
      <c r="C36" s="84"/>
      <c r="D36" s="84"/>
      <c r="E36" s="84"/>
      <c r="F36" s="84"/>
      <c r="G36" s="84"/>
      <c r="H36" s="84"/>
      <c r="I36" s="84"/>
      <c r="J36" s="84"/>
      <c r="K36" s="84"/>
      <c r="L36" s="84"/>
      <c r="M36" s="84"/>
      <c r="N36" s="84"/>
      <c r="O36" s="84"/>
      <c r="P36" s="84"/>
      <c r="Q36" s="84"/>
      <c r="R36" s="84"/>
      <c r="S36" s="84"/>
    </row>
    <row r="37" spans="1:20" s="1" customFormat="1" ht="67.650000000000006" customHeight="1" x14ac:dyDescent="0.25">
      <c r="A37" s="85" t="s">
        <v>264</v>
      </c>
      <c r="B37" s="85"/>
      <c r="C37" s="85"/>
      <c r="D37" s="85"/>
      <c r="E37" s="85"/>
      <c r="F37" s="85"/>
      <c r="G37" s="85"/>
      <c r="H37" s="85"/>
      <c r="I37" s="85"/>
      <c r="J37" s="85"/>
      <c r="K37" s="85"/>
      <c r="L37" s="85"/>
      <c r="M37" s="85"/>
      <c r="N37" s="85"/>
      <c r="O37" s="85"/>
      <c r="P37" s="85"/>
      <c r="Q37" s="85"/>
      <c r="R37" s="85"/>
      <c r="S37" s="85"/>
    </row>
    <row r="38" spans="1:20" s="1" customFormat="1" ht="14.1" customHeight="1" x14ac:dyDescent="0.25">
      <c r="A38" s="86"/>
      <c r="B38" s="86"/>
      <c r="C38" s="86"/>
      <c r="D38" s="86"/>
      <c r="E38" s="86"/>
      <c r="F38" s="86"/>
      <c r="G38" s="86"/>
      <c r="H38" s="86"/>
      <c r="I38" s="86"/>
      <c r="J38" s="86"/>
      <c r="K38" s="86"/>
      <c r="L38" s="86"/>
      <c r="M38" s="86"/>
      <c r="N38" s="86"/>
      <c r="O38" s="86"/>
      <c r="P38" s="86"/>
      <c r="Q38" s="86"/>
      <c r="R38" s="86"/>
      <c r="S38" s="86"/>
    </row>
    <row r="39" spans="1:20" s="1" customFormat="1" ht="14.1" customHeight="1" x14ac:dyDescent="0.25">
      <c r="A39" s="84" t="s">
        <v>54</v>
      </c>
      <c r="B39" s="84"/>
      <c r="C39" s="84"/>
      <c r="D39" s="84"/>
      <c r="E39" s="84"/>
      <c r="F39" s="84"/>
      <c r="G39" s="84"/>
      <c r="H39" s="84"/>
      <c r="I39" s="84"/>
      <c r="J39" s="84"/>
      <c r="K39" s="84"/>
      <c r="L39" s="84"/>
      <c r="M39" s="84"/>
      <c r="N39" s="84"/>
      <c r="O39" s="84"/>
      <c r="P39" s="84"/>
      <c r="Q39" s="84"/>
      <c r="R39" s="84"/>
      <c r="S39" s="84"/>
    </row>
    <row r="40" spans="1:20" s="1" customFormat="1" ht="12.45" customHeight="1" x14ac:dyDescent="0.25">
      <c r="A40" s="85" t="s">
        <v>224</v>
      </c>
      <c r="B40" s="85"/>
      <c r="C40" s="85"/>
      <c r="D40" s="85"/>
      <c r="E40" s="85"/>
      <c r="F40" s="85"/>
      <c r="G40" s="85"/>
      <c r="H40" s="85"/>
      <c r="I40" s="85"/>
      <c r="J40" s="85"/>
      <c r="K40" s="85"/>
      <c r="L40" s="85"/>
      <c r="M40" s="85"/>
      <c r="N40" s="85"/>
      <c r="O40" s="85"/>
      <c r="P40" s="85"/>
      <c r="Q40" s="85"/>
      <c r="R40" s="85"/>
      <c r="S40" s="85"/>
    </row>
    <row r="41" spans="1:20" s="1" customFormat="1" ht="14.1" customHeight="1" x14ac:dyDescent="0.25">
      <c r="A41" s="86"/>
      <c r="B41" s="86"/>
      <c r="C41" s="86"/>
      <c r="D41" s="86"/>
      <c r="E41" s="86"/>
      <c r="F41" s="86"/>
      <c r="G41" s="86"/>
      <c r="H41" s="86"/>
      <c r="I41" s="86"/>
      <c r="J41" s="86"/>
      <c r="K41" s="86"/>
      <c r="L41" s="86"/>
      <c r="M41" s="86"/>
      <c r="N41" s="86"/>
      <c r="O41" s="86"/>
      <c r="P41" s="86"/>
      <c r="Q41" s="86"/>
      <c r="R41" s="86"/>
      <c r="S41" s="86"/>
    </row>
    <row r="42" spans="1:20" s="1" customFormat="1" ht="14.1" customHeight="1" x14ac:dyDescent="0.25">
      <c r="A42" s="84" t="s">
        <v>56</v>
      </c>
      <c r="B42" s="84"/>
      <c r="C42" s="84"/>
      <c r="D42" s="84"/>
      <c r="E42" s="84"/>
      <c r="F42" s="84"/>
      <c r="G42" s="84"/>
      <c r="H42" s="84"/>
      <c r="I42" s="84"/>
      <c r="J42" s="84"/>
      <c r="K42" s="84"/>
      <c r="L42" s="84"/>
      <c r="M42" s="84"/>
      <c r="N42" s="84"/>
      <c r="O42" s="84"/>
      <c r="P42" s="84"/>
      <c r="Q42" s="84"/>
      <c r="R42" s="84"/>
      <c r="S42" s="84"/>
    </row>
    <row r="43" spans="1:20" s="1" customFormat="1" ht="49.2" customHeight="1" x14ac:dyDescent="0.25">
      <c r="A43" s="85" t="s">
        <v>265</v>
      </c>
      <c r="B43" s="85"/>
      <c r="C43" s="85"/>
      <c r="D43" s="85"/>
      <c r="E43" s="85"/>
      <c r="F43" s="85"/>
      <c r="G43" s="85"/>
      <c r="H43" s="85"/>
      <c r="I43" s="85"/>
      <c r="J43" s="85"/>
      <c r="K43" s="85"/>
      <c r="L43" s="85"/>
      <c r="M43" s="85"/>
      <c r="N43" s="85"/>
      <c r="O43" s="85"/>
      <c r="P43" s="85"/>
      <c r="Q43" s="85"/>
      <c r="R43" s="85"/>
      <c r="S43" s="85"/>
    </row>
    <row r="44" spans="1:20" s="1" customFormat="1" ht="72.45" customHeight="1" x14ac:dyDescent="0.25">
      <c r="J44" s="100" t="s">
        <v>0</v>
      </c>
      <c r="K44" s="100"/>
      <c r="L44" s="100"/>
      <c r="M44" s="100"/>
      <c r="N44" s="100"/>
      <c r="O44" s="100"/>
      <c r="P44" s="100"/>
      <c r="Q44" s="100"/>
      <c r="R44" s="100"/>
      <c r="S44" s="100"/>
      <c r="T44" s="100"/>
    </row>
    <row r="45" spans="1:20" s="1" customFormat="1" ht="7.05" customHeight="1" x14ac:dyDescent="0.25"/>
    <row r="46" spans="1:20" s="1" customFormat="1" ht="14.1" customHeight="1" x14ac:dyDescent="0.25">
      <c r="B46" s="101" t="s">
        <v>266</v>
      </c>
      <c r="C46" s="101"/>
      <c r="D46" s="101"/>
      <c r="E46" s="101"/>
      <c r="F46" s="101"/>
      <c r="G46" s="101"/>
      <c r="H46" s="101"/>
      <c r="I46" s="101"/>
      <c r="J46" s="101"/>
      <c r="K46" s="101"/>
      <c r="L46" s="101"/>
      <c r="M46" s="101"/>
      <c r="N46" s="101"/>
      <c r="O46" s="101"/>
      <c r="P46" s="101"/>
      <c r="Q46" s="101"/>
      <c r="R46" s="101"/>
    </row>
    <row r="47" spans="1:20" s="1" customFormat="1" ht="14.1" customHeight="1" x14ac:dyDescent="0.25"/>
    <row r="48" spans="1:20" s="1" customFormat="1" ht="14.1" customHeight="1" x14ac:dyDescent="0.25">
      <c r="A48" s="102" t="s">
        <v>2</v>
      </c>
      <c r="B48" s="102"/>
      <c r="C48" s="102"/>
      <c r="D48" s="103" t="s">
        <v>267</v>
      </c>
      <c r="E48" s="103"/>
      <c r="F48" s="103"/>
      <c r="G48" s="103"/>
      <c r="H48" s="103"/>
      <c r="I48" s="103"/>
      <c r="J48" s="103"/>
      <c r="K48" s="103"/>
      <c r="L48" s="103"/>
      <c r="M48" s="103"/>
      <c r="N48" s="103"/>
      <c r="O48" s="103"/>
      <c r="P48" s="103"/>
      <c r="Q48" s="103"/>
      <c r="R48" s="103"/>
      <c r="S48" s="103"/>
      <c r="T48" s="103"/>
    </row>
    <row r="49" spans="1:20" s="1" customFormat="1" ht="14.1" customHeight="1" x14ac:dyDescent="0.25">
      <c r="A49" s="102" t="s">
        <v>4</v>
      </c>
      <c r="B49" s="102"/>
      <c r="C49" s="103" t="s">
        <v>268</v>
      </c>
      <c r="D49" s="103"/>
      <c r="E49" s="103"/>
      <c r="F49" s="103"/>
      <c r="G49" s="103"/>
      <c r="H49" s="103"/>
      <c r="I49" s="103"/>
      <c r="J49" s="103"/>
      <c r="K49" s="103"/>
      <c r="L49" s="103"/>
      <c r="M49" s="103"/>
      <c r="N49" s="103"/>
      <c r="O49" s="103"/>
      <c r="P49" s="103"/>
      <c r="Q49" s="103"/>
      <c r="R49" s="103"/>
      <c r="S49" s="103"/>
      <c r="T49" s="103"/>
    </row>
    <row r="50" spans="1:20" s="1" customFormat="1" ht="14.1" customHeight="1" x14ac:dyDescent="0.25">
      <c r="A50" s="102" t="s">
        <v>6</v>
      </c>
      <c r="B50" s="102"/>
      <c r="C50" s="102"/>
      <c r="D50" s="102"/>
      <c r="E50" s="102"/>
      <c r="F50" s="103" t="s">
        <v>248</v>
      </c>
      <c r="G50" s="103"/>
      <c r="H50" s="103"/>
      <c r="I50" s="103"/>
      <c r="J50" s="103"/>
      <c r="K50" s="103"/>
      <c r="L50" s="103"/>
      <c r="M50" s="103"/>
      <c r="N50" s="103"/>
      <c r="O50" s="103"/>
      <c r="P50" s="103"/>
      <c r="Q50" s="103"/>
      <c r="R50" s="103"/>
      <c r="S50" s="103"/>
      <c r="T50" s="103"/>
    </row>
    <row r="51" spans="1:20" s="1" customFormat="1" ht="22.35" customHeight="1" x14ac:dyDescent="0.25">
      <c r="F51" s="103"/>
      <c r="G51" s="103"/>
      <c r="H51" s="103"/>
      <c r="I51" s="103"/>
      <c r="J51" s="103"/>
      <c r="K51" s="103"/>
      <c r="L51" s="103"/>
      <c r="M51" s="103"/>
      <c r="N51" s="103"/>
      <c r="O51" s="103"/>
      <c r="P51" s="103"/>
      <c r="Q51" s="103"/>
      <c r="R51" s="103"/>
      <c r="S51" s="103"/>
      <c r="T51" s="103"/>
    </row>
    <row r="52" spans="1:20" s="1" customFormat="1" ht="7.05" customHeight="1" x14ac:dyDescent="0.25">
      <c r="A52" s="86"/>
      <c r="B52" s="86"/>
      <c r="C52" s="86"/>
      <c r="D52" s="86"/>
      <c r="E52" s="86"/>
      <c r="F52" s="86"/>
      <c r="G52" s="86"/>
      <c r="H52" s="86"/>
      <c r="I52" s="86"/>
      <c r="J52" s="86"/>
      <c r="K52" s="86"/>
      <c r="L52" s="86"/>
      <c r="M52" s="86"/>
      <c r="N52" s="86"/>
      <c r="O52" s="86"/>
      <c r="P52" s="86"/>
      <c r="Q52" s="16"/>
      <c r="R52" s="86"/>
      <c r="S52" s="86"/>
      <c r="T52" s="86"/>
    </row>
    <row r="53" spans="1:20" s="1" customFormat="1" ht="16.95" customHeight="1" x14ac:dyDescent="0.25">
      <c r="A53" s="94" t="s">
        <v>8</v>
      </c>
      <c r="B53" s="94"/>
      <c r="C53" s="94"/>
      <c r="D53" s="94"/>
      <c r="E53" s="94"/>
      <c r="F53" s="94"/>
      <c r="G53" s="94"/>
      <c r="H53" s="94"/>
      <c r="I53" s="94"/>
      <c r="J53" s="94"/>
      <c r="K53" s="94"/>
      <c r="L53" s="94"/>
      <c r="M53" s="95" t="s">
        <v>9</v>
      </c>
      <c r="N53" s="95"/>
      <c r="O53" s="95"/>
      <c r="P53" s="95"/>
      <c r="Q53" s="95"/>
      <c r="R53" s="95"/>
      <c r="S53" s="95"/>
      <c r="T53" s="95"/>
    </row>
    <row r="54" spans="1:20" s="1" customFormat="1" ht="16.95" customHeight="1" x14ac:dyDescent="0.25">
      <c r="A54" s="94"/>
      <c r="B54" s="94"/>
      <c r="C54" s="94"/>
      <c r="D54" s="94"/>
      <c r="E54" s="94"/>
      <c r="F54" s="94"/>
      <c r="G54" s="94"/>
      <c r="H54" s="94"/>
      <c r="I54" s="94"/>
      <c r="J54" s="94"/>
      <c r="K54" s="94"/>
      <c r="L54" s="94"/>
      <c r="M54" s="96" t="s">
        <v>10</v>
      </c>
      <c r="N54" s="96"/>
      <c r="O54" s="96"/>
      <c r="P54" s="96"/>
      <c r="Q54" s="97" t="s">
        <v>11</v>
      </c>
      <c r="R54" s="97"/>
      <c r="S54" s="97"/>
      <c r="T54" s="97"/>
    </row>
    <row r="55" spans="1:20" s="1" customFormat="1" ht="16.95" customHeight="1" x14ac:dyDescent="0.25">
      <c r="A55" s="94"/>
      <c r="B55" s="94"/>
      <c r="C55" s="94"/>
      <c r="D55" s="94"/>
      <c r="E55" s="94"/>
      <c r="F55" s="94"/>
      <c r="G55" s="94"/>
      <c r="H55" s="94"/>
      <c r="I55" s="94"/>
      <c r="J55" s="94"/>
      <c r="K55" s="94"/>
      <c r="L55" s="94"/>
      <c r="M55" s="98" t="s">
        <v>12</v>
      </c>
      <c r="N55" s="98"/>
      <c r="O55" s="98" t="s">
        <v>13</v>
      </c>
      <c r="P55" s="98"/>
      <c r="Q55" s="13" t="s">
        <v>14</v>
      </c>
      <c r="R55" s="99" t="s">
        <v>15</v>
      </c>
      <c r="S55" s="99"/>
      <c r="T55" s="99"/>
    </row>
    <row r="56" spans="1:20" s="1" customFormat="1" ht="13.35" customHeight="1" x14ac:dyDescent="0.25">
      <c r="A56" s="88" t="s">
        <v>84</v>
      </c>
      <c r="B56" s="88"/>
      <c r="C56" s="88"/>
      <c r="D56" s="88"/>
      <c r="E56" s="88"/>
      <c r="F56" s="88"/>
      <c r="G56" s="88"/>
      <c r="H56" s="88"/>
      <c r="I56" s="88"/>
      <c r="J56" s="88"/>
      <c r="K56" s="88"/>
      <c r="L56" s="88"/>
      <c r="M56" s="88">
        <f>196.95*180/150</f>
        <v>236.34</v>
      </c>
      <c r="N56" s="88"/>
      <c r="O56" s="88">
        <f>157.5*180/150</f>
        <v>189</v>
      </c>
      <c r="P56" s="88"/>
      <c r="Q56" s="6">
        <v>23.63</v>
      </c>
      <c r="R56" s="88">
        <v>18.899999999999999</v>
      </c>
      <c r="S56" s="88"/>
      <c r="T56" s="88"/>
    </row>
    <row r="57" spans="1:20" s="1" customFormat="1" ht="13.35" customHeight="1" x14ac:dyDescent="0.25">
      <c r="A57" s="88" t="s">
        <v>269</v>
      </c>
      <c r="B57" s="88"/>
      <c r="C57" s="88"/>
      <c r="D57" s="88"/>
      <c r="E57" s="88"/>
      <c r="F57" s="88"/>
      <c r="G57" s="88"/>
      <c r="H57" s="88"/>
      <c r="I57" s="88"/>
      <c r="J57" s="88"/>
      <c r="K57" s="88"/>
      <c r="L57" s="88"/>
      <c r="M57" s="88">
        <f>42.9*180/150</f>
        <v>51.48</v>
      </c>
      <c r="N57" s="88"/>
      <c r="O57" s="88">
        <f>30*180/150</f>
        <v>36</v>
      </c>
      <c r="P57" s="88"/>
      <c r="Q57" s="6">
        <v>5.14</v>
      </c>
      <c r="R57" s="88">
        <v>3.6</v>
      </c>
      <c r="S57" s="88"/>
      <c r="T57" s="88"/>
    </row>
    <row r="58" spans="1:20" s="1" customFormat="1" ht="13.35" customHeight="1" x14ac:dyDescent="0.25">
      <c r="A58" s="88" t="s">
        <v>109</v>
      </c>
      <c r="B58" s="88"/>
      <c r="C58" s="88"/>
      <c r="D58" s="88"/>
      <c r="E58" s="88"/>
      <c r="F58" s="88"/>
      <c r="G58" s="88"/>
      <c r="H58" s="88"/>
      <c r="I58" s="88"/>
      <c r="J58" s="88"/>
      <c r="K58" s="88"/>
      <c r="L58" s="88"/>
      <c r="M58" s="88">
        <f>2.25*180/150</f>
        <v>2.7</v>
      </c>
      <c r="N58" s="88"/>
      <c r="O58" s="88">
        <v>2.7</v>
      </c>
      <c r="P58" s="88"/>
      <c r="Q58" s="6">
        <v>0.27</v>
      </c>
      <c r="R58" s="88">
        <v>0.27</v>
      </c>
      <c r="S58" s="88"/>
      <c r="T58" s="88"/>
    </row>
    <row r="59" spans="1:20" s="1" customFormat="1" ht="13.35" customHeight="1" x14ac:dyDescent="0.25">
      <c r="A59" s="88" t="s">
        <v>61</v>
      </c>
      <c r="B59" s="88"/>
      <c r="C59" s="88"/>
      <c r="D59" s="88"/>
      <c r="E59" s="88"/>
      <c r="F59" s="88"/>
      <c r="G59" s="88"/>
      <c r="H59" s="88"/>
      <c r="I59" s="88"/>
      <c r="J59" s="88"/>
      <c r="K59" s="88"/>
      <c r="L59" s="88"/>
      <c r="M59" s="88">
        <f>12*180/150</f>
        <v>14.4</v>
      </c>
      <c r="N59" s="88"/>
      <c r="O59" s="88">
        <v>14.4</v>
      </c>
      <c r="P59" s="88"/>
      <c r="Q59" s="6">
        <v>1.44</v>
      </c>
      <c r="R59" s="88">
        <v>1.44</v>
      </c>
      <c r="S59" s="88"/>
      <c r="T59" s="88"/>
    </row>
    <row r="60" spans="1:20" s="1" customFormat="1" ht="13.35" customHeight="1" x14ac:dyDescent="0.25">
      <c r="A60" s="88" t="s">
        <v>28</v>
      </c>
      <c r="B60" s="88"/>
      <c r="C60" s="88"/>
      <c r="D60" s="88"/>
      <c r="E60" s="88"/>
      <c r="F60" s="88"/>
      <c r="G60" s="88"/>
      <c r="H60" s="88"/>
      <c r="I60" s="88"/>
      <c r="J60" s="88"/>
      <c r="K60" s="88"/>
      <c r="L60" s="88"/>
      <c r="M60" s="88">
        <f>1.5*180/150</f>
        <v>1.8</v>
      </c>
      <c r="N60" s="88"/>
      <c r="O60" s="88">
        <v>1.8</v>
      </c>
      <c r="P60" s="88"/>
      <c r="Q60" s="6">
        <v>0.18</v>
      </c>
      <c r="R60" s="88">
        <v>0.18</v>
      </c>
      <c r="S60" s="88"/>
      <c r="T60" s="88"/>
    </row>
    <row r="61" spans="1:20" s="1" customFormat="1" ht="13.35" customHeight="1" x14ac:dyDescent="0.25">
      <c r="A61" s="88" t="s">
        <v>70</v>
      </c>
      <c r="B61" s="88"/>
      <c r="C61" s="88"/>
      <c r="D61" s="88"/>
      <c r="E61" s="88"/>
      <c r="F61" s="88"/>
      <c r="G61" s="88"/>
      <c r="H61" s="88"/>
      <c r="I61" s="88"/>
      <c r="J61" s="88"/>
      <c r="K61" s="88"/>
      <c r="L61" s="88"/>
      <c r="M61" s="88" t="s">
        <v>241</v>
      </c>
      <c r="N61" s="88"/>
      <c r="O61" s="88" t="s">
        <v>241</v>
      </c>
      <c r="P61" s="88"/>
      <c r="Q61" s="6" t="s">
        <v>263</v>
      </c>
      <c r="R61" s="88" t="s">
        <v>263</v>
      </c>
      <c r="S61" s="88"/>
      <c r="T61" s="88"/>
    </row>
    <row r="62" spans="1:20" s="1" customFormat="1" ht="14.1" customHeight="1" x14ac:dyDescent="0.25">
      <c r="A62" s="90" t="s">
        <v>217</v>
      </c>
      <c r="B62" s="90"/>
      <c r="C62" s="90"/>
      <c r="D62" s="90"/>
      <c r="E62" s="90"/>
      <c r="F62" s="90"/>
      <c r="G62" s="90"/>
      <c r="H62" s="90"/>
      <c r="I62" s="90"/>
      <c r="J62" s="90"/>
      <c r="K62" s="90"/>
      <c r="L62" s="90"/>
      <c r="M62" s="90"/>
      <c r="N62" s="90"/>
      <c r="O62" s="90"/>
      <c r="P62" s="90"/>
      <c r="Q62" s="90"/>
      <c r="R62" s="90"/>
      <c r="S62" s="90"/>
      <c r="T62" s="90"/>
    </row>
    <row r="63" spans="1:20" s="1" customFormat="1" ht="21.3" customHeight="1" x14ac:dyDescent="0.25"/>
    <row r="64" spans="1:20" s="1" customFormat="1" ht="14.1" customHeight="1" x14ac:dyDescent="0.25">
      <c r="A64" s="91" t="s">
        <v>33</v>
      </c>
      <c r="B64" s="91"/>
      <c r="C64" s="91"/>
      <c r="D64" s="91"/>
      <c r="E64" s="91"/>
      <c r="F64" s="91"/>
      <c r="G64" s="91"/>
      <c r="H64" s="91"/>
      <c r="I64" s="91"/>
      <c r="J64" s="91"/>
      <c r="K64" s="91"/>
      <c r="L64" s="91"/>
      <c r="M64" s="91"/>
      <c r="N64" s="91"/>
    </row>
    <row r="65" spans="1:19" s="1" customFormat="1" ht="13.35" customHeight="1" x14ac:dyDescent="0.25">
      <c r="A65" s="88" t="s">
        <v>34</v>
      </c>
      <c r="B65" s="88"/>
      <c r="C65" s="88"/>
      <c r="D65" s="88"/>
      <c r="E65" s="89">
        <f>2.66*180/150</f>
        <v>3.1920000000000002</v>
      </c>
      <c r="F65" s="89"/>
      <c r="G65" s="17"/>
      <c r="H65" s="6" t="s">
        <v>35</v>
      </c>
      <c r="I65" s="89">
        <v>0.05</v>
      </c>
      <c r="J65" s="89"/>
      <c r="K65" s="17"/>
      <c r="L65" s="88" t="s">
        <v>36</v>
      </c>
      <c r="M65" s="88"/>
      <c r="N65" s="89">
        <v>79.959999999999994</v>
      </c>
      <c r="O65" s="89"/>
    </row>
    <row r="66" spans="1:19" s="1" customFormat="1" ht="13.35" customHeight="1" x14ac:dyDescent="0.25">
      <c r="A66" s="88" t="s">
        <v>37</v>
      </c>
      <c r="B66" s="88"/>
      <c r="C66" s="88"/>
      <c r="D66" s="88"/>
      <c r="E66" s="89">
        <f>5.01*180/150</f>
        <v>6.0119999999999996</v>
      </c>
      <c r="F66" s="89"/>
      <c r="G66" s="17"/>
      <c r="H66" s="6" t="s">
        <v>38</v>
      </c>
      <c r="I66" s="89">
        <v>29.86</v>
      </c>
      <c r="J66" s="89"/>
      <c r="K66" s="17"/>
      <c r="L66" s="88" t="s">
        <v>39</v>
      </c>
      <c r="M66" s="88"/>
      <c r="N66" s="89">
        <v>25.92</v>
      </c>
      <c r="O66" s="89"/>
    </row>
    <row r="67" spans="1:19" s="1" customFormat="1" ht="13.35" customHeight="1" x14ac:dyDescent="0.25">
      <c r="A67" s="88" t="s">
        <v>40</v>
      </c>
      <c r="B67" s="88"/>
      <c r="C67" s="88"/>
      <c r="D67" s="88"/>
      <c r="E67" s="89">
        <f>12.47*180/150</f>
        <v>14.963999999999999</v>
      </c>
      <c r="F67" s="89"/>
      <c r="G67" s="17"/>
      <c r="H67" s="6" t="s">
        <v>41</v>
      </c>
      <c r="I67" s="89">
        <v>0.06</v>
      </c>
      <c r="J67" s="89"/>
      <c r="K67" s="17"/>
      <c r="L67" s="88" t="s">
        <v>42</v>
      </c>
      <c r="M67" s="88"/>
      <c r="N67" s="89">
        <v>51.69</v>
      </c>
      <c r="O67" s="89"/>
    </row>
    <row r="68" spans="1:19" s="1" customFormat="1" ht="13.35" customHeight="1" x14ac:dyDescent="0.25">
      <c r="A68" s="88" t="s">
        <v>43</v>
      </c>
      <c r="B68" s="88"/>
      <c r="C68" s="88"/>
      <c r="D68" s="88"/>
      <c r="E68" s="89">
        <f>132.6*180/150</f>
        <v>159.12</v>
      </c>
      <c r="F68" s="89"/>
      <c r="G68" s="17"/>
      <c r="H68" s="6" t="s">
        <v>44</v>
      </c>
      <c r="I68" s="89">
        <v>0.59</v>
      </c>
      <c r="J68" s="89"/>
      <c r="K68" s="17"/>
      <c r="L68" s="88" t="s">
        <v>45</v>
      </c>
      <c r="M68" s="88"/>
      <c r="N68" s="89">
        <v>2.25</v>
      </c>
      <c r="O68" s="89"/>
    </row>
    <row r="69" spans="1:19" s="1" customFormat="1" ht="13.35" customHeight="1" x14ac:dyDescent="0.25">
      <c r="A69" s="87"/>
      <c r="B69" s="87"/>
      <c r="C69" s="87"/>
      <c r="D69" s="87"/>
      <c r="E69" s="87"/>
      <c r="F69" s="87"/>
      <c r="G69" s="17"/>
      <c r="H69" s="6" t="s">
        <v>46</v>
      </c>
      <c r="I69" s="89">
        <v>0.18</v>
      </c>
      <c r="J69" s="89"/>
      <c r="K69" s="17"/>
      <c r="L69" s="88" t="s">
        <v>47</v>
      </c>
      <c r="M69" s="88"/>
      <c r="N69" s="89">
        <v>400.17</v>
      </c>
      <c r="O69" s="89"/>
    </row>
    <row r="70" spans="1:19" s="1" customFormat="1" ht="13.35" customHeight="1" x14ac:dyDescent="0.25">
      <c r="A70" s="87"/>
      <c r="B70" s="87"/>
      <c r="C70" s="87"/>
      <c r="D70" s="87"/>
      <c r="E70" s="87"/>
      <c r="F70" s="87"/>
      <c r="G70" s="17"/>
      <c r="H70" s="6" t="s">
        <v>48</v>
      </c>
      <c r="I70" s="89">
        <v>7.0000000000000007E-2</v>
      </c>
      <c r="J70" s="89"/>
      <c r="K70" s="17"/>
      <c r="L70" s="88" t="s">
        <v>49</v>
      </c>
      <c r="M70" s="88"/>
      <c r="N70" s="89">
        <v>5.51</v>
      </c>
      <c r="O70" s="89"/>
    </row>
    <row r="71" spans="1:19" s="1" customFormat="1" ht="13.35" customHeight="1" x14ac:dyDescent="0.25">
      <c r="A71" s="87"/>
      <c r="B71" s="87"/>
      <c r="C71" s="87"/>
      <c r="D71" s="87"/>
      <c r="E71" s="87"/>
      <c r="F71" s="87"/>
      <c r="G71" s="17"/>
      <c r="H71" s="17"/>
      <c r="I71" s="87"/>
      <c r="J71" s="87"/>
      <c r="K71" s="17"/>
      <c r="L71" s="88" t="s">
        <v>50</v>
      </c>
      <c r="M71" s="88"/>
      <c r="N71" s="89">
        <v>0.02</v>
      </c>
      <c r="O71" s="89"/>
    </row>
    <row r="72" spans="1:19" s="1" customFormat="1" ht="13.35" customHeight="1" x14ac:dyDescent="0.25">
      <c r="A72" s="87"/>
      <c r="B72" s="87"/>
      <c r="C72" s="87"/>
      <c r="D72" s="87"/>
      <c r="E72" s="87"/>
      <c r="F72" s="87"/>
      <c r="G72" s="17"/>
      <c r="H72" s="17"/>
      <c r="I72" s="87"/>
      <c r="J72" s="87"/>
      <c r="K72" s="17"/>
      <c r="L72" s="88" t="s">
        <v>51</v>
      </c>
      <c r="M72" s="88"/>
      <c r="N72" s="89">
        <v>0</v>
      </c>
      <c r="O72" s="89"/>
    </row>
    <row r="73" spans="1:19" s="1" customFormat="1" ht="14.1" customHeight="1" x14ac:dyDescent="0.25">
      <c r="A73" s="86"/>
      <c r="B73" s="86"/>
      <c r="C73" s="86"/>
      <c r="D73" s="86"/>
      <c r="E73" s="86"/>
      <c r="F73" s="86"/>
      <c r="G73" s="86"/>
      <c r="H73" s="86"/>
      <c r="I73" s="86"/>
      <c r="J73" s="86"/>
      <c r="K73" s="86"/>
      <c r="L73" s="86"/>
      <c r="M73" s="86"/>
      <c r="N73" s="86"/>
      <c r="O73" s="86"/>
      <c r="P73" s="86"/>
      <c r="Q73" s="86"/>
      <c r="R73" s="86"/>
      <c r="S73" s="86"/>
    </row>
    <row r="74" spans="1:19" s="1" customFormat="1" ht="14.1" customHeight="1" x14ac:dyDescent="0.25">
      <c r="A74" s="84" t="s">
        <v>52</v>
      </c>
      <c r="B74" s="84"/>
      <c r="C74" s="84"/>
      <c r="D74" s="84"/>
      <c r="E74" s="84"/>
      <c r="F74" s="84"/>
      <c r="G74" s="84"/>
      <c r="H74" s="84"/>
      <c r="I74" s="84"/>
      <c r="J74" s="84"/>
      <c r="K74" s="84"/>
      <c r="L74" s="84"/>
      <c r="M74" s="84"/>
      <c r="N74" s="84"/>
      <c r="O74" s="84"/>
      <c r="P74" s="84"/>
      <c r="Q74" s="84"/>
      <c r="R74" s="84"/>
      <c r="S74" s="84"/>
    </row>
    <row r="75" spans="1:19" s="1" customFormat="1" ht="40.049999999999997" customHeight="1" x14ac:dyDescent="0.25">
      <c r="A75" s="85" t="s">
        <v>272</v>
      </c>
      <c r="B75" s="85"/>
      <c r="C75" s="85"/>
      <c r="D75" s="85"/>
      <c r="E75" s="85"/>
      <c r="F75" s="85"/>
      <c r="G75" s="85"/>
      <c r="H75" s="85"/>
      <c r="I75" s="85"/>
      <c r="J75" s="85"/>
      <c r="K75" s="85"/>
      <c r="L75" s="85"/>
      <c r="M75" s="85"/>
      <c r="N75" s="85"/>
      <c r="O75" s="85"/>
      <c r="P75" s="85"/>
      <c r="Q75" s="85"/>
      <c r="R75" s="85"/>
      <c r="S75" s="85"/>
    </row>
    <row r="76" spans="1:19" s="1" customFormat="1" ht="14.1" customHeight="1" x14ac:dyDescent="0.25">
      <c r="A76" s="84" t="s">
        <v>54</v>
      </c>
      <c r="B76" s="84"/>
      <c r="C76" s="84"/>
      <c r="D76" s="84"/>
      <c r="E76" s="84"/>
      <c r="F76" s="84"/>
      <c r="G76" s="84"/>
      <c r="H76" s="84"/>
      <c r="I76" s="84"/>
      <c r="J76" s="84"/>
      <c r="K76" s="84"/>
      <c r="L76" s="84"/>
      <c r="M76" s="84"/>
      <c r="N76" s="84"/>
      <c r="O76" s="84"/>
      <c r="P76" s="84"/>
      <c r="Q76" s="84"/>
      <c r="R76" s="84"/>
      <c r="S76" s="84"/>
    </row>
    <row r="77" spans="1:19" s="1" customFormat="1" ht="12.45" customHeight="1" x14ac:dyDescent="0.25">
      <c r="A77" s="85" t="s">
        <v>224</v>
      </c>
      <c r="B77" s="85"/>
      <c r="C77" s="85"/>
      <c r="D77" s="85"/>
      <c r="E77" s="85"/>
      <c r="F77" s="85"/>
      <c r="G77" s="85"/>
      <c r="H77" s="85"/>
      <c r="I77" s="85"/>
      <c r="J77" s="85"/>
      <c r="K77" s="85"/>
      <c r="L77" s="85"/>
      <c r="M77" s="85"/>
      <c r="N77" s="85"/>
      <c r="O77" s="85"/>
      <c r="P77" s="85"/>
      <c r="Q77" s="85"/>
      <c r="R77" s="85"/>
      <c r="S77" s="85"/>
    </row>
    <row r="78" spans="1:19" s="1" customFormat="1" ht="14.1" customHeight="1" x14ac:dyDescent="0.25">
      <c r="A78" s="86"/>
      <c r="B78" s="86"/>
      <c r="C78" s="86"/>
      <c r="D78" s="86"/>
      <c r="E78" s="86"/>
      <c r="F78" s="86"/>
      <c r="G78" s="86"/>
      <c r="H78" s="86"/>
      <c r="I78" s="86"/>
      <c r="J78" s="86"/>
      <c r="K78" s="86"/>
      <c r="L78" s="86"/>
      <c r="M78" s="86"/>
      <c r="N78" s="86"/>
      <c r="O78" s="86"/>
      <c r="P78" s="86"/>
      <c r="Q78" s="86"/>
      <c r="R78" s="86"/>
      <c r="S78" s="86"/>
    </row>
    <row r="79" spans="1:19" s="1" customFormat="1" ht="14.1" customHeight="1" x14ac:dyDescent="0.25">
      <c r="A79" s="84" t="s">
        <v>56</v>
      </c>
      <c r="B79" s="84"/>
      <c r="C79" s="84"/>
      <c r="D79" s="84"/>
      <c r="E79" s="84"/>
      <c r="F79" s="84"/>
      <c r="G79" s="84"/>
      <c r="H79" s="84"/>
      <c r="I79" s="84"/>
      <c r="J79" s="84"/>
      <c r="K79" s="84"/>
      <c r="L79" s="84"/>
      <c r="M79" s="84"/>
      <c r="N79" s="84"/>
      <c r="O79" s="84"/>
      <c r="P79" s="84"/>
      <c r="Q79" s="84"/>
      <c r="R79" s="84"/>
      <c r="S79" s="84"/>
    </row>
    <row r="80" spans="1:19" s="1" customFormat="1" ht="58.5" customHeight="1" x14ac:dyDescent="0.25">
      <c r="A80" s="85" t="s">
        <v>273</v>
      </c>
      <c r="B80" s="85"/>
      <c r="C80" s="85"/>
      <c r="D80" s="85"/>
      <c r="E80" s="85"/>
      <c r="F80" s="85"/>
      <c r="G80" s="85"/>
      <c r="H80" s="85"/>
      <c r="I80" s="85"/>
      <c r="J80" s="85"/>
      <c r="K80" s="85"/>
      <c r="L80" s="85"/>
      <c r="M80" s="85"/>
      <c r="N80" s="85"/>
      <c r="O80" s="85"/>
      <c r="P80" s="85"/>
      <c r="Q80" s="85"/>
      <c r="R80" s="85"/>
      <c r="S80" s="85"/>
    </row>
    <row r="81" spans="1:20" s="1" customFormat="1" ht="72.45" customHeight="1" x14ac:dyDescent="0.25">
      <c r="J81" s="100" t="s">
        <v>0</v>
      </c>
      <c r="K81" s="100"/>
      <c r="L81" s="100"/>
      <c r="M81" s="100"/>
      <c r="N81" s="100"/>
      <c r="O81" s="100"/>
      <c r="P81" s="100"/>
      <c r="Q81" s="100"/>
      <c r="R81" s="100"/>
      <c r="S81" s="100"/>
      <c r="T81" s="100"/>
    </row>
    <row r="82" spans="1:20" s="1" customFormat="1" ht="7.05" customHeight="1" x14ac:dyDescent="0.25"/>
    <row r="83" spans="1:20" s="1" customFormat="1" ht="14.1" customHeight="1" x14ac:dyDescent="0.25">
      <c r="B83" s="101" t="s">
        <v>735</v>
      </c>
      <c r="C83" s="101"/>
      <c r="D83" s="101"/>
      <c r="E83" s="101"/>
      <c r="F83" s="101"/>
      <c r="G83" s="101"/>
      <c r="H83" s="101"/>
      <c r="I83" s="101"/>
      <c r="J83" s="101"/>
      <c r="K83" s="101"/>
      <c r="L83" s="101"/>
      <c r="M83" s="101"/>
      <c r="N83" s="101"/>
      <c r="O83" s="101"/>
      <c r="P83" s="101"/>
      <c r="Q83" s="101"/>
      <c r="R83" s="101"/>
    </row>
    <row r="84" spans="1:20" s="1" customFormat="1" ht="14.1" customHeight="1" x14ac:dyDescent="0.25"/>
    <row r="85" spans="1:20" s="1" customFormat="1" ht="14.1" customHeight="1" x14ac:dyDescent="0.25">
      <c r="A85" s="102" t="s">
        <v>2</v>
      </c>
      <c r="B85" s="102"/>
      <c r="C85" s="102"/>
      <c r="D85" s="103" t="s">
        <v>274</v>
      </c>
      <c r="E85" s="103"/>
      <c r="F85" s="103"/>
      <c r="G85" s="103"/>
      <c r="H85" s="103"/>
      <c r="I85" s="103"/>
      <c r="J85" s="103"/>
      <c r="K85" s="103"/>
      <c r="L85" s="103"/>
      <c r="M85" s="103"/>
      <c r="N85" s="103"/>
      <c r="O85" s="103"/>
      <c r="P85" s="103"/>
      <c r="Q85" s="103"/>
      <c r="R85" s="103"/>
      <c r="S85" s="103"/>
      <c r="T85" s="103"/>
    </row>
    <row r="86" spans="1:20" s="1" customFormat="1" ht="14.1" customHeight="1" x14ac:dyDescent="0.25">
      <c r="A86" s="102" t="s">
        <v>4</v>
      </c>
      <c r="B86" s="102"/>
      <c r="C86" s="103">
        <v>15</v>
      </c>
      <c r="D86" s="103"/>
      <c r="E86" s="103"/>
      <c r="F86" s="103"/>
      <c r="G86" s="103"/>
      <c r="H86" s="103"/>
      <c r="I86" s="103"/>
      <c r="J86" s="103"/>
      <c r="K86" s="103"/>
      <c r="L86" s="103"/>
      <c r="M86" s="103"/>
      <c r="N86" s="103"/>
      <c r="O86" s="103"/>
      <c r="P86" s="103"/>
      <c r="Q86" s="103"/>
      <c r="R86" s="103"/>
      <c r="S86" s="103"/>
      <c r="T86" s="103"/>
    </row>
    <row r="87" spans="1:20" s="1" customFormat="1" ht="14.1" customHeight="1" x14ac:dyDescent="0.25">
      <c r="A87" s="102" t="s">
        <v>6</v>
      </c>
      <c r="B87" s="102"/>
      <c r="C87" s="102"/>
      <c r="D87" s="102"/>
      <c r="E87" s="102"/>
      <c r="F87" s="103" t="s">
        <v>75</v>
      </c>
      <c r="G87" s="103"/>
      <c r="H87" s="103"/>
      <c r="I87" s="103"/>
      <c r="J87" s="103"/>
      <c r="K87" s="103"/>
      <c r="L87" s="103"/>
      <c r="M87" s="103"/>
      <c r="N87" s="103"/>
      <c r="O87" s="103"/>
      <c r="P87" s="103"/>
      <c r="Q87" s="103"/>
      <c r="R87" s="103"/>
      <c r="S87" s="103"/>
      <c r="T87" s="103"/>
    </row>
    <row r="88" spans="1:20" s="1" customFormat="1" ht="1.35" customHeight="1" x14ac:dyDescent="0.25"/>
    <row r="89" spans="1:20" s="1" customFormat="1" ht="13.2" x14ac:dyDescent="0.25">
      <c r="A89" s="145" t="s">
        <v>686</v>
      </c>
      <c r="B89" s="93"/>
      <c r="C89" s="93"/>
      <c r="D89" s="93"/>
      <c r="E89" s="93"/>
      <c r="F89" s="93"/>
      <c r="G89" s="93"/>
      <c r="H89" s="93"/>
      <c r="I89" s="93"/>
      <c r="J89" s="93"/>
      <c r="K89" s="93"/>
      <c r="L89" s="93"/>
      <c r="M89" s="93"/>
      <c r="N89" s="93"/>
      <c r="O89" s="93"/>
      <c r="P89" s="93"/>
      <c r="Q89" s="93"/>
      <c r="R89" s="93"/>
      <c r="S89" s="93"/>
    </row>
    <row r="90" spans="1:20" s="1" customFormat="1" ht="60" customHeight="1" x14ac:dyDescent="0.25">
      <c r="A90" s="146" t="s">
        <v>711</v>
      </c>
      <c r="B90" s="119"/>
      <c r="C90" s="119"/>
      <c r="D90" s="119"/>
      <c r="E90" s="119"/>
      <c r="F90" s="119"/>
      <c r="G90" s="119"/>
      <c r="H90" s="119"/>
      <c r="I90" s="119"/>
      <c r="J90" s="119"/>
      <c r="K90" s="119"/>
      <c r="L90" s="119"/>
      <c r="M90" s="119"/>
      <c r="N90" s="119"/>
      <c r="O90" s="119"/>
      <c r="P90" s="119"/>
      <c r="Q90" s="119"/>
      <c r="R90" s="119"/>
      <c r="S90" s="119"/>
    </row>
    <row r="91" spans="1:20" s="1" customFormat="1" ht="7.05" customHeight="1" x14ac:dyDescent="0.25">
      <c r="A91" s="86"/>
      <c r="B91" s="86"/>
      <c r="C91" s="86"/>
      <c r="D91" s="86"/>
      <c r="E91" s="86"/>
      <c r="F91" s="86"/>
      <c r="G91" s="86"/>
      <c r="H91" s="86"/>
      <c r="I91" s="86"/>
      <c r="J91" s="86"/>
      <c r="K91" s="86"/>
      <c r="L91" s="86"/>
      <c r="M91" s="86"/>
      <c r="N91" s="86"/>
      <c r="O91" s="86"/>
      <c r="P91" s="86"/>
      <c r="Q91" s="16"/>
      <c r="R91" s="86"/>
      <c r="S91" s="86"/>
      <c r="T91" s="86"/>
    </row>
    <row r="92" spans="1:20" s="1" customFormat="1" ht="16.95" customHeight="1" x14ac:dyDescent="0.25">
      <c r="A92" s="94" t="s">
        <v>8</v>
      </c>
      <c r="B92" s="94"/>
      <c r="C92" s="94"/>
      <c r="D92" s="94"/>
      <c r="E92" s="94"/>
      <c r="F92" s="94"/>
      <c r="G92" s="94"/>
      <c r="H92" s="94"/>
      <c r="I92" s="94"/>
      <c r="J92" s="94"/>
      <c r="K92" s="94"/>
      <c r="L92" s="94"/>
      <c r="M92" s="95" t="s">
        <v>9</v>
      </c>
      <c r="N92" s="95"/>
      <c r="O92" s="95"/>
      <c r="P92" s="95"/>
      <c r="Q92" s="95"/>
      <c r="R92" s="95"/>
      <c r="S92" s="95"/>
      <c r="T92" s="95"/>
    </row>
    <row r="93" spans="1:20" s="1" customFormat="1" ht="16.95" customHeight="1" x14ac:dyDescent="0.25">
      <c r="A93" s="94"/>
      <c r="B93" s="94"/>
      <c r="C93" s="94"/>
      <c r="D93" s="94"/>
      <c r="E93" s="94"/>
      <c r="F93" s="94"/>
      <c r="G93" s="94"/>
      <c r="H93" s="94"/>
      <c r="I93" s="94"/>
      <c r="J93" s="94"/>
      <c r="K93" s="94"/>
      <c r="L93" s="94"/>
      <c r="M93" s="96" t="s">
        <v>10</v>
      </c>
      <c r="N93" s="96"/>
      <c r="O93" s="96"/>
      <c r="P93" s="96"/>
      <c r="Q93" s="97" t="s">
        <v>11</v>
      </c>
      <c r="R93" s="97"/>
      <c r="S93" s="97"/>
      <c r="T93" s="97"/>
    </row>
    <row r="94" spans="1:20" s="1" customFormat="1" ht="16.95" customHeight="1" x14ac:dyDescent="0.25">
      <c r="A94" s="94"/>
      <c r="B94" s="94"/>
      <c r="C94" s="94"/>
      <c r="D94" s="94"/>
      <c r="E94" s="94"/>
      <c r="F94" s="94"/>
      <c r="G94" s="94"/>
      <c r="H94" s="94"/>
      <c r="I94" s="94"/>
      <c r="J94" s="94"/>
      <c r="K94" s="94"/>
      <c r="L94" s="94"/>
      <c r="M94" s="98" t="s">
        <v>12</v>
      </c>
      <c r="N94" s="98"/>
      <c r="O94" s="98" t="s">
        <v>13</v>
      </c>
      <c r="P94" s="98"/>
      <c r="Q94" s="13" t="s">
        <v>14</v>
      </c>
      <c r="R94" s="99" t="s">
        <v>15</v>
      </c>
      <c r="S94" s="99"/>
      <c r="T94" s="99"/>
    </row>
    <row r="95" spans="1:20" s="1" customFormat="1" ht="13.35" customHeight="1" x14ac:dyDescent="0.25">
      <c r="A95" s="131" t="s">
        <v>275</v>
      </c>
      <c r="B95" s="131"/>
      <c r="C95" s="131"/>
      <c r="D95" s="131"/>
      <c r="E95" s="131"/>
      <c r="F95" s="131"/>
      <c r="G95" s="131"/>
      <c r="H95" s="131"/>
      <c r="I95" s="131"/>
      <c r="J95" s="131"/>
      <c r="K95" s="131"/>
      <c r="L95" s="131"/>
      <c r="M95" s="131"/>
      <c r="N95" s="131"/>
      <c r="O95" s="131">
        <v>24</v>
      </c>
      <c r="P95" s="131"/>
      <c r="Q95" s="15"/>
      <c r="R95" s="131">
        <v>2.4</v>
      </c>
      <c r="S95" s="131"/>
      <c r="T95" s="131"/>
    </row>
    <row r="96" spans="1:20" s="1" customFormat="1" ht="13.35" customHeight="1" x14ac:dyDescent="0.25">
      <c r="A96" s="88" t="s">
        <v>191</v>
      </c>
      <c r="B96" s="88"/>
      <c r="C96" s="88"/>
      <c r="D96" s="88"/>
      <c r="E96" s="88"/>
      <c r="F96" s="88"/>
      <c r="G96" s="88"/>
      <c r="H96" s="88"/>
      <c r="I96" s="88"/>
      <c r="J96" s="88"/>
      <c r="K96" s="88"/>
      <c r="L96" s="88"/>
      <c r="M96" s="88">
        <f>4*24/20</f>
        <v>4.8</v>
      </c>
      <c r="N96" s="88"/>
      <c r="O96" s="88">
        <v>4.8</v>
      </c>
      <c r="P96" s="88"/>
      <c r="Q96" s="6">
        <v>0.48</v>
      </c>
      <c r="R96" s="88">
        <v>0.48</v>
      </c>
      <c r="S96" s="88"/>
      <c r="T96" s="88"/>
    </row>
    <row r="97" spans="1:20" s="1" customFormat="1" ht="13.35" customHeight="1" x14ac:dyDescent="0.25">
      <c r="A97" s="88" t="s">
        <v>114</v>
      </c>
      <c r="B97" s="88"/>
      <c r="C97" s="88"/>
      <c r="D97" s="88"/>
      <c r="E97" s="88"/>
      <c r="F97" s="88"/>
      <c r="G97" s="88"/>
      <c r="H97" s="88"/>
      <c r="I97" s="88"/>
      <c r="J97" s="88"/>
      <c r="K97" s="88"/>
      <c r="L97" s="88"/>
      <c r="M97" s="88">
        <f>1.3*24/20</f>
        <v>1.56</v>
      </c>
      <c r="N97" s="88"/>
      <c r="O97" s="88">
        <v>1.56</v>
      </c>
      <c r="P97" s="88"/>
      <c r="Q97" s="6">
        <v>0.15</v>
      </c>
      <c r="R97" s="88">
        <v>0.15</v>
      </c>
      <c r="S97" s="88"/>
      <c r="T97" s="88"/>
    </row>
    <row r="98" spans="1:20" s="1" customFormat="1" ht="13.35" customHeight="1" x14ac:dyDescent="0.25">
      <c r="A98" s="88" t="s">
        <v>28</v>
      </c>
      <c r="B98" s="88"/>
      <c r="C98" s="88"/>
      <c r="D98" s="88"/>
      <c r="E98" s="88"/>
      <c r="F98" s="88"/>
      <c r="G98" s="88"/>
      <c r="H98" s="88"/>
      <c r="I98" s="88"/>
      <c r="J98" s="88"/>
      <c r="K98" s="88"/>
      <c r="L98" s="88"/>
      <c r="M98" s="88">
        <f>2*24/20</f>
        <v>2.4</v>
      </c>
      <c r="N98" s="88"/>
      <c r="O98" s="88">
        <v>2.4</v>
      </c>
      <c r="P98" s="88"/>
      <c r="Q98" s="6">
        <v>0.24</v>
      </c>
      <c r="R98" s="88">
        <v>0.24</v>
      </c>
      <c r="S98" s="88"/>
      <c r="T98" s="88"/>
    </row>
    <row r="99" spans="1:20" s="1" customFormat="1" ht="13.35" customHeight="1" x14ac:dyDescent="0.25">
      <c r="A99" s="88" t="s">
        <v>140</v>
      </c>
      <c r="B99" s="88"/>
      <c r="C99" s="88"/>
      <c r="D99" s="88"/>
      <c r="E99" s="88"/>
      <c r="F99" s="88"/>
      <c r="G99" s="88"/>
      <c r="H99" s="88"/>
      <c r="I99" s="88"/>
      <c r="J99" s="88"/>
      <c r="K99" s="88"/>
      <c r="L99" s="88"/>
      <c r="M99" s="88">
        <f>20*180/150</f>
        <v>24</v>
      </c>
      <c r="N99" s="88"/>
      <c r="O99" s="88">
        <f>18.18*180/150</f>
        <v>21.815999999999999</v>
      </c>
      <c r="P99" s="88"/>
      <c r="Q99" s="6">
        <v>2.4</v>
      </c>
      <c r="R99" s="88">
        <v>2.1800000000000002</v>
      </c>
      <c r="S99" s="88"/>
      <c r="T99" s="88"/>
    </row>
    <row r="100" spans="1:20" s="1" customFormat="1" ht="13.35" customHeight="1" x14ac:dyDescent="0.25">
      <c r="A100" s="88" t="s">
        <v>31</v>
      </c>
      <c r="B100" s="88"/>
      <c r="C100" s="88"/>
      <c r="D100" s="88"/>
      <c r="E100" s="88"/>
      <c r="F100" s="88"/>
      <c r="G100" s="88"/>
      <c r="H100" s="88"/>
      <c r="I100" s="88"/>
      <c r="J100" s="88"/>
      <c r="K100" s="88"/>
      <c r="L100" s="88"/>
      <c r="M100" s="88">
        <f>160*180/150</f>
        <v>192</v>
      </c>
      <c r="N100" s="88"/>
      <c r="O100" s="88">
        <f>120*180/150</f>
        <v>144</v>
      </c>
      <c r="P100" s="88"/>
      <c r="Q100" s="6">
        <v>19.2</v>
      </c>
      <c r="R100" s="88">
        <v>14.4</v>
      </c>
      <c r="S100" s="88"/>
      <c r="T100" s="88"/>
    </row>
    <row r="101" spans="1:20" s="1" customFormat="1" ht="13.35" customHeight="1" x14ac:dyDescent="0.25">
      <c r="A101" s="88" t="s">
        <v>18</v>
      </c>
      <c r="B101" s="88"/>
      <c r="C101" s="88"/>
      <c r="D101" s="88"/>
      <c r="E101" s="88"/>
      <c r="F101" s="88"/>
      <c r="G101" s="88"/>
      <c r="H101" s="88"/>
      <c r="I101" s="88"/>
      <c r="J101" s="88"/>
      <c r="K101" s="88"/>
      <c r="L101" s="88"/>
      <c r="M101" s="88">
        <f>6*180/150</f>
        <v>7.2</v>
      </c>
      <c r="N101" s="88"/>
      <c r="O101" s="88">
        <v>7.2</v>
      </c>
      <c r="P101" s="88"/>
      <c r="Q101" s="6">
        <v>0.72</v>
      </c>
      <c r="R101" s="88">
        <v>0.72</v>
      </c>
      <c r="S101" s="88"/>
      <c r="T101" s="88"/>
    </row>
    <row r="102" spans="1:20" s="1" customFormat="1" ht="13.35" customHeight="1" x14ac:dyDescent="0.25">
      <c r="A102" s="88" t="s">
        <v>21</v>
      </c>
      <c r="B102" s="88"/>
      <c r="C102" s="88"/>
      <c r="D102" s="88"/>
      <c r="E102" s="88"/>
      <c r="F102" s="88"/>
      <c r="G102" s="88"/>
      <c r="H102" s="88"/>
      <c r="I102" s="88"/>
      <c r="J102" s="88"/>
      <c r="K102" s="88"/>
      <c r="L102" s="88"/>
      <c r="M102" s="88">
        <f>35.7*180/150</f>
        <v>42.84</v>
      </c>
      <c r="N102" s="88"/>
      <c r="O102" s="88">
        <f>30*180/150</f>
        <v>36</v>
      </c>
      <c r="P102" s="88"/>
      <c r="Q102" s="6">
        <v>4.28</v>
      </c>
      <c r="R102" s="88">
        <v>3.6</v>
      </c>
      <c r="S102" s="88"/>
      <c r="T102" s="88"/>
    </row>
    <row r="103" spans="1:20" s="1" customFormat="1" ht="13.35" customHeight="1" x14ac:dyDescent="0.25">
      <c r="A103" s="88" t="s">
        <v>61</v>
      </c>
      <c r="B103" s="88"/>
      <c r="C103" s="88"/>
      <c r="D103" s="88"/>
      <c r="E103" s="88"/>
      <c r="F103" s="88"/>
      <c r="G103" s="88"/>
      <c r="H103" s="88"/>
      <c r="I103" s="88"/>
      <c r="J103" s="88"/>
      <c r="K103" s="88"/>
      <c r="L103" s="88"/>
      <c r="M103" s="88">
        <f>3*180/150</f>
        <v>3.6</v>
      </c>
      <c r="N103" s="88"/>
      <c r="O103" s="88">
        <v>3.6</v>
      </c>
      <c r="P103" s="88"/>
      <c r="Q103" s="6">
        <v>0.36</v>
      </c>
      <c r="R103" s="88">
        <v>0.36</v>
      </c>
      <c r="S103" s="88"/>
      <c r="T103" s="88"/>
    </row>
    <row r="104" spans="1:20" s="1" customFormat="1" ht="13.35" customHeight="1" x14ac:dyDescent="0.25">
      <c r="A104" s="88" t="s">
        <v>111</v>
      </c>
      <c r="B104" s="88"/>
      <c r="C104" s="88"/>
      <c r="D104" s="88"/>
      <c r="E104" s="88"/>
      <c r="F104" s="88"/>
      <c r="G104" s="88"/>
      <c r="H104" s="88"/>
      <c r="I104" s="88"/>
      <c r="J104" s="88"/>
      <c r="K104" s="88"/>
      <c r="L104" s="88"/>
      <c r="M104" s="88">
        <f>0.02*180/150</f>
        <v>2.4E-2</v>
      </c>
      <c r="N104" s="88"/>
      <c r="O104" s="88">
        <v>2.4E-2</v>
      </c>
      <c r="P104" s="88"/>
      <c r="Q104" s="6">
        <v>2.3999999999999998E-3</v>
      </c>
      <c r="R104" s="88">
        <v>2.3999999999999998E-3</v>
      </c>
      <c r="S104" s="88"/>
      <c r="T104" s="88"/>
    </row>
    <row r="105" spans="1:20" s="1" customFormat="1" ht="14.1" customHeight="1" x14ac:dyDescent="0.25">
      <c r="A105" s="90" t="s">
        <v>217</v>
      </c>
      <c r="B105" s="90"/>
      <c r="C105" s="90"/>
      <c r="D105" s="90"/>
      <c r="E105" s="90"/>
      <c r="F105" s="90"/>
      <c r="G105" s="90"/>
      <c r="H105" s="90"/>
      <c r="I105" s="90"/>
      <c r="J105" s="90"/>
      <c r="K105" s="90"/>
      <c r="L105" s="90"/>
      <c r="M105" s="90"/>
      <c r="N105" s="90"/>
      <c r="O105" s="90"/>
      <c r="P105" s="90"/>
      <c r="Q105" s="90"/>
      <c r="R105" s="90"/>
      <c r="S105" s="90"/>
      <c r="T105" s="90"/>
    </row>
    <row r="106" spans="1:20" s="1" customFormat="1" ht="21.3" customHeight="1" x14ac:dyDescent="0.25"/>
    <row r="107" spans="1:20" s="1" customFormat="1" ht="14.1" customHeight="1" x14ac:dyDescent="0.25">
      <c r="A107" s="91" t="s">
        <v>33</v>
      </c>
      <c r="B107" s="91"/>
      <c r="C107" s="91"/>
      <c r="D107" s="91"/>
      <c r="E107" s="91"/>
      <c r="F107" s="91"/>
      <c r="G107" s="91"/>
      <c r="H107" s="91"/>
      <c r="I107" s="91"/>
      <c r="J107" s="91"/>
      <c r="K107" s="91"/>
      <c r="L107" s="91"/>
      <c r="M107" s="91"/>
      <c r="N107" s="91"/>
    </row>
    <row r="108" spans="1:20" s="1" customFormat="1" ht="13.35" customHeight="1" x14ac:dyDescent="0.25">
      <c r="A108" s="88" t="s">
        <v>34</v>
      </c>
      <c r="B108" s="88"/>
      <c r="C108" s="88"/>
      <c r="D108" s="88"/>
      <c r="E108" s="89">
        <f>6*180/150</f>
        <v>7.2</v>
      </c>
      <c r="F108" s="89"/>
      <c r="G108" s="17"/>
      <c r="H108" s="6" t="s">
        <v>35</v>
      </c>
      <c r="I108" s="89">
        <v>0.13</v>
      </c>
      <c r="J108" s="89"/>
      <c r="K108" s="17"/>
      <c r="L108" s="88" t="s">
        <v>36</v>
      </c>
      <c r="M108" s="88"/>
      <c r="N108" s="89">
        <v>158.41999999999999</v>
      </c>
      <c r="O108" s="89"/>
    </row>
    <row r="109" spans="1:20" s="1" customFormat="1" ht="13.35" customHeight="1" x14ac:dyDescent="0.25">
      <c r="A109" s="88" t="s">
        <v>37</v>
      </c>
      <c r="B109" s="88"/>
      <c r="C109" s="88"/>
      <c r="D109" s="88"/>
      <c r="E109" s="89">
        <f>9.4*180/150</f>
        <v>11.28</v>
      </c>
      <c r="F109" s="89"/>
      <c r="G109" s="17"/>
      <c r="H109" s="6" t="s">
        <v>38</v>
      </c>
      <c r="I109" s="89">
        <v>10.130000000000001</v>
      </c>
      <c r="J109" s="89"/>
      <c r="K109" s="17"/>
      <c r="L109" s="88" t="s">
        <v>39</v>
      </c>
      <c r="M109" s="88"/>
      <c r="N109" s="89">
        <v>32.520000000000003</v>
      </c>
      <c r="O109" s="89"/>
    </row>
    <row r="110" spans="1:20" s="1" customFormat="1" ht="13.35" customHeight="1" x14ac:dyDescent="0.25">
      <c r="A110" s="88" t="s">
        <v>40</v>
      </c>
      <c r="B110" s="88"/>
      <c r="C110" s="88"/>
      <c r="D110" s="88"/>
      <c r="E110" s="89">
        <f>21.5*180/150</f>
        <v>25.8</v>
      </c>
      <c r="F110" s="89"/>
      <c r="G110" s="17"/>
      <c r="H110" s="6" t="s">
        <v>41</v>
      </c>
      <c r="I110" s="89">
        <v>0.06</v>
      </c>
      <c r="J110" s="89"/>
      <c r="K110" s="17"/>
      <c r="L110" s="88" t="s">
        <v>42</v>
      </c>
      <c r="M110" s="88"/>
      <c r="N110" s="89">
        <v>150.36000000000001</v>
      </c>
      <c r="O110" s="89"/>
    </row>
    <row r="111" spans="1:20" s="1" customFormat="1" ht="13.35" customHeight="1" x14ac:dyDescent="0.25">
      <c r="A111" s="88" t="s">
        <v>43</v>
      </c>
      <c r="B111" s="88"/>
      <c r="C111" s="88"/>
      <c r="D111" s="88"/>
      <c r="E111" s="89">
        <f>197.2*180/150</f>
        <v>236.64</v>
      </c>
      <c r="F111" s="89"/>
      <c r="G111" s="17"/>
      <c r="H111" s="6" t="s">
        <v>44</v>
      </c>
      <c r="I111" s="89">
        <v>2.81</v>
      </c>
      <c r="J111" s="89"/>
      <c r="K111" s="17"/>
      <c r="L111" s="88" t="s">
        <v>45</v>
      </c>
      <c r="M111" s="88"/>
      <c r="N111" s="89">
        <v>1.45</v>
      </c>
      <c r="O111" s="89"/>
    </row>
    <row r="112" spans="1:20" s="1" customFormat="1" ht="13.35" customHeight="1" x14ac:dyDescent="0.25">
      <c r="A112" s="87"/>
      <c r="B112" s="87"/>
      <c r="C112" s="87"/>
      <c r="D112" s="87"/>
      <c r="E112" s="87"/>
      <c r="F112" s="87"/>
      <c r="G112" s="17"/>
      <c r="H112" s="6" t="s">
        <v>46</v>
      </c>
      <c r="I112" s="89">
        <v>0.05</v>
      </c>
      <c r="J112" s="89"/>
      <c r="K112" s="17"/>
      <c r="L112" s="88" t="s">
        <v>47</v>
      </c>
      <c r="M112" s="88"/>
      <c r="N112" s="89">
        <v>706.27</v>
      </c>
      <c r="O112" s="89"/>
    </row>
    <row r="113" spans="1:20" s="1" customFormat="1" ht="13.35" customHeight="1" x14ac:dyDescent="0.25">
      <c r="A113" s="87"/>
      <c r="B113" s="87"/>
      <c r="C113" s="87"/>
      <c r="D113" s="87"/>
      <c r="E113" s="87"/>
      <c r="F113" s="87"/>
      <c r="G113" s="17"/>
      <c r="H113" s="6" t="s">
        <v>48</v>
      </c>
      <c r="I113" s="89">
        <v>0.12</v>
      </c>
      <c r="J113" s="89"/>
      <c r="K113" s="17"/>
      <c r="L113" s="88" t="s">
        <v>49</v>
      </c>
      <c r="M113" s="88"/>
      <c r="N113" s="89">
        <v>6.84</v>
      </c>
      <c r="O113" s="89"/>
    </row>
    <row r="114" spans="1:20" s="1" customFormat="1" ht="13.35" customHeight="1" x14ac:dyDescent="0.25">
      <c r="A114" s="87"/>
      <c r="B114" s="87"/>
      <c r="C114" s="87"/>
      <c r="D114" s="87"/>
      <c r="E114" s="87"/>
      <c r="F114" s="87"/>
      <c r="G114" s="17"/>
      <c r="H114" s="17"/>
      <c r="I114" s="87"/>
      <c r="J114" s="87"/>
      <c r="K114" s="17"/>
      <c r="L114" s="88" t="s">
        <v>50</v>
      </c>
      <c r="M114" s="88"/>
      <c r="N114" s="89">
        <v>0.05</v>
      </c>
      <c r="O114" s="89"/>
    </row>
    <row r="115" spans="1:20" s="1" customFormat="1" ht="13.35" customHeight="1" x14ac:dyDescent="0.25">
      <c r="A115" s="87"/>
      <c r="B115" s="87"/>
      <c r="C115" s="87"/>
      <c r="D115" s="87"/>
      <c r="E115" s="87"/>
      <c r="F115" s="87"/>
      <c r="G115" s="17"/>
      <c r="H115" s="17"/>
      <c r="I115" s="87"/>
      <c r="J115" s="87"/>
      <c r="K115" s="17"/>
      <c r="L115" s="88" t="s">
        <v>51</v>
      </c>
      <c r="M115" s="88"/>
      <c r="N115" s="89">
        <v>0</v>
      </c>
      <c r="O115" s="89"/>
    </row>
    <row r="116" spans="1:20" s="1" customFormat="1" ht="14.1" customHeight="1" x14ac:dyDescent="0.25">
      <c r="A116" s="86"/>
      <c r="B116" s="86"/>
      <c r="C116" s="86"/>
      <c r="D116" s="86"/>
      <c r="E116" s="86"/>
      <c r="F116" s="86"/>
      <c r="G116" s="86"/>
      <c r="H116" s="86"/>
      <c r="I116" s="86"/>
      <c r="J116" s="86"/>
      <c r="K116" s="86"/>
      <c r="L116" s="86"/>
      <c r="M116" s="86"/>
      <c r="N116" s="86"/>
      <c r="O116" s="86"/>
      <c r="P116" s="86"/>
      <c r="Q116" s="86"/>
      <c r="R116" s="86"/>
      <c r="S116" s="86"/>
    </row>
    <row r="117" spans="1:20" s="1" customFormat="1" ht="14.1" customHeight="1" x14ac:dyDescent="0.25">
      <c r="A117" s="84" t="s">
        <v>52</v>
      </c>
      <c r="B117" s="84"/>
      <c r="C117" s="84"/>
      <c r="D117" s="84"/>
      <c r="E117" s="84"/>
      <c r="F117" s="84"/>
      <c r="G117" s="84"/>
      <c r="H117" s="84"/>
      <c r="I117" s="84"/>
      <c r="J117" s="84"/>
      <c r="K117" s="84"/>
      <c r="L117" s="84"/>
      <c r="M117" s="84"/>
      <c r="N117" s="84"/>
      <c r="O117" s="84"/>
      <c r="P117" s="84"/>
      <c r="Q117" s="84"/>
      <c r="R117" s="84"/>
      <c r="S117" s="84"/>
    </row>
    <row r="118" spans="1:20" s="1" customFormat="1" ht="95.25" customHeight="1" x14ac:dyDescent="0.25">
      <c r="A118" s="85" t="s">
        <v>276</v>
      </c>
      <c r="B118" s="85"/>
      <c r="C118" s="85"/>
      <c r="D118" s="85"/>
      <c r="E118" s="85"/>
      <c r="F118" s="85"/>
      <c r="G118" s="85"/>
      <c r="H118" s="85"/>
      <c r="I118" s="85"/>
      <c r="J118" s="85"/>
      <c r="K118" s="85"/>
      <c r="L118" s="85"/>
      <c r="M118" s="85"/>
      <c r="N118" s="85"/>
      <c r="O118" s="85"/>
      <c r="P118" s="85"/>
      <c r="Q118" s="85"/>
      <c r="R118" s="85"/>
      <c r="S118" s="85"/>
    </row>
    <row r="119" spans="1:20" s="1" customFormat="1" ht="14.1" customHeight="1" x14ac:dyDescent="0.25">
      <c r="A119" s="84" t="s">
        <v>54</v>
      </c>
      <c r="B119" s="84"/>
      <c r="C119" s="84"/>
      <c r="D119" s="84"/>
      <c r="E119" s="84"/>
      <c r="F119" s="84"/>
      <c r="G119" s="84"/>
      <c r="H119" s="84"/>
      <c r="I119" s="84"/>
      <c r="J119" s="84"/>
      <c r="K119" s="84"/>
      <c r="L119" s="84"/>
      <c r="M119" s="84"/>
      <c r="N119" s="84"/>
      <c r="O119" s="84"/>
      <c r="P119" s="84"/>
      <c r="Q119" s="84"/>
      <c r="R119" s="84"/>
      <c r="S119" s="84"/>
    </row>
    <row r="120" spans="1:20" s="1" customFormat="1" ht="12.45" customHeight="1" x14ac:dyDescent="0.25">
      <c r="A120" s="85" t="s">
        <v>224</v>
      </c>
      <c r="B120" s="85"/>
      <c r="C120" s="85"/>
      <c r="D120" s="85"/>
      <c r="E120" s="85"/>
      <c r="F120" s="85"/>
      <c r="G120" s="85"/>
      <c r="H120" s="85"/>
      <c r="I120" s="85"/>
      <c r="J120" s="85"/>
      <c r="K120" s="85"/>
      <c r="L120" s="85"/>
      <c r="M120" s="85"/>
      <c r="N120" s="85"/>
      <c r="O120" s="85"/>
      <c r="P120" s="85"/>
      <c r="Q120" s="85"/>
      <c r="R120" s="85"/>
      <c r="S120" s="85"/>
    </row>
    <row r="121" spans="1:20" s="1" customFormat="1" ht="14.1" customHeight="1" x14ac:dyDescent="0.25">
      <c r="A121" s="86"/>
      <c r="B121" s="86"/>
      <c r="C121" s="86"/>
      <c r="D121" s="86"/>
      <c r="E121" s="86"/>
      <c r="F121" s="86"/>
      <c r="G121" s="86"/>
      <c r="H121" s="86"/>
      <c r="I121" s="86"/>
      <c r="J121" s="86"/>
      <c r="K121" s="86"/>
      <c r="L121" s="86"/>
      <c r="M121" s="86"/>
      <c r="N121" s="86"/>
      <c r="O121" s="86"/>
      <c r="P121" s="86"/>
      <c r="Q121" s="86"/>
      <c r="R121" s="86"/>
      <c r="S121" s="86"/>
    </row>
    <row r="122" spans="1:20" s="1" customFormat="1" ht="14.1" customHeight="1" x14ac:dyDescent="0.25">
      <c r="A122" s="84" t="s">
        <v>56</v>
      </c>
      <c r="B122" s="84"/>
      <c r="C122" s="84"/>
      <c r="D122" s="84"/>
      <c r="E122" s="84"/>
      <c r="F122" s="84"/>
      <c r="G122" s="84"/>
      <c r="H122" s="84"/>
      <c r="I122" s="84"/>
      <c r="J122" s="84"/>
      <c r="K122" s="84"/>
      <c r="L122" s="84"/>
      <c r="M122" s="84"/>
      <c r="N122" s="84"/>
      <c r="O122" s="84"/>
      <c r="P122" s="84"/>
      <c r="Q122" s="84"/>
      <c r="R122" s="84"/>
      <c r="S122" s="84"/>
    </row>
    <row r="123" spans="1:20" s="1" customFormat="1" ht="49.2" customHeight="1" x14ac:dyDescent="0.25">
      <c r="A123" s="85" t="s">
        <v>277</v>
      </c>
      <c r="B123" s="85"/>
      <c r="C123" s="85"/>
      <c r="D123" s="85"/>
      <c r="E123" s="85"/>
      <c r="F123" s="85"/>
      <c r="G123" s="85"/>
      <c r="H123" s="85"/>
      <c r="I123" s="85"/>
      <c r="J123" s="85"/>
      <c r="K123" s="85"/>
      <c r="L123" s="85"/>
      <c r="M123" s="85"/>
      <c r="N123" s="85"/>
      <c r="O123" s="85"/>
      <c r="P123" s="85"/>
      <c r="Q123" s="85"/>
      <c r="R123" s="85"/>
      <c r="S123" s="85"/>
    </row>
    <row r="124" spans="1:20" s="1" customFormat="1" ht="72.45" customHeight="1" x14ac:dyDescent="0.25">
      <c r="J124" s="100" t="s">
        <v>0</v>
      </c>
      <c r="K124" s="100"/>
      <c r="L124" s="100"/>
      <c r="M124" s="100"/>
      <c r="N124" s="100"/>
      <c r="O124" s="100"/>
      <c r="P124" s="100"/>
      <c r="Q124" s="100"/>
      <c r="R124" s="100"/>
      <c r="S124" s="100"/>
      <c r="T124" s="100"/>
    </row>
    <row r="125" spans="1:20" s="1" customFormat="1" ht="7.05" customHeight="1" x14ac:dyDescent="0.25"/>
    <row r="126" spans="1:20" s="1" customFormat="1" ht="14.1" customHeight="1" x14ac:dyDescent="0.25">
      <c r="B126" s="101" t="s">
        <v>709</v>
      </c>
      <c r="C126" s="101"/>
      <c r="D126" s="101"/>
      <c r="E126" s="101"/>
      <c r="F126" s="101"/>
      <c r="G126" s="101"/>
      <c r="H126" s="101"/>
      <c r="I126" s="101"/>
      <c r="J126" s="101"/>
      <c r="K126" s="101"/>
      <c r="L126" s="101"/>
      <c r="M126" s="101"/>
      <c r="N126" s="101"/>
      <c r="O126" s="101"/>
      <c r="P126" s="101"/>
      <c r="Q126" s="101"/>
      <c r="R126" s="101"/>
    </row>
    <row r="127" spans="1:20" s="1" customFormat="1" ht="14.1" customHeight="1" x14ac:dyDescent="0.25"/>
    <row r="128" spans="1:20" s="1" customFormat="1" ht="14.1" customHeight="1" x14ac:dyDescent="0.25">
      <c r="A128" s="102" t="s">
        <v>2</v>
      </c>
      <c r="B128" s="102"/>
      <c r="C128" s="102"/>
      <c r="D128" s="103" t="s">
        <v>278</v>
      </c>
      <c r="E128" s="103"/>
      <c r="F128" s="103"/>
      <c r="G128" s="103"/>
      <c r="H128" s="103"/>
      <c r="I128" s="103"/>
      <c r="J128" s="103"/>
      <c r="K128" s="103"/>
      <c r="L128" s="103"/>
      <c r="M128" s="103"/>
      <c r="N128" s="103"/>
      <c r="O128" s="103"/>
      <c r="P128" s="103"/>
      <c r="Q128" s="103"/>
      <c r="R128" s="103"/>
      <c r="S128" s="103"/>
      <c r="T128" s="103"/>
    </row>
    <row r="129" spans="1:20" s="1" customFormat="1" ht="14.1" customHeight="1" x14ac:dyDescent="0.25">
      <c r="A129" s="102" t="s">
        <v>4</v>
      </c>
      <c r="B129" s="102"/>
      <c r="C129" s="103" t="s">
        <v>710</v>
      </c>
      <c r="D129" s="103"/>
      <c r="E129" s="103"/>
      <c r="F129" s="103"/>
      <c r="G129" s="103"/>
      <c r="H129" s="103"/>
      <c r="I129" s="103"/>
      <c r="J129" s="103"/>
      <c r="K129" s="103"/>
      <c r="L129" s="103"/>
      <c r="M129" s="103"/>
      <c r="N129" s="103"/>
      <c r="O129" s="103"/>
      <c r="P129" s="103"/>
      <c r="Q129" s="103"/>
      <c r="R129" s="103"/>
      <c r="S129" s="103"/>
      <c r="T129" s="103"/>
    </row>
    <row r="130" spans="1:20" s="1" customFormat="1" ht="14.1" customHeight="1" x14ac:dyDescent="0.25">
      <c r="A130" s="102" t="s">
        <v>6</v>
      </c>
      <c r="B130" s="102"/>
      <c r="C130" s="102"/>
      <c r="D130" s="102"/>
      <c r="E130" s="102"/>
      <c r="F130" s="103" t="s">
        <v>75</v>
      </c>
      <c r="G130" s="103"/>
      <c r="H130" s="103"/>
      <c r="I130" s="103"/>
      <c r="J130" s="103"/>
      <c r="K130" s="103"/>
      <c r="L130" s="103"/>
      <c r="M130" s="103"/>
      <c r="N130" s="103"/>
      <c r="O130" s="103"/>
      <c r="P130" s="103"/>
      <c r="Q130" s="103"/>
      <c r="R130" s="103"/>
      <c r="S130" s="103"/>
      <c r="T130" s="103"/>
    </row>
    <row r="131" spans="1:20" s="1" customFormat="1" ht="1.35" customHeight="1" x14ac:dyDescent="0.25"/>
    <row r="132" spans="1:20" s="1" customFormat="1" ht="13.2" x14ac:dyDescent="0.25">
      <c r="A132" s="104" t="s">
        <v>754</v>
      </c>
      <c r="B132" s="93"/>
      <c r="C132" s="93"/>
      <c r="D132" s="93"/>
      <c r="E132" s="93"/>
      <c r="F132" s="93"/>
      <c r="G132" s="93"/>
      <c r="H132" s="93"/>
      <c r="I132" s="93"/>
      <c r="J132" s="93"/>
      <c r="K132" s="93"/>
      <c r="L132" s="93"/>
      <c r="M132" s="93"/>
      <c r="N132" s="93"/>
      <c r="O132" s="93"/>
      <c r="P132" s="93"/>
      <c r="Q132" s="93"/>
      <c r="R132" s="93"/>
      <c r="S132" s="93"/>
    </row>
    <row r="133" spans="1:20" s="1" customFormat="1" ht="34.950000000000003" customHeight="1" x14ac:dyDescent="0.25">
      <c r="A133" s="146" t="s">
        <v>711</v>
      </c>
      <c r="B133" s="119"/>
      <c r="C133" s="119"/>
      <c r="D133" s="119"/>
      <c r="E133" s="119"/>
      <c r="F133" s="119"/>
      <c r="G133" s="119"/>
      <c r="H133" s="119"/>
      <c r="I133" s="119"/>
      <c r="J133" s="119"/>
      <c r="K133" s="119"/>
      <c r="L133" s="119"/>
      <c r="M133" s="119"/>
      <c r="N133" s="119"/>
      <c r="O133" s="119"/>
      <c r="P133" s="119"/>
      <c r="Q133" s="119"/>
      <c r="R133" s="119"/>
      <c r="S133" s="119"/>
    </row>
    <row r="134" spans="1:20" s="1" customFormat="1" ht="7.05" customHeight="1" x14ac:dyDescent="0.25">
      <c r="A134" s="86"/>
      <c r="B134" s="86"/>
      <c r="C134" s="86"/>
      <c r="D134" s="86"/>
      <c r="E134" s="86"/>
      <c r="F134" s="86"/>
      <c r="G134" s="86"/>
      <c r="H134" s="86"/>
      <c r="I134" s="86"/>
      <c r="J134" s="86"/>
      <c r="K134" s="86"/>
      <c r="L134" s="86"/>
      <c r="M134" s="86"/>
      <c r="N134" s="86"/>
      <c r="O134" s="86"/>
      <c r="P134" s="86"/>
      <c r="Q134" s="16"/>
      <c r="R134" s="86"/>
      <c r="S134" s="86"/>
      <c r="T134" s="86"/>
    </row>
    <row r="135" spans="1:20" s="1" customFormat="1" ht="16.95" customHeight="1" x14ac:dyDescent="0.25">
      <c r="A135" s="94" t="s">
        <v>8</v>
      </c>
      <c r="B135" s="94"/>
      <c r="C135" s="94"/>
      <c r="D135" s="94"/>
      <c r="E135" s="94"/>
      <c r="F135" s="94"/>
      <c r="G135" s="94"/>
      <c r="H135" s="94"/>
      <c r="I135" s="94"/>
      <c r="J135" s="94"/>
      <c r="K135" s="94"/>
      <c r="L135" s="94"/>
      <c r="M135" s="95" t="s">
        <v>9</v>
      </c>
      <c r="N135" s="95"/>
      <c r="O135" s="95"/>
      <c r="P135" s="95"/>
      <c r="Q135" s="95"/>
      <c r="R135" s="95"/>
      <c r="S135" s="95"/>
      <c r="T135" s="95"/>
    </row>
    <row r="136" spans="1:20" s="1" customFormat="1" ht="16.95" customHeight="1" x14ac:dyDescent="0.25">
      <c r="A136" s="94"/>
      <c r="B136" s="94"/>
      <c r="C136" s="94"/>
      <c r="D136" s="94"/>
      <c r="E136" s="94"/>
      <c r="F136" s="94"/>
      <c r="G136" s="94"/>
      <c r="H136" s="94"/>
      <c r="I136" s="94"/>
      <c r="J136" s="94"/>
      <c r="K136" s="94"/>
      <c r="L136" s="94"/>
      <c r="M136" s="96" t="s">
        <v>10</v>
      </c>
      <c r="N136" s="96"/>
      <c r="O136" s="96"/>
      <c r="P136" s="96"/>
      <c r="Q136" s="97" t="s">
        <v>11</v>
      </c>
      <c r="R136" s="97"/>
      <c r="S136" s="97"/>
      <c r="T136" s="97"/>
    </row>
    <row r="137" spans="1:20" s="1" customFormat="1" ht="16.95" customHeight="1" x14ac:dyDescent="0.25">
      <c r="A137" s="94"/>
      <c r="B137" s="94"/>
      <c r="C137" s="94"/>
      <c r="D137" s="94"/>
      <c r="E137" s="94"/>
      <c r="F137" s="94"/>
      <c r="G137" s="94"/>
      <c r="H137" s="94"/>
      <c r="I137" s="94"/>
      <c r="J137" s="94"/>
      <c r="K137" s="94"/>
      <c r="L137" s="94"/>
      <c r="M137" s="98" t="s">
        <v>12</v>
      </c>
      <c r="N137" s="98"/>
      <c r="O137" s="98" t="s">
        <v>13</v>
      </c>
      <c r="P137" s="98"/>
      <c r="Q137" s="13" t="s">
        <v>14</v>
      </c>
      <c r="R137" s="99" t="s">
        <v>15</v>
      </c>
      <c r="S137" s="99"/>
      <c r="T137" s="99"/>
    </row>
    <row r="138" spans="1:20" s="1" customFormat="1" ht="13.35" customHeight="1" x14ac:dyDescent="0.25">
      <c r="A138" s="88" t="s">
        <v>21</v>
      </c>
      <c r="B138" s="88"/>
      <c r="C138" s="88"/>
      <c r="D138" s="88"/>
      <c r="E138" s="88"/>
      <c r="F138" s="88"/>
      <c r="G138" s="88"/>
      <c r="H138" s="88"/>
      <c r="I138" s="88"/>
      <c r="J138" s="88"/>
      <c r="K138" s="88"/>
      <c r="L138" s="88"/>
      <c r="M138" s="88">
        <f>10.3*180/150</f>
        <v>12.360000000000001</v>
      </c>
      <c r="N138" s="88"/>
      <c r="O138" s="88">
        <f>8.65*180/150</f>
        <v>10.38</v>
      </c>
      <c r="P138" s="88"/>
      <c r="Q138" s="6">
        <v>1.236</v>
      </c>
      <c r="R138" s="88">
        <v>1.038</v>
      </c>
      <c r="S138" s="88"/>
      <c r="T138" s="88"/>
    </row>
    <row r="139" spans="1:20" s="1" customFormat="1" ht="13.35" customHeight="1" x14ac:dyDescent="0.25">
      <c r="A139" s="88" t="s">
        <v>100</v>
      </c>
      <c r="B139" s="88"/>
      <c r="C139" s="88"/>
      <c r="D139" s="88"/>
      <c r="E139" s="88"/>
      <c r="F139" s="88"/>
      <c r="G139" s="88"/>
      <c r="H139" s="88"/>
      <c r="I139" s="88"/>
      <c r="J139" s="88"/>
      <c r="K139" s="88"/>
      <c r="L139" s="88"/>
      <c r="M139" s="88">
        <f>9.38*180/150</f>
        <v>11.256</v>
      </c>
      <c r="N139" s="88"/>
      <c r="O139" s="88">
        <f>7.5*180/150</f>
        <v>9</v>
      </c>
      <c r="P139" s="88"/>
      <c r="Q139" s="24">
        <v>1.1299999999999999</v>
      </c>
      <c r="R139" s="88">
        <v>0.9</v>
      </c>
      <c r="S139" s="88"/>
      <c r="T139" s="88"/>
    </row>
    <row r="140" spans="1:20" s="1" customFormat="1" ht="13.35" customHeight="1" x14ac:dyDescent="0.25">
      <c r="A140" s="88" t="s">
        <v>183</v>
      </c>
      <c r="B140" s="88"/>
      <c r="C140" s="88"/>
      <c r="D140" s="88"/>
      <c r="E140" s="88"/>
      <c r="F140" s="88"/>
      <c r="G140" s="88"/>
      <c r="H140" s="88"/>
      <c r="I140" s="88"/>
      <c r="J140" s="88"/>
      <c r="K140" s="88"/>
      <c r="L140" s="88"/>
      <c r="M140" s="88" t="s">
        <v>812</v>
      </c>
      <c r="N140" s="88"/>
      <c r="O140" s="88">
        <f>2.016*45</f>
        <v>90.72</v>
      </c>
      <c r="P140" s="88"/>
      <c r="Q140" s="6" t="s">
        <v>813</v>
      </c>
      <c r="R140" s="88">
        <v>9.07</v>
      </c>
      <c r="S140" s="88"/>
      <c r="T140" s="88"/>
    </row>
    <row r="141" spans="1:20" s="1" customFormat="1" ht="13.35" customHeight="1" x14ac:dyDescent="0.25">
      <c r="A141" s="88" t="s">
        <v>61</v>
      </c>
      <c r="B141" s="88"/>
      <c r="C141" s="88"/>
      <c r="D141" s="88"/>
      <c r="E141" s="88"/>
      <c r="F141" s="88"/>
      <c r="G141" s="88"/>
      <c r="H141" s="88"/>
      <c r="I141" s="88"/>
      <c r="J141" s="88"/>
      <c r="K141" s="88"/>
      <c r="L141" s="88"/>
      <c r="M141" s="88">
        <f>3*180/150</f>
        <v>3.6</v>
      </c>
      <c r="N141" s="88"/>
      <c r="O141" s="88">
        <v>3.6</v>
      </c>
      <c r="P141" s="88"/>
      <c r="Q141" s="6">
        <v>0.36</v>
      </c>
      <c r="R141" s="88">
        <v>0.36</v>
      </c>
      <c r="S141" s="88"/>
      <c r="T141" s="88"/>
    </row>
    <row r="142" spans="1:20" s="1" customFormat="1" ht="13.35" customHeight="1" x14ac:dyDescent="0.25">
      <c r="A142" s="88" t="s">
        <v>721</v>
      </c>
      <c r="B142" s="88"/>
      <c r="C142" s="88"/>
      <c r="D142" s="88"/>
      <c r="E142" s="88"/>
      <c r="F142" s="88"/>
      <c r="G142" s="88"/>
      <c r="H142" s="88"/>
      <c r="I142" s="88"/>
      <c r="J142" s="88"/>
      <c r="K142" s="88"/>
      <c r="L142" s="88"/>
      <c r="M142" s="88">
        <f>14.5*180/150</f>
        <v>17.399999999999999</v>
      </c>
      <c r="N142" s="88"/>
      <c r="O142" s="88">
        <v>17.399999999999999</v>
      </c>
      <c r="P142" s="88"/>
      <c r="Q142" s="6">
        <v>1.74</v>
      </c>
      <c r="R142" s="88">
        <v>1.74</v>
      </c>
      <c r="S142" s="88"/>
      <c r="T142" s="88"/>
    </row>
    <row r="143" spans="1:20" s="1" customFormat="1" ht="13.35" customHeight="1" x14ac:dyDescent="0.25">
      <c r="A143" s="88" t="s">
        <v>81</v>
      </c>
      <c r="B143" s="88"/>
      <c r="C143" s="88"/>
      <c r="D143" s="88"/>
      <c r="E143" s="88"/>
      <c r="F143" s="88"/>
      <c r="G143" s="88"/>
      <c r="H143" s="88"/>
      <c r="I143" s="88"/>
      <c r="J143" s="88"/>
      <c r="K143" s="88"/>
      <c r="L143" s="88"/>
      <c r="M143" s="88">
        <f>3.2*180/150</f>
        <v>3.84</v>
      </c>
      <c r="N143" s="88"/>
      <c r="O143" s="88">
        <f>3.04*180/150</f>
        <v>3.6480000000000001</v>
      </c>
      <c r="P143" s="88"/>
      <c r="Q143" s="6">
        <v>0.38</v>
      </c>
      <c r="R143" s="88">
        <v>0.36399999999999999</v>
      </c>
      <c r="S143" s="88"/>
      <c r="T143" s="88"/>
    </row>
    <row r="144" spans="1:20" s="1" customFormat="1" ht="13.35" customHeight="1" x14ac:dyDescent="0.25">
      <c r="A144" s="88" t="s">
        <v>31</v>
      </c>
      <c r="B144" s="88"/>
      <c r="C144" s="88"/>
      <c r="D144" s="88"/>
      <c r="E144" s="88"/>
      <c r="F144" s="88"/>
      <c r="G144" s="88"/>
      <c r="H144" s="88"/>
      <c r="I144" s="88"/>
      <c r="J144" s="88"/>
      <c r="K144" s="88"/>
      <c r="L144" s="88"/>
      <c r="M144" s="88">
        <f>126.97*180/150</f>
        <v>152.364</v>
      </c>
      <c r="N144" s="88"/>
      <c r="O144" s="88">
        <f>88.88*180/150</f>
        <v>106.65599999999999</v>
      </c>
      <c r="P144" s="88"/>
      <c r="Q144" s="24">
        <v>15.23</v>
      </c>
      <c r="R144" s="88">
        <v>10.66</v>
      </c>
      <c r="S144" s="88"/>
      <c r="T144" s="88"/>
    </row>
    <row r="145" spans="1:20" s="1" customFormat="1" ht="13.35" customHeight="1" x14ac:dyDescent="0.25">
      <c r="A145" s="88" t="s">
        <v>18</v>
      </c>
      <c r="B145" s="88"/>
      <c r="C145" s="88"/>
      <c r="D145" s="88"/>
      <c r="E145" s="88"/>
      <c r="F145" s="88"/>
      <c r="G145" s="88"/>
      <c r="H145" s="88"/>
      <c r="I145" s="88"/>
      <c r="J145" s="88"/>
      <c r="K145" s="88"/>
      <c r="L145" s="88"/>
      <c r="M145" s="88">
        <f>3*180/150</f>
        <v>3.6</v>
      </c>
      <c r="N145" s="88"/>
      <c r="O145" s="88">
        <v>3.6</v>
      </c>
      <c r="P145" s="88"/>
      <c r="Q145" s="6">
        <v>0.36</v>
      </c>
      <c r="R145" s="88">
        <v>0.36</v>
      </c>
      <c r="S145" s="88"/>
      <c r="T145" s="88"/>
    </row>
    <row r="146" spans="1:20" s="1" customFormat="1" ht="13.35" customHeight="1" x14ac:dyDescent="0.25">
      <c r="A146" s="88" t="s">
        <v>70</v>
      </c>
      <c r="B146" s="88"/>
      <c r="C146" s="88"/>
      <c r="D146" s="88"/>
      <c r="E146" s="88"/>
      <c r="F146" s="88"/>
      <c r="G146" s="88"/>
      <c r="H146" s="88"/>
      <c r="I146" s="88"/>
      <c r="J146" s="88"/>
      <c r="K146" s="88"/>
      <c r="L146" s="88"/>
      <c r="M146" s="88">
        <f>1.5*180/150</f>
        <v>1.8</v>
      </c>
      <c r="N146" s="88"/>
      <c r="O146" s="88">
        <v>1.8</v>
      </c>
      <c r="P146" s="88"/>
      <c r="Q146" s="6">
        <v>0.18</v>
      </c>
      <c r="R146" s="88">
        <v>0.18</v>
      </c>
      <c r="S146" s="88"/>
      <c r="T146" s="88"/>
    </row>
    <row r="147" spans="1:20" s="1" customFormat="1" ht="14.1" customHeight="1" x14ac:dyDescent="0.25">
      <c r="A147" s="90" t="s">
        <v>217</v>
      </c>
      <c r="B147" s="90"/>
      <c r="C147" s="90"/>
      <c r="D147" s="90"/>
      <c r="E147" s="90"/>
      <c r="F147" s="90"/>
      <c r="G147" s="90"/>
      <c r="H147" s="90"/>
      <c r="I147" s="90"/>
      <c r="J147" s="90"/>
      <c r="K147" s="90"/>
      <c r="L147" s="90"/>
      <c r="M147" s="90"/>
      <c r="N147" s="90"/>
      <c r="O147" s="90"/>
      <c r="P147" s="90"/>
      <c r="Q147" s="90"/>
      <c r="R147" s="90"/>
      <c r="S147" s="90"/>
      <c r="T147" s="90"/>
    </row>
    <row r="148" spans="1:20" s="1" customFormat="1" ht="21.3" customHeight="1" x14ac:dyDescent="0.25"/>
    <row r="149" spans="1:20" s="1" customFormat="1" ht="14.1" customHeight="1" x14ac:dyDescent="0.25">
      <c r="A149" s="91" t="s">
        <v>33</v>
      </c>
      <c r="B149" s="91"/>
      <c r="C149" s="91"/>
      <c r="D149" s="91"/>
      <c r="E149" s="91"/>
      <c r="F149" s="91"/>
      <c r="G149" s="91"/>
      <c r="H149" s="91"/>
      <c r="I149" s="91"/>
      <c r="J149" s="91"/>
      <c r="K149" s="91"/>
      <c r="L149" s="91"/>
      <c r="M149" s="91"/>
      <c r="N149" s="91"/>
    </row>
    <row r="150" spans="1:20" s="1" customFormat="1" ht="13.35" customHeight="1" x14ac:dyDescent="0.25">
      <c r="A150" s="88" t="s">
        <v>34</v>
      </c>
      <c r="B150" s="88"/>
      <c r="C150" s="88"/>
      <c r="D150" s="88"/>
      <c r="E150" s="89">
        <f>3.6*180/150</f>
        <v>4.32</v>
      </c>
      <c r="F150" s="89"/>
      <c r="G150" s="17"/>
      <c r="H150" s="6" t="s">
        <v>35</v>
      </c>
      <c r="I150" s="89">
        <v>0.12</v>
      </c>
      <c r="J150" s="89"/>
      <c r="K150" s="17"/>
      <c r="L150" s="88" t="s">
        <v>36</v>
      </c>
      <c r="M150" s="88"/>
      <c r="N150" s="89">
        <v>59.32</v>
      </c>
      <c r="O150" s="89"/>
    </row>
    <row r="151" spans="1:20" s="1" customFormat="1" ht="13.35" customHeight="1" x14ac:dyDescent="0.25">
      <c r="A151" s="88" t="s">
        <v>37</v>
      </c>
      <c r="B151" s="88"/>
      <c r="C151" s="88"/>
      <c r="D151" s="88"/>
      <c r="E151" s="89">
        <f>4.4*180/150</f>
        <v>5.2800000000000011</v>
      </c>
      <c r="F151" s="89"/>
      <c r="G151" s="17"/>
      <c r="H151" s="6" t="s">
        <v>38</v>
      </c>
      <c r="I151" s="89">
        <v>9.43</v>
      </c>
      <c r="J151" s="89"/>
      <c r="K151" s="17"/>
      <c r="L151" s="88" t="s">
        <v>39</v>
      </c>
      <c r="M151" s="88"/>
      <c r="N151" s="89">
        <v>31.98</v>
      </c>
      <c r="O151" s="89"/>
    </row>
    <row r="152" spans="1:20" s="1" customFormat="1" ht="13.35" customHeight="1" x14ac:dyDescent="0.25">
      <c r="A152" s="88" t="s">
        <v>40</v>
      </c>
      <c r="B152" s="88"/>
      <c r="C152" s="88"/>
      <c r="D152" s="88"/>
      <c r="E152" s="89">
        <f>20.7*180/150</f>
        <v>24.84</v>
      </c>
      <c r="F152" s="89"/>
      <c r="G152" s="17"/>
      <c r="H152" s="6" t="s">
        <v>41</v>
      </c>
      <c r="I152" s="89">
        <v>0.37</v>
      </c>
      <c r="J152" s="89"/>
      <c r="K152" s="17"/>
      <c r="L152" s="88" t="s">
        <v>42</v>
      </c>
      <c r="M152" s="88"/>
      <c r="N152" s="89">
        <v>175.62</v>
      </c>
      <c r="O152" s="89"/>
    </row>
    <row r="153" spans="1:20" s="1" customFormat="1" ht="13.35" customHeight="1" x14ac:dyDescent="0.25">
      <c r="A153" s="88" t="s">
        <v>43</v>
      </c>
      <c r="B153" s="88"/>
      <c r="C153" s="88"/>
      <c r="D153" s="88"/>
      <c r="E153" s="89">
        <f>156*180/150</f>
        <v>187.2</v>
      </c>
      <c r="F153" s="89"/>
      <c r="G153" s="17"/>
      <c r="H153" s="6" t="s">
        <v>44</v>
      </c>
      <c r="I153" s="89">
        <v>2.89</v>
      </c>
      <c r="J153" s="89"/>
      <c r="K153" s="17"/>
      <c r="L153" s="88" t="s">
        <v>45</v>
      </c>
      <c r="M153" s="88"/>
      <c r="N153" s="89">
        <v>2.57</v>
      </c>
      <c r="O153" s="89"/>
    </row>
    <row r="154" spans="1:20" s="1" customFormat="1" ht="13.35" customHeight="1" x14ac:dyDescent="0.25">
      <c r="A154" s="87"/>
      <c r="B154" s="87"/>
      <c r="C154" s="87"/>
      <c r="D154" s="87"/>
      <c r="E154" s="87"/>
      <c r="F154" s="87"/>
      <c r="G154" s="17"/>
      <c r="H154" s="6" t="s">
        <v>46</v>
      </c>
      <c r="I154" s="89">
        <v>1.54</v>
      </c>
      <c r="J154" s="89"/>
      <c r="K154" s="17"/>
      <c r="L154" s="88" t="s">
        <v>47</v>
      </c>
      <c r="M154" s="88"/>
      <c r="N154" s="89">
        <v>654.55999999999995</v>
      </c>
      <c r="O154" s="89"/>
    </row>
    <row r="155" spans="1:20" s="1" customFormat="1" ht="13.35" customHeight="1" x14ac:dyDescent="0.25">
      <c r="A155" s="87"/>
      <c r="B155" s="87"/>
      <c r="C155" s="87"/>
      <c r="D155" s="87"/>
      <c r="E155" s="87"/>
      <c r="F155" s="87"/>
      <c r="G155" s="17"/>
      <c r="H155" s="6" t="s">
        <v>48</v>
      </c>
      <c r="I155" s="89">
        <v>0.32</v>
      </c>
      <c r="J155" s="89"/>
      <c r="K155" s="17"/>
      <c r="L155" s="88" t="s">
        <v>49</v>
      </c>
      <c r="M155" s="88"/>
      <c r="N155" s="89">
        <v>18.600000000000001</v>
      </c>
      <c r="O155" s="89"/>
    </row>
    <row r="156" spans="1:20" s="1" customFormat="1" ht="13.35" customHeight="1" x14ac:dyDescent="0.25">
      <c r="A156" s="87"/>
      <c r="B156" s="87"/>
      <c r="C156" s="87"/>
      <c r="D156" s="87"/>
      <c r="E156" s="87"/>
      <c r="F156" s="87"/>
      <c r="G156" s="17"/>
      <c r="H156" s="17"/>
      <c r="I156" s="87"/>
      <c r="J156" s="87"/>
      <c r="K156" s="17"/>
      <c r="L156" s="88" t="s">
        <v>50</v>
      </c>
      <c r="M156" s="88"/>
      <c r="N156" s="89">
        <v>0.08</v>
      </c>
      <c r="O156" s="89"/>
    </row>
    <row r="157" spans="1:20" s="1" customFormat="1" ht="13.35" customHeight="1" x14ac:dyDescent="0.25">
      <c r="A157" s="87"/>
      <c r="B157" s="87"/>
      <c r="C157" s="87"/>
      <c r="D157" s="87"/>
      <c r="E157" s="87"/>
      <c r="F157" s="87"/>
      <c r="G157" s="17"/>
      <c r="H157" s="17"/>
      <c r="I157" s="87"/>
      <c r="J157" s="87"/>
      <c r="K157" s="17"/>
      <c r="L157" s="88" t="s">
        <v>51</v>
      </c>
      <c r="M157" s="88"/>
      <c r="N157" s="89">
        <v>0.02</v>
      </c>
      <c r="O157" s="89"/>
    </row>
    <row r="158" spans="1:20" s="1" customFormat="1" ht="14.1" customHeight="1" x14ac:dyDescent="0.25">
      <c r="A158" s="86"/>
      <c r="B158" s="86"/>
      <c r="C158" s="86"/>
      <c r="D158" s="86"/>
      <c r="E158" s="86"/>
      <c r="F158" s="86"/>
      <c r="G158" s="86"/>
      <c r="H158" s="86"/>
      <c r="I158" s="86"/>
      <c r="J158" s="86"/>
      <c r="K158" s="86"/>
      <c r="L158" s="86"/>
      <c r="M158" s="86"/>
      <c r="N158" s="86"/>
      <c r="O158" s="86"/>
      <c r="P158" s="86"/>
      <c r="Q158" s="86"/>
      <c r="R158" s="86"/>
      <c r="S158" s="86"/>
    </row>
    <row r="159" spans="1:20" s="1" customFormat="1" ht="14.1" customHeight="1" x14ac:dyDescent="0.25">
      <c r="A159" s="84" t="s">
        <v>52</v>
      </c>
      <c r="B159" s="84"/>
      <c r="C159" s="84"/>
      <c r="D159" s="84"/>
      <c r="E159" s="84"/>
      <c r="F159" s="84"/>
      <c r="G159" s="84"/>
      <c r="H159" s="84"/>
      <c r="I159" s="84"/>
      <c r="J159" s="84"/>
      <c r="K159" s="84"/>
      <c r="L159" s="84"/>
      <c r="M159" s="84"/>
      <c r="N159" s="84"/>
      <c r="O159" s="84"/>
      <c r="P159" s="84"/>
      <c r="Q159" s="84"/>
      <c r="R159" s="84"/>
      <c r="S159" s="84"/>
    </row>
    <row r="160" spans="1:20" s="1" customFormat="1" ht="95.25" customHeight="1" x14ac:dyDescent="0.25">
      <c r="A160" s="85" t="s">
        <v>280</v>
      </c>
      <c r="B160" s="85"/>
      <c r="C160" s="85"/>
      <c r="D160" s="85"/>
      <c r="E160" s="85"/>
      <c r="F160" s="85"/>
      <c r="G160" s="85"/>
      <c r="H160" s="85"/>
      <c r="I160" s="85"/>
      <c r="J160" s="85"/>
      <c r="K160" s="85"/>
      <c r="L160" s="85"/>
      <c r="M160" s="85"/>
      <c r="N160" s="85"/>
      <c r="O160" s="85"/>
      <c r="P160" s="85"/>
      <c r="Q160" s="85"/>
      <c r="R160" s="85"/>
      <c r="S160" s="85"/>
    </row>
    <row r="161" spans="1:20" s="1" customFormat="1" ht="14.1" customHeight="1" x14ac:dyDescent="0.25">
      <c r="A161" s="86"/>
      <c r="B161" s="86"/>
      <c r="C161" s="86"/>
      <c r="D161" s="86"/>
      <c r="E161" s="86"/>
      <c r="F161" s="86"/>
      <c r="G161" s="86"/>
      <c r="H161" s="86"/>
      <c r="I161" s="86"/>
      <c r="J161" s="86"/>
      <c r="K161" s="86"/>
      <c r="L161" s="86"/>
      <c r="M161" s="86"/>
      <c r="N161" s="86"/>
      <c r="O161" s="86"/>
      <c r="P161" s="86"/>
      <c r="Q161" s="86"/>
      <c r="R161" s="86"/>
      <c r="S161" s="86"/>
    </row>
    <row r="162" spans="1:20" s="1" customFormat="1" ht="14.1" customHeight="1" x14ac:dyDescent="0.25">
      <c r="A162" s="84" t="s">
        <v>54</v>
      </c>
      <c r="B162" s="84"/>
      <c r="C162" s="84"/>
      <c r="D162" s="84"/>
      <c r="E162" s="84"/>
      <c r="F162" s="84"/>
      <c r="G162" s="84"/>
      <c r="H162" s="84"/>
      <c r="I162" s="84"/>
      <c r="J162" s="84"/>
      <c r="K162" s="84"/>
      <c r="L162" s="84"/>
      <c r="M162" s="84"/>
      <c r="N162" s="84"/>
      <c r="O162" s="84"/>
      <c r="P162" s="84"/>
      <c r="Q162" s="84"/>
      <c r="R162" s="84"/>
      <c r="S162" s="84"/>
    </row>
    <row r="163" spans="1:20" s="1" customFormat="1" ht="12.15" customHeight="1" x14ac:dyDescent="0.25">
      <c r="A163" s="85" t="s">
        <v>281</v>
      </c>
      <c r="B163" s="85"/>
      <c r="C163" s="85"/>
      <c r="D163" s="85"/>
      <c r="E163" s="85"/>
      <c r="F163" s="85"/>
      <c r="G163" s="85"/>
      <c r="H163" s="85"/>
      <c r="I163" s="85"/>
      <c r="J163" s="85"/>
      <c r="K163" s="85"/>
      <c r="L163" s="85"/>
      <c r="M163" s="85"/>
      <c r="N163" s="85"/>
      <c r="O163" s="85"/>
      <c r="P163" s="85"/>
      <c r="Q163" s="85"/>
      <c r="R163" s="85"/>
      <c r="S163" s="85"/>
    </row>
    <row r="164" spans="1:20" s="1" customFormat="1" ht="14.1" customHeight="1" x14ac:dyDescent="0.25">
      <c r="A164" s="86"/>
      <c r="B164" s="86"/>
      <c r="C164" s="86"/>
      <c r="D164" s="86"/>
      <c r="E164" s="86"/>
      <c r="F164" s="86"/>
      <c r="G164" s="86"/>
      <c r="H164" s="86"/>
      <c r="I164" s="86"/>
      <c r="J164" s="86"/>
      <c r="K164" s="86"/>
      <c r="L164" s="86"/>
      <c r="M164" s="86"/>
      <c r="N164" s="86"/>
      <c r="O164" s="86"/>
      <c r="P164" s="86"/>
      <c r="Q164" s="86"/>
      <c r="R164" s="86"/>
      <c r="S164" s="86"/>
    </row>
    <row r="165" spans="1:20" s="1" customFormat="1" ht="14.1" customHeight="1" x14ac:dyDescent="0.25">
      <c r="A165" s="84" t="s">
        <v>56</v>
      </c>
      <c r="B165" s="84"/>
      <c r="C165" s="84"/>
      <c r="D165" s="84"/>
      <c r="E165" s="84"/>
      <c r="F165" s="84"/>
      <c r="G165" s="84"/>
      <c r="H165" s="84"/>
      <c r="I165" s="84"/>
      <c r="J165" s="84"/>
      <c r="K165" s="84"/>
      <c r="L165" s="84"/>
      <c r="M165" s="84"/>
      <c r="N165" s="84"/>
      <c r="O165" s="84"/>
      <c r="P165" s="84"/>
      <c r="Q165" s="84"/>
      <c r="R165" s="84"/>
      <c r="S165" s="84"/>
    </row>
    <row r="166" spans="1:20" s="1" customFormat="1" ht="49.2" customHeight="1" x14ac:dyDescent="0.25">
      <c r="A166" s="85" t="s">
        <v>282</v>
      </c>
      <c r="B166" s="85"/>
      <c r="C166" s="85"/>
      <c r="D166" s="85"/>
      <c r="E166" s="85"/>
      <c r="F166" s="85"/>
      <c r="G166" s="85"/>
      <c r="H166" s="85"/>
      <c r="I166" s="85"/>
      <c r="J166" s="85"/>
      <c r="K166" s="85"/>
      <c r="L166" s="85"/>
      <c r="M166" s="85"/>
      <c r="N166" s="85"/>
      <c r="O166" s="85"/>
      <c r="P166" s="85"/>
      <c r="Q166" s="85"/>
      <c r="R166" s="85"/>
      <c r="S166" s="85"/>
    </row>
    <row r="167" spans="1:20" s="1" customFormat="1" ht="72.45" customHeight="1" x14ac:dyDescent="0.25">
      <c r="J167" s="100" t="s">
        <v>0</v>
      </c>
      <c r="K167" s="100"/>
      <c r="L167" s="100"/>
      <c r="M167" s="100"/>
      <c r="N167" s="100"/>
      <c r="O167" s="100"/>
      <c r="P167" s="100"/>
      <c r="Q167" s="100"/>
      <c r="R167" s="100"/>
      <c r="S167" s="100"/>
      <c r="T167" s="100"/>
    </row>
    <row r="168" spans="1:20" s="1" customFormat="1" ht="7.05" customHeight="1" x14ac:dyDescent="0.25"/>
    <row r="169" spans="1:20" s="1" customFormat="1" ht="14.1" customHeight="1" x14ac:dyDescent="0.25">
      <c r="B169" s="101" t="s">
        <v>283</v>
      </c>
      <c r="C169" s="101"/>
      <c r="D169" s="101"/>
      <c r="E169" s="101"/>
      <c r="F169" s="101"/>
      <c r="G169" s="101"/>
      <c r="H169" s="101"/>
      <c r="I169" s="101"/>
      <c r="J169" s="101"/>
      <c r="K169" s="101"/>
      <c r="L169" s="101"/>
      <c r="M169" s="101"/>
      <c r="N169" s="101"/>
      <c r="O169" s="101"/>
      <c r="P169" s="101"/>
      <c r="Q169" s="101"/>
      <c r="R169" s="101"/>
    </row>
    <row r="170" spans="1:20" s="1" customFormat="1" ht="14.1" customHeight="1" x14ac:dyDescent="0.25"/>
    <row r="171" spans="1:20" s="1" customFormat="1" ht="14.1" customHeight="1" x14ac:dyDescent="0.25">
      <c r="A171" s="102" t="s">
        <v>2</v>
      </c>
      <c r="B171" s="102"/>
      <c r="C171" s="102"/>
      <c r="D171" s="103" t="s">
        <v>284</v>
      </c>
      <c r="E171" s="103"/>
      <c r="F171" s="103"/>
      <c r="G171" s="103"/>
      <c r="H171" s="103"/>
      <c r="I171" s="103"/>
      <c r="J171" s="103"/>
      <c r="K171" s="103"/>
      <c r="L171" s="103"/>
      <c r="M171" s="103"/>
      <c r="N171" s="103"/>
      <c r="O171" s="103"/>
      <c r="P171" s="103"/>
      <c r="Q171" s="103"/>
      <c r="R171" s="103"/>
      <c r="S171" s="103"/>
      <c r="T171" s="103"/>
    </row>
    <row r="172" spans="1:20" s="1" customFormat="1" ht="14.1" customHeight="1" x14ac:dyDescent="0.25">
      <c r="A172" s="102" t="s">
        <v>4</v>
      </c>
      <c r="B172" s="102"/>
      <c r="C172" s="103" t="s">
        <v>285</v>
      </c>
      <c r="D172" s="103"/>
      <c r="E172" s="103"/>
      <c r="F172" s="103"/>
      <c r="G172" s="103"/>
      <c r="H172" s="103"/>
      <c r="I172" s="103"/>
      <c r="J172" s="103"/>
      <c r="K172" s="103"/>
      <c r="L172" s="103"/>
      <c r="M172" s="103"/>
      <c r="N172" s="103"/>
      <c r="O172" s="103"/>
      <c r="P172" s="103"/>
      <c r="Q172" s="103"/>
      <c r="R172" s="103"/>
      <c r="S172" s="103"/>
      <c r="T172" s="103"/>
    </row>
    <row r="173" spans="1:20" s="1" customFormat="1" ht="14.1" customHeight="1" x14ac:dyDescent="0.25">
      <c r="A173" s="102" t="s">
        <v>6</v>
      </c>
      <c r="B173" s="102"/>
      <c r="C173" s="102"/>
      <c r="D173" s="102"/>
      <c r="E173" s="102"/>
      <c r="F173" s="103" t="s">
        <v>248</v>
      </c>
      <c r="G173" s="103"/>
      <c r="H173" s="103"/>
      <c r="I173" s="103"/>
      <c r="J173" s="103"/>
      <c r="K173" s="103"/>
      <c r="L173" s="103"/>
      <c r="M173" s="103"/>
      <c r="N173" s="103"/>
      <c r="O173" s="103"/>
      <c r="P173" s="103"/>
      <c r="Q173" s="103"/>
      <c r="R173" s="103"/>
      <c r="S173" s="103"/>
      <c r="T173" s="103"/>
    </row>
    <row r="174" spans="1:20" s="1" customFormat="1" ht="22.35" customHeight="1" x14ac:dyDescent="0.25">
      <c r="F174" s="103"/>
      <c r="G174" s="103"/>
      <c r="H174" s="103"/>
      <c r="I174" s="103"/>
      <c r="J174" s="103"/>
      <c r="K174" s="103"/>
      <c r="L174" s="103"/>
      <c r="M174" s="103"/>
      <c r="N174" s="103"/>
      <c r="O174" s="103"/>
      <c r="P174" s="103"/>
      <c r="Q174" s="103"/>
      <c r="R174" s="103"/>
      <c r="S174" s="103"/>
      <c r="T174" s="103"/>
    </row>
    <row r="175" spans="1:20" s="1" customFormat="1" ht="7.05" customHeight="1" x14ac:dyDescent="0.25">
      <c r="A175" s="86"/>
      <c r="B175" s="86"/>
      <c r="C175" s="86"/>
      <c r="D175" s="86"/>
      <c r="E175" s="86"/>
      <c r="F175" s="86"/>
      <c r="G175" s="86"/>
      <c r="H175" s="86"/>
      <c r="I175" s="86"/>
      <c r="J175" s="86"/>
      <c r="K175" s="86"/>
      <c r="L175" s="86"/>
      <c r="M175" s="86"/>
      <c r="N175" s="86"/>
      <c r="O175" s="86"/>
      <c r="P175" s="86"/>
      <c r="Q175" s="16"/>
      <c r="R175" s="86"/>
      <c r="S175" s="86"/>
      <c r="T175" s="86"/>
    </row>
    <row r="176" spans="1:20" s="1" customFormat="1" ht="16.95" customHeight="1" x14ac:dyDescent="0.25">
      <c r="A176" s="94" t="s">
        <v>8</v>
      </c>
      <c r="B176" s="94"/>
      <c r="C176" s="94"/>
      <c r="D176" s="94"/>
      <c r="E176" s="94"/>
      <c r="F176" s="94"/>
      <c r="G176" s="94"/>
      <c r="H176" s="94"/>
      <c r="I176" s="94"/>
      <c r="J176" s="94"/>
      <c r="K176" s="94"/>
      <c r="L176" s="94"/>
      <c r="M176" s="95" t="s">
        <v>9</v>
      </c>
      <c r="N176" s="95"/>
      <c r="O176" s="95"/>
      <c r="P176" s="95"/>
      <c r="Q176" s="95"/>
      <c r="R176" s="95"/>
      <c r="S176" s="95"/>
      <c r="T176" s="95"/>
    </row>
    <row r="177" spans="1:20" s="1" customFormat="1" ht="16.95" customHeight="1" x14ac:dyDescent="0.25">
      <c r="A177" s="94"/>
      <c r="B177" s="94"/>
      <c r="C177" s="94"/>
      <c r="D177" s="94"/>
      <c r="E177" s="94"/>
      <c r="F177" s="94"/>
      <c r="G177" s="94"/>
      <c r="H177" s="94"/>
      <c r="I177" s="94"/>
      <c r="J177" s="94"/>
      <c r="K177" s="94"/>
      <c r="L177" s="94"/>
      <c r="M177" s="96" t="s">
        <v>10</v>
      </c>
      <c r="N177" s="96"/>
      <c r="O177" s="96"/>
      <c r="P177" s="96"/>
      <c r="Q177" s="97" t="s">
        <v>11</v>
      </c>
      <c r="R177" s="97"/>
      <c r="S177" s="97"/>
      <c r="T177" s="97"/>
    </row>
    <row r="178" spans="1:20" s="1" customFormat="1" ht="16.95" customHeight="1" x14ac:dyDescent="0.25">
      <c r="A178" s="94"/>
      <c r="B178" s="94"/>
      <c r="C178" s="94"/>
      <c r="D178" s="94"/>
      <c r="E178" s="94"/>
      <c r="F178" s="94"/>
      <c r="G178" s="94"/>
      <c r="H178" s="94"/>
      <c r="I178" s="94"/>
      <c r="J178" s="94"/>
      <c r="K178" s="94"/>
      <c r="L178" s="94"/>
      <c r="M178" s="98" t="s">
        <v>12</v>
      </c>
      <c r="N178" s="98"/>
      <c r="O178" s="98" t="s">
        <v>13</v>
      </c>
      <c r="P178" s="98"/>
      <c r="Q178" s="13" t="s">
        <v>14</v>
      </c>
      <c r="R178" s="99" t="s">
        <v>15</v>
      </c>
      <c r="S178" s="99"/>
      <c r="T178" s="99"/>
    </row>
    <row r="179" spans="1:20" s="1" customFormat="1" ht="13.35" customHeight="1" x14ac:dyDescent="0.25">
      <c r="A179" s="88" t="s">
        <v>31</v>
      </c>
      <c r="B179" s="88"/>
      <c r="C179" s="88"/>
      <c r="D179" s="88"/>
      <c r="E179" s="88"/>
      <c r="F179" s="88"/>
      <c r="G179" s="88"/>
      <c r="H179" s="88"/>
      <c r="I179" s="88"/>
      <c r="J179" s="88"/>
      <c r="K179" s="88"/>
      <c r="L179" s="88"/>
      <c r="M179" s="88">
        <f>196.13*180/150</f>
        <v>235.35600000000002</v>
      </c>
      <c r="N179" s="88"/>
      <c r="O179" s="88">
        <f>147.1*180/150</f>
        <v>176.52</v>
      </c>
      <c r="P179" s="88"/>
      <c r="Q179" s="6">
        <v>23.53</v>
      </c>
      <c r="R179" s="88">
        <v>17.649999999999999</v>
      </c>
      <c r="S179" s="88"/>
      <c r="T179" s="88"/>
    </row>
    <row r="180" spans="1:20" s="1" customFormat="1" ht="13.35" customHeight="1" x14ac:dyDescent="0.25">
      <c r="A180" s="88" t="s">
        <v>61</v>
      </c>
      <c r="B180" s="88"/>
      <c r="C180" s="88"/>
      <c r="D180" s="88"/>
      <c r="E180" s="88"/>
      <c r="F180" s="88"/>
      <c r="G180" s="88"/>
      <c r="H180" s="88"/>
      <c r="I180" s="88"/>
      <c r="J180" s="88"/>
      <c r="K180" s="88"/>
      <c r="L180" s="88"/>
      <c r="M180" s="88">
        <f>7.1*180/150</f>
        <v>8.52</v>
      </c>
      <c r="N180" s="88"/>
      <c r="O180" s="88">
        <v>8.52</v>
      </c>
      <c r="P180" s="88"/>
      <c r="Q180" s="6">
        <v>0.85</v>
      </c>
      <c r="R180" s="88">
        <v>0.85</v>
      </c>
      <c r="S180" s="88"/>
      <c r="T180" s="88"/>
    </row>
    <row r="181" spans="1:20" s="1" customFormat="1" ht="13.35" customHeight="1" x14ac:dyDescent="0.25">
      <c r="A181" s="88" t="s">
        <v>70</v>
      </c>
      <c r="B181" s="88"/>
      <c r="C181" s="88"/>
      <c r="D181" s="88"/>
      <c r="E181" s="88"/>
      <c r="F181" s="88"/>
      <c r="G181" s="88"/>
      <c r="H181" s="88"/>
      <c r="I181" s="88"/>
      <c r="J181" s="88"/>
      <c r="K181" s="88"/>
      <c r="L181" s="88"/>
      <c r="M181" s="88" t="s">
        <v>103</v>
      </c>
      <c r="N181" s="88"/>
      <c r="O181" s="88" t="s">
        <v>103</v>
      </c>
      <c r="P181" s="88"/>
      <c r="Q181" s="6" t="s">
        <v>133</v>
      </c>
      <c r="R181" s="88" t="s">
        <v>133</v>
      </c>
      <c r="S181" s="88"/>
      <c r="T181" s="88"/>
    </row>
    <row r="182" spans="1:20" s="1" customFormat="1" ht="13.35" customHeight="1" x14ac:dyDescent="0.25">
      <c r="A182" s="88" t="s">
        <v>114</v>
      </c>
      <c r="B182" s="88"/>
      <c r="C182" s="88"/>
      <c r="D182" s="88"/>
      <c r="E182" s="88"/>
      <c r="F182" s="88"/>
      <c r="G182" s="88"/>
      <c r="H182" s="88"/>
      <c r="I182" s="88"/>
      <c r="J182" s="88"/>
      <c r="K182" s="88"/>
      <c r="L182" s="88"/>
      <c r="M182" s="88" t="s">
        <v>255</v>
      </c>
      <c r="N182" s="88"/>
      <c r="O182" s="88" t="s">
        <v>255</v>
      </c>
      <c r="P182" s="88"/>
      <c r="Q182" s="6" t="s">
        <v>101</v>
      </c>
      <c r="R182" s="88" t="s">
        <v>101</v>
      </c>
      <c r="S182" s="88"/>
      <c r="T182" s="88"/>
    </row>
    <row r="183" spans="1:20" s="1" customFormat="1" ht="14.1" customHeight="1" x14ac:dyDescent="0.25">
      <c r="A183" s="90" t="s">
        <v>217</v>
      </c>
      <c r="B183" s="90"/>
      <c r="C183" s="90"/>
      <c r="D183" s="90"/>
      <c r="E183" s="90"/>
      <c r="F183" s="90"/>
      <c r="G183" s="90"/>
      <c r="H183" s="90"/>
      <c r="I183" s="90"/>
      <c r="J183" s="90"/>
      <c r="K183" s="90"/>
      <c r="L183" s="90"/>
      <c r="M183" s="90"/>
      <c r="N183" s="90"/>
      <c r="O183" s="90"/>
      <c r="P183" s="90"/>
      <c r="Q183" s="90"/>
      <c r="R183" s="90"/>
      <c r="S183" s="90"/>
      <c r="T183" s="90"/>
    </row>
    <row r="184" spans="1:20" s="1" customFormat="1" ht="21.3" customHeight="1" x14ac:dyDescent="0.25"/>
    <row r="185" spans="1:20" s="1" customFormat="1" ht="14.1" customHeight="1" x14ac:dyDescent="0.25">
      <c r="A185" s="91" t="s">
        <v>33</v>
      </c>
      <c r="B185" s="91"/>
      <c r="C185" s="91"/>
      <c r="D185" s="91"/>
      <c r="E185" s="91"/>
      <c r="F185" s="91"/>
      <c r="G185" s="91"/>
      <c r="H185" s="91"/>
      <c r="I185" s="91"/>
      <c r="J185" s="91"/>
      <c r="K185" s="91"/>
      <c r="L185" s="91"/>
      <c r="M185" s="91"/>
      <c r="N185" s="91"/>
    </row>
    <row r="186" spans="1:20" s="1" customFormat="1" ht="13.35" customHeight="1" x14ac:dyDescent="0.25">
      <c r="A186" s="88" t="s">
        <v>34</v>
      </c>
      <c r="B186" s="88"/>
      <c r="C186" s="88"/>
      <c r="D186" s="88"/>
      <c r="E186" s="89">
        <v>2.0099999999999998</v>
      </c>
      <c r="F186" s="89"/>
      <c r="G186" s="17"/>
      <c r="H186" s="6" t="s">
        <v>35</v>
      </c>
      <c r="I186" s="89">
        <v>0.14000000000000001</v>
      </c>
      <c r="J186" s="89"/>
      <c r="K186" s="17"/>
      <c r="L186" s="88" t="s">
        <v>36</v>
      </c>
      <c r="M186" s="88"/>
      <c r="N186" s="89">
        <v>21.32</v>
      </c>
      <c r="O186" s="89"/>
    </row>
    <row r="187" spans="1:20" s="1" customFormat="1" ht="13.35" customHeight="1" x14ac:dyDescent="0.25">
      <c r="A187" s="88" t="s">
        <v>37</v>
      </c>
      <c r="B187" s="88"/>
      <c r="C187" s="88"/>
      <c r="D187" s="88"/>
      <c r="E187" s="89">
        <v>4.79</v>
      </c>
      <c r="F187" s="89"/>
      <c r="G187" s="17"/>
      <c r="H187" s="6" t="s">
        <v>38</v>
      </c>
      <c r="I187" s="89">
        <v>11.77</v>
      </c>
      <c r="J187" s="89"/>
      <c r="K187" s="17"/>
      <c r="L187" s="88" t="s">
        <v>39</v>
      </c>
      <c r="M187" s="88"/>
      <c r="N187" s="89">
        <v>31.55</v>
      </c>
      <c r="O187" s="89"/>
    </row>
    <row r="188" spans="1:20" s="1" customFormat="1" ht="13.35" customHeight="1" x14ac:dyDescent="0.25">
      <c r="A188" s="88" t="s">
        <v>40</v>
      </c>
      <c r="B188" s="88"/>
      <c r="C188" s="88"/>
      <c r="D188" s="88"/>
      <c r="E188" s="89">
        <v>9.99</v>
      </c>
      <c r="F188" s="89"/>
      <c r="G188" s="17"/>
      <c r="H188" s="6" t="s">
        <v>41</v>
      </c>
      <c r="I188" s="89">
        <v>0.04</v>
      </c>
      <c r="J188" s="89"/>
      <c r="K188" s="17"/>
      <c r="L188" s="88" t="s">
        <v>42</v>
      </c>
      <c r="M188" s="88"/>
      <c r="N188" s="89">
        <v>78.55</v>
      </c>
      <c r="O188" s="89"/>
    </row>
    <row r="189" spans="1:20" s="1" customFormat="1" ht="13.35" customHeight="1" x14ac:dyDescent="0.25">
      <c r="A189" s="88" t="s">
        <v>43</v>
      </c>
      <c r="B189" s="88"/>
      <c r="C189" s="88"/>
      <c r="D189" s="88"/>
      <c r="E189" s="89">
        <v>96.5</v>
      </c>
      <c r="F189" s="89"/>
      <c r="G189" s="17"/>
      <c r="H189" s="6" t="s">
        <v>44</v>
      </c>
      <c r="I189" s="89">
        <v>0.31</v>
      </c>
      <c r="J189" s="89"/>
      <c r="K189" s="17"/>
      <c r="L189" s="88" t="s">
        <v>45</v>
      </c>
      <c r="M189" s="88"/>
      <c r="N189" s="89">
        <v>1.36</v>
      </c>
      <c r="O189" s="89"/>
    </row>
    <row r="190" spans="1:20" s="1" customFormat="1" ht="13.35" customHeight="1" x14ac:dyDescent="0.25">
      <c r="A190" s="87"/>
      <c r="B190" s="87"/>
      <c r="C190" s="87"/>
      <c r="D190" s="87"/>
      <c r="E190" s="87"/>
      <c r="F190" s="87"/>
      <c r="G190" s="17"/>
      <c r="H190" s="6" t="s">
        <v>46</v>
      </c>
      <c r="I190" s="89">
        <v>0.11</v>
      </c>
      <c r="J190" s="89"/>
      <c r="K190" s="17"/>
      <c r="L190" s="88" t="s">
        <v>47</v>
      </c>
      <c r="M190" s="88"/>
      <c r="N190" s="89">
        <v>836.99</v>
      </c>
      <c r="O190" s="89"/>
    </row>
    <row r="191" spans="1:20" s="1" customFormat="1" ht="13.35" customHeight="1" x14ac:dyDescent="0.25">
      <c r="A191" s="87"/>
      <c r="B191" s="87"/>
      <c r="C191" s="87"/>
      <c r="D191" s="87"/>
      <c r="E191" s="87"/>
      <c r="F191" s="87"/>
      <c r="G191" s="17"/>
      <c r="H191" s="6" t="s">
        <v>48</v>
      </c>
      <c r="I191" s="89">
        <v>0.1</v>
      </c>
      <c r="J191" s="89"/>
      <c r="K191" s="17"/>
      <c r="L191" s="88" t="s">
        <v>49</v>
      </c>
      <c r="M191" s="88"/>
      <c r="N191" s="89">
        <v>7.36</v>
      </c>
      <c r="O191" s="89"/>
    </row>
    <row r="192" spans="1:20" s="1" customFormat="1" ht="13.35" customHeight="1" x14ac:dyDescent="0.25">
      <c r="A192" s="87"/>
      <c r="B192" s="87"/>
      <c r="C192" s="87"/>
      <c r="D192" s="87"/>
      <c r="E192" s="87"/>
      <c r="F192" s="87"/>
      <c r="G192" s="17"/>
      <c r="H192" s="17"/>
      <c r="I192" s="87"/>
      <c r="J192" s="87"/>
      <c r="K192" s="17"/>
      <c r="L192" s="88" t="s">
        <v>50</v>
      </c>
      <c r="M192" s="88"/>
      <c r="N192" s="89">
        <v>0.04</v>
      </c>
      <c r="O192" s="89"/>
    </row>
    <row r="193" spans="1:20" s="1" customFormat="1" ht="13.35" customHeight="1" x14ac:dyDescent="0.25">
      <c r="A193" s="87"/>
      <c r="B193" s="87"/>
      <c r="C193" s="87"/>
      <c r="D193" s="87"/>
      <c r="E193" s="87"/>
      <c r="F193" s="87"/>
      <c r="G193" s="17"/>
      <c r="H193" s="17"/>
      <c r="I193" s="87"/>
      <c r="J193" s="87"/>
      <c r="K193" s="17"/>
      <c r="L193" s="88" t="s">
        <v>51</v>
      </c>
      <c r="M193" s="88"/>
      <c r="N193" s="89">
        <v>0</v>
      </c>
      <c r="O193" s="89"/>
    </row>
    <row r="194" spans="1:20" s="1" customFormat="1" ht="14.1" customHeight="1" x14ac:dyDescent="0.25">
      <c r="A194" s="86"/>
      <c r="B194" s="86"/>
      <c r="C194" s="86"/>
      <c r="D194" s="86"/>
      <c r="E194" s="86"/>
      <c r="F194" s="86"/>
      <c r="G194" s="86"/>
      <c r="H194" s="86"/>
      <c r="I194" s="86"/>
      <c r="J194" s="86"/>
      <c r="K194" s="86"/>
      <c r="L194" s="86"/>
      <c r="M194" s="86"/>
      <c r="N194" s="86"/>
      <c r="O194" s="86"/>
      <c r="P194" s="86"/>
      <c r="Q194" s="86"/>
      <c r="R194" s="86"/>
      <c r="S194" s="86"/>
    </row>
    <row r="195" spans="1:20" s="1" customFormat="1" ht="14.1" customHeight="1" x14ac:dyDescent="0.25">
      <c r="A195" s="84" t="s">
        <v>52</v>
      </c>
      <c r="B195" s="84"/>
      <c r="C195" s="84"/>
      <c r="D195" s="84"/>
      <c r="E195" s="84"/>
      <c r="F195" s="84"/>
      <c r="G195" s="84"/>
      <c r="H195" s="84"/>
      <c r="I195" s="84"/>
      <c r="J195" s="84"/>
      <c r="K195" s="84"/>
      <c r="L195" s="84"/>
      <c r="M195" s="84"/>
      <c r="N195" s="84"/>
      <c r="O195" s="84"/>
      <c r="P195" s="84"/>
      <c r="Q195" s="84"/>
      <c r="R195" s="84"/>
      <c r="S195" s="84"/>
    </row>
    <row r="196" spans="1:20" s="1" customFormat="1" ht="141.30000000000001" customHeight="1" x14ac:dyDescent="0.25">
      <c r="A196" s="85" t="s">
        <v>286</v>
      </c>
      <c r="B196" s="85"/>
      <c r="C196" s="85"/>
      <c r="D196" s="85"/>
      <c r="E196" s="85"/>
      <c r="F196" s="85"/>
      <c r="G196" s="85"/>
      <c r="H196" s="85"/>
      <c r="I196" s="85"/>
      <c r="J196" s="85"/>
      <c r="K196" s="85"/>
      <c r="L196" s="85"/>
      <c r="M196" s="85"/>
      <c r="N196" s="85"/>
      <c r="O196" s="85"/>
      <c r="P196" s="85"/>
      <c r="Q196" s="85"/>
      <c r="R196" s="85"/>
      <c r="S196" s="85"/>
    </row>
    <row r="197" spans="1:20" s="1" customFormat="1" ht="14.1" customHeight="1" x14ac:dyDescent="0.25">
      <c r="A197" s="84" t="s">
        <v>54</v>
      </c>
      <c r="B197" s="84"/>
      <c r="C197" s="84"/>
      <c r="D197" s="84"/>
      <c r="E197" s="84"/>
      <c r="F197" s="84"/>
      <c r="G197" s="84"/>
      <c r="H197" s="84"/>
      <c r="I197" s="84"/>
      <c r="J197" s="84"/>
      <c r="K197" s="84"/>
      <c r="L197" s="84"/>
      <c r="M197" s="84"/>
      <c r="N197" s="84"/>
      <c r="O197" s="84"/>
      <c r="P197" s="84"/>
      <c r="Q197" s="84"/>
      <c r="R197" s="84"/>
      <c r="S197" s="84"/>
    </row>
    <row r="198" spans="1:20" s="1" customFormat="1" ht="12.15" customHeight="1" x14ac:dyDescent="0.25">
      <c r="A198" s="85" t="s">
        <v>281</v>
      </c>
      <c r="B198" s="85"/>
      <c r="C198" s="85"/>
      <c r="D198" s="85"/>
      <c r="E198" s="85"/>
      <c r="F198" s="85"/>
      <c r="G198" s="85"/>
      <c r="H198" s="85"/>
      <c r="I198" s="85"/>
      <c r="J198" s="85"/>
      <c r="K198" s="85"/>
      <c r="L198" s="85"/>
      <c r="M198" s="85"/>
      <c r="N198" s="85"/>
      <c r="O198" s="85"/>
      <c r="P198" s="85"/>
      <c r="Q198" s="85"/>
      <c r="R198" s="85"/>
      <c r="S198" s="85"/>
    </row>
    <row r="199" spans="1:20" s="1" customFormat="1" ht="14.1" customHeight="1" x14ac:dyDescent="0.25">
      <c r="A199" s="86"/>
      <c r="B199" s="86"/>
      <c r="C199" s="86"/>
      <c r="D199" s="86"/>
      <c r="E199" s="86"/>
      <c r="F199" s="86"/>
      <c r="G199" s="86"/>
      <c r="H199" s="86"/>
      <c r="I199" s="86"/>
      <c r="J199" s="86"/>
      <c r="K199" s="86"/>
      <c r="L199" s="86"/>
      <c r="M199" s="86"/>
      <c r="N199" s="86"/>
      <c r="O199" s="86"/>
      <c r="P199" s="86"/>
      <c r="Q199" s="86"/>
      <c r="R199" s="86"/>
      <c r="S199" s="86"/>
    </row>
    <row r="200" spans="1:20" s="1" customFormat="1" ht="14.1" customHeight="1" x14ac:dyDescent="0.25">
      <c r="A200" s="84" t="s">
        <v>56</v>
      </c>
      <c r="B200" s="84"/>
      <c r="C200" s="84"/>
      <c r="D200" s="84"/>
      <c r="E200" s="84"/>
      <c r="F200" s="84"/>
      <c r="G200" s="84"/>
      <c r="H200" s="84"/>
      <c r="I200" s="84"/>
      <c r="J200" s="84"/>
      <c r="K200" s="84"/>
      <c r="L200" s="84"/>
      <c r="M200" s="84"/>
      <c r="N200" s="84"/>
      <c r="O200" s="84"/>
      <c r="P200" s="84"/>
      <c r="Q200" s="84"/>
      <c r="R200" s="84"/>
      <c r="S200" s="84"/>
    </row>
    <row r="201" spans="1:20" s="1" customFormat="1" ht="49.2" customHeight="1" x14ac:dyDescent="0.25">
      <c r="A201" s="85" t="s">
        <v>287</v>
      </c>
      <c r="B201" s="85"/>
      <c r="C201" s="85"/>
      <c r="D201" s="85"/>
      <c r="E201" s="85"/>
      <c r="F201" s="85"/>
      <c r="G201" s="85"/>
      <c r="H201" s="85"/>
      <c r="I201" s="85"/>
      <c r="J201" s="85"/>
      <c r="K201" s="85"/>
      <c r="L201" s="85"/>
      <c r="M201" s="85"/>
      <c r="N201" s="85"/>
      <c r="O201" s="85"/>
      <c r="P201" s="85"/>
      <c r="Q201" s="85"/>
      <c r="R201" s="85"/>
      <c r="S201" s="85"/>
    </row>
    <row r="203" spans="1:20" s="1" customFormat="1" ht="72.45" customHeight="1" x14ac:dyDescent="0.25">
      <c r="J203" s="100" t="s">
        <v>0</v>
      </c>
      <c r="K203" s="100"/>
      <c r="L203" s="100"/>
      <c r="M203" s="100"/>
      <c r="N203" s="100"/>
      <c r="O203" s="100"/>
      <c r="P203" s="100"/>
      <c r="Q203" s="100"/>
      <c r="R203" s="100"/>
      <c r="S203" s="100"/>
      <c r="T203" s="100"/>
    </row>
    <row r="204" spans="1:20" s="1" customFormat="1" ht="7.05" customHeight="1" x14ac:dyDescent="0.25"/>
    <row r="205" spans="1:20" s="1" customFormat="1" ht="14.1" customHeight="1" x14ac:dyDescent="0.25">
      <c r="B205" s="101" t="s">
        <v>306</v>
      </c>
      <c r="C205" s="101"/>
      <c r="D205" s="101"/>
      <c r="E205" s="101"/>
      <c r="F205" s="101"/>
      <c r="G205" s="101"/>
      <c r="H205" s="101"/>
      <c r="I205" s="101"/>
      <c r="J205" s="101"/>
      <c r="K205" s="101"/>
      <c r="L205" s="101"/>
      <c r="M205" s="101"/>
      <c r="N205" s="101"/>
      <c r="O205" s="101"/>
      <c r="P205" s="101"/>
      <c r="Q205" s="101"/>
      <c r="R205" s="101"/>
    </row>
    <row r="206" spans="1:20" s="1" customFormat="1" ht="14.1" customHeight="1" x14ac:dyDescent="0.25"/>
    <row r="207" spans="1:20" s="1" customFormat="1" ht="14.1" customHeight="1" x14ac:dyDescent="0.25">
      <c r="A207" s="102" t="s">
        <v>2</v>
      </c>
      <c r="B207" s="102"/>
      <c r="C207" s="102"/>
      <c r="D207" s="103" t="s">
        <v>307</v>
      </c>
      <c r="E207" s="103"/>
      <c r="F207" s="103"/>
      <c r="G207" s="103"/>
      <c r="H207" s="103"/>
      <c r="I207" s="103"/>
      <c r="J207" s="103"/>
      <c r="K207" s="103"/>
      <c r="L207" s="103"/>
      <c r="M207" s="103"/>
      <c r="N207" s="103"/>
      <c r="O207" s="103"/>
      <c r="P207" s="103"/>
      <c r="Q207" s="103"/>
      <c r="R207" s="103"/>
      <c r="S207" s="103"/>
      <c r="T207" s="103"/>
    </row>
    <row r="208" spans="1:20" s="1" customFormat="1" ht="14.1" customHeight="1" x14ac:dyDescent="0.25">
      <c r="A208" s="102" t="s">
        <v>4</v>
      </c>
      <c r="B208" s="102"/>
      <c r="C208" s="103" t="s">
        <v>308</v>
      </c>
      <c r="D208" s="103"/>
      <c r="E208" s="103"/>
      <c r="F208" s="103"/>
      <c r="G208" s="103"/>
      <c r="H208" s="103"/>
      <c r="I208" s="103"/>
      <c r="J208" s="103"/>
      <c r="K208" s="103"/>
      <c r="L208" s="103"/>
      <c r="M208" s="103"/>
      <c r="N208" s="103"/>
      <c r="O208" s="103"/>
      <c r="P208" s="103"/>
      <c r="Q208" s="103"/>
      <c r="R208" s="103"/>
      <c r="S208" s="103"/>
      <c r="T208" s="103"/>
    </row>
    <row r="209" spans="1:20" s="1" customFormat="1" ht="14.1" customHeight="1" x14ac:dyDescent="0.25">
      <c r="A209" s="102" t="s">
        <v>6</v>
      </c>
      <c r="B209" s="102"/>
      <c r="C209" s="102"/>
      <c r="D209" s="102"/>
      <c r="E209" s="102"/>
      <c r="F209" s="103" t="s">
        <v>7</v>
      </c>
      <c r="G209" s="103"/>
      <c r="H209" s="103"/>
      <c r="I209" s="103"/>
      <c r="J209" s="103"/>
      <c r="K209" s="103"/>
      <c r="L209" s="103"/>
      <c r="M209" s="103"/>
      <c r="N209" s="103"/>
      <c r="O209" s="103"/>
      <c r="P209" s="103"/>
      <c r="Q209" s="103"/>
      <c r="R209" s="103"/>
      <c r="S209" s="103"/>
      <c r="T209" s="103"/>
    </row>
    <row r="210" spans="1:20" s="1" customFormat="1" ht="22.35" customHeight="1" x14ac:dyDescent="0.25">
      <c r="F210" s="103"/>
      <c r="G210" s="103"/>
      <c r="H210" s="103"/>
      <c r="I210" s="103"/>
      <c r="J210" s="103"/>
      <c r="K210" s="103"/>
      <c r="L210" s="103"/>
      <c r="M210" s="103"/>
      <c r="N210" s="103"/>
      <c r="O210" s="103"/>
      <c r="P210" s="103"/>
      <c r="Q210" s="103"/>
      <c r="R210" s="103"/>
      <c r="S210" s="103"/>
      <c r="T210" s="103"/>
    </row>
    <row r="211" spans="1:20" s="1" customFormat="1" ht="7.05" customHeight="1" x14ac:dyDescent="0.25">
      <c r="A211" s="86"/>
      <c r="B211" s="86"/>
      <c r="C211" s="86"/>
      <c r="D211" s="86"/>
      <c r="E211" s="86"/>
      <c r="F211" s="86"/>
      <c r="G211" s="86"/>
      <c r="H211" s="86"/>
      <c r="I211" s="86"/>
      <c r="J211" s="86"/>
      <c r="K211" s="86"/>
      <c r="L211" s="86"/>
      <c r="M211" s="86"/>
      <c r="N211" s="86"/>
      <c r="O211" s="86"/>
      <c r="P211" s="86"/>
      <c r="Q211" s="16"/>
      <c r="R211" s="86"/>
      <c r="S211" s="86"/>
      <c r="T211" s="86"/>
    </row>
    <row r="212" spans="1:20" s="1" customFormat="1" ht="16.95" customHeight="1" x14ac:dyDescent="0.25">
      <c r="A212" s="94" t="s">
        <v>8</v>
      </c>
      <c r="B212" s="94"/>
      <c r="C212" s="94"/>
      <c r="D212" s="94"/>
      <c r="E212" s="94"/>
      <c r="F212" s="94"/>
      <c r="G212" s="94"/>
      <c r="H212" s="94"/>
      <c r="I212" s="94"/>
      <c r="J212" s="94"/>
      <c r="K212" s="94"/>
      <c r="L212" s="94"/>
      <c r="M212" s="95" t="s">
        <v>9</v>
      </c>
      <c r="N212" s="95"/>
      <c r="O212" s="95"/>
      <c r="P212" s="95"/>
      <c r="Q212" s="95"/>
      <c r="R212" s="95"/>
      <c r="S212" s="95"/>
      <c r="T212" s="95"/>
    </row>
    <row r="213" spans="1:20" s="1" customFormat="1" ht="16.95" customHeight="1" x14ac:dyDescent="0.25">
      <c r="A213" s="94"/>
      <c r="B213" s="94"/>
      <c r="C213" s="94"/>
      <c r="D213" s="94"/>
      <c r="E213" s="94"/>
      <c r="F213" s="94"/>
      <c r="G213" s="94"/>
      <c r="H213" s="94"/>
      <c r="I213" s="94"/>
      <c r="J213" s="94"/>
      <c r="K213" s="94"/>
      <c r="L213" s="94"/>
      <c r="M213" s="96" t="s">
        <v>10</v>
      </c>
      <c r="N213" s="96"/>
      <c r="O213" s="96"/>
      <c r="P213" s="96"/>
      <c r="Q213" s="97" t="s">
        <v>11</v>
      </c>
      <c r="R213" s="97"/>
      <c r="S213" s="97"/>
      <c r="T213" s="97"/>
    </row>
    <row r="214" spans="1:20" s="1" customFormat="1" ht="16.95" customHeight="1" x14ac:dyDescent="0.25">
      <c r="A214" s="94"/>
      <c r="B214" s="94"/>
      <c r="C214" s="94"/>
      <c r="D214" s="94"/>
      <c r="E214" s="94"/>
      <c r="F214" s="94"/>
      <c r="G214" s="94"/>
      <c r="H214" s="94"/>
      <c r="I214" s="94"/>
      <c r="J214" s="94"/>
      <c r="K214" s="94"/>
      <c r="L214" s="94"/>
      <c r="M214" s="98" t="s">
        <v>12</v>
      </c>
      <c r="N214" s="98"/>
      <c r="O214" s="98" t="s">
        <v>13</v>
      </c>
      <c r="P214" s="98"/>
      <c r="Q214" s="13" t="s">
        <v>14</v>
      </c>
      <c r="R214" s="99" t="s">
        <v>15</v>
      </c>
      <c r="S214" s="99"/>
      <c r="T214" s="99"/>
    </row>
    <row r="215" spans="1:20" s="1" customFormat="1" ht="13.35" customHeight="1" x14ac:dyDescent="0.25">
      <c r="A215" s="88" t="s">
        <v>309</v>
      </c>
      <c r="B215" s="88"/>
      <c r="C215" s="88"/>
      <c r="D215" s="88"/>
      <c r="E215" s="88"/>
      <c r="F215" s="88"/>
      <c r="G215" s="88"/>
      <c r="H215" s="88"/>
      <c r="I215" s="88"/>
      <c r="J215" s="88"/>
      <c r="K215" s="88"/>
      <c r="L215" s="88"/>
      <c r="M215" s="88" t="s">
        <v>310</v>
      </c>
      <c r="N215" s="88"/>
      <c r="O215" s="88" t="s">
        <v>310</v>
      </c>
      <c r="P215" s="88"/>
      <c r="Q215" s="6" t="s">
        <v>311</v>
      </c>
      <c r="R215" s="88" t="s">
        <v>311</v>
      </c>
      <c r="S215" s="88"/>
      <c r="T215" s="88"/>
    </row>
    <row r="216" spans="1:20" s="1" customFormat="1" ht="13.35" customHeight="1" x14ac:dyDescent="0.25">
      <c r="A216" s="88" t="s">
        <v>114</v>
      </c>
      <c r="B216" s="88"/>
      <c r="C216" s="88"/>
      <c r="D216" s="88"/>
      <c r="E216" s="88"/>
      <c r="F216" s="88"/>
      <c r="G216" s="88"/>
      <c r="H216" s="88"/>
      <c r="I216" s="88"/>
      <c r="J216" s="88"/>
      <c r="K216" s="88"/>
      <c r="L216" s="88"/>
      <c r="M216" s="88" t="s">
        <v>312</v>
      </c>
      <c r="N216" s="88"/>
      <c r="O216" s="88" t="s">
        <v>312</v>
      </c>
      <c r="P216" s="88"/>
      <c r="Q216" s="6" t="s">
        <v>313</v>
      </c>
      <c r="R216" s="88" t="s">
        <v>313</v>
      </c>
      <c r="S216" s="88"/>
      <c r="T216" s="88"/>
    </row>
    <row r="217" spans="1:20" s="1" customFormat="1" ht="13.35" customHeight="1" x14ac:dyDescent="0.25">
      <c r="A217" s="88" t="s">
        <v>70</v>
      </c>
      <c r="B217" s="88"/>
      <c r="C217" s="88"/>
      <c r="D217" s="88"/>
      <c r="E217" s="88"/>
      <c r="F217" s="88"/>
      <c r="G217" s="88"/>
      <c r="H217" s="88"/>
      <c r="I217" s="88"/>
      <c r="J217" s="88"/>
      <c r="K217" s="88"/>
      <c r="L217" s="88"/>
      <c r="M217" s="88" t="s">
        <v>241</v>
      </c>
      <c r="N217" s="88"/>
      <c r="O217" s="88" t="s">
        <v>241</v>
      </c>
      <c r="P217" s="88"/>
      <c r="Q217" s="6" t="s">
        <v>263</v>
      </c>
      <c r="R217" s="88" t="s">
        <v>263</v>
      </c>
      <c r="S217" s="88"/>
      <c r="T217" s="88"/>
    </row>
    <row r="218" spans="1:20" s="1" customFormat="1" ht="13.35" customHeight="1" x14ac:dyDescent="0.25">
      <c r="A218" s="88" t="s">
        <v>61</v>
      </c>
      <c r="B218" s="88"/>
      <c r="C218" s="88"/>
      <c r="D218" s="88"/>
      <c r="E218" s="88"/>
      <c r="F218" s="88"/>
      <c r="G218" s="88"/>
      <c r="H218" s="88"/>
      <c r="I218" s="88"/>
      <c r="J218" s="88"/>
      <c r="K218" s="88"/>
      <c r="L218" s="88"/>
      <c r="M218" s="88" t="s">
        <v>178</v>
      </c>
      <c r="N218" s="88"/>
      <c r="O218" s="88" t="s">
        <v>178</v>
      </c>
      <c r="P218" s="88"/>
      <c r="Q218" s="6" t="s">
        <v>179</v>
      </c>
      <c r="R218" s="88" t="s">
        <v>179</v>
      </c>
      <c r="S218" s="88"/>
      <c r="T218" s="88"/>
    </row>
    <row r="219" spans="1:20" s="1" customFormat="1" ht="14.1" customHeight="1" x14ac:dyDescent="0.25">
      <c r="A219" s="90" t="s">
        <v>32</v>
      </c>
      <c r="B219" s="90"/>
      <c r="C219" s="90"/>
      <c r="D219" s="90"/>
      <c r="E219" s="90"/>
      <c r="F219" s="90"/>
      <c r="G219" s="90"/>
      <c r="H219" s="90"/>
      <c r="I219" s="90"/>
      <c r="J219" s="90"/>
      <c r="K219" s="90"/>
      <c r="L219" s="90"/>
      <c r="M219" s="90"/>
      <c r="N219" s="90"/>
      <c r="O219" s="90"/>
      <c r="P219" s="90"/>
      <c r="Q219" s="90"/>
      <c r="R219" s="90"/>
      <c r="S219" s="90"/>
      <c r="T219" s="90"/>
    </row>
    <row r="220" spans="1:20" s="1" customFormat="1" ht="21.3" customHeight="1" x14ac:dyDescent="0.25"/>
    <row r="221" spans="1:20" s="1" customFormat="1" ht="14.1" customHeight="1" x14ac:dyDescent="0.25">
      <c r="A221" s="91" t="s">
        <v>33</v>
      </c>
      <c r="B221" s="91"/>
      <c r="C221" s="91"/>
      <c r="D221" s="91"/>
      <c r="E221" s="91"/>
      <c r="F221" s="91"/>
      <c r="G221" s="91"/>
      <c r="H221" s="91"/>
      <c r="I221" s="91"/>
      <c r="J221" s="91"/>
      <c r="K221" s="91"/>
      <c r="L221" s="91"/>
      <c r="M221" s="91"/>
      <c r="N221" s="91"/>
    </row>
    <row r="222" spans="1:20" s="1" customFormat="1" ht="13.35" customHeight="1" x14ac:dyDescent="0.25">
      <c r="A222" s="88" t="s">
        <v>34</v>
      </c>
      <c r="B222" s="88"/>
      <c r="C222" s="88"/>
      <c r="D222" s="88"/>
      <c r="E222" s="89">
        <v>6.6</v>
      </c>
      <c r="F222" s="89"/>
      <c r="G222" s="17"/>
      <c r="H222" s="6" t="s">
        <v>35</v>
      </c>
      <c r="I222" s="89">
        <v>0.13</v>
      </c>
      <c r="J222" s="89"/>
      <c r="K222" s="17"/>
      <c r="L222" s="88" t="s">
        <v>36</v>
      </c>
      <c r="M222" s="88"/>
      <c r="N222" s="89">
        <v>27.65</v>
      </c>
      <c r="O222" s="89"/>
    </row>
    <row r="223" spans="1:20" s="1" customFormat="1" ht="13.35" customHeight="1" x14ac:dyDescent="0.25">
      <c r="A223" s="88" t="s">
        <v>37</v>
      </c>
      <c r="B223" s="88"/>
      <c r="C223" s="88"/>
      <c r="D223" s="88"/>
      <c r="E223" s="89">
        <v>5.5</v>
      </c>
      <c r="F223" s="89"/>
      <c r="G223" s="17"/>
      <c r="H223" s="6" t="s">
        <v>38</v>
      </c>
      <c r="I223" s="89">
        <v>0</v>
      </c>
      <c r="J223" s="89"/>
      <c r="K223" s="17"/>
      <c r="L223" s="88" t="s">
        <v>39</v>
      </c>
      <c r="M223" s="88"/>
      <c r="N223" s="89">
        <v>34.57</v>
      </c>
      <c r="O223" s="89"/>
    </row>
    <row r="224" spans="1:20" s="1" customFormat="1" ht="13.35" customHeight="1" x14ac:dyDescent="0.25">
      <c r="A224" s="88" t="s">
        <v>40</v>
      </c>
      <c r="B224" s="88"/>
      <c r="C224" s="88"/>
      <c r="D224" s="88"/>
      <c r="E224" s="89">
        <v>38.4</v>
      </c>
      <c r="F224" s="89"/>
      <c r="G224" s="17"/>
      <c r="H224" s="6" t="s">
        <v>41</v>
      </c>
      <c r="I224" s="89">
        <v>0.03</v>
      </c>
      <c r="J224" s="89"/>
      <c r="K224" s="17"/>
      <c r="L224" s="88" t="s">
        <v>42</v>
      </c>
      <c r="M224" s="88"/>
      <c r="N224" s="89">
        <v>148.63</v>
      </c>
      <c r="O224" s="89"/>
    </row>
    <row r="225" spans="1:20" s="1" customFormat="1" ht="13.35" customHeight="1" x14ac:dyDescent="0.25">
      <c r="A225" s="88" t="s">
        <v>43</v>
      </c>
      <c r="B225" s="88"/>
      <c r="C225" s="88"/>
      <c r="D225" s="88"/>
      <c r="E225" s="89">
        <v>228.1</v>
      </c>
      <c r="F225" s="89"/>
      <c r="G225" s="17"/>
      <c r="H225" s="6" t="s">
        <v>44</v>
      </c>
      <c r="I225" s="89">
        <v>1.1499999999999999</v>
      </c>
      <c r="J225" s="89"/>
      <c r="K225" s="17"/>
      <c r="L225" s="88" t="s">
        <v>45</v>
      </c>
      <c r="M225" s="88"/>
      <c r="N225" s="89">
        <v>2.2999999999999998</v>
      </c>
      <c r="O225" s="89"/>
    </row>
    <row r="226" spans="1:20" s="1" customFormat="1" ht="13.35" customHeight="1" x14ac:dyDescent="0.25">
      <c r="A226" s="87"/>
      <c r="B226" s="87"/>
      <c r="C226" s="87"/>
      <c r="D226" s="87"/>
      <c r="E226" s="87"/>
      <c r="F226" s="87"/>
      <c r="G226" s="17"/>
      <c r="H226" s="6" t="s">
        <v>46</v>
      </c>
      <c r="I226" s="89">
        <v>0</v>
      </c>
      <c r="J226" s="89"/>
      <c r="K226" s="17"/>
      <c r="L226" s="88" t="s">
        <v>47</v>
      </c>
      <c r="M226" s="88"/>
      <c r="N226" s="89">
        <v>0</v>
      </c>
      <c r="O226" s="89"/>
    </row>
    <row r="227" spans="1:20" s="1" customFormat="1" ht="13.35" customHeight="1" x14ac:dyDescent="0.25">
      <c r="A227" s="87"/>
      <c r="B227" s="87"/>
      <c r="C227" s="87"/>
      <c r="D227" s="87"/>
      <c r="E227" s="87"/>
      <c r="F227" s="87"/>
      <c r="G227" s="17"/>
      <c r="H227" s="6" t="s">
        <v>48</v>
      </c>
      <c r="I227" s="89">
        <v>0</v>
      </c>
      <c r="J227" s="89"/>
      <c r="K227" s="17"/>
      <c r="L227" s="88" t="s">
        <v>49</v>
      </c>
      <c r="M227" s="88"/>
      <c r="N227" s="89">
        <v>0</v>
      </c>
      <c r="O227" s="89"/>
    </row>
    <row r="228" spans="1:20" s="1" customFormat="1" ht="13.35" customHeight="1" x14ac:dyDescent="0.25">
      <c r="A228" s="87"/>
      <c r="B228" s="87"/>
      <c r="C228" s="87"/>
      <c r="D228" s="87"/>
      <c r="E228" s="87"/>
      <c r="F228" s="87"/>
      <c r="G228" s="17"/>
      <c r="H228" s="17"/>
      <c r="I228" s="87"/>
      <c r="J228" s="87"/>
      <c r="K228" s="17"/>
      <c r="L228" s="88" t="s">
        <v>50</v>
      </c>
      <c r="M228" s="88"/>
      <c r="N228" s="89">
        <v>0</v>
      </c>
      <c r="O228" s="89"/>
    </row>
    <row r="229" spans="1:20" s="1" customFormat="1" ht="13.35" customHeight="1" x14ac:dyDescent="0.25">
      <c r="A229" s="87"/>
      <c r="B229" s="87"/>
      <c r="C229" s="87"/>
      <c r="D229" s="87"/>
      <c r="E229" s="87"/>
      <c r="F229" s="87"/>
      <c r="G229" s="17"/>
      <c r="H229" s="17"/>
      <c r="I229" s="87"/>
      <c r="J229" s="87"/>
      <c r="K229" s="17"/>
      <c r="L229" s="88" t="s">
        <v>51</v>
      </c>
      <c r="M229" s="88"/>
      <c r="N229" s="89">
        <v>0</v>
      </c>
      <c r="O229" s="89"/>
    </row>
    <row r="230" spans="1:20" s="1" customFormat="1" ht="14.1" customHeight="1" x14ac:dyDescent="0.25">
      <c r="A230" s="86"/>
      <c r="B230" s="86"/>
      <c r="C230" s="86"/>
      <c r="D230" s="86"/>
      <c r="E230" s="86"/>
      <c r="F230" s="86"/>
      <c r="G230" s="86"/>
      <c r="H230" s="86"/>
      <c r="I230" s="86"/>
      <c r="J230" s="86"/>
      <c r="K230" s="86"/>
      <c r="L230" s="86"/>
      <c r="M230" s="86"/>
      <c r="N230" s="86"/>
      <c r="O230" s="86"/>
      <c r="P230" s="86"/>
      <c r="Q230" s="86"/>
      <c r="R230" s="86"/>
      <c r="S230" s="86"/>
    </row>
    <row r="231" spans="1:20" s="1" customFormat="1" ht="14.1" customHeight="1" x14ac:dyDescent="0.25">
      <c r="A231" s="84" t="s">
        <v>52</v>
      </c>
      <c r="B231" s="84"/>
      <c r="C231" s="84"/>
      <c r="D231" s="84"/>
      <c r="E231" s="84"/>
      <c r="F231" s="84"/>
      <c r="G231" s="84"/>
      <c r="H231" s="84"/>
      <c r="I231" s="84"/>
      <c r="J231" s="84"/>
      <c r="K231" s="84"/>
      <c r="L231" s="84"/>
      <c r="M231" s="84"/>
      <c r="N231" s="84"/>
      <c r="O231" s="84"/>
      <c r="P231" s="84"/>
      <c r="Q231" s="84"/>
      <c r="R231" s="84"/>
      <c r="S231" s="84"/>
    </row>
    <row r="232" spans="1:20" s="1" customFormat="1" ht="40.049999999999997" customHeight="1" x14ac:dyDescent="0.25">
      <c r="A232" s="85" t="s">
        <v>314</v>
      </c>
      <c r="B232" s="85"/>
      <c r="C232" s="85"/>
      <c r="D232" s="85"/>
      <c r="E232" s="85"/>
      <c r="F232" s="85"/>
      <c r="G232" s="85"/>
      <c r="H232" s="85"/>
      <c r="I232" s="85"/>
      <c r="J232" s="85"/>
      <c r="K232" s="85"/>
      <c r="L232" s="85"/>
      <c r="M232" s="85"/>
      <c r="N232" s="85"/>
      <c r="O232" s="85"/>
      <c r="P232" s="85"/>
      <c r="Q232" s="85"/>
      <c r="R232" s="85"/>
      <c r="S232" s="85"/>
    </row>
    <row r="233" spans="1:20" s="1" customFormat="1" ht="14.1" customHeight="1" x14ac:dyDescent="0.25">
      <c r="A233" s="86"/>
      <c r="B233" s="86"/>
      <c r="C233" s="86"/>
      <c r="D233" s="86"/>
      <c r="E233" s="86"/>
      <c r="F233" s="86"/>
      <c r="G233" s="86"/>
      <c r="H233" s="86"/>
      <c r="I233" s="86"/>
      <c r="J233" s="86"/>
      <c r="K233" s="86"/>
      <c r="L233" s="86"/>
      <c r="M233" s="86"/>
      <c r="N233" s="86"/>
      <c r="O233" s="86"/>
      <c r="P233" s="86"/>
      <c r="Q233" s="86"/>
      <c r="R233" s="86"/>
      <c r="S233" s="86"/>
    </row>
    <row r="234" spans="1:20" s="1" customFormat="1" ht="14.1" customHeight="1" x14ac:dyDescent="0.25">
      <c r="A234" s="84" t="s">
        <v>54</v>
      </c>
      <c r="B234" s="84"/>
      <c r="C234" s="84"/>
      <c r="D234" s="84"/>
      <c r="E234" s="84"/>
      <c r="F234" s="84"/>
      <c r="G234" s="84"/>
      <c r="H234" s="84"/>
      <c r="I234" s="84"/>
      <c r="J234" s="84"/>
      <c r="K234" s="84"/>
      <c r="L234" s="84"/>
      <c r="M234" s="84"/>
      <c r="N234" s="84"/>
      <c r="O234" s="84"/>
      <c r="P234" s="84"/>
      <c r="Q234" s="84"/>
      <c r="R234" s="84"/>
      <c r="S234" s="84"/>
    </row>
    <row r="235" spans="1:20" s="1" customFormat="1" ht="21.6" customHeight="1" x14ac:dyDescent="0.25">
      <c r="A235" s="85" t="s">
        <v>315</v>
      </c>
      <c r="B235" s="85"/>
      <c r="C235" s="85"/>
      <c r="D235" s="85"/>
      <c r="E235" s="85"/>
      <c r="F235" s="85"/>
      <c r="G235" s="85"/>
      <c r="H235" s="85"/>
      <c r="I235" s="85"/>
      <c r="J235" s="85"/>
      <c r="K235" s="85"/>
      <c r="L235" s="85"/>
      <c r="M235" s="85"/>
      <c r="N235" s="85"/>
      <c r="O235" s="85"/>
      <c r="P235" s="85"/>
      <c r="Q235" s="85"/>
      <c r="R235" s="85"/>
      <c r="S235" s="85"/>
    </row>
    <row r="236" spans="1:20" s="1" customFormat="1" ht="14.1" customHeight="1" x14ac:dyDescent="0.25">
      <c r="A236" s="86"/>
      <c r="B236" s="86"/>
      <c r="C236" s="86"/>
      <c r="D236" s="86"/>
      <c r="E236" s="86"/>
      <c r="F236" s="86"/>
      <c r="G236" s="86"/>
      <c r="H236" s="86"/>
      <c r="I236" s="86"/>
      <c r="J236" s="86"/>
      <c r="K236" s="86"/>
      <c r="L236" s="86"/>
      <c r="M236" s="86"/>
      <c r="N236" s="86"/>
      <c r="O236" s="86"/>
      <c r="P236" s="86"/>
      <c r="Q236" s="86"/>
      <c r="R236" s="86"/>
      <c r="S236" s="86"/>
    </row>
    <row r="237" spans="1:20" s="1" customFormat="1" ht="14.1" customHeight="1" x14ac:dyDescent="0.25">
      <c r="A237" s="84" t="s">
        <v>56</v>
      </c>
      <c r="B237" s="84"/>
      <c r="C237" s="84"/>
      <c r="D237" s="84"/>
      <c r="E237" s="84"/>
      <c r="F237" s="84"/>
      <c r="G237" s="84"/>
      <c r="H237" s="84"/>
      <c r="I237" s="84"/>
      <c r="J237" s="84"/>
      <c r="K237" s="84"/>
      <c r="L237" s="84"/>
      <c r="M237" s="84"/>
      <c r="N237" s="84"/>
      <c r="O237" s="84"/>
      <c r="P237" s="84"/>
      <c r="Q237" s="84"/>
      <c r="R237" s="84"/>
      <c r="S237" s="84"/>
    </row>
    <row r="238" spans="1:20" s="1" customFormat="1" ht="58.5" customHeight="1" x14ac:dyDescent="0.25">
      <c r="A238" s="85" t="s">
        <v>316</v>
      </c>
      <c r="B238" s="85"/>
      <c r="C238" s="85"/>
      <c r="D238" s="85"/>
      <c r="E238" s="85"/>
      <c r="F238" s="85"/>
      <c r="G238" s="85"/>
      <c r="H238" s="85"/>
      <c r="I238" s="85"/>
      <c r="J238" s="85"/>
      <c r="K238" s="85"/>
      <c r="L238" s="85"/>
      <c r="M238" s="85"/>
      <c r="N238" s="85"/>
      <c r="O238" s="85"/>
      <c r="P238" s="85"/>
      <c r="Q238" s="85"/>
      <c r="R238" s="85"/>
      <c r="S238" s="85"/>
    </row>
    <row r="239" spans="1:20" s="1" customFormat="1" ht="72.45" customHeight="1" x14ac:dyDescent="0.25">
      <c r="J239" s="100" t="s">
        <v>0</v>
      </c>
      <c r="K239" s="100"/>
      <c r="L239" s="100"/>
      <c r="M239" s="100"/>
      <c r="N239" s="100"/>
      <c r="O239" s="100"/>
      <c r="P239" s="100"/>
      <c r="Q239" s="100"/>
      <c r="R239" s="100"/>
      <c r="S239" s="100"/>
      <c r="T239" s="100"/>
    </row>
    <row r="240" spans="1:20" s="1" customFormat="1" ht="7.05" customHeight="1" x14ac:dyDescent="0.25"/>
    <row r="241" spans="1:20" s="1" customFormat="1" ht="14.1" customHeight="1" x14ac:dyDescent="0.25">
      <c r="B241" s="101" t="s">
        <v>317</v>
      </c>
      <c r="C241" s="101"/>
      <c r="D241" s="101"/>
      <c r="E241" s="101"/>
      <c r="F241" s="101"/>
      <c r="G241" s="101"/>
      <c r="H241" s="101"/>
      <c r="I241" s="101"/>
      <c r="J241" s="101"/>
      <c r="K241" s="101"/>
      <c r="L241" s="101"/>
      <c r="M241" s="101"/>
      <c r="N241" s="101"/>
      <c r="O241" s="101"/>
      <c r="P241" s="101"/>
      <c r="Q241" s="101"/>
      <c r="R241" s="101"/>
    </row>
    <row r="242" spans="1:20" s="1" customFormat="1" ht="14.1" customHeight="1" x14ac:dyDescent="0.25"/>
    <row r="243" spans="1:20" s="1" customFormat="1" ht="14.1" customHeight="1" x14ac:dyDescent="0.25">
      <c r="A243" s="102" t="s">
        <v>2</v>
      </c>
      <c r="B243" s="102"/>
      <c r="C243" s="102"/>
      <c r="D243" s="103" t="s">
        <v>318</v>
      </c>
      <c r="E243" s="103"/>
      <c r="F243" s="103"/>
      <c r="G243" s="103"/>
      <c r="H243" s="103"/>
      <c r="I243" s="103"/>
      <c r="J243" s="103"/>
      <c r="K243" s="103"/>
      <c r="L243" s="103"/>
      <c r="M243" s="103"/>
      <c r="N243" s="103"/>
      <c r="O243" s="103"/>
      <c r="P243" s="103"/>
      <c r="Q243" s="103"/>
      <c r="R243" s="103"/>
      <c r="S243" s="103"/>
      <c r="T243" s="103"/>
    </row>
    <row r="244" spans="1:20" s="1" customFormat="1" ht="14.1" customHeight="1" x14ac:dyDescent="0.25">
      <c r="A244" s="102" t="s">
        <v>4</v>
      </c>
      <c r="B244" s="102"/>
      <c r="C244" s="103" t="s">
        <v>319</v>
      </c>
      <c r="D244" s="103"/>
      <c r="E244" s="103"/>
      <c r="F244" s="103"/>
      <c r="G244" s="103"/>
      <c r="H244" s="103"/>
      <c r="I244" s="103"/>
      <c r="J244" s="103"/>
      <c r="K244" s="103"/>
      <c r="L244" s="103"/>
      <c r="M244" s="103"/>
      <c r="N244" s="103"/>
      <c r="O244" s="103"/>
      <c r="P244" s="103"/>
      <c r="Q244" s="103"/>
      <c r="R244" s="103"/>
      <c r="S244" s="103"/>
      <c r="T244" s="103"/>
    </row>
    <row r="245" spans="1:20" s="1" customFormat="1" ht="14.1" customHeight="1" x14ac:dyDescent="0.25">
      <c r="A245" s="102" t="s">
        <v>6</v>
      </c>
      <c r="B245" s="102"/>
      <c r="C245" s="102"/>
      <c r="D245" s="102"/>
      <c r="E245" s="102"/>
      <c r="F245" s="103" t="s">
        <v>320</v>
      </c>
      <c r="G245" s="103"/>
      <c r="H245" s="103"/>
      <c r="I245" s="103"/>
      <c r="J245" s="103"/>
      <c r="K245" s="103"/>
      <c r="L245" s="103"/>
      <c r="M245" s="103"/>
      <c r="N245" s="103"/>
      <c r="O245" s="103"/>
      <c r="P245" s="103"/>
      <c r="Q245" s="103"/>
      <c r="R245" s="103"/>
      <c r="S245" s="103"/>
      <c r="T245" s="103"/>
    </row>
    <row r="246" spans="1:20" s="1" customFormat="1" ht="22.35" customHeight="1" x14ac:dyDescent="0.25">
      <c r="F246" s="103"/>
      <c r="G246" s="103"/>
      <c r="H246" s="103"/>
      <c r="I246" s="103"/>
      <c r="J246" s="103"/>
      <c r="K246" s="103"/>
      <c r="L246" s="103"/>
      <c r="M246" s="103"/>
      <c r="N246" s="103"/>
      <c r="O246" s="103"/>
      <c r="P246" s="103"/>
      <c r="Q246" s="103"/>
      <c r="R246" s="103"/>
      <c r="S246" s="103"/>
      <c r="T246" s="103"/>
    </row>
    <row r="247" spans="1:20" s="1" customFormat="1" ht="7.05" customHeight="1" x14ac:dyDescent="0.25">
      <c r="A247" s="86"/>
      <c r="B247" s="86"/>
      <c r="C247" s="86"/>
      <c r="D247" s="86"/>
      <c r="E247" s="86"/>
      <c r="F247" s="86"/>
      <c r="G247" s="86"/>
      <c r="H247" s="86"/>
      <c r="I247" s="86"/>
      <c r="J247" s="86"/>
      <c r="K247" s="86"/>
      <c r="L247" s="86"/>
      <c r="M247" s="86"/>
      <c r="N247" s="86"/>
      <c r="O247" s="86"/>
      <c r="P247" s="86"/>
      <c r="Q247" s="16"/>
      <c r="R247" s="86"/>
      <c r="S247" s="86"/>
      <c r="T247" s="86"/>
    </row>
    <row r="248" spans="1:20" s="1" customFormat="1" ht="16.95" customHeight="1" x14ac:dyDescent="0.25">
      <c r="A248" s="94" t="s">
        <v>8</v>
      </c>
      <c r="B248" s="94"/>
      <c r="C248" s="94"/>
      <c r="D248" s="94"/>
      <c r="E248" s="94"/>
      <c r="F248" s="94"/>
      <c r="G248" s="94"/>
      <c r="H248" s="94"/>
      <c r="I248" s="94"/>
      <c r="J248" s="94"/>
      <c r="K248" s="94"/>
      <c r="L248" s="94"/>
      <c r="M248" s="95" t="s">
        <v>9</v>
      </c>
      <c r="N248" s="95"/>
      <c r="O248" s="95"/>
      <c r="P248" s="95"/>
      <c r="Q248" s="95"/>
      <c r="R248" s="95"/>
      <c r="S248" s="95"/>
      <c r="T248" s="95"/>
    </row>
    <row r="249" spans="1:20" s="1" customFormat="1" ht="16.95" customHeight="1" x14ac:dyDescent="0.25">
      <c r="A249" s="94"/>
      <c r="B249" s="94"/>
      <c r="C249" s="94"/>
      <c r="D249" s="94"/>
      <c r="E249" s="94"/>
      <c r="F249" s="94"/>
      <c r="G249" s="94"/>
      <c r="H249" s="94"/>
      <c r="I249" s="94"/>
      <c r="J249" s="94"/>
      <c r="K249" s="94"/>
      <c r="L249" s="94"/>
      <c r="M249" s="96" t="s">
        <v>10</v>
      </c>
      <c r="N249" s="96"/>
      <c r="O249" s="96"/>
      <c r="P249" s="96"/>
      <c r="Q249" s="97" t="s">
        <v>11</v>
      </c>
      <c r="R249" s="97"/>
      <c r="S249" s="97"/>
      <c r="T249" s="97"/>
    </row>
    <row r="250" spans="1:20" s="1" customFormat="1" ht="16.95" customHeight="1" x14ac:dyDescent="0.25">
      <c r="A250" s="94"/>
      <c r="B250" s="94"/>
      <c r="C250" s="94"/>
      <c r="D250" s="94"/>
      <c r="E250" s="94"/>
      <c r="F250" s="94"/>
      <c r="G250" s="94"/>
      <c r="H250" s="94"/>
      <c r="I250" s="94"/>
      <c r="J250" s="94"/>
      <c r="K250" s="94"/>
      <c r="L250" s="94"/>
      <c r="M250" s="98" t="s">
        <v>12</v>
      </c>
      <c r="N250" s="98"/>
      <c r="O250" s="98" t="s">
        <v>13</v>
      </c>
      <c r="P250" s="98"/>
      <c r="Q250" s="13" t="s">
        <v>14</v>
      </c>
      <c r="R250" s="99" t="s">
        <v>15</v>
      </c>
      <c r="S250" s="99"/>
      <c r="T250" s="99"/>
    </row>
    <row r="251" spans="1:20" s="1" customFormat="1" ht="13.35" customHeight="1" x14ac:dyDescent="0.25">
      <c r="A251" s="88" t="s">
        <v>321</v>
      </c>
      <c r="B251" s="88"/>
      <c r="C251" s="88"/>
      <c r="D251" s="88"/>
      <c r="E251" s="88"/>
      <c r="F251" s="88"/>
      <c r="G251" s="88"/>
      <c r="H251" s="88"/>
      <c r="I251" s="88"/>
      <c r="J251" s="88"/>
      <c r="K251" s="88"/>
      <c r="L251" s="88"/>
      <c r="M251" s="88">
        <f>46.2*180/150</f>
        <v>55.44</v>
      </c>
      <c r="N251" s="88"/>
      <c r="O251" s="88">
        <v>55.44</v>
      </c>
      <c r="P251" s="88"/>
      <c r="Q251" s="6">
        <v>5.54</v>
      </c>
      <c r="R251" s="88">
        <v>5.54</v>
      </c>
      <c r="S251" s="88"/>
      <c r="T251" s="88"/>
    </row>
    <row r="252" spans="1:20" s="1" customFormat="1" ht="13.35" customHeight="1" x14ac:dyDescent="0.25">
      <c r="A252" s="88" t="s">
        <v>61</v>
      </c>
      <c r="B252" s="88"/>
      <c r="C252" s="88"/>
      <c r="D252" s="88"/>
      <c r="E252" s="88"/>
      <c r="F252" s="88"/>
      <c r="G252" s="88"/>
      <c r="H252" s="88"/>
      <c r="I252" s="88"/>
      <c r="J252" s="88"/>
      <c r="K252" s="88"/>
      <c r="L252" s="88"/>
      <c r="M252" s="88">
        <f>10*180/150</f>
        <v>12</v>
      </c>
      <c r="N252" s="88"/>
      <c r="O252" s="88">
        <v>12</v>
      </c>
      <c r="P252" s="88"/>
      <c r="Q252" s="6">
        <v>1.2</v>
      </c>
      <c r="R252" s="88">
        <v>1.2</v>
      </c>
      <c r="S252" s="88"/>
      <c r="T252" s="88"/>
    </row>
    <row r="253" spans="1:20" s="1" customFormat="1" ht="13.35" customHeight="1" x14ac:dyDescent="0.25">
      <c r="A253" s="88" t="s">
        <v>114</v>
      </c>
      <c r="B253" s="88"/>
      <c r="C253" s="88"/>
      <c r="D253" s="88"/>
      <c r="E253" s="88"/>
      <c r="F253" s="88"/>
      <c r="G253" s="88"/>
      <c r="H253" s="88"/>
      <c r="I253" s="88"/>
      <c r="J253" s="88"/>
      <c r="K253" s="88"/>
      <c r="L253" s="88"/>
      <c r="M253" s="88">
        <f>112.5*180/150</f>
        <v>135</v>
      </c>
      <c r="N253" s="88"/>
      <c r="O253" s="88">
        <v>135</v>
      </c>
      <c r="P253" s="88"/>
      <c r="Q253" s="6">
        <v>13.5</v>
      </c>
      <c r="R253" s="88">
        <v>13.5</v>
      </c>
      <c r="S253" s="88"/>
      <c r="T253" s="88"/>
    </row>
    <row r="254" spans="1:20" s="1" customFormat="1" ht="13.35" customHeight="1" x14ac:dyDescent="0.25">
      <c r="A254" s="88" t="s">
        <v>70</v>
      </c>
      <c r="B254" s="88"/>
      <c r="C254" s="88"/>
      <c r="D254" s="88"/>
      <c r="E254" s="88"/>
      <c r="F254" s="88"/>
      <c r="G254" s="88"/>
      <c r="H254" s="88"/>
      <c r="I254" s="88"/>
      <c r="J254" s="88"/>
      <c r="K254" s="88"/>
      <c r="L254" s="88"/>
      <c r="M254" s="88">
        <f>1.4*180/150</f>
        <v>1.6799999999999997</v>
      </c>
      <c r="N254" s="88"/>
      <c r="O254" s="88">
        <v>1.68</v>
      </c>
      <c r="P254" s="88"/>
      <c r="Q254" s="6">
        <v>0.16</v>
      </c>
      <c r="R254" s="88">
        <v>0.16</v>
      </c>
      <c r="S254" s="88"/>
      <c r="T254" s="88"/>
    </row>
    <row r="255" spans="1:20" s="1" customFormat="1" ht="14.1" customHeight="1" x14ac:dyDescent="0.25">
      <c r="A255" s="90" t="s">
        <v>217</v>
      </c>
      <c r="B255" s="90"/>
      <c r="C255" s="90"/>
      <c r="D255" s="90"/>
      <c r="E255" s="90"/>
      <c r="F255" s="90"/>
      <c r="G255" s="90"/>
      <c r="H255" s="90"/>
      <c r="I255" s="90"/>
      <c r="J255" s="90"/>
      <c r="K255" s="90"/>
      <c r="L255" s="90"/>
      <c r="M255" s="90"/>
      <c r="N255" s="90"/>
      <c r="O255" s="90"/>
      <c r="P255" s="90"/>
      <c r="Q255" s="90"/>
      <c r="R255" s="90"/>
      <c r="S255" s="90"/>
      <c r="T255" s="90"/>
    </row>
    <row r="256" spans="1:20" s="1" customFormat="1" ht="21.3" customHeight="1" x14ac:dyDescent="0.25"/>
    <row r="257" spans="1:19" s="1" customFormat="1" ht="14.1" customHeight="1" x14ac:dyDescent="0.25">
      <c r="A257" s="91" t="s">
        <v>33</v>
      </c>
      <c r="B257" s="91"/>
      <c r="C257" s="91"/>
      <c r="D257" s="91"/>
      <c r="E257" s="91"/>
      <c r="F257" s="91"/>
      <c r="G257" s="91"/>
      <c r="H257" s="91"/>
      <c r="I257" s="91"/>
      <c r="J257" s="91"/>
      <c r="K257" s="91"/>
      <c r="L257" s="91"/>
      <c r="M257" s="91"/>
      <c r="N257" s="91"/>
    </row>
    <row r="258" spans="1:19" s="1" customFormat="1" ht="13.35" customHeight="1" x14ac:dyDescent="0.25">
      <c r="A258" s="88" t="s">
        <v>34</v>
      </c>
      <c r="B258" s="88"/>
      <c r="C258" s="88"/>
      <c r="D258" s="88"/>
      <c r="E258" s="89">
        <f>4.54*180/150</f>
        <v>5.4480000000000004</v>
      </c>
      <c r="F258" s="89"/>
      <c r="G258" s="17"/>
      <c r="H258" s="6" t="s">
        <v>35</v>
      </c>
      <c r="I258" s="89">
        <v>0.05</v>
      </c>
      <c r="J258" s="89"/>
      <c r="K258" s="17"/>
      <c r="L258" s="88" t="s">
        <v>36</v>
      </c>
      <c r="M258" s="88"/>
      <c r="N258" s="89">
        <v>26.01</v>
      </c>
      <c r="O258" s="89"/>
    </row>
    <row r="259" spans="1:19" s="1" customFormat="1" ht="13.35" customHeight="1" x14ac:dyDescent="0.25">
      <c r="A259" s="88" t="s">
        <v>37</v>
      </c>
      <c r="B259" s="88"/>
      <c r="C259" s="88"/>
      <c r="D259" s="88"/>
      <c r="E259" s="89">
        <f>7.5*180/150</f>
        <v>9</v>
      </c>
      <c r="F259" s="89"/>
      <c r="G259" s="17"/>
      <c r="H259" s="6" t="s">
        <v>38</v>
      </c>
      <c r="I259" s="89">
        <v>0</v>
      </c>
      <c r="J259" s="89"/>
      <c r="K259" s="17"/>
      <c r="L259" s="88" t="s">
        <v>39</v>
      </c>
      <c r="M259" s="88"/>
      <c r="N259" s="89">
        <v>17.93</v>
      </c>
      <c r="O259" s="89"/>
    </row>
    <row r="260" spans="1:19" s="1" customFormat="1" ht="13.35" customHeight="1" x14ac:dyDescent="0.25">
      <c r="A260" s="88" t="s">
        <v>40</v>
      </c>
      <c r="B260" s="88"/>
      <c r="C260" s="88"/>
      <c r="D260" s="88"/>
      <c r="E260" s="89">
        <f>30.1*180/150</f>
        <v>36.119999999999997</v>
      </c>
      <c r="F260" s="89"/>
      <c r="G260" s="17"/>
      <c r="H260" s="6" t="s">
        <v>41</v>
      </c>
      <c r="I260" s="89">
        <v>0.04</v>
      </c>
      <c r="J260" s="89"/>
      <c r="K260" s="17"/>
      <c r="L260" s="88" t="s">
        <v>42</v>
      </c>
      <c r="M260" s="88"/>
      <c r="N260" s="89">
        <v>136.74</v>
      </c>
      <c r="O260" s="89"/>
    </row>
    <row r="261" spans="1:19" s="1" customFormat="1" ht="13.35" customHeight="1" x14ac:dyDescent="0.25">
      <c r="A261" s="88" t="s">
        <v>43</v>
      </c>
      <c r="B261" s="88"/>
      <c r="C261" s="88"/>
      <c r="D261" s="88"/>
      <c r="E261" s="89">
        <f>213.7*180/150</f>
        <v>256.44</v>
      </c>
      <c r="F261" s="89"/>
      <c r="G261" s="17"/>
      <c r="H261" s="6" t="s">
        <v>44</v>
      </c>
      <c r="I261" s="89">
        <v>1.93</v>
      </c>
      <c r="J261" s="89"/>
      <c r="K261" s="17"/>
      <c r="L261" s="88" t="s">
        <v>45</v>
      </c>
      <c r="M261" s="88"/>
      <c r="N261" s="89">
        <v>0.89</v>
      </c>
      <c r="O261" s="89"/>
    </row>
    <row r="262" spans="1:19" s="1" customFormat="1" ht="13.35" customHeight="1" x14ac:dyDescent="0.25">
      <c r="A262" s="87"/>
      <c r="B262" s="87"/>
      <c r="C262" s="87"/>
      <c r="D262" s="87"/>
      <c r="E262" s="87"/>
      <c r="F262" s="87"/>
      <c r="G262" s="17"/>
      <c r="H262" s="6" t="s">
        <v>46</v>
      </c>
      <c r="I262" s="89">
        <v>0.15</v>
      </c>
      <c r="J262" s="89"/>
      <c r="K262" s="17"/>
      <c r="L262" s="88" t="s">
        <v>47</v>
      </c>
      <c r="M262" s="88"/>
      <c r="N262" s="89">
        <v>81.42</v>
      </c>
      <c r="O262" s="89"/>
    </row>
    <row r="263" spans="1:19" s="1" customFormat="1" ht="13.35" customHeight="1" x14ac:dyDescent="0.25">
      <c r="A263" s="87"/>
      <c r="B263" s="87"/>
      <c r="C263" s="87"/>
      <c r="D263" s="87"/>
      <c r="E263" s="87"/>
      <c r="F263" s="87"/>
      <c r="G263" s="17"/>
      <c r="H263" s="6" t="s">
        <v>48</v>
      </c>
      <c r="I263" s="89">
        <v>0.04</v>
      </c>
      <c r="J263" s="89"/>
      <c r="K263" s="17"/>
      <c r="L263" s="88" t="s">
        <v>49</v>
      </c>
      <c r="M263" s="88"/>
      <c r="N263" s="89">
        <v>0</v>
      </c>
      <c r="O263" s="89"/>
    </row>
    <row r="264" spans="1:19" s="1" customFormat="1" ht="13.35" customHeight="1" x14ac:dyDescent="0.25">
      <c r="A264" s="87"/>
      <c r="B264" s="87"/>
      <c r="C264" s="87"/>
      <c r="D264" s="87"/>
      <c r="E264" s="87"/>
      <c r="F264" s="87"/>
      <c r="G264" s="17"/>
      <c r="H264" s="17"/>
      <c r="I264" s="87"/>
      <c r="J264" s="87"/>
      <c r="K264" s="17"/>
      <c r="L264" s="88" t="s">
        <v>50</v>
      </c>
      <c r="M264" s="88"/>
      <c r="N264" s="89">
        <v>0.03</v>
      </c>
      <c r="O264" s="89"/>
    </row>
    <row r="265" spans="1:19" s="1" customFormat="1" ht="13.35" customHeight="1" x14ac:dyDescent="0.25">
      <c r="A265" s="87"/>
      <c r="B265" s="87"/>
      <c r="C265" s="87"/>
      <c r="D265" s="87"/>
      <c r="E265" s="87"/>
      <c r="F265" s="87"/>
      <c r="G265" s="17"/>
      <c r="H265" s="17"/>
      <c r="I265" s="87"/>
      <c r="J265" s="87"/>
      <c r="K265" s="17"/>
      <c r="L265" s="88" t="s">
        <v>51</v>
      </c>
      <c r="M265" s="88"/>
      <c r="N265" s="89">
        <v>0.02</v>
      </c>
      <c r="O265" s="89"/>
    </row>
    <row r="266" spans="1:19" s="1" customFormat="1" ht="14.1" customHeight="1" x14ac:dyDescent="0.25">
      <c r="A266" s="86"/>
      <c r="B266" s="86"/>
      <c r="C266" s="86"/>
      <c r="D266" s="86"/>
      <c r="E266" s="86"/>
      <c r="F266" s="86"/>
      <c r="G266" s="86"/>
      <c r="H266" s="86"/>
      <c r="I266" s="86"/>
      <c r="J266" s="86"/>
      <c r="K266" s="86"/>
      <c r="L266" s="86"/>
      <c r="M266" s="86"/>
      <c r="N266" s="86"/>
      <c r="O266" s="86"/>
      <c r="P266" s="86"/>
      <c r="Q266" s="86"/>
      <c r="R266" s="86"/>
      <c r="S266" s="86"/>
    </row>
    <row r="267" spans="1:19" s="1" customFormat="1" ht="14.1" customHeight="1" x14ac:dyDescent="0.25">
      <c r="A267" s="84" t="s">
        <v>52</v>
      </c>
      <c r="B267" s="84"/>
      <c r="C267" s="84"/>
      <c r="D267" s="84"/>
      <c r="E267" s="84"/>
      <c r="F267" s="84"/>
      <c r="G267" s="84"/>
      <c r="H267" s="84"/>
      <c r="I267" s="84"/>
      <c r="J267" s="84"/>
      <c r="K267" s="84"/>
      <c r="L267" s="84"/>
      <c r="M267" s="84"/>
      <c r="N267" s="84"/>
      <c r="O267" s="84"/>
      <c r="P267" s="84"/>
      <c r="Q267" s="84"/>
      <c r="R267" s="84"/>
      <c r="S267" s="84"/>
    </row>
    <row r="268" spans="1:19" s="1" customFormat="1" ht="49.2" customHeight="1" x14ac:dyDescent="0.25">
      <c r="A268" s="85" t="s">
        <v>323</v>
      </c>
      <c r="B268" s="85"/>
      <c r="C268" s="85"/>
      <c r="D268" s="85"/>
      <c r="E268" s="85"/>
      <c r="F268" s="85"/>
      <c r="G268" s="85"/>
      <c r="H268" s="85"/>
      <c r="I268" s="85"/>
      <c r="J268" s="85"/>
      <c r="K268" s="85"/>
      <c r="L268" s="85"/>
      <c r="M268" s="85"/>
      <c r="N268" s="85"/>
      <c r="O268" s="85"/>
      <c r="P268" s="85"/>
      <c r="Q268" s="85"/>
      <c r="R268" s="85"/>
      <c r="S268" s="85"/>
    </row>
    <row r="269" spans="1:19" s="1" customFormat="1" ht="14.1" customHeight="1" x14ac:dyDescent="0.25">
      <c r="A269" s="84" t="s">
        <v>54</v>
      </c>
      <c r="B269" s="84"/>
      <c r="C269" s="84"/>
      <c r="D269" s="84"/>
      <c r="E269" s="84"/>
      <c r="F269" s="84"/>
      <c r="G269" s="84"/>
      <c r="H269" s="84"/>
      <c r="I269" s="84"/>
      <c r="J269" s="84"/>
      <c r="K269" s="84"/>
      <c r="L269" s="84"/>
      <c r="M269" s="84"/>
      <c r="N269" s="84"/>
      <c r="O269" s="84"/>
      <c r="P269" s="84"/>
      <c r="Q269" s="84"/>
      <c r="R269" s="84"/>
      <c r="S269" s="84"/>
    </row>
    <row r="270" spans="1:19" s="1" customFormat="1" ht="21.6" customHeight="1" x14ac:dyDescent="0.25">
      <c r="A270" s="85" t="s">
        <v>315</v>
      </c>
      <c r="B270" s="85"/>
      <c r="C270" s="85"/>
      <c r="D270" s="85"/>
      <c r="E270" s="85"/>
      <c r="F270" s="85"/>
      <c r="G270" s="85"/>
      <c r="H270" s="85"/>
      <c r="I270" s="85"/>
      <c r="J270" s="85"/>
      <c r="K270" s="85"/>
      <c r="L270" s="85"/>
      <c r="M270" s="85"/>
      <c r="N270" s="85"/>
      <c r="O270" s="85"/>
      <c r="P270" s="85"/>
      <c r="Q270" s="85"/>
      <c r="R270" s="85"/>
      <c r="S270" s="85"/>
    </row>
    <row r="271" spans="1:19" s="1" customFormat="1" ht="14.1" customHeight="1" x14ac:dyDescent="0.25">
      <c r="A271" s="86"/>
      <c r="B271" s="86"/>
      <c r="C271" s="86"/>
      <c r="D271" s="86"/>
      <c r="E271" s="86"/>
      <c r="F271" s="86"/>
      <c r="G271" s="86"/>
      <c r="H271" s="86"/>
      <c r="I271" s="86"/>
      <c r="J271" s="86"/>
      <c r="K271" s="86"/>
      <c r="L271" s="86"/>
      <c r="M271" s="86"/>
      <c r="N271" s="86"/>
      <c r="O271" s="86"/>
      <c r="P271" s="86"/>
      <c r="Q271" s="86"/>
      <c r="R271" s="86"/>
      <c r="S271" s="86"/>
    </row>
    <row r="272" spans="1:19" s="1" customFormat="1" ht="14.1" customHeight="1" x14ac:dyDescent="0.25">
      <c r="A272" s="84" t="s">
        <v>56</v>
      </c>
      <c r="B272" s="84"/>
      <c r="C272" s="84"/>
      <c r="D272" s="84"/>
      <c r="E272" s="84"/>
      <c r="F272" s="84"/>
      <c r="G272" s="84"/>
      <c r="H272" s="84"/>
      <c r="I272" s="84"/>
      <c r="J272" s="84"/>
      <c r="K272" s="84"/>
      <c r="L272" s="84"/>
      <c r="M272" s="84"/>
      <c r="N272" s="84"/>
      <c r="O272" s="84"/>
      <c r="P272" s="84"/>
      <c r="Q272" s="84"/>
      <c r="R272" s="84"/>
      <c r="S272" s="84"/>
    </row>
    <row r="273" spans="1:20" s="1" customFormat="1" ht="58.5" customHeight="1" x14ac:dyDescent="0.25">
      <c r="A273" s="85" t="s">
        <v>324</v>
      </c>
      <c r="B273" s="85"/>
      <c r="C273" s="85"/>
      <c r="D273" s="85"/>
      <c r="E273" s="85"/>
      <c r="F273" s="85"/>
      <c r="G273" s="85"/>
      <c r="H273" s="85"/>
      <c r="I273" s="85"/>
      <c r="J273" s="85"/>
      <c r="K273" s="85"/>
      <c r="L273" s="85"/>
      <c r="M273" s="85"/>
      <c r="N273" s="85"/>
      <c r="O273" s="85"/>
      <c r="P273" s="85"/>
      <c r="Q273" s="85"/>
      <c r="R273" s="85"/>
      <c r="S273" s="85"/>
    </row>
    <row r="274" spans="1:20" s="1" customFormat="1" ht="72.45" customHeight="1" x14ac:dyDescent="0.25">
      <c r="J274" s="100" t="s">
        <v>0</v>
      </c>
      <c r="K274" s="100"/>
      <c r="L274" s="100"/>
      <c r="M274" s="100"/>
      <c r="N274" s="100"/>
      <c r="O274" s="100"/>
      <c r="P274" s="100"/>
      <c r="Q274" s="100"/>
      <c r="R274" s="100"/>
      <c r="S274" s="100"/>
      <c r="T274" s="100"/>
    </row>
    <row r="275" spans="1:20" s="1" customFormat="1" ht="7.05" customHeight="1" x14ac:dyDescent="0.25"/>
    <row r="276" spans="1:20" s="1" customFormat="1" ht="14.1" customHeight="1" x14ac:dyDescent="0.25">
      <c r="B276" s="101" t="s">
        <v>683</v>
      </c>
      <c r="C276" s="101"/>
      <c r="D276" s="101"/>
      <c r="E276" s="101"/>
      <c r="F276" s="101"/>
      <c r="G276" s="101"/>
      <c r="H276" s="101"/>
      <c r="I276" s="101"/>
      <c r="J276" s="101"/>
      <c r="K276" s="101"/>
      <c r="L276" s="101"/>
      <c r="M276" s="101"/>
      <c r="N276" s="101"/>
      <c r="O276" s="101"/>
      <c r="P276" s="101"/>
      <c r="Q276" s="101"/>
      <c r="R276" s="101"/>
    </row>
    <row r="277" spans="1:20" s="1" customFormat="1" ht="14.1" customHeight="1" x14ac:dyDescent="0.25"/>
    <row r="278" spans="1:20" s="1" customFormat="1" ht="14.1" customHeight="1" x14ac:dyDescent="0.25">
      <c r="A278" s="102" t="s">
        <v>2</v>
      </c>
      <c r="B278" s="102"/>
      <c r="C278" s="102"/>
      <c r="D278" s="103" t="s">
        <v>325</v>
      </c>
      <c r="E278" s="103"/>
      <c r="F278" s="103"/>
      <c r="G278" s="103"/>
      <c r="H278" s="103"/>
      <c r="I278" s="103"/>
      <c r="J278" s="103"/>
      <c r="K278" s="103"/>
      <c r="L278" s="103"/>
      <c r="M278" s="103"/>
      <c r="N278" s="103"/>
      <c r="O278" s="103"/>
      <c r="P278" s="103"/>
      <c r="Q278" s="103"/>
      <c r="R278" s="103"/>
      <c r="S278" s="103"/>
      <c r="T278" s="103"/>
    </row>
    <row r="279" spans="1:20" s="1" customFormat="1" ht="14.1" customHeight="1" x14ac:dyDescent="0.25">
      <c r="A279" s="102" t="s">
        <v>4</v>
      </c>
      <c r="B279" s="102"/>
      <c r="C279" s="103" t="s">
        <v>326</v>
      </c>
      <c r="D279" s="103"/>
      <c r="E279" s="103"/>
      <c r="F279" s="103"/>
      <c r="G279" s="103"/>
      <c r="H279" s="103"/>
      <c r="I279" s="103"/>
      <c r="J279" s="103"/>
      <c r="K279" s="103"/>
      <c r="L279" s="103"/>
      <c r="M279" s="103"/>
      <c r="N279" s="103"/>
      <c r="O279" s="103"/>
      <c r="P279" s="103"/>
      <c r="Q279" s="103"/>
      <c r="R279" s="103"/>
      <c r="S279" s="103"/>
      <c r="T279" s="103"/>
    </row>
    <row r="280" spans="1:20" s="1" customFormat="1" ht="14.1" customHeight="1" x14ac:dyDescent="0.25">
      <c r="A280" s="102" t="s">
        <v>6</v>
      </c>
      <c r="B280" s="102"/>
      <c r="C280" s="102"/>
      <c r="D280" s="102"/>
      <c r="E280" s="102"/>
      <c r="F280" s="103" t="s">
        <v>75</v>
      </c>
      <c r="G280" s="103"/>
      <c r="H280" s="103"/>
      <c r="I280" s="103"/>
      <c r="J280" s="103"/>
      <c r="K280" s="103"/>
      <c r="L280" s="103"/>
      <c r="M280" s="103"/>
      <c r="N280" s="103"/>
      <c r="O280" s="103"/>
      <c r="P280" s="103"/>
      <c r="Q280" s="103"/>
      <c r="R280" s="103"/>
      <c r="S280" s="103"/>
      <c r="T280" s="103"/>
    </row>
    <row r="281" spans="1:20" s="1" customFormat="1" ht="1.35" customHeight="1" x14ac:dyDescent="0.25"/>
    <row r="282" spans="1:20" s="8" customFormat="1" ht="34.950000000000003" customHeight="1" x14ac:dyDescent="0.2">
      <c r="A282" s="147" t="s">
        <v>684</v>
      </c>
      <c r="B282" s="148"/>
      <c r="C282" s="148"/>
      <c r="D282" s="148"/>
      <c r="E282" s="148"/>
      <c r="F282" s="148"/>
      <c r="G282" s="148"/>
      <c r="H282" s="148"/>
      <c r="I282" s="148"/>
      <c r="J282" s="148"/>
      <c r="K282" s="148"/>
      <c r="L282" s="148"/>
      <c r="M282" s="148"/>
      <c r="N282" s="148"/>
      <c r="O282" s="148"/>
      <c r="P282" s="148"/>
      <c r="Q282" s="148"/>
      <c r="R282" s="148"/>
      <c r="S282" s="148"/>
    </row>
    <row r="283" spans="1:20" s="1" customFormat="1" ht="7.05" customHeight="1" x14ac:dyDescent="0.25">
      <c r="A283" s="86"/>
      <c r="B283" s="86"/>
      <c r="C283" s="86"/>
      <c r="D283" s="86"/>
      <c r="E283" s="86"/>
      <c r="F283" s="86"/>
      <c r="G283" s="86"/>
      <c r="H283" s="86"/>
      <c r="I283" s="86"/>
      <c r="J283" s="86"/>
      <c r="K283" s="86"/>
      <c r="L283" s="86"/>
      <c r="M283" s="86"/>
      <c r="N283" s="86"/>
      <c r="O283" s="86"/>
      <c r="P283" s="86"/>
      <c r="Q283" s="16"/>
      <c r="R283" s="86"/>
      <c r="S283" s="86"/>
      <c r="T283" s="86"/>
    </row>
    <row r="284" spans="1:20" s="1" customFormat="1" ht="16.95" customHeight="1" x14ac:dyDescent="0.25">
      <c r="A284" s="94" t="s">
        <v>8</v>
      </c>
      <c r="B284" s="94"/>
      <c r="C284" s="94"/>
      <c r="D284" s="94"/>
      <c r="E284" s="94"/>
      <c r="F284" s="94"/>
      <c r="G284" s="94"/>
      <c r="H284" s="94"/>
      <c r="I284" s="94"/>
      <c r="J284" s="94"/>
      <c r="K284" s="94"/>
      <c r="L284" s="94"/>
      <c r="M284" s="95" t="s">
        <v>9</v>
      </c>
      <c r="N284" s="95"/>
      <c r="O284" s="95"/>
      <c r="P284" s="95"/>
      <c r="Q284" s="95"/>
      <c r="R284" s="95"/>
      <c r="S284" s="95"/>
      <c r="T284" s="95"/>
    </row>
    <row r="285" spans="1:20" s="1" customFormat="1" ht="16.95" customHeight="1" x14ac:dyDescent="0.25">
      <c r="A285" s="94"/>
      <c r="B285" s="94"/>
      <c r="C285" s="94"/>
      <c r="D285" s="94"/>
      <c r="E285" s="94"/>
      <c r="F285" s="94"/>
      <c r="G285" s="94"/>
      <c r="H285" s="94"/>
      <c r="I285" s="94"/>
      <c r="J285" s="94"/>
      <c r="K285" s="94"/>
      <c r="L285" s="94"/>
      <c r="M285" s="96" t="s">
        <v>10</v>
      </c>
      <c r="N285" s="96"/>
      <c r="O285" s="96"/>
      <c r="P285" s="96"/>
      <c r="Q285" s="97" t="s">
        <v>11</v>
      </c>
      <c r="R285" s="97"/>
      <c r="S285" s="97"/>
      <c r="T285" s="97"/>
    </row>
    <row r="286" spans="1:20" s="1" customFormat="1" ht="16.95" customHeight="1" x14ac:dyDescent="0.25">
      <c r="A286" s="94"/>
      <c r="B286" s="94"/>
      <c r="C286" s="94"/>
      <c r="D286" s="94"/>
      <c r="E286" s="94"/>
      <c r="F286" s="94"/>
      <c r="G286" s="94"/>
      <c r="H286" s="94"/>
      <c r="I286" s="94"/>
      <c r="J286" s="94"/>
      <c r="K286" s="94"/>
      <c r="L286" s="94"/>
      <c r="M286" s="98" t="s">
        <v>12</v>
      </c>
      <c r="N286" s="98"/>
      <c r="O286" s="98" t="s">
        <v>13</v>
      </c>
      <c r="P286" s="98"/>
      <c r="Q286" s="13" t="s">
        <v>14</v>
      </c>
      <c r="R286" s="99" t="s">
        <v>15</v>
      </c>
      <c r="S286" s="99"/>
      <c r="T286" s="99"/>
    </row>
    <row r="287" spans="1:20" s="1" customFormat="1" ht="13.35" customHeight="1" x14ac:dyDescent="0.25">
      <c r="A287" s="88" t="s">
        <v>21</v>
      </c>
      <c r="B287" s="88"/>
      <c r="C287" s="88"/>
      <c r="D287" s="88"/>
      <c r="E287" s="88"/>
      <c r="F287" s="88"/>
      <c r="G287" s="88"/>
      <c r="H287" s="88"/>
      <c r="I287" s="88"/>
      <c r="J287" s="88"/>
      <c r="K287" s="88"/>
      <c r="L287" s="88"/>
      <c r="M287" s="88">
        <f>5*180/150</f>
        <v>6</v>
      </c>
      <c r="N287" s="88"/>
      <c r="O287" s="88">
        <f>4.2*180/150</f>
        <v>5.04</v>
      </c>
      <c r="P287" s="88"/>
      <c r="Q287" s="6">
        <v>0.6</v>
      </c>
      <c r="R287" s="88">
        <v>0.5</v>
      </c>
      <c r="S287" s="88"/>
      <c r="T287" s="88"/>
    </row>
    <row r="288" spans="1:20" s="1" customFormat="1" ht="13.35" customHeight="1" x14ac:dyDescent="0.25">
      <c r="A288" s="88" t="s">
        <v>76</v>
      </c>
      <c r="B288" s="88"/>
      <c r="C288" s="88"/>
      <c r="D288" s="88"/>
      <c r="E288" s="88"/>
      <c r="F288" s="88"/>
      <c r="G288" s="88"/>
      <c r="H288" s="88"/>
      <c r="I288" s="88"/>
      <c r="J288" s="88"/>
      <c r="K288" s="88"/>
      <c r="L288" s="88"/>
      <c r="M288" s="88">
        <f>1.25*180/150</f>
        <v>1.5</v>
      </c>
      <c r="N288" s="88"/>
      <c r="O288" s="88">
        <f>1.06*180/150</f>
        <v>1.272</v>
      </c>
      <c r="P288" s="88"/>
      <c r="Q288" s="6">
        <v>0.15</v>
      </c>
      <c r="R288" s="88">
        <v>0.12</v>
      </c>
      <c r="S288" s="88"/>
      <c r="T288" s="88"/>
    </row>
    <row r="289" spans="1:20" s="1" customFormat="1" ht="13.35" customHeight="1" x14ac:dyDescent="0.25">
      <c r="A289" s="88" t="s">
        <v>18</v>
      </c>
      <c r="B289" s="88"/>
      <c r="C289" s="88"/>
      <c r="D289" s="88"/>
      <c r="E289" s="88"/>
      <c r="F289" s="88"/>
      <c r="G289" s="88"/>
      <c r="H289" s="88"/>
      <c r="I289" s="88"/>
      <c r="J289" s="88"/>
      <c r="K289" s="88"/>
      <c r="L289" s="88"/>
      <c r="M289" s="88">
        <f>3*180/150</f>
        <v>3.6</v>
      </c>
      <c r="N289" s="88"/>
      <c r="O289" s="88">
        <v>3.6</v>
      </c>
      <c r="P289" s="88"/>
      <c r="Q289" s="6">
        <v>0.36</v>
      </c>
      <c r="R289" s="88">
        <v>0.36</v>
      </c>
      <c r="S289" s="88"/>
      <c r="T289" s="88"/>
    </row>
    <row r="290" spans="1:20" s="1" customFormat="1" ht="13.35" customHeight="1" x14ac:dyDescent="0.25">
      <c r="A290" s="88" t="s">
        <v>328</v>
      </c>
      <c r="B290" s="88"/>
      <c r="C290" s="88"/>
      <c r="D290" s="88"/>
      <c r="E290" s="88"/>
      <c r="F290" s="88"/>
      <c r="G290" s="88"/>
      <c r="H290" s="88"/>
      <c r="I290" s="88"/>
      <c r="J290" s="88"/>
      <c r="K290" s="88"/>
      <c r="L290" s="88"/>
      <c r="M290" s="88">
        <f>47.2*180/150</f>
        <v>56.64</v>
      </c>
      <c r="N290" s="88"/>
      <c r="O290" s="88">
        <v>56</v>
      </c>
      <c r="P290" s="88"/>
      <c r="Q290" s="6">
        <v>5.64</v>
      </c>
      <c r="R290" s="88">
        <v>5.6</v>
      </c>
      <c r="S290" s="88"/>
      <c r="T290" s="88"/>
    </row>
    <row r="291" spans="1:20" s="1" customFormat="1" ht="13.35" customHeight="1" x14ac:dyDescent="0.25">
      <c r="A291" s="88" t="s">
        <v>114</v>
      </c>
      <c r="B291" s="88"/>
      <c r="C291" s="88"/>
      <c r="D291" s="88"/>
      <c r="E291" s="88"/>
      <c r="F291" s="88"/>
      <c r="G291" s="88"/>
      <c r="H291" s="88"/>
      <c r="I291" s="88"/>
      <c r="J291" s="88"/>
      <c r="K291" s="88"/>
      <c r="L291" s="88"/>
      <c r="M291" s="88">
        <v>134.80000000000001</v>
      </c>
      <c r="N291" s="88"/>
      <c r="O291" s="88">
        <v>134.80000000000001</v>
      </c>
      <c r="P291" s="88"/>
      <c r="Q291" s="6">
        <v>13.48</v>
      </c>
      <c r="R291" s="88">
        <v>13.48</v>
      </c>
      <c r="S291" s="88"/>
      <c r="T291" s="88"/>
    </row>
    <row r="292" spans="1:20" s="1" customFormat="1" ht="13.35" customHeight="1" x14ac:dyDescent="0.25">
      <c r="A292" s="88" t="s">
        <v>70</v>
      </c>
      <c r="B292" s="88"/>
      <c r="C292" s="88"/>
      <c r="D292" s="88"/>
      <c r="E292" s="88"/>
      <c r="F292" s="88"/>
      <c r="G292" s="88"/>
      <c r="H292" s="88"/>
      <c r="I292" s="88"/>
      <c r="J292" s="88"/>
      <c r="K292" s="88"/>
      <c r="L292" s="88"/>
      <c r="M292" s="88" t="s">
        <v>241</v>
      </c>
      <c r="N292" s="88"/>
      <c r="O292" s="88" t="s">
        <v>241</v>
      </c>
      <c r="P292" s="88"/>
      <c r="Q292" s="6" t="s">
        <v>263</v>
      </c>
      <c r="R292" s="88" t="s">
        <v>263</v>
      </c>
      <c r="S292" s="88"/>
      <c r="T292" s="88"/>
    </row>
    <row r="293" spans="1:20" s="1" customFormat="1" ht="13.35" customHeight="1" x14ac:dyDescent="0.25">
      <c r="A293" s="88" t="s">
        <v>61</v>
      </c>
      <c r="B293" s="88"/>
      <c r="C293" s="88"/>
      <c r="D293" s="88"/>
      <c r="E293" s="88"/>
      <c r="F293" s="88"/>
      <c r="G293" s="88"/>
      <c r="H293" s="88"/>
      <c r="I293" s="88"/>
      <c r="J293" s="88"/>
      <c r="K293" s="88"/>
      <c r="L293" s="88"/>
      <c r="M293" s="88">
        <f>4*180/150</f>
        <v>4.8</v>
      </c>
      <c r="N293" s="88"/>
      <c r="O293" s="88">
        <v>4.8</v>
      </c>
      <c r="P293" s="88"/>
      <c r="Q293" s="6">
        <v>0.48</v>
      </c>
      <c r="R293" s="88">
        <v>0.48</v>
      </c>
      <c r="S293" s="88"/>
      <c r="T293" s="88"/>
    </row>
    <row r="294" spans="1:20" s="1" customFormat="1" ht="14.1" customHeight="1" x14ac:dyDescent="0.25">
      <c r="A294" s="90" t="s">
        <v>217</v>
      </c>
      <c r="B294" s="90"/>
      <c r="C294" s="90"/>
      <c r="D294" s="90"/>
      <c r="E294" s="90"/>
      <c r="F294" s="90"/>
      <c r="G294" s="90"/>
      <c r="H294" s="90"/>
      <c r="I294" s="90"/>
      <c r="J294" s="90"/>
      <c r="K294" s="90"/>
      <c r="L294" s="90"/>
      <c r="M294" s="90"/>
      <c r="N294" s="90"/>
      <c r="O294" s="90"/>
      <c r="P294" s="90"/>
      <c r="Q294" s="90"/>
      <c r="R294" s="90"/>
      <c r="S294" s="90"/>
      <c r="T294" s="90"/>
    </row>
    <row r="295" spans="1:20" s="1" customFormat="1" ht="21.3" customHeight="1" x14ac:dyDescent="0.25"/>
    <row r="296" spans="1:20" s="1" customFormat="1" ht="14.1" customHeight="1" x14ac:dyDescent="0.25">
      <c r="A296" s="91" t="s">
        <v>33</v>
      </c>
      <c r="B296" s="91"/>
      <c r="C296" s="91"/>
      <c r="D296" s="91"/>
      <c r="E296" s="91"/>
      <c r="F296" s="91"/>
      <c r="G296" s="91"/>
      <c r="H296" s="91"/>
      <c r="I296" s="91"/>
      <c r="J296" s="91"/>
      <c r="K296" s="91"/>
      <c r="L296" s="91"/>
      <c r="M296" s="91"/>
      <c r="N296" s="91"/>
    </row>
    <row r="297" spans="1:20" s="1" customFormat="1" ht="13.35" customHeight="1" x14ac:dyDescent="0.25">
      <c r="A297" s="88" t="s">
        <v>34</v>
      </c>
      <c r="B297" s="88"/>
      <c r="C297" s="88"/>
      <c r="D297" s="88"/>
      <c r="E297" s="89">
        <f>3.8*180/150</f>
        <v>4.5599999999999996</v>
      </c>
      <c r="F297" s="89"/>
      <c r="G297" s="17"/>
      <c r="H297" s="6" t="s">
        <v>35</v>
      </c>
      <c r="I297" s="89">
        <v>0.1</v>
      </c>
      <c r="J297" s="89"/>
      <c r="K297" s="17"/>
      <c r="L297" s="88" t="s">
        <v>36</v>
      </c>
      <c r="M297" s="88"/>
      <c r="N297" s="89">
        <v>46.8</v>
      </c>
      <c r="O297" s="89"/>
    </row>
    <row r="298" spans="1:20" s="1" customFormat="1" ht="13.35" customHeight="1" x14ac:dyDescent="0.25">
      <c r="A298" s="88" t="s">
        <v>37</v>
      </c>
      <c r="B298" s="88"/>
      <c r="C298" s="88"/>
      <c r="D298" s="88"/>
      <c r="E298" s="89">
        <f>4.3*180/150</f>
        <v>5.16</v>
      </c>
      <c r="F298" s="89"/>
      <c r="G298" s="17"/>
      <c r="H298" s="6" t="s">
        <v>38</v>
      </c>
      <c r="I298" s="89">
        <v>0.21</v>
      </c>
      <c r="J298" s="89"/>
      <c r="K298" s="17"/>
      <c r="L298" s="88" t="s">
        <v>39</v>
      </c>
      <c r="M298" s="88"/>
      <c r="N298" s="89">
        <v>23.37</v>
      </c>
      <c r="O298" s="89"/>
    </row>
    <row r="299" spans="1:20" s="1" customFormat="1" ht="13.35" customHeight="1" x14ac:dyDescent="0.25">
      <c r="A299" s="88" t="s">
        <v>40</v>
      </c>
      <c r="B299" s="88"/>
      <c r="C299" s="88"/>
      <c r="D299" s="88"/>
      <c r="E299" s="89">
        <f>27.6*180/150</f>
        <v>33.119999999999997</v>
      </c>
      <c r="F299" s="89"/>
      <c r="G299" s="17"/>
      <c r="H299" s="6" t="s">
        <v>41</v>
      </c>
      <c r="I299" s="89">
        <v>0.02</v>
      </c>
      <c r="J299" s="89"/>
      <c r="K299" s="17"/>
      <c r="L299" s="88" t="s">
        <v>42</v>
      </c>
      <c r="M299" s="88"/>
      <c r="N299" s="89">
        <v>150.54</v>
      </c>
      <c r="O299" s="89"/>
    </row>
    <row r="300" spans="1:20" s="1" customFormat="1" ht="13.35" customHeight="1" x14ac:dyDescent="0.25">
      <c r="A300" s="88" t="s">
        <v>43</v>
      </c>
      <c r="B300" s="88"/>
      <c r="C300" s="88"/>
      <c r="D300" s="88"/>
      <c r="E300" s="89">
        <f>142.5*180/150</f>
        <v>171</v>
      </c>
      <c r="F300" s="89"/>
      <c r="G300" s="17"/>
      <c r="H300" s="6" t="s">
        <v>44</v>
      </c>
      <c r="I300" s="89">
        <v>1.36</v>
      </c>
      <c r="J300" s="89"/>
      <c r="K300" s="17"/>
      <c r="L300" s="88" t="s">
        <v>45</v>
      </c>
      <c r="M300" s="88"/>
      <c r="N300" s="89">
        <v>0.96</v>
      </c>
      <c r="O300" s="89"/>
    </row>
    <row r="301" spans="1:20" s="1" customFormat="1" ht="13.35" customHeight="1" x14ac:dyDescent="0.25">
      <c r="A301" s="87"/>
      <c r="B301" s="87"/>
      <c r="C301" s="87"/>
      <c r="D301" s="87"/>
      <c r="E301" s="87"/>
      <c r="F301" s="87"/>
      <c r="G301" s="17"/>
      <c r="H301" s="6" t="s">
        <v>46</v>
      </c>
      <c r="I301" s="89">
        <v>0.06</v>
      </c>
      <c r="J301" s="89"/>
      <c r="K301" s="17"/>
      <c r="L301" s="88" t="s">
        <v>47</v>
      </c>
      <c r="M301" s="88"/>
      <c r="N301" s="89">
        <v>107.95</v>
      </c>
      <c r="O301" s="89"/>
    </row>
    <row r="302" spans="1:20" s="1" customFormat="1" ht="13.35" customHeight="1" x14ac:dyDescent="0.25">
      <c r="A302" s="87"/>
      <c r="B302" s="87"/>
      <c r="C302" s="87"/>
      <c r="D302" s="87"/>
      <c r="E302" s="87"/>
      <c r="F302" s="87"/>
      <c r="G302" s="17"/>
      <c r="H302" s="6" t="s">
        <v>48</v>
      </c>
      <c r="I302" s="89">
        <v>0.03</v>
      </c>
      <c r="J302" s="89"/>
      <c r="K302" s="17"/>
      <c r="L302" s="88" t="s">
        <v>49</v>
      </c>
      <c r="M302" s="88"/>
      <c r="N302" s="89">
        <v>0.13</v>
      </c>
      <c r="O302" s="89"/>
    </row>
    <row r="303" spans="1:20" s="1" customFormat="1" ht="13.35" customHeight="1" x14ac:dyDescent="0.25">
      <c r="A303" s="87"/>
      <c r="B303" s="87"/>
      <c r="C303" s="87"/>
      <c r="D303" s="87"/>
      <c r="E303" s="87"/>
      <c r="F303" s="87"/>
      <c r="G303" s="17"/>
      <c r="H303" s="17"/>
      <c r="I303" s="87"/>
      <c r="J303" s="87"/>
      <c r="K303" s="17"/>
      <c r="L303" s="88" t="s">
        <v>50</v>
      </c>
      <c r="M303" s="88"/>
      <c r="N303" s="89">
        <v>0.04</v>
      </c>
      <c r="O303" s="89"/>
    </row>
    <row r="304" spans="1:20" s="1" customFormat="1" ht="13.35" customHeight="1" x14ac:dyDescent="0.25">
      <c r="A304" s="87"/>
      <c r="B304" s="87"/>
      <c r="C304" s="87"/>
      <c r="D304" s="87"/>
      <c r="E304" s="87"/>
      <c r="F304" s="87"/>
      <c r="G304" s="17"/>
      <c r="H304" s="17"/>
      <c r="I304" s="87"/>
      <c r="J304" s="87"/>
      <c r="K304" s="17"/>
      <c r="L304" s="88" t="s">
        <v>51</v>
      </c>
      <c r="M304" s="88"/>
      <c r="N304" s="89">
        <v>0.02</v>
      </c>
      <c r="O304" s="89"/>
    </row>
    <row r="305" spans="1:20" s="1" customFormat="1" ht="14.1" customHeight="1" x14ac:dyDescent="0.25">
      <c r="A305" s="86"/>
      <c r="B305" s="86"/>
      <c r="C305" s="86"/>
      <c r="D305" s="86"/>
      <c r="E305" s="86"/>
      <c r="F305" s="86"/>
      <c r="G305" s="86"/>
      <c r="H305" s="86"/>
      <c r="I305" s="86"/>
      <c r="J305" s="86"/>
      <c r="K305" s="86"/>
      <c r="L305" s="86"/>
      <c r="M305" s="86"/>
      <c r="N305" s="86"/>
      <c r="O305" s="86"/>
      <c r="P305" s="86"/>
      <c r="Q305" s="86"/>
      <c r="R305" s="86"/>
      <c r="S305" s="86"/>
    </row>
    <row r="306" spans="1:20" s="1" customFormat="1" ht="14.1" customHeight="1" x14ac:dyDescent="0.25">
      <c r="A306" s="84" t="s">
        <v>52</v>
      </c>
      <c r="B306" s="84"/>
      <c r="C306" s="84"/>
      <c r="D306" s="84"/>
      <c r="E306" s="84"/>
      <c r="F306" s="84"/>
      <c r="G306" s="84"/>
      <c r="H306" s="84"/>
      <c r="I306" s="84"/>
      <c r="J306" s="84"/>
      <c r="K306" s="84"/>
      <c r="L306" s="84"/>
      <c r="M306" s="84"/>
      <c r="N306" s="84"/>
      <c r="O306" s="84"/>
      <c r="P306" s="84"/>
      <c r="Q306" s="84"/>
      <c r="R306" s="84"/>
      <c r="S306" s="84"/>
    </row>
    <row r="307" spans="1:20" s="1" customFormat="1" ht="58.5" customHeight="1" x14ac:dyDescent="0.25">
      <c r="A307" s="85" t="s">
        <v>329</v>
      </c>
      <c r="B307" s="85"/>
      <c r="C307" s="85"/>
      <c r="D307" s="85"/>
      <c r="E307" s="85"/>
      <c r="F307" s="85"/>
      <c r="G307" s="85"/>
      <c r="H307" s="85"/>
      <c r="I307" s="85"/>
      <c r="J307" s="85"/>
      <c r="K307" s="85"/>
      <c r="L307" s="85"/>
      <c r="M307" s="85"/>
      <c r="N307" s="85"/>
      <c r="O307" s="85"/>
      <c r="P307" s="85"/>
      <c r="Q307" s="85"/>
      <c r="R307" s="85"/>
      <c r="S307" s="85"/>
    </row>
    <row r="308" spans="1:20" s="1" customFormat="1" ht="14.1" customHeight="1" x14ac:dyDescent="0.25">
      <c r="A308" s="86"/>
      <c r="B308" s="86"/>
      <c r="C308" s="86"/>
      <c r="D308" s="86"/>
      <c r="E308" s="86"/>
      <c r="F308" s="86"/>
      <c r="G308" s="86"/>
      <c r="H308" s="86"/>
      <c r="I308" s="86"/>
      <c r="J308" s="86"/>
      <c r="K308" s="86"/>
      <c r="L308" s="86"/>
      <c r="M308" s="86"/>
      <c r="N308" s="86"/>
      <c r="O308" s="86"/>
      <c r="P308" s="86"/>
      <c r="Q308" s="86"/>
      <c r="R308" s="86"/>
      <c r="S308" s="86"/>
    </row>
    <row r="309" spans="1:20" s="1" customFormat="1" ht="14.1" customHeight="1" x14ac:dyDescent="0.25">
      <c r="A309" s="84" t="s">
        <v>54</v>
      </c>
      <c r="B309" s="84"/>
      <c r="C309" s="84"/>
      <c r="D309" s="84"/>
      <c r="E309" s="84"/>
      <c r="F309" s="84"/>
      <c r="G309" s="84"/>
      <c r="H309" s="84"/>
      <c r="I309" s="84"/>
      <c r="J309" s="84"/>
      <c r="K309" s="84"/>
      <c r="L309" s="84"/>
      <c r="M309" s="84"/>
      <c r="N309" s="84"/>
      <c r="O309" s="84"/>
      <c r="P309" s="84"/>
      <c r="Q309" s="84"/>
      <c r="R309" s="84"/>
      <c r="S309" s="84"/>
    </row>
    <row r="310" spans="1:20" s="1" customFormat="1" ht="21.6" customHeight="1" x14ac:dyDescent="0.25">
      <c r="A310" s="85" t="s">
        <v>315</v>
      </c>
      <c r="B310" s="85"/>
      <c r="C310" s="85"/>
      <c r="D310" s="85"/>
      <c r="E310" s="85"/>
      <c r="F310" s="85"/>
      <c r="G310" s="85"/>
      <c r="H310" s="85"/>
      <c r="I310" s="85"/>
      <c r="J310" s="85"/>
      <c r="K310" s="85"/>
      <c r="L310" s="85"/>
      <c r="M310" s="85"/>
      <c r="N310" s="85"/>
      <c r="O310" s="85"/>
      <c r="P310" s="85"/>
      <c r="Q310" s="85"/>
      <c r="R310" s="85"/>
      <c r="S310" s="85"/>
    </row>
    <row r="311" spans="1:20" s="1" customFormat="1" ht="14.1" customHeight="1" x14ac:dyDescent="0.25">
      <c r="A311" s="86"/>
      <c r="B311" s="86"/>
      <c r="C311" s="86"/>
      <c r="D311" s="86"/>
      <c r="E311" s="86"/>
      <c r="F311" s="86"/>
      <c r="G311" s="86"/>
      <c r="H311" s="86"/>
      <c r="I311" s="86"/>
      <c r="J311" s="86"/>
      <c r="K311" s="86"/>
      <c r="L311" s="86"/>
      <c r="M311" s="86"/>
      <c r="N311" s="86"/>
      <c r="O311" s="86"/>
      <c r="P311" s="86"/>
      <c r="Q311" s="86"/>
      <c r="R311" s="86"/>
      <c r="S311" s="86"/>
    </row>
    <row r="312" spans="1:20" s="1" customFormat="1" ht="14.1" customHeight="1" x14ac:dyDescent="0.25">
      <c r="A312" s="84" t="s">
        <v>56</v>
      </c>
      <c r="B312" s="84"/>
      <c r="C312" s="84"/>
      <c r="D312" s="84"/>
      <c r="E312" s="84"/>
      <c r="F312" s="84"/>
      <c r="G312" s="84"/>
      <c r="H312" s="84"/>
      <c r="I312" s="84"/>
      <c r="J312" s="84"/>
      <c r="K312" s="84"/>
      <c r="L312" s="84"/>
      <c r="M312" s="84"/>
      <c r="N312" s="84"/>
      <c r="O312" s="84"/>
      <c r="P312" s="84"/>
      <c r="Q312" s="84"/>
      <c r="R312" s="84"/>
      <c r="S312" s="84"/>
    </row>
    <row r="313" spans="1:20" s="1" customFormat="1" ht="64.95" customHeight="1" x14ac:dyDescent="0.25">
      <c r="A313" s="85" t="s">
        <v>330</v>
      </c>
      <c r="B313" s="85"/>
      <c r="C313" s="85"/>
      <c r="D313" s="85"/>
      <c r="E313" s="85"/>
      <c r="F313" s="85"/>
      <c r="G313" s="85"/>
      <c r="H313" s="85"/>
      <c r="I313" s="85"/>
      <c r="J313" s="85"/>
      <c r="K313" s="85"/>
      <c r="L313" s="85"/>
      <c r="M313" s="85"/>
      <c r="N313" s="85"/>
      <c r="O313" s="85"/>
      <c r="P313" s="85"/>
      <c r="Q313" s="85"/>
      <c r="R313" s="85"/>
      <c r="S313" s="85"/>
    </row>
    <row r="315" spans="1:20" s="1" customFormat="1" ht="72.45" customHeight="1" x14ac:dyDescent="0.25">
      <c r="J315" s="100" t="s">
        <v>0</v>
      </c>
      <c r="K315" s="100"/>
      <c r="L315" s="100"/>
      <c r="M315" s="100"/>
      <c r="N315" s="100"/>
      <c r="O315" s="100"/>
      <c r="P315" s="100"/>
      <c r="Q315" s="100"/>
      <c r="R315" s="100"/>
      <c r="S315" s="100"/>
      <c r="T315" s="100"/>
    </row>
    <row r="316" spans="1:20" s="1" customFormat="1" ht="7.05" customHeight="1" x14ac:dyDescent="0.25"/>
    <row r="317" spans="1:20" s="1" customFormat="1" ht="14.1" customHeight="1" x14ac:dyDescent="0.25">
      <c r="B317" s="101" t="s">
        <v>734</v>
      </c>
      <c r="C317" s="101"/>
      <c r="D317" s="101"/>
      <c r="E317" s="101"/>
      <c r="F317" s="101"/>
      <c r="G317" s="101"/>
      <c r="H317" s="101"/>
      <c r="I317" s="101"/>
      <c r="J317" s="101"/>
      <c r="K317" s="101"/>
      <c r="L317" s="101"/>
      <c r="M317" s="101"/>
      <c r="N317" s="101"/>
      <c r="O317" s="101"/>
      <c r="P317" s="101"/>
      <c r="Q317" s="101"/>
      <c r="R317" s="101"/>
    </row>
    <row r="318" spans="1:20" s="1" customFormat="1" ht="14.1" customHeight="1" x14ac:dyDescent="0.25"/>
    <row r="319" spans="1:20" s="1" customFormat="1" ht="14.1" customHeight="1" x14ac:dyDescent="0.25">
      <c r="A319" s="102" t="s">
        <v>2</v>
      </c>
      <c r="B319" s="102"/>
      <c r="C319" s="102"/>
      <c r="D319" s="103" t="s">
        <v>428</v>
      </c>
      <c r="E319" s="103"/>
      <c r="F319" s="103"/>
      <c r="G319" s="103"/>
      <c r="H319" s="103"/>
      <c r="I319" s="103"/>
      <c r="J319" s="103"/>
      <c r="K319" s="103"/>
      <c r="L319" s="103"/>
      <c r="M319" s="103"/>
      <c r="N319" s="103"/>
      <c r="O319" s="103"/>
      <c r="P319" s="103"/>
      <c r="Q319" s="103"/>
      <c r="R319" s="103"/>
      <c r="S319" s="103"/>
      <c r="T319" s="103"/>
    </row>
    <row r="320" spans="1:20" s="1" customFormat="1" ht="14.1" customHeight="1" x14ac:dyDescent="0.25">
      <c r="A320" s="102" t="s">
        <v>4</v>
      </c>
      <c r="B320" s="102"/>
      <c r="C320" s="103">
        <v>21</v>
      </c>
      <c r="D320" s="103"/>
      <c r="E320" s="103"/>
      <c r="F320" s="103"/>
      <c r="G320" s="103"/>
      <c r="H320" s="103"/>
      <c r="I320" s="103"/>
      <c r="J320" s="103"/>
      <c r="K320" s="103"/>
      <c r="L320" s="103"/>
      <c r="M320" s="103"/>
      <c r="N320" s="103"/>
      <c r="O320" s="103"/>
      <c r="P320" s="103"/>
      <c r="Q320" s="103"/>
      <c r="R320" s="103"/>
      <c r="S320" s="103"/>
      <c r="T320" s="103"/>
    </row>
    <row r="321" spans="1:20" s="1" customFormat="1" ht="14.1" customHeight="1" x14ac:dyDescent="0.25">
      <c r="A321" s="102" t="s">
        <v>6</v>
      </c>
      <c r="B321" s="102"/>
      <c r="C321" s="102"/>
      <c r="D321" s="102"/>
      <c r="E321" s="102"/>
      <c r="F321" s="103" t="s">
        <v>75</v>
      </c>
      <c r="G321" s="103"/>
      <c r="H321" s="103"/>
      <c r="I321" s="103"/>
      <c r="J321" s="103"/>
      <c r="K321" s="103"/>
      <c r="L321" s="103"/>
      <c r="M321" s="103"/>
      <c r="N321" s="103"/>
      <c r="O321" s="103"/>
      <c r="P321" s="103"/>
      <c r="Q321" s="103"/>
      <c r="R321" s="103"/>
      <c r="S321" s="103"/>
      <c r="T321" s="103"/>
    </row>
    <row r="322" spans="1:20" s="1" customFormat="1" ht="22.35" customHeight="1" x14ac:dyDescent="0.25">
      <c r="F322" s="103"/>
      <c r="G322" s="103"/>
      <c r="H322" s="103"/>
      <c r="I322" s="103"/>
      <c r="J322" s="103"/>
      <c r="K322" s="103"/>
      <c r="L322" s="103"/>
      <c r="M322" s="103"/>
      <c r="N322" s="103"/>
      <c r="O322" s="103"/>
      <c r="P322" s="103"/>
      <c r="Q322" s="103"/>
      <c r="R322" s="103"/>
      <c r="S322" s="103"/>
      <c r="T322" s="103"/>
    </row>
    <row r="323" spans="1:20" s="1" customFormat="1" ht="13.2" x14ac:dyDescent="0.25">
      <c r="A323" s="146" t="s">
        <v>754</v>
      </c>
      <c r="B323" s="119"/>
      <c r="C323" s="119"/>
      <c r="D323" s="119"/>
      <c r="E323" s="119"/>
      <c r="F323" s="119"/>
      <c r="G323" s="119"/>
      <c r="H323" s="119"/>
      <c r="I323" s="119"/>
      <c r="J323" s="119"/>
      <c r="K323" s="119"/>
      <c r="L323" s="119"/>
      <c r="M323" s="119"/>
      <c r="N323" s="119"/>
      <c r="O323" s="119"/>
      <c r="P323" s="119"/>
      <c r="Q323" s="119"/>
      <c r="R323" s="119"/>
      <c r="S323" s="119"/>
    </row>
    <row r="324" spans="1:20" s="1" customFormat="1" ht="49.95" customHeight="1" x14ac:dyDescent="0.25">
      <c r="A324" s="92" t="s">
        <v>738</v>
      </c>
      <c r="B324" s="93"/>
      <c r="C324" s="93"/>
      <c r="D324" s="93"/>
      <c r="E324" s="93"/>
      <c r="F324" s="93"/>
      <c r="G324" s="93"/>
      <c r="H324" s="93"/>
      <c r="I324" s="93"/>
      <c r="J324" s="93"/>
      <c r="K324" s="93"/>
      <c r="L324" s="93"/>
      <c r="M324" s="93"/>
      <c r="N324" s="93"/>
      <c r="O324" s="93"/>
      <c r="P324" s="93"/>
      <c r="Q324" s="93"/>
      <c r="R324" s="93"/>
      <c r="S324" s="93"/>
    </row>
    <row r="325" spans="1:20" s="1" customFormat="1" ht="7.05" customHeight="1" x14ac:dyDescent="0.25">
      <c r="A325" s="86"/>
      <c r="B325" s="86"/>
      <c r="C325" s="86"/>
      <c r="D325" s="86"/>
      <c r="E325" s="86"/>
      <c r="F325" s="86"/>
      <c r="G325" s="86"/>
      <c r="H325" s="86"/>
      <c r="I325" s="86"/>
      <c r="J325" s="86"/>
      <c r="K325" s="86"/>
      <c r="L325" s="86"/>
      <c r="M325" s="86"/>
      <c r="N325" s="86"/>
      <c r="O325" s="86"/>
      <c r="P325" s="86"/>
      <c r="Q325" s="16"/>
      <c r="R325" s="86"/>
      <c r="S325" s="86"/>
      <c r="T325" s="86"/>
    </row>
    <row r="326" spans="1:20" s="1" customFormat="1" ht="16.95" customHeight="1" x14ac:dyDescent="0.25">
      <c r="A326" s="94" t="s">
        <v>8</v>
      </c>
      <c r="B326" s="94"/>
      <c r="C326" s="94"/>
      <c r="D326" s="94"/>
      <c r="E326" s="94"/>
      <c r="F326" s="94"/>
      <c r="G326" s="94"/>
      <c r="H326" s="94"/>
      <c r="I326" s="94"/>
      <c r="J326" s="94"/>
      <c r="K326" s="94"/>
      <c r="L326" s="94"/>
      <c r="M326" s="95" t="s">
        <v>9</v>
      </c>
      <c r="N326" s="95"/>
      <c r="O326" s="95"/>
      <c r="P326" s="95"/>
      <c r="Q326" s="95"/>
      <c r="R326" s="95"/>
      <c r="S326" s="95"/>
      <c r="T326" s="95"/>
    </row>
    <row r="327" spans="1:20" s="1" customFormat="1" ht="16.95" customHeight="1" x14ac:dyDescent="0.25">
      <c r="A327" s="94"/>
      <c r="B327" s="94"/>
      <c r="C327" s="94"/>
      <c r="D327" s="94"/>
      <c r="E327" s="94"/>
      <c r="F327" s="94"/>
      <c r="G327" s="94"/>
      <c r="H327" s="94"/>
      <c r="I327" s="94"/>
      <c r="J327" s="94"/>
      <c r="K327" s="94"/>
      <c r="L327" s="94"/>
      <c r="M327" s="96" t="s">
        <v>10</v>
      </c>
      <c r="N327" s="96"/>
      <c r="O327" s="96"/>
      <c r="P327" s="96"/>
      <c r="Q327" s="97" t="s">
        <v>11</v>
      </c>
      <c r="R327" s="97"/>
      <c r="S327" s="97"/>
      <c r="T327" s="97"/>
    </row>
    <row r="328" spans="1:20" s="1" customFormat="1" ht="16.95" customHeight="1" x14ac:dyDescent="0.25">
      <c r="A328" s="94"/>
      <c r="B328" s="94"/>
      <c r="C328" s="94"/>
      <c r="D328" s="94"/>
      <c r="E328" s="94"/>
      <c r="F328" s="94"/>
      <c r="G328" s="94"/>
      <c r="H328" s="94"/>
      <c r="I328" s="94"/>
      <c r="J328" s="94"/>
      <c r="K328" s="94"/>
      <c r="L328" s="94"/>
      <c r="M328" s="98" t="s">
        <v>12</v>
      </c>
      <c r="N328" s="98"/>
      <c r="O328" s="98" t="s">
        <v>13</v>
      </c>
      <c r="P328" s="98"/>
      <c r="Q328" s="13" t="s">
        <v>14</v>
      </c>
      <c r="R328" s="99" t="s">
        <v>15</v>
      </c>
      <c r="S328" s="99"/>
      <c r="T328" s="99"/>
    </row>
    <row r="329" spans="1:20" s="1" customFormat="1" ht="13.35" customHeight="1" x14ac:dyDescent="0.25">
      <c r="A329" s="88" t="s">
        <v>140</v>
      </c>
      <c r="B329" s="88"/>
      <c r="C329" s="88"/>
      <c r="D329" s="88"/>
      <c r="E329" s="88"/>
      <c r="F329" s="88"/>
      <c r="G329" s="88"/>
      <c r="H329" s="88"/>
      <c r="I329" s="88"/>
      <c r="J329" s="88"/>
      <c r="K329" s="88"/>
      <c r="L329" s="88"/>
      <c r="M329" s="88">
        <v>16.8</v>
      </c>
      <c r="N329" s="88"/>
      <c r="O329" s="88">
        <v>15.5</v>
      </c>
      <c r="P329" s="88"/>
      <c r="Q329" s="6">
        <v>1.68</v>
      </c>
      <c r="R329" s="88">
        <v>1.55</v>
      </c>
      <c r="S329" s="88"/>
      <c r="T329" s="88"/>
    </row>
    <row r="330" spans="1:20" s="1" customFormat="1" ht="13.35" customHeight="1" x14ac:dyDescent="0.25">
      <c r="A330" s="131" t="s">
        <v>430</v>
      </c>
      <c r="B330" s="131"/>
      <c r="C330" s="131"/>
      <c r="D330" s="131"/>
      <c r="E330" s="131"/>
      <c r="F330" s="131"/>
      <c r="G330" s="131"/>
      <c r="H330" s="131"/>
      <c r="I330" s="131"/>
      <c r="J330" s="131"/>
      <c r="K330" s="131"/>
      <c r="L330" s="131"/>
      <c r="M330" s="131"/>
      <c r="N330" s="131"/>
      <c r="O330" s="131">
        <f>90*200/150</f>
        <v>120</v>
      </c>
      <c r="P330" s="131"/>
      <c r="Q330" s="15"/>
      <c r="R330" s="131">
        <v>12</v>
      </c>
      <c r="S330" s="131"/>
      <c r="T330" s="131"/>
    </row>
    <row r="331" spans="1:20" s="1" customFormat="1" ht="13.35" customHeight="1" x14ac:dyDescent="0.25">
      <c r="A331" s="88" t="s">
        <v>431</v>
      </c>
      <c r="B331" s="88"/>
      <c r="C331" s="88"/>
      <c r="D331" s="88"/>
      <c r="E331" s="88"/>
      <c r="F331" s="88"/>
      <c r="G331" s="88"/>
      <c r="H331" s="88"/>
      <c r="I331" s="88"/>
      <c r="J331" s="88"/>
      <c r="K331" s="88"/>
      <c r="L331" s="88"/>
      <c r="M331" s="88">
        <f>31.5*120/90</f>
        <v>42</v>
      </c>
      <c r="N331" s="88"/>
      <c r="O331" s="88">
        <v>42</v>
      </c>
      <c r="P331" s="88"/>
      <c r="Q331" s="6">
        <v>4.2</v>
      </c>
      <c r="R331" s="88">
        <v>4.2</v>
      </c>
      <c r="S331" s="88"/>
      <c r="T331" s="88"/>
    </row>
    <row r="332" spans="1:20" s="1" customFormat="1" ht="13.35" customHeight="1" x14ac:dyDescent="0.25">
      <c r="A332" s="88" t="s">
        <v>70</v>
      </c>
      <c r="B332" s="88"/>
      <c r="C332" s="88"/>
      <c r="D332" s="88"/>
      <c r="E332" s="88"/>
      <c r="F332" s="88"/>
      <c r="G332" s="88"/>
      <c r="H332" s="88"/>
      <c r="I332" s="88"/>
      <c r="J332" s="88"/>
      <c r="K332" s="88"/>
      <c r="L332" s="88"/>
      <c r="M332" s="88">
        <v>0.8</v>
      </c>
      <c r="N332" s="88"/>
      <c r="O332" s="88">
        <v>0.8</v>
      </c>
      <c r="P332" s="88"/>
      <c r="Q332" s="6">
        <v>0.08</v>
      </c>
      <c r="R332" s="88">
        <v>0.08</v>
      </c>
      <c r="S332" s="88"/>
      <c r="T332" s="88"/>
    </row>
    <row r="333" spans="1:20" s="1" customFormat="1" ht="13.35" customHeight="1" x14ac:dyDescent="0.25">
      <c r="A333" s="88" t="s">
        <v>114</v>
      </c>
      <c r="B333" s="88"/>
      <c r="C333" s="88"/>
      <c r="D333" s="88"/>
      <c r="E333" s="88"/>
      <c r="F333" s="88"/>
      <c r="G333" s="88"/>
      <c r="H333" s="88"/>
      <c r="I333" s="88"/>
      <c r="J333" s="88"/>
      <c r="K333" s="88"/>
      <c r="L333" s="88"/>
      <c r="M333" s="88">
        <v>110</v>
      </c>
      <c r="N333" s="88"/>
      <c r="O333" s="88">
        <v>110</v>
      </c>
      <c r="P333" s="88"/>
      <c r="Q333" s="6">
        <v>11</v>
      </c>
      <c r="R333" s="88">
        <v>11</v>
      </c>
      <c r="S333" s="88"/>
      <c r="T333" s="88"/>
    </row>
    <row r="334" spans="1:20" s="1" customFormat="1" ht="13.35" customHeight="1" x14ac:dyDescent="0.25">
      <c r="A334" s="88" t="s">
        <v>61</v>
      </c>
      <c r="B334" s="88"/>
      <c r="C334" s="88"/>
      <c r="D334" s="88"/>
      <c r="E334" s="88"/>
      <c r="F334" s="88"/>
      <c r="G334" s="88"/>
      <c r="H334" s="88"/>
      <c r="I334" s="88"/>
      <c r="J334" s="88"/>
      <c r="K334" s="88"/>
      <c r="L334" s="88"/>
      <c r="M334" s="88">
        <v>2.7</v>
      </c>
      <c r="N334" s="88"/>
      <c r="O334" s="88">
        <v>2.7</v>
      </c>
      <c r="P334" s="88"/>
      <c r="Q334" s="6">
        <v>0.27</v>
      </c>
      <c r="R334" s="88">
        <v>0.27</v>
      </c>
      <c r="S334" s="88"/>
      <c r="T334" s="88"/>
    </row>
    <row r="335" spans="1:20" s="1" customFormat="1" ht="13.35" customHeight="1" x14ac:dyDescent="0.25">
      <c r="A335" s="88" t="s">
        <v>183</v>
      </c>
      <c r="B335" s="88"/>
      <c r="C335" s="88"/>
      <c r="D335" s="88"/>
      <c r="E335" s="88"/>
      <c r="F335" s="88"/>
      <c r="G335" s="88"/>
      <c r="H335" s="88"/>
      <c r="I335" s="88"/>
      <c r="J335" s="88"/>
      <c r="K335" s="88"/>
      <c r="L335" s="88"/>
      <c r="M335" s="88" t="s">
        <v>809</v>
      </c>
      <c r="N335" s="88"/>
      <c r="O335" s="88">
        <f>1.55*40</f>
        <v>62</v>
      </c>
      <c r="P335" s="88"/>
      <c r="Q335" s="6" t="s">
        <v>810</v>
      </c>
      <c r="R335" s="88">
        <v>6.97</v>
      </c>
      <c r="S335" s="88"/>
      <c r="T335" s="88"/>
    </row>
    <row r="336" spans="1:20" s="1" customFormat="1" ht="13.35" customHeight="1" x14ac:dyDescent="0.25">
      <c r="A336" s="88" t="s">
        <v>66</v>
      </c>
      <c r="B336" s="88"/>
      <c r="C336" s="88"/>
      <c r="D336" s="88"/>
      <c r="E336" s="88"/>
      <c r="F336" s="88"/>
      <c r="G336" s="88"/>
      <c r="H336" s="88"/>
      <c r="I336" s="88"/>
      <c r="J336" s="88"/>
      <c r="K336" s="88"/>
      <c r="L336" s="88"/>
      <c r="M336" s="88">
        <v>43.5</v>
      </c>
      <c r="N336" s="88"/>
      <c r="O336" s="88">
        <v>43.5</v>
      </c>
      <c r="P336" s="88"/>
      <c r="Q336" s="6">
        <v>4.3499999999999996</v>
      </c>
      <c r="R336" s="88">
        <v>4.3499999999999996</v>
      </c>
      <c r="S336" s="88"/>
      <c r="T336" s="88"/>
    </row>
    <row r="337" spans="1:20" s="1" customFormat="1" ht="13.35" customHeight="1" x14ac:dyDescent="0.25">
      <c r="A337" s="88" t="s">
        <v>18</v>
      </c>
      <c r="B337" s="88"/>
      <c r="C337" s="88"/>
      <c r="D337" s="88"/>
      <c r="E337" s="88"/>
      <c r="F337" s="88"/>
      <c r="G337" s="88"/>
      <c r="H337" s="88"/>
      <c r="I337" s="88"/>
      <c r="J337" s="88"/>
      <c r="K337" s="88"/>
      <c r="L337" s="88"/>
      <c r="M337" s="88">
        <f>3*200/150</f>
        <v>4</v>
      </c>
      <c r="N337" s="88"/>
      <c r="O337" s="88">
        <v>4</v>
      </c>
      <c r="P337" s="88"/>
      <c r="Q337" s="6">
        <v>0.4</v>
      </c>
      <c r="R337" s="88">
        <v>0.4</v>
      </c>
      <c r="S337" s="88"/>
      <c r="T337" s="88"/>
    </row>
    <row r="338" spans="1:20" s="1" customFormat="1" ht="13.35" customHeight="1" x14ac:dyDescent="0.25">
      <c r="A338" s="88" t="s">
        <v>61</v>
      </c>
      <c r="B338" s="88"/>
      <c r="C338" s="88"/>
      <c r="D338" s="88"/>
      <c r="E338" s="88"/>
      <c r="F338" s="88"/>
      <c r="G338" s="88"/>
      <c r="H338" s="88"/>
      <c r="I338" s="88"/>
      <c r="J338" s="88"/>
      <c r="K338" s="88"/>
      <c r="L338" s="88"/>
      <c r="M338" s="88">
        <v>6.65</v>
      </c>
      <c r="N338" s="88"/>
      <c r="O338" s="88">
        <v>6.65</v>
      </c>
      <c r="P338" s="88"/>
      <c r="Q338" s="6">
        <v>0.66</v>
      </c>
      <c r="R338" s="88">
        <v>0.66</v>
      </c>
      <c r="S338" s="88"/>
      <c r="T338" s="88"/>
    </row>
    <row r="339" spans="1:20" s="1" customFormat="1" ht="14.1" customHeight="1" x14ac:dyDescent="0.25">
      <c r="A339" s="90">
        <v>4</v>
      </c>
      <c r="B339" s="90"/>
      <c r="C339" s="90"/>
      <c r="D339" s="90"/>
      <c r="E339" s="90"/>
      <c r="F339" s="90"/>
      <c r="G339" s="90"/>
      <c r="H339" s="90"/>
      <c r="I339" s="90"/>
      <c r="J339" s="90"/>
      <c r="K339" s="90"/>
      <c r="L339" s="90"/>
      <c r="M339" s="90"/>
      <c r="N339" s="90"/>
      <c r="O339" s="90"/>
      <c r="P339" s="90"/>
      <c r="Q339" s="90"/>
      <c r="R339" s="90"/>
      <c r="S339" s="90"/>
      <c r="T339" s="90"/>
    </row>
    <row r="340" spans="1:20" s="1" customFormat="1" ht="21.3" customHeight="1" x14ac:dyDescent="0.25"/>
    <row r="341" spans="1:20" s="1" customFormat="1" ht="14.1" customHeight="1" x14ac:dyDescent="0.25">
      <c r="A341" s="91" t="s">
        <v>33</v>
      </c>
      <c r="B341" s="91"/>
      <c r="C341" s="91"/>
      <c r="D341" s="91"/>
      <c r="E341" s="91"/>
      <c r="F341" s="91"/>
      <c r="G341" s="91"/>
      <c r="H341" s="91"/>
      <c r="I341" s="91"/>
      <c r="J341" s="91"/>
      <c r="K341" s="91"/>
      <c r="L341" s="91"/>
      <c r="M341" s="91"/>
      <c r="N341" s="91"/>
    </row>
    <row r="342" spans="1:20" s="1" customFormat="1" ht="13.35" customHeight="1" x14ac:dyDescent="0.25">
      <c r="A342" s="88" t="s">
        <v>34</v>
      </c>
      <c r="B342" s="88"/>
      <c r="C342" s="88"/>
      <c r="D342" s="88"/>
      <c r="E342" s="89">
        <f>6.8*200/150</f>
        <v>9.0666666666666664</v>
      </c>
      <c r="F342" s="89"/>
      <c r="G342" s="17"/>
      <c r="H342" s="6" t="s">
        <v>35</v>
      </c>
      <c r="I342" s="89">
        <v>7.0000000000000007E-2</v>
      </c>
      <c r="J342" s="89"/>
      <c r="K342" s="17"/>
      <c r="L342" s="88" t="s">
        <v>36</v>
      </c>
      <c r="M342" s="88"/>
      <c r="N342" s="89">
        <v>134.28</v>
      </c>
      <c r="O342" s="89"/>
    </row>
    <row r="343" spans="1:20" s="1" customFormat="1" ht="13.35" customHeight="1" x14ac:dyDescent="0.25">
      <c r="A343" s="88" t="s">
        <v>37</v>
      </c>
      <c r="B343" s="88"/>
      <c r="C343" s="88"/>
      <c r="D343" s="88"/>
      <c r="E343" s="89">
        <f>6.8*200/150</f>
        <v>9.0666666666666664</v>
      </c>
      <c r="F343" s="89"/>
      <c r="G343" s="17"/>
      <c r="H343" s="6" t="s">
        <v>38</v>
      </c>
      <c r="I343" s="89">
        <v>0.16</v>
      </c>
      <c r="J343" s="89"/>
      <c r="K343" s="17"/>
      <c r="L343" s="88" t="s">
        <v>39</v>
      </c>
      <c r="M343" s="88"/>
      <c r="N343" s="89">
        <v>15.98</v>
      </c>
      <c r="O343" s="89"/>
    </row>
    <row r="344" spans="1:20" s="1" customFormat="1" ht="13.35" customHeight="1" x14ac:dyDescent="0.25">
      <c r="A344" s="88" t="s">
        <v>40</v>
      </c>
      <c r="B344" s="88"/>
      <c r="C344" s="88"/>
      <c r="D344" s="88"/>
      <c r="E344" s="89">
        <f>33.2*200/150</f>
        <v>44.266666666666673</v>
      </c>
      <c r="F344" s="89"/>
      <c r="G344" s="17"/>
      <c r="H344" s="6" t="s">
        <v>41</v>
      </c>
      <c r="I344" s="89">
        <v>0.18</v>
      </c>
      <c r="J344" s="89"/>
      <c r="K344" s="17"/>
      <c r="L344" s="88" t="s">
        <v>42</v>
      </c>
      <c r="M344" s="88"/>
      <c r="N344" s="89">
        <v>164.11</v>
      </c>
      <c r="O344" s="89"/>
    </row>
    <row r="345" spans="1:20" s="1" customFormat="1" ht="13.35" customHeight="1" x14ac:dyDescent="0.25">
      <c r="A345" s="88" t="s">
        <v>43</v>
      </c>
      <c r="B345" s="88"/>
      <c r="C345" s="88"/>
      <c r="D345" s="88"/>
      <c r="E345" s="89">
        <f>216.9*200/150</f>
        <v>289.2</v>
      </c>
      <c r="F345" s="89"/>
      <c r="G345" s="17"/>
      <c r="H345" s="6" t="s">
        <v>44</v>
      </c>
      <c r="I345" s="89">
        <v>3.03</v>
      </c>
      <c r="J345" s="89"/>
      <c r="K345" s="17"/>
      <c r="L345" s="88" t="s">
        <v>45</v>
      </c>
      <c r="M345" s="88"/>
      <c r="N345" s="89">
        <v>1.73</v>
      </c>
      <c r="O345" s="89"/>
    </row>
    <row r="346" spans="1:20" s="1" customFormat="1" ht="13.35" customHeight="1" x14ac:dyDescent="0.25">
      <c r="A346" s="87"/>
      <c r="B346" s="87"/>
      <c r="C346" s="87"/>
      <c r="D346" s="87"/>
      <c r="E346" s="87"/>
      <c r="F346" s="87"/>
      <c r="G346" s="17"/>
      <c r="H346" s="6" t="s">
        <v>46</v>
      </c>
      <c r="I346" s="89">
        <v>1.1299999999999999</v>
      </c>
      <c r="J346" s="89"/>
      <c r="K346" s="17"/>
      <c r="L346" s="88" t="s">
        <v>47</v>
      </c>
      <c r="M346" s="88"/>
      <c r="N346" s="89">
        <v>150.21</v>
      </c>
      <c r="O346" s="89"/>
    </row>
    <row r="347" spans="1:20" s="1" customFormat="1" ht="13.35" customHeight="1" x14ac:dyDescent="0.25">
      <c r="A347" s="87"/>
      <c r="B347" s="87"/>
      <c r="C347" s="87"/>
      <c r="D347" s="87"/>
      <c r="E347" s="87"/>
      <c r="F347" s="87"/>
      <c r="G347" s="17"/>
      <c r="H347" s="6" t="s">
        <v>48</v>
      </c>
      <c r="I347" s="89">
        <v>0.24</v>
      </c>
      <c r="J347" s="89"/>
      <c r="K347" s="17"/>
      <c r="L347" s="88" t="s">
        <v>49</v>
      </c>
      <c r="M347" s="88"/>
      <c r="N347" s="89">
        <v>11.98</v>
      </c>
      <c r="O347" s="89"/>
    </row>
    <row r="348" spans="1:20" s="1" customFormat="1" ht="13.35" customHeight="1" x14ac:dyDescent="0.25">
      <c r="A348" s="87"/>
      <c r="B348" s="87"/>
      <c r="C348" s="87"/>
      <c r="D348" s="87"/>
      <c r="E348" s="87"/>
      <c r="F348" s="87"/>
      <c r="G348" s="17"/>
      <c r="H348" s="17"/>
      <c r="I348" s="87"/>
      <c r="J348" s="87"/>
      <c r="K348" s="17"/>
      <c r="L348" s="88" t="s">
        <v>50</v>
      </c>
      <c r="M348" s="88"/>
      <c r="N348" s="89">
        <v>0.04</v>
      </c>
      <c r="O348" s="89"/>
    </row>
    <row r="349" spans="1:20" s="1" customFormat="1" ht="13.35" customHeight="1" x14ac:dyDescent="0.25">
      <c r="A349" s="87"/>
      <c r="B349" s="87"/>
      <c r="C349" s="87"/>
      <c r="D349" s="87"/>
      <c r="E349" s="87"/>
      <c r="F349" s="87"/>
      <c r="G349" s="17"/>
      <c r="H349" s="17"/>
      <c r="I349" s="87"/>
      <c r="J349" s="87"/>
      <c r="K349" s="17"/>
      <c r="L349" s="88" t="s">
        <v>51</v>
      </c>
      <c r="M349" s="88"/>
      <c r="N349" s="89">
        <v>0.02</v>
      </c>
      <c r="O349" s="89"/>
    </row>
    <row r="350" spans="1:20" s="1" customFormat="1" ht="14.1" customHeight="1" x14ac:dyDescent="0.25">
      <c r="A350" s="86"/>
      <c r="B350" s="86"/>
      <c r="C350" s="86"/>
      <c r="D350" s="86"/>
      <c r="E350" s="86"/>
      <c r="F350" s="86"/>
      <c r="G350" s="86"/>
      <c r="H350" s="86"/>
      <c r="I350" s="86"/>
      <c r="J350" s="86"/>
      <c r="K350" s="86"/>
      <c r="L350" s="86"/>
      <c r="M350" s="86"/>
      <c r="N350" s="86"/>
      <c r="O350" s="86"/>
      <c r="P350" s="86"/>
      <c r="Q350" s="86"/>
      <c r="R350" s="86"/>
      <c r="S350" s="86"/>
    </row>
    <row r="351" spans="1:20" s="1" customFormat="1" ht="14.1" customHeight="1" x14ac:dyDescent="0.25">
      <c r="A351" s="84" t="s">
        <v>52</v>
      </c>
      <c r="B351" s="84"/>
      <c r="C351" s="84"/>
      <c r="D351" s="84"/>
      <c r="E351" s="84"/>
      <c r="F351" s="84"/>
      <c r="G351" s="84"/>
      <c r="H351" s="84"/>
      <c r="I351" s="84"/>
      <c r="J351" s="84"/>
      <c r="K351" s="84"/>
      <c r="L351" s="84"/>
      <c r="M351" s="84"/>
      <c r="N351" s="84"/>
      <c r="O351" s="84"/>
      <c r="P351" s="84"/>
      <c r="Q351" s="84"/>
      <c r="R351" s="84"/>
      <c r="S351" s="84"/>
    </row>
    <row r="352" spans="1:20" s="1" customFormat="1" ht="76.8" customHeight="1" x14ac:dyDescent="0.25">
      <c r="A352" s="85" t="s">
        <v>432</v>
      </c>
      <c r="B352" s="85"/>
      <c r="C352" s="85"/>
      <c r="D352" s="85"/>
      <c r="E352" s="85"/>
      <c r="F352" s="85"/>
      <c r="G352" s="85"/>
      <c r="H352" s="85"/>
      <c r="I352" s="85"/>
      <c r="J352" s="85"/>
      <c r="K352" s="85"/>
      <c r="L352" s="85"/>
      <c r="M352" s="85"/>
      <c r="N352" s="85"/>
      <c r="O352" s="85"/>
      <c r="P352" s="85"/>
      <c r="Q352" s="85"/>
      <c r="R352" s="85"/>
      <c r="S352" s="85"/>
    </row>
    <row r="353" spans="1:20" s="1" customFormat="1" ht="14.1" customHeight="1" x14ac:dyDescent="0.25">
      <c r="A353" s="84" t="s">
        <v>54</v>
      </c>
      <c r="B353" s="84"/>
      <c r="C353" s="84"/>
      <c r="D353" s="84"/>
      <c r="E353" s="84"/>
      <c r="F353" s="84"/>
      <c r="G353" s="84"/>
      <c r="H353" s="84"/>
      <c r="I353" s="84"/>
      <c r="J353" s="84"/>
      <c r="K353" s="84"/>
      <c r="L353" s="84"/>
      <c r="M353" s="84"/>
      <c r="N353" s="84"/>
      <c r="O353" s="84"/>
      <c r="P353" s="84"/>
      <c r="Q353" s="84"/>
      <c r="R353" s="84"/>
      <c r="S353" s="84"/>
    </row>
    <row r="354" spans="1:20" s="1" customFormat="1" ht="12.45" customHeight="1" x14ac:dyDescent="0.25">
      <c r="A354" s="85" t="s">
        <v>224</v>
      </c>
      <c r="B354" s="85"/>
      <c r="C354" s="85"/>
      <c r="D354" s="85"/>
      <c r="E354" s="85"/>
      <c r="F354" s="85"/>
      <c r="G354" s="85"/>
      <c r="H354" s="85"/>
      <c r="I354" s="85"/>
      <c r="J354" s="85"/>
      <c r="K354" s="85"/>
      <c r="L354" s="85"/>
      <c r="M354" s="85"/>
      <c r="N354" s="85"/>
      <c r="O354" s="85"/>
      <c r="P354" s="85"/>
      <c r="Q354" s="85"/>
      <c r="R354" s="85"/>
      <c r="S354" s="85"/>
    </row>
    <row r="355" spans="1:20" s="1" customFormat="1" ht="14.1" customHeight="1" x14ac:dyDescent="0.25">
      <c r="A355" s="86"/>
      <c r="B355" s="86"/>
      <c r="C355" s="86"/>
      <c r="D355" s="86"/>
      <c r="E355" s="86"/>
      <c r="F355" s="86"/>
      <c r="G355" s="86"/>
      <c r="H355" s="86"/>
      <c r="I355" s="86"/>
      <c r="J355" s="86"/>
      <c r="K355" s="86"/>
      <c r="L355" s="86"/>
      <c r="M355" s="86"/>
      <c r="N355" s="86"/>
      <c r="O355" s="86"/>
      <c r="P355" s="86"/>
      <c r="Q355" s="86"/>
      <c r="R355" s="86"/>
      <c r="S355" s="86"/>
    </row>
    <row r="356" spans="1:20" s="1" customFormat="1" ht="14.1" customHeight="1" x14ac:dyDescent="0.25">
      <c r="A356" s="84" t="s">
        <v>56</v>
      </c>
      <c r="B356" s="84"/>
      <c r="C356" s="84"/>
      <c r="D356" s="84"/>
      <c r="E356" s="84"/>
      <c r="F356" s="84"/>
      <c r="G356" s="84"/>
      <c r="H356" s="84"/>
      <c r="I356" s="84"/>
      <c r="J356" s="84"/>
      <c r="K356" s="84"/>
      <c r="L356" s="84"/>
      <c r="M356" s="84"/>
      <c r="N356" s="84"/>
      <c r="O356" s="84"/>
      <c r="P356" s="84"/>
      <c r="Q356" s="84"/>
      <c r="R356" s="84"/>
      <c r="S356" s="84"/>
    </row>
    <row r="357" spans="1:20" s="1" customFormat="1" ht="49.2" customHeight="1" x14ac:dyDescent="0.25">
      <c r="A357" s="85" t="s">
        <v>433</v>
      </c>
      <c r="B357" s="85"/>
      <c r="C357" s="85"/>
      <c r="D357" s="85"/>
      <c r="E357" s="85"/>
      <c r="F357" s="85"/>
      <c r="G357" s="85"/>
      <c r="H357" s="85"/>
      <c r="I357" s="85"/>
      <c r="J357" s="85"/>
      <c r="K357" s="85"/>
      <c r="L357" s="85"/>
      <c r="M357" s="85"/>
      <c r="N357" s="85"/>
      <c r="O357" s="85"/>
      <c r="P357" s="85"/>
      <c r="Q357" s="85"/>
      <c r="R357" s="85"/>
      <c r="S357" s="85"/>
    </row>
    <row r="358" spans="1:20" s="1" customFormat="1" ht="72.45" customHeight="1" x14ac:dyDescent="0.25">
      <c r="J358" s="100" t="s">
        <v>0</v>
      </c>
      <c r="K358" s="100"/>
      <c r="L358" s="100"/>
      <c r="M358" s="100"/>
      <c r="N358" s="100"/>
      <c r="O358" s="100"/>
      <c r="P358" s="100"/>
      <c r="Q358" s="100"/>
      <c r="R358" s="100"/>
      <c r="S358" s="100"/>
      <c r="T358" s="100"/>
    </row>
    <row r="359" spans="1:20" s="1" customFormat="1" ht="7.05" customHeight="1" x14ac:dyDescent="0.25"/>
    <row r="360" spans="1:20" s="1" customFormat="1" ht="14.1" customHeight="1" x14ac:dyDescent="0.25">
      <c r="B360" s="101" t="s">
        <v>427</v>
      </c>
      <c r="C360" s="101"/>
      <c r="D360" s="101"/>
      <c r="E360" s="101"/>
      <c r="F360" s="101"/>
      <c r="G360" s="101"/>
      <c r="H360" s="101"/>
      <c r="I360" s="101"/>
      <c r="J360" s="101"/>
      <c r="K360" s="101"/>
      <c r="L360" s="101"/>
      <c r="M360" s="101"/>
      <c r="N360" s="101"/>
      <c r="O360" s="101"/>
      <c r="P360" s="101"/>
      <c r="Q360" s="101"/>
      <c r="R360" s="101"/>
    </row>
    <row r="361" spans="1:20" s="1" customFormat="1" ht="14.1" customHeight="1" x14ac:dyDescent="0.25"/>
    <row r="362" spans="1:20" s="1" customFormat="1" ht="14.1" customHeight="1" x14ac:dyDescent="0.25">
      <c r="A362" s="102" t="s">
        <v>2</v>
      </c>
      <c r="B362" s="102"/>
      <c r="C362" s="102"/>
      <c r="D362" s="103" t="s">
        <v>434</v>
      </c>
      <c r="E362" s="103"/>
      <c r="F362" s="103"/>
      <c r="G362" s="103"/>
      <c r="H362" s="103"/>
      <c r="I362" s="103"/>
      <c r="J362" s="103"/>
      <c r="K362" s="103"/>
      <c r="L362" s="103"/>
      <c r="M362" s="103"/>
      <c r="N362" s="103"/>
      <c r="O362" s="103"/>
      <c r="P362" s="103"/>
      <c r="Q362" s="103"/>
      <c r="R362" s="103"/>
      <c r="S362" s="103"/>
      <c r="T362" s="103"/>
    </row>
    <row r="363" spans="1:20" s="1" customFormat="1" ht="14.1" customHeight="1" x14ac:dyDescent="0.25">
      <c r="A363" s="102" t="s">
        <v>4</v>
      </c>
      <c r="B363" s="102"/>
      <c r="C363" s="103" t="s">
        <v>429</v>
      </c>
      <c r="D363" s="103"/>
      <c r="E363" s="103"/>
      <c r="F363" s="103"/>
      <c r="G363" s="103"/>
      <c r="H363" s="103"/>
      <c r="I363" s="103"/>
      <c r="J363" s="103"/>
      <c r="K363" s="103"/>
      <c r="L363" s="103"/>
      <c r="M363" s="103"/>
      <c r="N363" s="103"/>
      <c r="O363" s="103"/>
      <c r="P363" s="103"/>
      <c r="Q363" s="103"/>
      <c r="R363" s="103"/>
      <c r="S363" s="103"/>
      <c r="T363" s="103"/>
    </row>
    <row r="364" spans="1:20" s="1" customFormat="1" ht="14.1" customHeight="1" x14ac:dyDescent="0.25">
      <c r="A364" s="102" t="s">
        <v>6</v>
      </c>
      <c r="B364" s="102"/>
      <c r="C364" s="102"/>
      <c r="D364" s="102"/>
      <c r="E364" s="102"/>
      <c r="F364" s="103" t="s">
        <v>60</v>
      </c>
      <c r="G364" s="103"/>
      <c r="H364" s="103"/>
      <c r="I364" s="103"/>
      <c r="J364" s="103"/>
      <c r="K364" s="103"/>
      <c r="L364" s="103"/>
      <c r="M364" s="103"/>
      <c r="N364" s="103"/>
      <c r="O364" s="103"/>
      <c r="P364" s="103"/>
      <c r="Q364" s="103"/>
      <c r="R364" s="103"/>
      <c r="S364" s="103"/>
      <c r="T364" s="103"/>
    </row>
    <row r="365" spans="1:20" s="1" customFormat="1" ht="22.35" customHeight="1" x14ac:dyDescent="0.25">
      <c r="F365" s="103"/>
      <c r="G365" s="103"/>
      <c r="H365" s="103"/>
      <c r="I365" s="103"/>
      <c r="J365" s="103"/>
      <c r="K365" s="103"/>
      <c r="L365" s="103"/>
      <c r="M365" s="103"/>
      <c r="N365" s="103"/>
      <c r="O365" s="103"/>
      <c r="P365" s="103"/>
      <c r="Q365" s="103"/>
      <c r="R365" s="103"/>
      <c r="S365" s="103"/>
      <c r="T365" s="103"/>
    </row>
    <row r="366" spans="1:20" s="1" customFormat="1" ht="7.05" customHeight="1" x14ac:dyDescent="0.25">
      <c r="A366" s="86"/>
      <c r="B366" s="86"/>
      <c r="C366" s="86"/>
      <c r="D366" s="86"/>
      <c r="E366" s="86"/>
      <c r="F366" s="86"/>
      <c r="G366" s="86"/>
      <c r="H366" s="86"/>
      <c r="I366" s="86"/>
      <c r="J366" s="86"/>
      <c r="K366" s="86"/>
      <c r="L366" s="86"/>
      <c r="M366" s="86"/>
      <c r="N366" s="86"/>
      <c r="O366" s="86"/>
      <c r="P366" s="86"/>
      <c r="Q366" s="16"/>
      <c r="R366" s="86"/>
      <c r="S366" s="86"/>
      <c r="T366" s="86"/>
    </row>
    <row r="367" spans="1:20" s="1" customFormat="1" ht="16.95" customHeight="1" x14ac:dyDescent="0.25">
      <c r="A367" s="94" t="s">
        <v>8</v>
      </c>
      <c r="B367" s="94"/>
      <c r="C367" s="94"/>
      <c r="D367" s="94"/>
      <c r="E367" s="94"/>
      <c r="F367" s="94"/>
      <c r="G367" s="94"/>
      <c r="H367" s="94"/>
      <c r="I367" s="94"/>
      <c r="J367" s="94"/>
      <c r="K367" s="94"/>
      <c r="L367" s="94"/>
      <c r="M367" s="95" t="s">
        <v>9</v>
      </c>
      <c r="N367" s="95"/>
      <c r="O367" s="95"/>
      <c r="P367" s="95"/>
      <c r="Q367" s="95"/>
      <c r="R367" s="95"/>
      <c r="S367" s="95"/>
      <c r="T367" s="95"/>
    </row>
    <row r="368" spans="1:20" s="1" customFormat="1" ht="16.95" customHeight="1" x14ac:dyDescent="0.25">
      <c r="A368" s="94"/>
      <c r="B368" s="94"/>
      <c r="C368" s="94"/>
      <c r="D368" s="94"/>
      <c r="E368" s="94"/>
      <c r="F368" s="94"/>
      <c r="G368" s="94"/>
      <c r="H368" s="94"/>
      <c r="I368" s="94"/>
      <c r="J368" s="94"/>
      <c r="K368" s="94"/>
      <c r="L368" s="94"/>
      <c r="M368" s="96" t="s">
        <v>10</v>
      </c>
      <c r="N368" s="96"/>
      <c r="O368" s="96"/>
      <c r="P368" s="96"/>
      <c r="Q368" s="97" t="s">
        <v>11</v>
      </c>
      <c r="R368" s="97"/>
      <c r="S368" s="97"/>
      <c r="T368" s="97"/>
    </row>
    <row r="369" spans="1:20" s="1" customFormat="1" ht="16.95" customHeight="1" x14ac:dyDescent="0.25">
      <c r="A369" s="94"/>
      <c r="B369" s="94"/>
      <c r="C369" s="94"/>
      <c r="D369" s="94"/>
      <c r="E369" s="94"/>
      <c r="F369" s="94"/>
      <c r="G369" s="94"/>
      <c r="H369" s="94"/>
      <c r="I369" s="94"/>
      <c r="J369" s="94"/>
      <c r="K369" s="94"/>
      <c r="L369" s="94"/>
      <c r="M369" s="98" t="s">
        <v>12</v>
      </c>
      <c r="N369" s="98"/>
      <c r="O369" s="98" t="s">
        <v>13</v>
      </c>
      <c r="P369" s="98"/>
      <c r="Q369" s="13" t="s">
        <v>14</v>
      </c>
      <c r="R369" s="99" t="s">
        <v>15</v>
      </c>
      <c r="S369" s="99"/>
      <c r="T369" s="99"/>
    </row>
    <row r="370" spans="1:20" s="1" customFormat="1" ht="13.35" customHeight="1" x14ac:dyDescent="0.25">
      <c r="A370" s="131" t="s">
        <v>430</v>
      </c>
      <c r="B370" s="131"/>
      <c r="C370" s="131"/>
      <c r="D370" s="131"/>
      <c r="E370" s="131"/>
      <c r="F370" s="131"/>
      <c r="G370" s="131"/>
      <c r="H370" s="131"/>
      <c r="I370" s="131"/>
      <c r="J370" s="131"/>
      <c r="K370" s="131"/>
      <c r="L370" s="131"/>
      <c r="M370" s="131"/>
      <c r="N370" s="131"/>
      <c r="O370" s="131">
        <v>129.30000000000001</v>
      </c>
      <c r="P370" s="131"/>
      <c r="Q370" s="15"/>
      <c r="R370" s="131">
        <v>12.93</v>
      </c>
      <c r="S370" s="131"/>
      <c r="T370" s="131"/>
    </row>
    <row r="371" spans="1:20" s="1" customFormat="1" ht="13.35" customHeight="1" x14ac:dyDescent="0.25">
      <c r="A371" s="88" t="s">
        <v>431</v>
      </c>
      <c r="B371" s="88"/>
      <c r="C371" s="88"/>
      <c r="D371" s="88"/>
      <c r="E371" s="88"/>
      <c r="F371" s="88"/>
      <c r="G371" s="88"/>
      <c r="H371" s="88"/>
      <c r="I371" s="88"/>
      <c r="J371" s="88"/>
      <c r="K371" s="88"/>
      <c r="L371" s="88"/>
      <c r="M371" s="88">
        <f>33.9*200/150</f>
        <v>45.2</v>
      </c>
      <c r="N371" s="88"/>
      <c r="O371" s="88">
        <v>45.2</v>
      </c>
      <c r="P371" s="88"/>
      <c r="Q371" s="6">
        <v>4.5199999999999996</v>
      </c>
      <c r="R371" s="88">
        <v>4.5199999999999996</v>
      </c>
      <c r="S371" s="88"/>
      <c r="T371" s="88"/>
    </row>
    <row r="372" spans="1:20" s="1" customFormat="1" ht="13.35" customHeight="1" x14ac:dyDescent="0.25">
      <c r="A372" s="88" t="s">
        <v>70</v>
      </c>
      <c r="B372" s="88"/>
      <c r="C372" s="88"/>
      <c r="D372" s="88"/>
      <c r="E372" s="88"/>
      <c r="F372" s="88"/>
      <c r="G372" s="88"/>
      <c r="H372" s="88"/>
      <c r="I372" s="88"/>
      <c r="J372" s="88"/>
      <c r="K372" s="88"/>
      <c r="L372" s="88"/>
      <c r="M372" s="88">
        <v>0.67</v>
      </c>
      <c r="N372" s="88"/>
      <c r="O372" s="88">
        <v>0.67</v>
      </c>
      <c r="P372" s="88"/>
      <c r="Q372" s="6">
        <v>6.7000000000000004E-2</v>
      </c>
      <c r="R372" s="88">
        <v>6.7000000000000004E-2</v>
      </c>
      <c r="S372" s="88"/>
      <c r="T372" s="88"/>
    </row>
    <row r="373" spans="1:20" s="1" customFormat="1" ht="13.35" customHeight="1" x14ac:dyDescent="0.25">
      <c r="A373" s="88" t="s">
        <v>114</v>
      </c>
      <c r="B373" s="88"/>
      <c r="C373" s="88"/>
      <c r="D373" s="88"/>
      <c r="E373" s="88"/>
      <c r="F373" s="88"/>
      <c r="G373" s="88"/>
      <c r="H373" s="88"/>
      <c r="I373" s="88"/>
      <c r="J373" s="88"/>
      <c r="K373" s="88"/>
      <c r="L373" s="88"/>
      <c r="M373" s="88">
        <v>117.73</v>
      </c>
      <c r="N373" s="88"/>
      <c r="O373" s="88">
        <v>117.73</v>
      </c>
      <c r="P373" s="88"/>
      <c r="Q373" s="6">
        <v>11.77</v>
      </c>
      <c r="R373" s="88">
        <v>11.77</v>
      </c>
      <c r="S373" s="88"/>
      <c r="T373" s="88"/>
    </row>
    <row r="374" spans="1:20" s="1" customFormat="1" ht="13.35" customHeight="1" x14ac:dyDescent="0.25">
      <c r="A374" s="88" t="s">
        <v>61</v>
      </c>
      <c r="B374" s="88"/>
      <c r="C374" s="88"/>
      <c r="D374" s="88"/>
      <c r="E374" s="88"/>
      <c r="F374" s="88"/>
      <c r="G374" s="88"/>
      <c r="H374" s="88"/>
      <c r="I374" s="88"/>
      <c r="J374" s="88"/>
      <c r="K374" s="88"/>
      <c r="L374" s="88"/>
      <c r="M374" s="88">
        <f>2.1*200/150</f>
        <v>2.8</v>
      </c>
      <c r="N374" s="88"/>
      <c r="O374" s="88">
        <v>2.8</v>
      </c>
      <c r="P374" s="88"/>
      <c r="Q374" s="6">
        <v>0.28000000000000003</v>
      </c>
      <c r="R374" s="88">
        <v>0.28000000000000003</v>
      </c>
      <c r="S374" s="88"/>
      <c r="T374" s="88"/>
    </row>
    <row r="375" spans="1:20" s="1" customFormat="1" ht="13.35" customHeight="1" x14ac:dyDescent="0.25">
      <c r="A375" s="88" t="s">
        <v>183</v>
      </c>
      <c r="B375" s="88"/>
      <c r="C375" s="88"/>
      <c r="D375" s="88"/>
      <c r="E375" s="88"/>
      <c r="F375" s="88"/>
      <c r="G375" s="88"/>
      <c r="H375" s="88"/>
      <c r="I375" s="88"/>
      <c r="J375" s="88"/>
      <c r="K375" s="88"/>
      <c r="L375" s="88"/>
      <c r="M375" s="88">
        <v>1.05</v>
      </c>
      <c r="N375" s="88"/>
      <c r="O375" s="88">
        <f>1.05*40</f>
        <v>42</v>
      </c>
      <c r="P375" s="88"/>
      <c r="Q375" s="6" t="s">
        <v>830</v>
      </c>
      <c r="R375" s="88">
        <v>5.26</v>
      </c>
      <c r="S375" s="88"/>
      <c r="T375" s="88"/>
    </row>
    <row r="376" spans="1:20" s="1" customFormat="1" ht="13.35" customHeight="1" x14ac:dyDescent="0.25">
      <c r="A376" s="88" t="s">
        <v>66</v>
      </c>
      <c r="B376" s="88"/>
      <c r="C376" s="88"/>
      <c r="D376" s="88"/>
      <c r="E376" s="88"/>
      <c r="F376" s="88"/>
      <c r="G376" s="88"/>
      <c r="H376" s="88"/>
      <c r="I376" s="88"/>
      <c r="J376" s="88"/>
      <c r="K376" s="88"/>
      <c r="L376" s="88"/>
      <c r="M376" s="88">
        <v>35.729999999999997</v>
      </c>
      <c r="N376" s="88"/>
      <c r="O376" s="88">
        <v>35.729999999999997</v>
      </c>
      <c r="P376" s="88"/>
      <c r="Q376" s="6">
        <v>3.57</v>
      </c>
      <c r="R376" s="88">
        <v>3.57</v>
      </c>
      <c r="S376" s="88"/>
      <c r="T376" s="88"/>
    </row>
    <row r="377" spans="1:20" s="1" customFormat="1" ht="13.35" customHeight="1" x14ac:dyDescent="0.25">
      <c r="A377" s="88" t="s">
        <v>18</v>
      </c>
      <c r="B377" s="88"/>
      <c r="C377" s="88"/>
      <c r="D377" s="88"/>
      <c r="E377" s="88"/>
      <c r="F377" s="88"/>
      <c r="G377" s="88"/>
      <c r="H377" s="88"/>
      <c r="I377" s="88"/>
      <c r="J377" s="88"/>
      <c r="K377" s="88"/>
      <c r="L377" s="88"/>
      <c r="M377" s="88">
        <v>4.3</v>
      </c>
      <c r="N377" s="88"/>
      <c r="O377" s="88">
        <v>4.3</v>
      </c>
      <c r="P377" s="88"/>
      <c r="Q377" s="6">
        <v>0.43</v>
      </c>
      <c r="R377" s="88">
        <v>0.43</v>
      </c>
      <c r="S377" s="88"/>
      <c r="T377" s="88"/>
    </row>
    <row r="378" spans="1:20" s="1" customFormat="1" ht="13.35" customHeight="1" x14ac:dyDescent="0.25">
      <c r="A378" s="88" t="s">
        <v>61</v>
      </c>
      <c r="B378" s="88"/>
      <c r="C378" s="88"/>
      <c r="D378" s="88"/>
      <c r="E378" s="88"/>
      <c r="F378" s="88"/>
      <c r="G378" s="88"/>
      <c r="H378" s="88"/>
      <c r="I378" s="88"/>
      <c r="J378" s="88"/>
      <c r="K378" s="88"/>
      <c r="L378" s="88"/>
      <c r="M378" s="88">
        <f>5.4*200/150</f>
        <v>7.2</v>
      </c>
      <c r="N378" s="88"/>
      <c r="O378" s="88">
        <v>7.2</v>
      </c>
      <c r="P378" s="88"/>
      <c r="Q378" s="6">
        <v>0.72</v>
      </c>
      <c r="R378" s="88">
        <v>0.72</v>
      </c>
      <c r="S378" s="88"/>
      <c r="T378" s="88"/>
    </row>
    <row r="379" spans="1:20" s="1" customFormat="1" ht="14.1" customHeight="1" x14ac:dyDescent="0.25">
      <c r="A379" s="90" t="s">
        <v>116</v>
      </c>
      <c r="B379" s="90"/>
      <c r="C379" s="90"/>
      <c r="D379" s="90"/>
      <c r="E379" s="90"/>
      <c r="F379" s="90"/>
      <c r="G379" s="90"/>
      <c r="H379" s="90"/>
      <c r="I379" s="90"/>
      <c r="J379" s="90"/>
      <c r="K379" s="90"/>
      <c r="L379" s="90"/>
      <c r="M379" s="90"/>
      <c r="N379" s="90"/>
      <c r="O379" s="90"/>
      <c r="P379" s="90"/>
      <c r="Q379" s="90"/>
      <c r="R379" s="90"/>
      <c r="S379" s="90"/>
      <c r="T379" s="90"/>
    </row>
    <row r="380" spans="1:20" s="1" customFormat="1" ht="21.3" customHeight="1" x14ac:dyDescent="0.25"/>
    <row r="381" spans="1:20" s="1" customFormat="1" ht="14.1" customHeight="1" x14ac:dyDescent="0.25">
      <c r="A381" s="91" t="s">
        <v>33</v>
      </c>
      <c r="B381" s="91"/>
      <c r="C381" s="91"/>
      <c r="D381" s="91"/>
      <c r="E381" s="91"/>
      <c r="F381" s="91"/>
      <c r="G381" s="91"/>
      <c r="H381" s="91"/>
      <c r="I381" s="91"/>
      <c r="J381" s="91"/>
      <c r="K381" s="91"/>
      <c r="L381" s="91"/>
      <c r="M381" s="91"/>
      <c r="N381" s="91"/>
    </row>
    <row r="382" spans="1:20" s="1" customFormat="1" ht="13.35" customHeight="1" x14ac:dyDescent="0.25">
      <c r="A382" s="88" t="s">
        <v>34</v>
      </c>
      <c r="B382" s="88"/>
      <c r="C382" s="88"/>
      <c r="D382" s="88"/>
      <c r="E382" s="89">
        <f>7.9*200/150</f>
        <v>10.533333333333333</v>
      </c>
      <c r="F382" s="89"/>
      <c r="G382" s="17"/>
      <c r="H382" s="6" t="s">
        <v>35</v>
      </c>
      <c r="I382" s="89">
        <v>0.08</v>
      </c>
      <c r="J382" s="89"/>
      <c r="K382" s="17"/>
      <c r="L382" s="88" t="s">
        <v>36</v>
      </c>
      <c r="M382" s="88"/>
      <c r="N382" s="89">
        <v>56.65</v>
      </c>
      <c r="O382" s="89"/>
    </row>
    <row r="383" spans="1:20" s="1" customFormat="1" ht="13.35" customHeight="1" x14ac:dyDescent="0.25">
      <c r="A383" s="88" t="s">
        <v>37</v>
      </c>
      <c r="B383" s="88"/>
      <c r="C383" s="88"/>
      <c r="D383" s="88"/>
      <c r="E383" s="89">
        <v>13.4</v>
      </c>
      <c r="F383" s="89"/>
      <c r="G383" s="17"/>
      <c r="H383" s="6" t="s">
        <v>38</v>
      </c>
      <c r="I383" s="89">
        <v>0.14000000000000001</v>
      </c>
      <c r="J383" s="89"/>
      <c r="K383" s="17"/>
      <c r="L383" s="88" t="s">
        <v>39</v>
      </c>
      <c r="M383" s="88"/>
      <c r="N383" s="89">
        <v>12.6</v>
      </c>
      <c r="O383" s="89"/>
    </row>
    <row r="384" spans="1:20" s="1" customFormat="1" ht="13.35" customHeight="1" x14ac:dyDescent="0.25">
      <c r="A384" s="88" t="s">
        <v>40</v>
      </c>
      <c r="B384" s="88"/>
      <c r="C384" s="88"/>
      <c r="D384" s="88"/>
      <c r="E384" s="89">
        <v>23.13</v>
      </c>
      <c r="F384" s="89"/>
      <c r="G384" s="17"/>
      <c r="H384" s="6" t="s">
        <v>41</v>
      </c>
      <c r="I384" s="89">
        <v>0.13</v>
      </c>
      <c r="J384" s="89"/>
      <c r="K384" s="17"/>
      <c r="L384" s="88" t="s">
        <v>42</v>
      </c>
      <c r="M384" s="88"/>
      <c r="N384" s="89">
        <v>108.54</v>
      </c>
      <c r="O384" s="89"/>
    </row>
    <row r="385" spans="1:20" s="1" customFormat="1" ht="13.35" customHeight="1" x14ac:dyDescent="0.25">
      <c r="A385" s="88" t="s">
        <v>43</v>
      </c>
      <c r="B385" s="88"/>
      <c r="C385" s="88"/>
      <c r="D385" s="88"/>
      <c r="E385" s="89">
        <v>258.25</v>
      </c>
      <c r="F385" s="89"/>
      <c r="G385" s="17"/>
      <c r="H385" s="6" t="s">
        <v>44</v>
      </c>
      <c r="I385" s="89">
        <v>2.93</v>
      </c>
      <c r="J385" s="89"/>
      <c r="K385" s="17"/>
      <c r="L385" s="88" t="s">
        <v>45</v>
      </c>
      <c r="M385" s="88"/>
      <c r="N385" s="89">
        <v>1.45</v>
      </c>
      <c r="O385" s="89"/>
    </row>
    <row r="386" spans="1:20" s="1" customFormat="1" ht="13.35" customHeight="1" x14ac:dyDescent="0.25">
      <c r="A386" s="87"/>
      <c r="B386" s="87"/>
      <c r="C386" s="87"/>
      <c r="D386" s="87"/>
      <c r="E386" s="87"/>
      <c r="F386" s="87"/>
      <c r="G386" s="17"/>
      <c r="H386" s="6" t="s">
        <v>46</v>
      </c>
      <c r="I386" s="89">
        <v>0.89</v>
      </c>
      <c r="J386" s="89"/>
      <c r="K386" s="17"/>
      <c r="L386" s="88" t="s">
        <v>47</v>
      </c>
      <c r="M386" s="88"/>
      <c r="N386" s="89">
        <v>131.83000000000001</v>
      </c>
      <c r="O386" s="89"/>
    </row>
    <row r="387" spans="1:20" s="1" customFormat="1" ht="13.35" customHeight="1" x14ac:dyDescent="0.25">
      <c r="A387" s="87"/>
      <c r="B387" s="87"/>
      <c r="C387" s="87"/>
      <c r="D387" s="87"/>
      <c r="E387" s="87"/>
      <c r="F387" s="87"/>
      <c r="G387" s="17"/>
      <c r="H387" s="6" t="s">
        <v>48</v>
      </c>
      <c r="I387" s="89">
        <v>0.19</v>
      </c>
      <c r="J387" s="89"/>
      <c r="K387" s="17"/>
      <c r="L387" s="88" t="s">
        <v>49</v>
      </c>
      <c r="M387" s="88"/>
      <c r="N387" s="89">
        <v>10</v>
      </c>
      <c r="O387" s="89"/>
    </row>
    <row r="388" spans="1:20" s="1" customFormat="1" ht="13.35" customHeight="1" x14ac:dyDescent="0.25">
      <c r="A388" s="87"/>
      <c r="B388" s="87"/>
      <c r="C388" s="87"/>
      <c r="D388" s="87"/>
      <c r="E388" s="87"/>
      <c r="F388" s="87"/>
      <c r="G388" s="17"/>
      <c r="H388" s="17"/>
      <c r="I388" s="87"/>
      <c r="J388" s="87"/>
      <c r="K388" s="17"/>
      <c r="L388" s="88" t="s">
        <v>50</v>
      </c>
      <c r="M388" s="88"/>
      <c r="N388" s="89">
        <v>0.03</v>
      </c>
      <c r="O388" s="89"/>
    </row>
    <row r="389" spans="1:20" s="1" customFormat="1" ht="13.35" customHeight="1" x14ac:dyDescent="0.25">
      <c r="A389" s="87"/>
      <c r="B389" s="87"/>
      <c r="C389" s="87"/>
      <c r="D389" s="87"/>
      <c r="E389" s="87"/>
      <c r="F389" s="87"/>
      <c r="G389" s="17"/>
      <c r="H389" s="17"/>
      <c r="I389" s="87"/>
      <c r="J389" s="87"/>
      <c r="K389" s="17"/>
      <c r="L389" s="88" t="s">
        <v>51</v>
      </c>
      <c r="M389" s="88"/>
      <c r="N389" s="89">
        <v>0.02</v>
      </c>
      <c r="O389" s="89"/>
    </row>
    <row r="390" spans="1:20" s="1" customFormat="1" ht="14.1" customHeight="1" x14ac:dyDescent="0.25">
      <c r="A390" s="86"/>
      <c r="B390" s="86"/>
      <c r="C390" s="86"/>
      <c r="D390" s="86"/>
      <c r="E390" s="86"/>
      <c r="F390" s="86"/>
      <c r="G390" s="86"/>
      <c r="H390" s="86"/>
      <c r="I390" s="86"/>
      <c r="J390" s="86"/>
      <c r="K390" s="86"/>
      <c r="L390" s="86"/>
      <c r="M390" s="86"/>
      <c r="N390" s="86"/>
      <c r="O390" s="86"/>
      <c r="P390" s="86"/>
      <c r="Q390" s="86"/>
      <c r="R390" s="86"/>
      <c r="S390" s="86"/>
    </row>
    <row r="391" spans="1:20" s="1" customFormat="1" ht="14.1" customHeight="1" x14ac:dyDescent="0.25">
      <c r="A391" s="84" t="s">
        <v>52</v>
      </c>
      <c r="B391" s="84"/>
      <c r="C391" s="84"/>
      <c r="D391" s="84"/>
      <c r="E391" s="84"/>
      <c r="F391" s="84"/>
      <c r="G391" s="84"/>
      <c r="H391" s="84"/>
      <c r="I391" s="84"/>
      <c r="J391" s="84"/>
      <c r="K391" s="84"/>
      <c r="L391" s="84"/>
      <c r="M391" s="84"/>
      <c r="N391" s="84"/>
      <c r="O391" s="84"/>
      <c r="P391" s="84"/>
      <c r="Q391" s="84"/>
      <c r="R391" s="84"/>
      <c r="S391" s="84"/>
    </row>
    <row r="392" spans="1:20" s="1" customFormat="1" ht="67.650000000000006" customHeight="1" x14ac:dyDescent="0.25">
      <c r="A392" s="85" t="s">
        <v>436</v>
      </c>
      <c r="B392" s="85"/>
      <c r="C392" s="85"/>
      <c r="D392" s="85"/>
      <c r="E392" s="85"/>
      <c r="F392" s="85"/>
      <c r="G392" s="85"/>
      <c r="H392" s="85"/>
      <c r="I392" s="85"/>
      <c r="J392" s="85"/>
      <c r="K392" s="85"/>
      <c r="L392" s="85"/>
      <c r="M392" s="85"/>
      <c r="N392" s="85"/>
      <c r="O392" s="85"/>
      <c r="P392" s="85"/>
      <c r="Q392" s="85"/>
      <c r="R392" s="85"/>
      <c r="S392" s="85"/>
    </row>
    <row r="393" spans="1:20" s="1" customFormat="1" ht="14.1" customHeight="1" x14ac:dyDescent="0.25">
      <c r="A393" s="84" t="s">
        <v>54</v>
      </c>
      <c r="B393" s="84"/>
      <c r="C393" s="84"/>
      <c r="D393" s="84"/>
      <c r="E393" s="84"/>
      <c r="F393" s="84"/>
      <c r="G393" s="84"/>
      <c r="H393" s="84"/>
      <c r="I393" s="84"/>
      <c r="J393" s="84"/>
      <c r="K393" s="84"/>
      <c r="L393" s="84"/>
      <c r="M393" s="84"/>
      <c r="N393" s="84"/>
      <c r="O393" s="84"/>
      <c r="P393" s="84"/>
      <c r="Q393" s="84"/>
      <c r="R393" s="84"/>
      <c r="S393" s="84"/>
    </row>
    <row r="394" spans="1:20" s="1" customFormat="1" ht="12.45" customHeight="1" x14ac:dyDescent="0.25">
      <c r="A394" s="85" t="s">
        <v>224</v>
      </c>
      <c r="B394" s="85"/>
      <c r="C394" s="85"/>
      <c r="D394" s="85"/>
      <c r="E394" s="85"/>
      <c r="F394" s="85"/>
      <c r="G394" s="85"/>
      <c r="H394" s="85"/>
      <c r="I394" s="85"/>
      <c r="J394" s="85"/>
      <c r="K394" s="85"/>
      <c r="L394" s="85"/>
      <c r="M394" s="85"/>
      <c r="N394" s="85"/>
      <c r="O394" s="85"/>
      <c r="P394" s="85"/>
      <c r="Q394" s="85"/>
      <c r="R394" s="85"/>
      <c r="S394" s="85"/>
    </row>
    <row r="395" spans="1:20" s="1" customFormat="1" ht="14.1" customHeight="1" x14ac:dyDescent="0.25">
      <c r="A395" s="86"/>
      <c r="B395" s="86"/>
      <c r="C395" s="86"/>
      <c r="D395" s="86"/>
      <c r="E395" s="86"/>
      <c r="F395" s="86"/>
      <c r="G395" s="86"/>
      <c r="H395" s="86"/>
      <c r="I395" s="86"/>
      <c r="J395" s="86"/>
      <c r="K395" s="86"/>
      <c r="L395" s="86"/>
      <c r="M395" s="86"/>
      <c r="N395" s="86"/>
      <c r="O395" s="86"/>
      <c r="P395" s="86"/>
      <c r="Q395" s="86"/>
      <c r="R395" s="86"/>
      <c r="S395" s="86"/>
    </row>
    <row r="396" spans="1:20" s="1" customFormat="1" ht="14.1" customHeight="1" x14ac:dyDescent="0.25">
      <c r="A396" s="84" t="s">
        <v>56</v>
      </c>
      <c r="B396" s="84"/>
      <c r="C396" s="84"/>
      <c r="D396" s="84"/>
      <c r="E396" s="84"/>
      <c r="F396" s="84"/>
      <c r="G396" s="84"/>
      <c r="H396" s="84"/>
      <c r="I396" s="84"/>
      <c r="J396" s="84"/>
      <c r="K396" s="84"/>
      <c r="L396" s="84"/>
      <c r="M396" s="84"/>
      <c r="N396" s="84"/>
      <c r="O396" s="84"/>
      <c r="P396" s="84"/>
      <c r="Q396" s="84"/>
      <c r="R396" s="84"/>
      <c r="S396" s="84"/>
    </row>
    <row r="397" spans="1:20" s="1" customFormat="1" ht="49.2" customHeight="1" x14ac:dyDescent="0.25">
      <c r="A397" s="85" t="s">
        <v>433</v>
      </c>
      <c r="B397" s="85"/>
      <c r="C397" s="85"/>
      <c r="D397" s="85"/>
      <c r="E397" s="85"/>
      <c r="F397" s="85"/>
      <c r="G397" s="85"/>
      <c r="H397" s="85"/>
      <c r="I397" s="85"/>
      <c r="J397" s="85"/>
      <c r="K397" s="85"/>
      <c r="L397" s="85"/>
      <c r="M397" s="85"/>
      <c r="N397" s="85"/>
      <c r="O397" s="85"/>
      <c r="P397" s="85"/>
      <c r="Q397" s="85"/>
      <c r="R397" s="85"/>
      <c r="S397" s="85"/>
    </row>
    <row r="399" spans="1:20" s="1" customFormat="1" ht="72.45" customHeight="1" x14ac:dyDescent="0.25">
      <c r="J399" s="100" t="s">
        <v>0</v>
      </c>
      <c r="K399" s="100"/>
      <c r="L399" s="100"/>
      <c r="M399" s="100"/>
      <c r="N399" s="100"/>
      <c r="O399" s="100"/>
      <c r="P399" s="100"/>
      <c r="Q399" s="100"/>
      <c r="R399" s="100"/>
      <c r="S399" s="100"/>
      <c r="T399" s="100"/>
    </row>
    <row r="400" spans="1:20" s="1" customFormat="1" ht="7.05" customHeight="1" x14ac:dyDescent="0.25"/>
    <row r="401" spans="1:20" s="1" customFormat="1" ht="14.1" customHeight="1" x14ac:dyDescent="0.25">
      <c r="B401" s="101" t="s">
        <v>490</v>
      </c>
      <c r="C401" s="101"/>
      <c r="D401" s="101"/>
      <c r="E401" s="101"/>
      <c r="F401" s="101"/>
      <c r="G401" s="101"/>
      <c r="H401" s="101"/>
      <c r="I401" s="101"/>
      <c r="J401" s="101"/>
      <c r="K401" s="101"/>
      <c r="L401" s="101"/>
      <c r="M401" s="101"/>
      <c r="N401" s="101"/>
      <c r="O401" s="101"/>
      <c r="P401" s="101"/>
      <c r="Q401" s="101"/>
      <c r="R401" s="101"/>
    </row>
    <row r="402" spans="1:20" s="1" customFormat="1" ht="14.1" customHeight="1" x14ac:dyDescent="0.25"/>
    <row r="403" spans="1:20" s="1" customFormat="1" ht="14.1" customHeight="1" x14ac:dyDescent="0.25">
      <c r="A403" s="102" t="s">
        <v>2</v>
      </c>
      <c r="B403" s="102"/>
      <c r="C403" s="102"/>
      <c r="D403" s="103" t="s">
        <v>491</v>
      </c>
      <c r="E403" s="103"/>
      <c r="F403" s="103"/>
      <c r="G403" s="103"/>
      <c r="H403" s="103"/>
      <c r="I403" s="103"/>
      <c r="J403" s="103"/>
      <c r="K403" s="103"/>
      <c r="L403" s="103"/>
      <c r="M403" s="103"/>
      <c r="N403" s="103"/>
      <c r="O403" s="103"/>
      <c r="P403" s="103"/>
      <c r="Q403" s="103"/>
      <c r="R403" s="103"/>
      <c r="S403" s="103"/>
      <c r="T403" s="103"/>
    </row>
    <row r="404" spans="1:20" s="1" customFormat="1" ht="14.1" customHeight="1" x14ac:dyDescent="0.25">
      <c r="A404" s="102" t="s">
        <v>4</v>
      </c>
      <c r="B404" s="102"/>
      <c r="C404" s="103" t="s">
        <v>492</v>
      </c>
      <c r="D404" s="103"/>
      <c r="E404" s="103"/>
      <c r="F404" s="103"/>
      <c r="G404" s="103"/>
      <c r="H404" s="103"/>
      <c r="I404" s="103"/>
      <c r="J404" s="103"/>
      <c r="K404" s="103"/>
      <c r="L404" s="103"/>
      <c r="M404" s="103"/>
      <c r="N404" s="103"/>
      <c r="O404" s="103"/>
      <c r="P404" s="103"/>
      <c r="Q404" s="103"/>
      <c r="R404" s="103"/>
      <c r="S404" s="103"/>
      <c r="T404" s="103"/>
    </row>
    <row r="405" spans="1:20" s="1" customFormat="1" ht="14.1" customHeight="1" x14ac:dyDescent="0.25">
      <c r="A405" s="102" t="s">
        <v>6</v>
      </c>
      <c r="B405" s="102"/>
      <c r="C405" s="102"/>
      <c r="D405" s="102"/>
      <c r="E405" s="102"/>
      <c r="F405" s="103" t="s">
        <v>248</v>
      </c>
      <c r="G405" s="103"/>
      <c r="H405" s="103"/>
      <c r="I405" s="103"/>
      <c r="J405" s="103"/>
      <c r="K405" s="103"/>
      <c r="L405" s="103"/>
      <c r="M405" s="103"/>
      <c r="N405" s="103"/>
      <c r="O405" s="103"/>
      <c r="P405" s="103"/>
      <c r="Q405" s="103"/>
      <c r="R405" s="103"/>
      <c r="S405" s="103"/>
      <c r="T405" s="103"/>
    </row>
    <row r="406" spans="1:20" s="1" customFormat="1" ht="22.35" customHeight="1" x14ac:dyDescent="0.25">
      <c r="F406" s="103"/>
      <c r="G406" s="103"/>
      <c r="H406" s="103"/>
      <c r="I406" s="103"/>
      <c r="J406" s="103"/>
      <c r="K406" s="103"/>
      <c r="L406" s="103"/>
      <c r="M406" s="103"/>
      <c r="N406" s="103"/>
      <c r="O406" s="103"/>
      <c r="P406" s="103"/>
      <c r="Q406" s="103"/>
      <c r="R406" s="103"/>
      <c r="S406" s="103"/>
      <c r="T406" s="103"/>
    </row>
    <row r="407" spans="1:20" s="1" customFormat="1" ht="7.05" customHeight="1" x14ac:dyDescent="0.25">
      <c r="A407" s="86"/>
      <c r="B407" s="86"/>
      <c r="C407" s="86"/>
      <c r="D407" s="86"/>
      <c r="E407" s="86"/>
      <c r="F407" s="86"/>
      <c r="G407" s="86"/>
      <c r="H407" s="86"/>
      <c r="I407" s="86"/>
      <c r="J407" s="86"/>
      <c r="K407" s="86"/>
      <c r="L407" s="86"/>
      <c r="M407" s="86"/>
      <c r="N407" s="86"/>
      <c r="O407" s="86"/>
      <c r="P407" s="86"/>
      <c r="Q407" s="16"/>
      <c r="R407" s="86"/>
      <c r="S407" s="86"/>
      <c r="T407" s="86"/>
    </row>
    <row r="408" spans="1:20" s="1" customFormat="1" ht="16.95" customHeight="1" x14ac:dyDescent="0.25">
      <c r="A408" s="94" t="s">
        <v>8</v>
      </c>
      <c r="B408" s="94"/>
      <c r="C408" s="94"/>
      <c r="D408" s="94"/>
      <c r="E408" s="94"/>
      <c r="F408" s="94"/>
      <c r="G408" s="94"/>
      <c r="H408" s="94"/>
      <c r="I408" s="94"/>
      <c r="J408" s="94"/>
      <c r="K408" s="94"/>
      <c r="L408" s="94"/>
      <c r="M408" s="95" t="s">
        <v>9</v>
      </c>
      <c r="N408" s="95"/>
      <c r="O408" s="95"/>
      <c r="P408" s="95"/>
      <c r="Q408" s="95"/>
      <c r="R408" s="95"/>
      <c r="S408" s="95"/>
      <c r="T408" s="95"/>
    </row>
    <row r="409" spans="1:20" s="1" customFormat="1" ht="16.95" customHeight="1" x14ac:dyDescent="0.25">
      <c r="A409" s="94"/>
      <c r="B409" s="94"/>
      <c r="C409" s="94"/>
      <c r="D409" s="94"/>
      <c r="E409" s="94"/>
      <c r="F409" s="94"/>
      <c r="G409" s="94"/>
      <c r="H409" s="94"/>
      <c r="I409" s="94"/>
      <c r="J409" s="94"/>
      <c r="K409" s="94"/>
      <c r="L409" s="94"/>
      <c r="M409" s="96" t="s">
        <v>10</v>
      </c>
      <c r="N409" s="96"/>
      <c r="O409" s="96"/>
      <c r="P409" s="96"/>
      <c r="Q409" s="97" t="s">
        <v>11</v>
      </c>
      <c r="R409" s="97"/>
      <c r="S409" s="97"/>
      <c r="T409" s="97"/>
    </row>
    <row r="410" spans="1:20" s="1" customFormat="1" ht="16.95" customHeight="1" x14ac:dyDescent="0.25">
      <c r="A410" s="94"/>
      <c r="B410" s="94"/>
      <c r="C410" s="94"/>
      <c r="D410" s="94"/>
      <c r="E410" s="94"/>
      <c r="F410" s="94"/>
      <c r="G410" s="94"/>
      <c r="H410" s="94"/>
      <c r="I410" s="94"/>
      <c r="J410" s="94"/>
      <c r="K410" s="94"/>
      <c r="L410" s="94"/>
      <c r="M410" s="98" t="s">
        <v>12</v>
      </c>
      <c r="N410" s="98"/>
      <c r="O410" s="98" t="s">
        <v>13</v>
      </c>
      <c r="P410" s="98"/>
      <c r="Q410" s="13" t="s">
        <v>14</v>
      </c>
      <c r="R410" s="99" t="s">
        <v>15</v>
      </c>
      <c r="S410" s="99"/>
      <c r="T410" s="99"/>
    </row>
    <row r="411" spans="1:20" s="1" customFormat="1" ht="13.35" customHeight="1" x14ac:dyDescent="0.25">
      <c r="A411" s="88" t="s">
        <v>31</v>
      </c>
      <c r="B411" s="88"/>
      <c r="C411" s="88"/>
      <c r="D411" s="88"/>
      <c r="E411" s="88"/>
      <c r="F411" s="88"/>
      <c r="G411" s="88"/>
      <c r="H411" s="88"/>
      <c r="I411" s="88"/>
      <c r="J411" s="88"/>
      <c r="K411" s="88"/>
      <c r="L411" s="88"/>
      <c r="M411" s="88">
        <f>1140*0.18</f>
        <v>205.2</v>
      </c>
      <c r="N411" s="88"/>
      <c r="O411" s="88">
        <f>855*0.18</f>
        <v>153.9</v>
      </c>
      <c r="P411" s="88"/>
      <c r="Q411" s="23">
        <v>20.52</v>
      </c>
      <c r="R411" s="88">
        <v>15.39</v>
      </c>
      <c r="S411" s="88"/>
      <c r="T411" s="88"/>
    </row>
    <row r="412" spans="1:20" s="1" customFormat="1" ht="13.35" customHeight="1" x14ac:dyDescent="0.25">
      <c r="A412" s="88" t="s">
        <v>66</v>
      </c>
      <c r="B412" s="88"/>
      <c r="C412" s="88"/>
      <c r="D412" s="88"/>
      <c r="E412" s="88"/>
      <c r="F412" s="88"/>
      <c r="G412" s="88"/>
      <c r="H412" s="88"/>
      <c r="I412" s="88"/>
      <c r="J412" s="88"/>
      <c r="K412" s="88"/>
      <c r="L412" s="88"/>
      <c r="M412" s="88">
        <f>158*0.18</f>
        <v>28.439999999999998</v>
      </c>
      <c r="N412" s="88"/>
      <c r="O412" s="88">
        <f>150*0.18</f>
        <v>27</v>
      </c>
      <c r="P412" s="88"/>
      <c r="Q412" s="6">
        <v>2.84</v>
      </c>
      <c r="R412" s="88">
        <v>2.7</v>
      </c>
      <c r="S412" s="88"/>
      <c r="T412" s="88"/>
    </row>
    <row r="413" spans="1:20" s="1" customFormat="1" ht="13.35" customHeight="1" x14ac:dyDescent="0.25">
      <c r="A413" s="88" t="s">
        <v>61</v>
      </c>
      <c r="B413" s="88"/>
      <c r="C413" s="88"/>
      <c r="D413" s="88"/>
      <c r="E413" s="88"/>
      <c r="F413" s="88"/>
      <c r="G413" s="88"/>
      <c r="H413" s="88"/>
      <c r="I413" s="88"/>
      <c r="J413" s="88"/>
      <c r="K413" s="88"/>
      <c r="L413" s="88"/>
      <c r="M413" s="88">
        <v>6.3</v>
      </c>
      <c r="N413" s="88"/>
      <c r="O413" s="88">
        <f>35*0.18</f>
        <v>6.3</v>
      </c>
      <c r="P413" s="88"/>
      <c r="Q413" s="6">
        <v>0.63</v>
      </c>
      <c r="R413" s="88">
        <v>0.63</v>
      </c>
      <c r="S413" s="88"/>
      <c r="T413" s="88"/>
    </row>
    <row r="414" spans="1:20" s="1" customFormat="1" ht="13.35" customHeight="1" x14ac:dyDescent="0.25">
      <c r="A414" s="88" t="s">
        <v>70</v>
      </c>
      <c r="B414" s="88"/>
      <c r="C414" s="88"/>
      <c r="D414" s="88"/>
      <c r="E414" s="88"/>
      <c r="F414" s="88"/>
      <c r="G414" s="88"/>
      <c r="H414" s="88"/>
      <c r="I414" s="88"/>
      <c r="J414" s="88"/>
      <c r="K414" s="88"/>
      <c r="L414" s="88"/>
      <c r="M414" s="88" t="s">
        <v>190</v>
      </c>
      <c r="N414" s="88"/>
      <c r="O414" s="88" t="s">
        <v>190</v>
      </c>
      <c r="P414" s="88"/>
      <c r="Q414" s="6" t="s">
        <v>261</v>
      </c>
      <c r="R414" s="88" t="s">
        <v>261</v>
      </c>
      <c r="S414" s="88"/>
      <c r="T414" s="88"/>
    </row>
    <row r="415" spans="1:20" s="1" customFormat="1" ht="14.1" customHeight="1" x14ac:dyDescent="0.25">
      <c r="A415" s="90" t="s">
        <v>217</v>
      </c>
      <c r="B415" s="90"/>
      <c r="C415" s="90"/>
      <c r="D415" s="90"/>
      <c r="E415" s="90"/>
      <c r="F415" s="90"/>
      <c r="G415" s="90"/>
      <c r="H415" s="90"/>
      <c r="I415" s="90"/>
      <c r="J415" s="90"/>
      <c r="K415" s="90"/>
      <c r="L415" s="90"/>
      <c r="M415" s="90"/>
      <c r="N415" s="90"/>
      <c r="O415" s="90"/>
      <c r="P415" s="90"/>
      <c r="Q415" s="90"/>
      <c r="R415" s="90"/>
      <c r="S415" s="90"/>
      <c r="T415" s="90"/>
    </row>
    <row r="416" spans="1:20" s="1" customFormat="1" ht="21.3" customHeight="1" x14ac:dyDescent="0.25"/>
    <row r="417" spans="1:19" s="1" customFormat="1" ht="14.1" customHeight="1" x14ac:dyDescent="0.25">
      <c r="A417" s="91" t="s">
        <v>33</v>
      </c>
      <c r="B417" s="91"/>
      <c r="C417" s="91"/>
      <c r="D417" s="91"/>
      <c r="E417" s="91"/>
      <c r="F417" s="91"/>
      <c r="G417" s="91"/>
      <c r="H417" s="91"/>
      <c r="I417" s="91"/>
      <c r="J417" s="91"/>
      <c r="K417" s="91"/>
      <c r="L417" s="91"/>
      <c r="M417" s="91"/>
      <c r="N417" s="91"/>
    </row>
    <row r="418" spans="1:19" s="1" customFormat="1" ht="13.35" customHeight="1" x14ac:dyDescent="0.25">
      <c r="A418" s="88" t="s">
        <v>34</v>
      </c>
      <c r="B418" s="88"/>
      <c r="C418" s="88"/>
      <c r="D418" s="88"/>
      <c r="E418" s="89">
        <f>3.06*180/150</f>
        <v>3.6719999999999997</v>
      </c>
      <c r="F418" s="89"/>
      <c r="G418" s="17"/>
      <c r="H418" s="6" t="s">
        <v>35</v>
      </c>
      <c r="I418" s="89">
        <v>0.1</v>
      </c>
      <c r="J418" s="89"/>
      <c r="K418" s="17"/>
      <c r="L418" s="88" t="s">
        <v>36</v>
      </c>
      <c r="M418" s="88"/>
      <c r="N418" s="89">
        <v>43.55</v>
      </c>
      <c r="O418" s="89"/>
    </row>
    <row r="419" spans="1:19" s="1" customFormat="1" ht="13.35" customHeight="1" x14ac:dyDescent="0.25">
      <c r="A419" s="88" t="s">
        <v>37</v>
      </c>
      <c r="B419" s="88"/>
      <c r="C419" s="88"/>
      <c r="D419" s="88"/>
      <c r="E419" s="89">
        <f>4.8*180/150</f>
        <v>5.76</v>
      </c>
      <c r="F419" s="89"/>
      <c r="G419" s="17"/>
      <c r="H419" s="6" t="s">
        <v>38</v>
      </c>
      <c r="I419" s="89">
        <v>8.33</v>
      </c>
      <c r="J419" s="89"/>
      <c r="K419" s="17"/>
      <c r="L419" s="88" t="s">
        <v>39</v>
      </c>
      <c r="M419" s="88"/>
      <c r="N419" s="89">
        <v>25.07</v>
      </c>
      <c r="O419" s="89"/>
    </row>
    <row r="420" spans="1:19" s="1" customFormat="1" ht="13.35" customHeight="1" x14ac:dyDescent="0.25">
      <c r="A420" s="88" t="s">
        <v>40</v>
      </c>
      <c r="B420" s="88"/>
      <c r="C420" s="88"/>
      <c r="D420" s="88"/>
      <c r="E420" s="89">
        <f>20.4*180/150</f>
        <v>24.479999999999997</v>
      </c>
      <c r="F420" s="89"/>
      <c r="G420" s="17"/>
      <c r="H420" s="6" t="s">
        <v>41</v>
      </c>
      <c r="I420" s="89">
        <v>0.03</v>
      </c>
      <c r="J420" s="89"/>
      <c r="K420" s="17"/>
      <c r="L420" s="88" t="s">
        <v>42</v>
      </c>
      <c r="M420" s="88"/>
      <c r="N420" s="89">
        <v>72.64</v>
      </c>
      <c r="O420" s="89"/>
    </row>
    <row r="421" spans="1:19" s="1" customFormat="1" ht="13.35" customHeight="1" x14ac:dyDescent="0.25">
      <c r="A421" s="88" t="s">
        <v>43</v>
      </c>
      <c r="B421" s="88"/>
      <c r="C421" s="88"/>
      <c r="D421" s="88"/>
      <c r="E421" s="89">
        <f>137.25*180/150</f>
        <v>164.7</v>
      </c>
      <c r="F421" s="89"/>
      <c r="G421" s="17"/>
      <c r="H421" s="6" t="s">
        <v>44</v>
      </c>
      <c r="I421" s="89">
        <v>0.22</v>
      </c>
      <c r="J421" s="89"/>
      <c r="K421" s="17"/>
      <c r="L421" s="88" t="s">
        <v>45</v>
      </c>
      <c r="M421" s="88"/>
      <c r="N421" s="89">
        <v>1.01</v>
      </c>
      <c r="O421" s="89"/>
    </row>
    <row r="422" spans="1:19" s="1" customFormat="1" ht="13.35" customHeight="1" x14ac:dyDescent="0.25">
      <c r="A422" s="87"/>
      <c r="B422" s="87"/>
      <c r="C422" s="87"/>
      <c r="D422" s="87"/>
      <c r="E422" s="87"/>
      <c r="F422" s="87"/>
      <c r="G422" s="17"/>
      <c r="H422" s="6" t="s">
        <v>46</v>
      </c>
      <c r="I422" s="89">
        <v>0.08</v>
      </c>
      <c r="J422" s="89"/>
      <c r="K422" s="17"/>
      <c r="L422" s="88" t="s">
        <v>47</v>
      </c>
      <c r="M422" s="88"/>
      <c r="N422" s="89">
        <v>618.59</v>
      </c>
      <c r="O422" s="89"/>
    </row>
    <row r="423" spans="1:19" s="1" customFormat="1" ht="13.35" customHeight="1" x14ac:dyDescent="0.25">
      <c r="A423" s="87"/>
      <c r="B423" s="87"/>
      <c r="C423" s="87"/>
      <c r="D423" s="87"/>
      <c r="E423" s="87"/>
      <c r="F423" s="87"/>
      <c r="G423" s="17"/>
      <c r="H423" s="6" t="s">
        <v>48</v>
      </c>
      <c r="I423" s="89">
        <v>0.1</v>
      </c>
      <c r="J423" s="89"/>
      <c r="K423" s="17"/>
      <c r="L423" s="88" t="s">
        <v>49</v>
      </c>
      <c r="M423" s="88"/>
      <c r="N423" s="89">
        <v>7.26</v>
      </c>
      <c r="O423" s="89"/>
    </row>
    <row r="424" spans="1:19" s="1" customFormat="1" ht="13.35" customHeight="1" x14ac:dyDescent="0.25">
      <c r="A424" s="87"/>
      <c r="B424" s="87"/>
      <c r="C424" s="87"/>
      <c r="D424" s="87"/>
      <c r="E424" s="87"/>
      <c r="F424" s="87"/>
      <c r="G424" s="17"/>
      <c r="H424" s="17"/>
      <c r="I424" s="87"/>
      <c r="J424" s="87"/>
      <c r="K424" s="17"/>
      <c r="L424" s="88" t="s">
        <v>50</v>
      </c>
      <c r="M424" s="88"/>
      <c r="N424" s="89">
        <v>0.03</v>
      </c>
      <c r="O424" s="89"/>
    </row>
    <row r="425" spans="1:19" s="1" customFormat="1" ht="13.35" customHeight="1" x14ac:dyDescent="0.25">
      <c r="A425" s="87"/>
      <c r="B425" s="87"/>
      <c r="C425" s="87"/>
      <c r="D425" s="87"/>
      <c r="E425" s="87"/>
      <c r="F425" s="87"/>
      <c r="G425" s="17"/>
      <c r="H425" s="17"/>
      <c r="I425" s="87"/>
      <c r="J425" s="87"/>
      <c r="K425" s="17"/>
      <c r="L425" s="88" t="s">
        <v>51</v>
      </c>
      <c r="M425" s="88"/>
      <c r="N425" s="89">
        <v>0</v>
      </c>
      <c r="O425" s="89"/>
    </row>
    <row r="426" spans="1:19" s="1" customFormat="1" ht="14.1" customHeight="1" x14ac:dyDescent="0.25">
      <c r="A426" s="86"/>
      <c r="B426" s="86"/>
      <c r="C426" s="86"/>
      <c r="D426" s="86"/>
      <c r="E426" s="86"/>
      <c r="F426" s="86"/>
      <c r="G426" s="86"/>
      <c r="H426" s="86"/>
      <c r="I426" s="86"/>
      <c r="J426" s="86"/>
      <c r="K426" s="86"/>
      <c r="L426" s="86"/>
      <c r="M426" s="86"/>
      <c r="N426" s="86"/>
      <c r="O426" s="86"/>
      <c r="P426" s="86"/>
      <c r="Q426" s="86"/>
      <c r="R426" s="86"/>
      <c r="S426" s="86"/>
    </row>
    <row r="427" spans="1:19" s="1" customFormat="1" ht="14.1" customHeight="1" x14ac:dyDescent="0.25">
      <c r="A427" s="84" t="s">
        <v>52</v>
      </c>
      <c r="B427" s="84"/>
      <c r="C427" s="84"/>
      <c r="D427" s="84"/>
      <c r="E427" s="84"/>
      <c r="F427" s="84"/>
      <c r="G427" s="84"/>
      <c r="H427" s="84"/>
      <c r="I427" s="84"/>
      <c r="J427" s="84"/>
      <c r="K427" s="84"/>
      <c r="L427" s="84"/>
      <c r="M427" s="84"/>
      <c r="N427" s="84"/>
      <c r="O427" s="84"/>
      <c r="P427" s="84"/>
      <c r="Q427" s="84"/>
      <c r="R427" s="84"/>
      <c r="S427" s="84"/>
    </row>
    <row r="428" spans="1:19" s="1" customFormat="1" ht="67.650000000000006" customHeight="1" x14ac:dyDescent="0.25">
      <c r="A428" s="85" t="s">
        <v>494</v>
      </c>
      <c r="B428" s="85"/>
      <c r="C428" s="85"/>
      <c r="D428" s="85"/>
      <c r="E428" s="85"/>
      <c r="F428" s="85"/>
      <c r="G428" s="85"/>
      <c r="H428" s="85"/>
      <c r="I428" s="85"/>
      <c r="J428" s="85"/>
      <c r="K428" s="85"/>
      <c r="L428" s="85"/>
      <c r="M428" s="85"/>
      <c r="N428" s="85"/>
      <c r="O428" s="85"/>
      <c r="P428" s="85"/>
      <c r="Q428" s="85"/>
      <c r="R428" s="85"/>
      <c r="S428" s="85"/>
    </row>
    <row r="429" spans="1:19" s="1" customFormat="1" ht="14.1" customHeight="1" x14ac:dyDescent="0.25">
      <c r="A429" s="86"/>
      <c r="B429" s="86"/>
      <c r="C429" s="86"/>
      <c r="D429" s="86"/>
      <c r="E429" s="86"/>
      <c r="F429" s="86"/>
      <c r="G429" s="86"/>
      <c r="H429" s="86"/>
      <c r="I429" s="86"/>
      <c r="J429" s="86"/>
      <c r="K429" s="86"/>
      <c r="L429" s="86"/>
      <c r="M429" s="86"/>
      <c r="N429" s="86"/>
      <c r="O429" s="86"/>
      <c r="P429" s="86"/>
      <c r="Q429" s="86"/>
      <c r="R429" s="86"/>
      <c r="S429" s="86"/>
    </row>
    <row r="430" spans="1:19" s="1" customFormat="1" ht="14.1" customHeight="1" x14ac:dyDescent="0.25">
      <c r="A430" s="84" t="s">
        <v>54</v>
      </c>
      <c r="B430" s="84"/>
      <c r="C430" s="84"/>
      <c r="D430" s="84"/>
      <c r="E430" s="84"/>
      <c r="F430" s="84"/>
      <c r="G430" s="84"/>
      <c r="H430" s="84"/>
      <c r="I430" s="84"/>
      <c r="J430" s="84"/>
      <c r="K430" s="84"/>
      <c r="L430" s="84"/>
      <c r="M430" s="84"/>
      <c r="N430" s="84"/>
      <c r="O430" s="84"/>
      <c r="P430" s="84"/>
      <c r="Q430" s="84"/>
      <c r="R430" s="84"/>
      <c r="S430" s="84"/>
    </row>
    <row r="431" spans="1:19" s="1" customFormat="1" ht="12.15" customHeight="1" x14ac:dyDescent="0.25">
      <c r="A431" s="85" t="s">
        <v>495</v>
      </c>
      <c r="B431" s="85"/>
      <c r="C431" s="85"/>
      <c r="D431" s="85"/>
      <c r="E431" s="85"/>
      <c r="F431" s="85"/>
      <c r="G431" s="85"/>
      <c r="H431" s="85"/>
      <c r="I431" s="85"/>
      <c r="J431" s="85"/>
      <c r="K431" s="85"/>
      <c r="L431" s="85"/>
      <c r="M431" s="85"/>
      <c r="N431" s="85"/>
      <c r="O431" s="85"/>
      <c r="P431" s="85"/>
      <c r="Q431" s="85"/>
      <c r="R431" s="85"/>
      <c r="S431" s="85"/>
    </row>
    <row r="432" spans="1:19" s="1" customFormat="1" ht="14.1" customHeight="1" x14ac:dyDescent="0.25">
      <c r="A432" s="86"/>
      <c r="B432" s="86"/>
      <c r="C432" s="86"/>
      <c r="D432" s="86"/>
      <c r="E432" s="86"/>
      <c r="F432" s="86"/>
      <c r="G432" s="86"/>
      <c r="H432" s="86"/>
      <c r="I432" s="86"/>
      <c r="J432" s="86"/>
      <c r="K432" s="86"/>
      <c r="L432" s="86"/>
      <c r="M432" s="86"/>
      <c r="N432" s="86"/>
      <c r="O432" s="86"/>
      <c r="P432" s="86"/>
      <c r="Q432" s="86"/>
      <c r="R432" s="86"/>
      <c r="S432" s="86"/>
    </row>
    <row r="433" spans="1:20" s="1" customFormat="1" ht="14.1" customHeight="1" x14ac:dyDescent="0.25">
      <c r="A433" s="84" t="s">
        <v>56</v>
      </c>
      <c r="B433" s="84"/>
      <c r="C433" s="84"/>
      <c r="D433" s="84"/>
      <c r="E433" s="84"/>
      <c r="F433" s="84"/>
      <c r="G433" s="84"/>
      <c r="H433" s="84"/>
      <c r="I433" s="84"/>
      <c r="J433" s="84"/>
      <c r="K433" s="84"/>
      <c r="L433" s="84"/>
      <c r="M433" s="84"/>
      <c r="N433" s="84"/>
      <c r="O433" s="84"/>
      <c r="P433" s="84"/>
      <c r="Q433" s="84"/>
      <c r="R433" s="84"/>
      <c r="S433" s="84"/>
    </row>
    <row r="434" spans="1:20" s="1" customFormat="1" ht="49.2" customHeight="1" x14ac:dyDescent="0.25">
      <c r="A434" s="85" t="s">
        <v>496</v>
      </c>
      <c r="B434" s="85"/>
      <c r="C434" s="85"/>
      <c r="D434" s="85"/>
      <c r="E434" s="85"/>
      <c r="F434" s="85"/>
      <c r="G434" s="85"/>
      <c r="H434" s="85"/>
      <c r="I434" s="85"/>
      <c r="J434" s="85"/>
      <c r="K434" s="85"/>
      <c r="L434" s="85"/>
      <c r="M434" s="85"/>
      <c r="N434" s="85"/>
      <c r="O434" s="85"/>
      <c r="P434" s="85"/>
      <c r="Q434" s="85"/>
      <c r="R434" s="85"/>
      <c r="S434" s="85"/>
    </row>
    <row r="435" spans="1:20" s="1" customFormat="1" ht="72.45" customHeight="1" x14ac:dyDescent="0.25">
      <c r="J435" s="100" t="s">
        <v>0</v>
      </c>
      <c r="K435" s="100"/>
      <c r="L435" s="100"/>
      <c r="M435" s="100"/>
      <c r="N435" s="100"/>
      <c r="O435" s="100"/>
      <c r="P435" s="100"/>
      <c r="Q435" s="100"/>
      <c r="R435" s="100"/>
      <c r="S435" s="100"/>
      <c r="T435" s="100"/>
    </row>
    <row r="436" spans="1:20" s="1" customFormat="1" ht="7.05" customHeight="1" x14ac:dyDescent="0.25"/>
    <row r="437" spans="1:20" s="1" customFormat="1" ht="14.1" customHeight="1" x14ac:dyDescent="0.25">
      <c r="B437" s="101" t="s">
        <v>497</v>
      </c>
      <c r="C437" s="101"/>
      <c r="D437" s="101"/>
      <c r="E437" s="101"/>
      <c r="F437" s="101"/>
      <c r="G437" s="101"/>
      <c r="H437" s="101"/>
      <c r="I437" s="101"/>
      <c r="J437" s="101"/>
      <c r="K437" s="101"/>
      <c r="L437" s="101"/>
      <c r="M437" s="101"/>
      <c r="N437" s="101"/>
      <c r="O437" s="101"/>
      <c r="P437" s="101"/>
      <c r="Q437" s="101"/>
      <c r="R437" s="101"/>
    </row>
    <row r="438" spans="1:20" s="1" customFormat="1" ht="14.1" customHeight="1" x14ac:dyDescent="0.25"/>
    <row r="439" spans="1:20" s="1" customFormat="1" ht="14.1" customHeight="1" x14ac:dyDescent="0.25">
      <c r="A439" s="102" t="s">
        <v>2</v>
      </c>
      <c r="B439" s="102"/>
      <c r="C439" s="102"/>
      <c r="D439" s="103" t="s">
        <v>498</v>
      </c>
      <c r="E439" s="103"/>
      <c r="F439" s="103"/>
      <c r="G439" s="103"/>
      <c r="H439" s="103"/>
      <c r="I439" s="103"/>
      <c r="J439" s="103"/>
      <c r="K439" s="103"/>
      <c r="L439" s="103"/>
      <c r="M439" s="103"/>
      <c r="N439" s="103"/>
      <c r="O439" s="103"/>
      <c r="P439" s="103"/>
      <c r="Q439" s="103"/>
      <c r="R439" s="103"/>
      <c r="S439" s="103"/>
      <c r="T439" s="103"/>
    </row>
    <row r="440" spans="1:20" s="1" customFormat="1" ht="14.1" customHeight="1" x14ac:dyDescent="0.25">
      <c r="A440" s="102" t="s">
        <v>4</v>
      </c>
      <c r="B440" s="102"/>
      <c r="C440" s="103" t="s">
        <v>499</v>
      </c>
      <c r="D440" s="103"/>
      <c r="E440" s="103"/>
      <c r="F440" s="103"/>
      <c r="G440" s="103"/>
      <c r="H440" s="103"/>
      <c r="I440" s="103"/>
      <c r="J440" s="103"/>
      <c r="K440" s="103"/>
      <c r="L440" s="103"/>
      <c r="M440" s="103"/>
      <c r="N440" s="103"/>
      <c r="O440" s="103"/>
      <c r="P440" s="103"/>
      <c r="Q440" s="103"/>
      <c r="R440" s="103"/>
      <c r="S440" s="103"/>
      <c r="T440" s="103"/>
    </row>
    <row r="441" spans="1:20" s="1" customFormat="1" ht="14.1" customHeight="1" x14ac:dyDescent="0.25">
      <c r="A441" s="102" t="s">
        <v>6</v>
      </c>
      <c r="B441" s="102"/>
      <c r="C441" s="102"/>
      <c r="D441" s="102"/>
      <c r="E441" s="102"/>
      <c r="F441" s="103" t="s">
        <v>248</v>
      </c>
      <c r="G441" s="103"/>
      <c r="H441" s="103"/>
      <c r="I441" s="103"/>
      <c r="J441" s="103"/>
      <c r="K441" s="103"/>
      <c r="L441" s="103"/>
      <c r="M441" s="103"/>
      <c r="N441" s="103"/>
      <c r="O441" s="103"/>
      <c r="P441" s="103"/>
      <c r="Q441" s="103"/>
      <c r="R441" s="103"/>
      <c r="S441" s="103"/>
      <c r="T441" s="103"/>
    </row>
    <row r="442" spans="1:20" s="1" customFormat="1" ht="22.35" customHeight="1" x14ac:dyDescent="0.25">
      <c r="F442" s="103"/>
      <c r="G442" s="103"/>
      <c r="H442" s="103"/>
      <c r="I442" s="103"/>
      <c r="J442" s="103"/>
      <c r="K442" s="103"/>
      <c r="L442" s="103"/>
      <c r="M442" s="103"/>
      <c r="N442" s="103"/>
      <c r="O442" s="103"/>
      <c r="P442" s="103"/>
      <c r="Q442" s="103"/>
      <c r="R442" s="103"/>
      <c r="S442" s="103"/>
      <c r="T442" s="103"/>
    </row>
    <row r="443" spans="1:20" s="1" customFormat="1" ht="7.05" customHeight="1" x14ac:dyDescent="0.25">
      <c r="A443" s="86"/>
      <c r="B443" s="86"/>
      <c r="C443" s="86"/>
      <c r="D443" s="86"/>
      <c r="E443" s="86"/>
      <c r="F443" s="86"/>
      <c r="G443" s="86"/>
      <c r="H443" s="86"/>
      <c r="I443" s="86"/>
      <c r="J443" s="86"/>
      <c r="K443" s="86"/>
      <c r="L443" s="86"/>
      <c r="M443" s="86"/>
      <c r="N443" s="86"/>
      <c r="O443" s="86"/>
      <c r="P443" s="86"/>
      <c r="Q443" s="16"/>
      <c r="R443" s="86"/>
      <c r="S443" s="86"/>
      <c r="T443" s="86"/>
    </row>
    <row r="444" spans="1:20" s="1" customFormat="1" ht="16.95" customHeight="1" x14ac:dyDescent="0.25">
      <c r="A444" s="94" t="s">
        <v>8</v>
      </c>
      <c r="B444" s="94"/>
      <c r="C444" s="94"/>
      <c r="D444" s="94"/>
      <c r="E444" s="94"/>
      <c r="F444" s="94"/>
      <c r="G444" s="94"/>
      <c r="H444" s="94"/>
      <c r="I444" s="94"/>
      <c r="J444" s="94"/>
      <c r="K444" s="94"/>
      <c r="L444" s="94"/>
      <c r="M444" s="95" t="s">
        <v>9</v>
      </c>
      <c r="N444" s="95"/>
      <c r="O444" s="95"/>
      <c r="P444" s="95"/>
      <c r="Q444" s="95"/>
      <c r="R444" s="95"/>
      <c r="S444" s="95"/>
      <c r="T444" s="95"/>
    </row>
    <row r="445" spans="1:20" s="1" customFormat="1" ht="16.95" customHeight="1" x14ac:dyDescent="0.25">
      <c r="A445" s="94"/>
      <c r="B445" s="94"/>
      <c r="C445" s="94"/>
      <c r="D445" s="94"/>
      <c r="E445" s="94"/>
      <c r="F445" s="94"/>
      <c r="G445" s="94"/>
      <c r="H445" s="94"/>
      <c r="I445" s="94"/>
      <c r="J445" s="94"/>
      <c r="K445" s="94"/>
      <c r="L445" s="94"/>
      <c r="M445" s="96" t="s">
        <v>10</v>
      </c>
      <c r="N445" s="96"/>
      <c r="O445" s="96"/>
      <c r="P445" s="96"/>
      <c r="Q445" s="97" t="s">
        <v>11</v>
      </c>
      <c r="R445" s="97"/>
      <c r="S445" s="97"/>
      <c r="T445" s="97"/>
    </row>
    <row r="446" spans="1:20" s="1" customFormat="1" ht="16.95" customHeight="1" x14ac:dyDescent="0.25">
      <c r="A446" s="94"/>
      <c r="B446" s="94"/>
      <c r="C446" s="94"/>
      <c r="D446" s="94"/>
      <c r="E446" s="94"/>
      <c r="F446" s="94"/>
      <c r="G446" s="94"/>
      <c r="H446" s="94"/>
      <c r="I446" s="94"/>
      <c r="J446" s="94"/>
      <c r="K446" s="94"/>
      <c r="L446" s="94"/>
      <c r="M446" s="98" t="s">
        <v>12</v>
      </c>
      <c r="N446" s="98"/>
      <c r="O446" s="98" t="s">
        <v>13</v>
      </c>
      <c r="P446" s="98"/>
      <c r="Q446" s="13" t="s">
        <v>14</v>
      </c>
      <c r="R446" s="99" t="s">
        <v>15</v>
      </c>
      <c r="S446" s="99"/>
      <c r="T446" s="99"/>
    </row>
    <row r="447" spans="1:20" s="1" customFormat="1" ht="13.35" customHeight="1" x14ac:dyDescent="0.25">
      <c r="A447" s="88" t="s">
        <v>31</v>
      </c>
      <c r="B447" s="88"/>
      <c r="C447" s="88"/>
      <c r="D447" s="88"/>
      <c r="E447" s="88"/>
      <c r="F447" s="88"/>
      <c r="G447" s="88"/>
      <c r="H447" s="88"/>
      <c r="I447" s="88"/>
      <c r="J447" s="88"/>
      <c r="K447" s="88"/>
      <c r="L447" s="88"/>
      <c r="M447" s="88">
        <v>113.4</v>
      </c>
      <c r="N447" s="88"/>
      <c r="O447" s="88">
        <v>79.2</v>
      </c>
      <c r="P447" s="88"/>
      <c r="Q447" s="23">
        <v>11.34</v>
      </c>
      <c r="R447" s="88">
        <v>8.34</v>
      </c>
      <c r="S447" s="88"/>
      <c r="T447" s="88"/>
    </row>
    <row r="448" spans="1:20" s="1" customFormat="1" ht="13.35" customHeight="1" x14ac:dyDescent="0.25">
      <c r="A448" s="88" t="s">
        <v>100</v>
      </c>
      <c r="B448" s="88"/>
      <c r="C448" s="88"/>
      <c r="D448" s="88"/>
      <c r="E448" s="88"/>
      <c r="F448" s="88"/>
      <c r="G448" s="88"/>
      <c r="H448" s="88"/>
      <c r="I448" s="88"/>
      <c r="J448" s="88"/>
      <c r="K448" s="88"/>
      <c r="L448" s="88"/>
      <c r="M448" s="88">
        <f>30*180/150</f>
        <v>36</v>
      </c>
      <c r="N448" s="88"/>
      <c r="O448" s="88">
        <f>24*180/150</f>
        <v>28.8</v>
      </c>
      <c r="P448" s="88"/>
      <c r="Q448" s="23">
        <v>3.6</v>
      </c>
      <c r="R448" s="88">
        <v>2.9</v>
      </c>
      <c r="S448" s="88"/>
      <c r="T448" s="88"/>
    </row>
    <row r="449" spans="1:20" s="1" customFormat="1" ht="13.35" customHeight="1" x14ac:dyDescent="0.25">
      <c r="A449" s="88" t="s">
        <v>21</v>
      </c>
      <c r="B449" s="88"/>
      <c r="C449" s="88"/>
      <c r="D449" s="88"/>
      <c r="E449" s="88"/>
      <c r="F449" s="88"/>
      <c r="G449" s="88"/>
      <c r="H449" s="88"/>
      <c r="I449" s="88"/>
      <c r="J449" s="88"/>
      <c r="K449" s="88"/>
      <c r="L449" s="88"/>
      <c r="M449" s="88">
        <f>15*180/150</f>
        <v>18</v>
      </c>
      <c r="N449" s="88"/>
      <c r="O449" s="88">
        <f>12*180/150</f>
        <v>14.4</v>
      </c>
      <c r="P449" s="88"/>
      <c r="Q449" s="6">
        <v>1.8</v>
      </c>
      <c r="R449" s="88">
        <v>1.44</v>
      </c>
      <c r="S449" s="88"/>
      <c r="T449" s="88"/>
    </row>
    <row r="450" spans="1:20" s="1" customFormat="1" ht="13.35" customHeight="1" x14ac:dyDescent="0.25">
      <c r="A450" s="88" t="s">
        <v>84</v>
      </c>
      <c r="B450" s="88"/>
      <c r="C450" s="88"/>
      <c r="D450" s="88"/>
      <c r="E450" s="88"/>
      <c r="F450" s="88"/>
      <c r="G450" s="88"/>
      <c r="H450" s="88"/>
      <c r="I450" s="88"/>
      <c r="J450" s="88"/>
      <c r="K450" s="88"/>
      <c r="L450" s="88"/>
      <c r="M450" s="88">
        <f>37.5*180/150</f>
        <v>45</v>
      </c>
      <c r="N450" s="88"/>
      <c r="O450" s="88">
        <f>30*180/150</f>
        <v>36</v>
      </c>
      <c r="P450" s="88"/>
      <c r="Q450" s="6">
        <v>4.5</v>
      </c>
      <c r="R450" s="88">
        <v>3.6</v>
      </c>
      <c r="S450" s="88"/>
      <c r="T450" s="88"/>
    </row>
    <row r="451" spans="1:20" s="1" customFormat="1" ht="13.35" customHeight="1" x14ac:dyDescent="0.25">
      <c r="A451" s="88" t="s">
        <v>18</v>
      </c>
      <c r="B451" s="88"/>
      <c r="C451" s="88"/>
      <c r="D451" s="88"/>
      <c r="E451" s="88"/>
      <c r="F451" s="88"/>
      <c r="G451" s="88"/>
      <c r="H451" s="88"/>
      <c r="I451" s="88"/>
      <c r="J451" s="88"/>
      <c r="K451" s="88"/>
      <c r="L451" s="88"/>
      <c r="M451" s="88">
        <f>3*180/150</f>
        <v>3.6</v>
      </c>
      <c r="N451" s="88"/>
      <c r="O451" s="88">
        <v>3.6</v>
      </c>
      <c r="P451" s="88"/>
      <c r="Q451" s="6" t="s">
        <v>176</v>
      </c>
      <c r="R451" s="88" t="s">
        <v>176</v>
      </c>
      <c r="S451" s="88"/>
      <c r="T451" s="88"/>
    </row>
    <row r="452" spans="1:20" s="1" customFormat="1" ht="13.35" customHeight="1" x14ac:dyDescent="0.25">
      <c r="A452" s="88" t="s">
        <v>61</v>
      </c>
      <c r="B452" s="88"/>
      <c r="C452" s="88"/>
      <c r="D452" s="88"/>
      <c r="E452" s="88"/>
      <c r="F452" s="88"/>
      <c r="G452" s="88"/>
      <c r="H452" s="88"/>
      <c r="I452" s="88"/>
      <c r="J452" s="88"/>
      <c r="K452" s="88"/>
      <c r="L452" s="88"/>
      <c r="M452" s="88">
        <f>3*180/150</f>
        <v>3.6</v>
      </c>
      <c r="N452" s="88"/>
      <c r="O452" s="88">
        <v>3.6</v>
      </c>
      <c r="P452" s="88"/>
      <c r="Q452" s="6" t="s">
        <v>176</v>
      </c>
      <c r="R452" s="88" t="s">
        <v>176</v>
      </c>
      <c r="S452" s="88"/>
      <c r="T452" s="88"/>
    </row>
    <row r="453" spans="1:20" s="1" customFormat="1" ht="13.35" customHeight="1" x14ac:dyDescent="0.25">
      <c r="A453" s="131" t="s">
        <v>500</v>
      </c>
      <c r="B453" s="131"/>
      <c r="C453" s="131"/>
      <c r="D453" s="131"/>
      <c r="E453" s="131"/>
      <c r="F453" s="131"/>
      <c r="G453" s="131"/>
      <c r="H453" s="131"/>
      <c r="I453" s="131"/>
      <c r="J453" s="131"/>
      <c r="K453" s="131"/>
      <c r="L453" s="131"/>
      <c r="M453" s="131"/>
      <c r="N453" s="131"/>
      <c r="O453" s="131">
        <v>54</v>
      </c>
      <c r="P453" s="131"/>
      <c r="Q453" s="15"/>
      <c r="R453" s="131" t="s">
        <v>152</v>
      </c>
      <c r="S453" s="131"/>
      <c r="T453" s="131"/>
    </row>
    <row r="454" spans="1:20" s="1" customFormat="1" ht="13.35" customHeight="1" x14ac:dyDescent="0.25">
      <c r="A454" s="88" t="s">
        <v>129</v>
      </c>
      <c r="B454" s="88"/>
      <c r="C454" s="88"/>
      <c r="D454" s="88"/>
      <c r="E454" s="88"/>
      <c r="F454" s="88"/>
      <c r="G454" s="88"/>
      <c r="H454" s="88"/>
      <c r="I454" s="88"/>
      <c r="J454" s="88"/>
      <c r="K454" s="88"/>
      <c r="L454" s="88"/>
      <c r="M454" s="88">
        <f>11.25*54/45</f>
        <v>13.5</v>
      </c>
      <c r="N454" s="88"/>
      <c r="O454" s="88">
        <v>13.5</v>
      </c>
      <c r="P454" s="88"/>
      <c r="Q454" s="6">
        <v>1.35</v>
      </c>
      <c r="R454" s="88">
        <v>1.35</v>
      </c>
      <c r="S454" s="88"/>
      <c r="T454" s="88"/>
    </row>
    <row r="455" spans="1:20" s="1" customFormat="1" ht="13.35" customHeight="1" x14ac:dyDescent="0.25">
      <c r="A455" s="88" t="s">
        <v>28</v>
      </c>
      <c r="B455" s="88"/>
      <c r="C455" s="88"/>
      <c r="D455" s="88"/>
      <c r="E455" s="88"/>
      <c r="F455" s="88"/>
      <c r="G455" s="88"/>
      <c r="H455" s="88"/>
      <c r="I455" s="88"/>
      <c r="J455" s="88"/>
      <c r="K455" s="88"/>
      <c r="L455" s="88"/>
      <c r="M455" s="88">
        <f>3.37*54/45</f>
        <v>4.0440000000000005</v>
      </c>
      <c r="N455" s="88"/>
      <c r="O455" s="88">
        <v>4.0439999999999996</v>
      </c>
      <c r="P455" s="88"/>
      <c r="Q455" s="6">
        <v>0.4</v>
      </c>
      <c r="R455" s="88">
        <v>0.4</v>
      </c>
      <c r="S455" s="88"/>
      <c r="T455" s="88"/>
    </row>
    <row r="456" spans="1:20" s="1" customFormat="1" ht="13.35" customHeight="1" x14ac:dyDescent="0.25">
      <c r="A456" s="88" t="s">
        <v>114</v>
      </c>
      <c r="B456" s="88"/>
      <c r="C456" s="88"/>
      <c r="D456" s="88"/>
      <c r="E456" s="88"/>
      <c r="F456" s="88"/>
      <c r="G456" s="88"/>
      <c r="H456" s="88"/>
      <c r="I456" s="88"/>
      <c r="J456" s="88"/>
      <c r="K456" s="88"/>
      <c r="L456" s="88"/>
      <c r="M456" s="88">
        <f>33.75*54/45</f>
        <v>40.5</v>
      </c>
      <c r="N456" s="88"/>
      <c r="O456" s="88">
        <v>40.5</v>
      </c>
      <c r="P456" s="88"/>
      <c r="Q456" s="6">
        <v>4.05</v>
      </c>
      <c r="R456" s="88">
        <v>4.05</v>
      </c>
      <c r="S456" s="88"/>
      <c r="T456" s="88"/>
    </row>
    <row r="457" spans="1:20" s="1" customFormat="1" ht="14.1" customHeight="1" x14ac:dyDescent="0.25">
      <c r="A457" s="90" t="s">
        <v>217</v>
      </c>
      <c r="B457" s="90"/>
      <c r="C457" s="90"/>
      <c r="D457" s="90"/>
      <c r="E457" s="90"/>
      <c r="F457" s="90"/>
      <c r="G457" s="90"/>
      <c r="H457" s="90"/>
      <c r="I457" s="90"/>
      <c r="J457" s="90"/>
      <c r="K457" s="90"/>
      <c r="L457" s="90"/>
      <c r="M457" s="90"/>
      <c r="N457" s="90"/>
      <c r="O457" s="90"/>
      <c r="P457" s="90"/>
      <c r="Q457" s="90"/>
      <c r="R457" s="90"/>
      <c r="S457" s="90"/>
      <c r="T457" s="90"/>
    </row>
    <row r="458" spans="1:20" s="1" customFormat="1" ht="21.3" customHeight="1" x14ac:dyDescent="0.25"/>
    <row r="459" spans="1:20" s="1" customFormat="1" ht="14.1" customHeight="1" x14ac:dyDescent="0.25">
      <c r="A459" s="91" t="s">
        <v>33</v>
      </c>
      <c r="B459" s="91"/>
      <c r="C459" s="91"/>
      <c r="D459" s="91"/>
      <c r="E459" s="91"/>
      <c r="F459" s="91"/>
      <c r="G459" s="91"/>
      <c r="H459" s="91"/>
      <c r="I459" s="91"/>
      <c r="J459" s="91"/>
      <c r="K459" s="91"/>
      <c r="L459" s="91"/>
      <c r="M459" s="91"/>
      <c r="N459" s="91"/>
    </row>
    <row r="460" spans="1:20" s="1" customFormat="1" ht="13.35" customHeight="1" x14ac:dyDescent="0.25">
      <c r="A460" s="88" t="s">
        <v>34</v>
      </c>
      <c r="B460" s="88"/>
      <c r="C460" s="88"/>
      <c r="D460" s="88"/>
      <c r="E460" s="89">
        <f>3.96*180/150</f>
        <v>4.7519999999999998</v>
      </c>
      <c r="F460" s="89"/>
      <c r="G460" s="17"/>
      <c r="H460" s="6" t="s">
        <v>35</v>
      </c>
      <c r="I460" s="89">
        <v>0.09</v>
      </c>
      <c r="J460" s="89"/>
      <c r="K460" s="17"/>
      <c r="L460" s="88" t="s">
        <v>36</v>
      </c>
      <c r="M460" s="88"/>
      <c r="N460" s="89">
        <v>43.59</v>
      </c>
      <c r="O460" s="89"/>
    </row>
    <row r="461" spans="1:20" s="1" customFormat="1" ht="13.35" customHeight="1" x14ac:dyDescent="0.25">
      <c r="A461" s="88" t="s">
        <v>37</v>
      </c>
      <c r="B461" s="88"/>
      <c r="C461" s="88"/>
      <c r="D461" s="88"/>
      <c r="E461" s="89">
        <f>9.99*180/150</f>
        <v>11.988</v>
      </c>
      <c r="F461" s="89"/>
      <c r="G461" s="17"/>
      <c r="H461" s="6" t="s">
        <v>38</v>
      </c>
      <c r="I461" s="89">
        <v>12.43</v>
      </c>
      <c r="J461" s="89"/>
      <c r="K461" s="17"/>
      <c r="L461" s="88" t="s">
        <v>39</v>
      </c>
      <c r="M461" s="88"/>
      <c r="N461" s="89">
        <v>27.65</v>
      </c>
      <c r="O461" s="89"/>
    </row>
    <row r="462" spans="1:20" s="1" customFormat="1" ht="13.35" customHeight="1" x14ac:dyDescent="0.25">
      <c r="A462" s="88" t="s">
        <v>40</v>
      </c>
      <c r="B462" s="88"/>
      <c r="C462" s="88"/>
      <c r="D462" s="88"/>
      <c r="E462" s="89">
        <f>16.57*180/150</f>
        <v>19.884</v>
      </c>
      <c r="F462" s="89"/>
      <c r="G462" s="17"/>
      <c r="H462" s="6" t="s">
        <v>41</v>
      </c>
      <c r="I462" s="89">
        <v>0.37</v>
      </c>
      <c r="J462" s="89"/>
      <c r="K462" s="17"/>
      <c r="L462" s="88" t="s">
        <v>42</v>
      </c>
      <c r="M462" s="88"/>
      <c r="N462" s="89">
        <v>64.239999999999995</v>
      </c>
      <c r="O462" s="89"/>
    </row>
    <row r="463" spans="1:20" s="1" customFormat="1" ht="13.35" customHeight="1" x14ac:dyDescent="0.25">
      <c r="A463" s="88" t="s">
        <v>43</v>
      </c>
      <c r="B463" s="88"/>
      <c r="C463" s="88"/>
      <c r="D463" s="88"/>
      <c r="E463" s="89">
        <f>202.86*180/150</f>
        <v>243.43200000000002</v>
      </c>
      <c r="F463" s="89"/>
      <c r="G463" s="17"/>
      <c r="H463" s="6" t="s">
        <v>44</v>
      </c>
      <c r="I463" s="89">
        <v>1.58</v>
      </c>
      <c r="J463" s="89"/>
      <c r="K463" s="17"/>
      <c r="L463" s="88" t="s">
        <v>45</v>
      </c>
      <c r="M463" s="88"/>
      <c r="N463" s="89">
        <v>1.1399999999999999</v>
      </c>
      <c r="O463" s="89"/>
    </row>
    <row r="464" spans="1:20" s="1" customFormat="1" ht="13.35" customHeight="1" x14ac:dyDescent="0.25">
      <c r="A464" s="87"/>
      <c r="B464" s="87"/>
      <c r="C464" s="87"/>
      <c r="D464" s="87"/>
      <c r="E464" s="87"/>
      <c r="F464" s="87"/>
      <c r="G464" s="17"/>
      <c r="H464" s="6" t="s">
        <v>46</v>
      </c>
      <c r="I464" s="89">
        <v>0.05</v>
      </c>
      <c r="J464" s="89"/>
      <c r="K464" s="17"/>
      <c r="L464" s="88" t="s">
        <v>47</v>
      </c>
      <c r="M464" s="88"/>
      <c r="N464" s="89">
        <v>508.05</v>
      </c>
      <c r="O464" s="89"/>
    </row>
    <row r="465" spans="1:20" s="1" customFormat="1" ht="13.35" customHeight="1" x14ac:dyDescent="0.25">
      <c r="A465" s="87"/>
      <c r="B465" s="87"/>
      <c r="C465" s="87"/>
      <c r="D465" s="87"/>
      <c r="E465" s="87"/>
      <c r="F465" s="87"/>
      <c r="G465" s="17"/>
      <c r="H465" s="6" t="s">
        <v>48</v>
      </c>
      <c r="I465" s="89">
        <v>7.0000000000000007E-2</v>
      </c>
      <c r="J465" s="89"/>
      <c r="K465" s="17"/>
      <c r="L465" s="88" t="s">
        <v>49</v>
      </c>
      <c r="M465" s="88"/>
      <c r="N465" s="89">
        <v>6.18</v>
      </c>
      <c r="O465" s="89"/>
    </row>
    <row r="466" spans="1:20" s="1" customFormat="1" ht="13.35" customHeight="1" x14ac:dyDescent="0.25">
      <c r="A466" s="87"/>
      <c r="B466" s="87"/>
      <c r="C466" s="87"/>
      <c r="D466" s="87"/>
      <c r="E466" s="87"/>
      <c r="F466" s="87"/>
      <c r="G466" s="17"/>
      <c r="H466" s="17"/>
      <c r="I466" s="87"/>
      <c r="J466" s="87"/>
      <c r="K466" s="17"/>
      <c r="L466" s="88" t="s">
        <v>50</v>
      </c>
      <c r="M466" s="88"/>
      <c r="N466" s="89">
        <v>0.04</v>
      </c>
      <c r="O466" s="89"/>
    </row>
    <row r="467" spans="1:20" s="1" customFormat="1" ht="13.35" customHeight="1" x14ac:dyDescent="0.25">
      <c r="A467" s="87"/>
      <c r="B467" s="87"/>
      <c r="C467" s="87"/>
      <c r="D467" s="87"/>
      <c r="E467" s="87"/>
      <c r="F467" s="87"/>
      <c r="G467" s="17"/>
      <c r="H467" s="17"/>
      <c r="I467" s="87"/>
      <c r="J467" s="87"/>
      <c r="K467" s="17"/>
      <c r="L467" s="88" t="s">
        <v>51</v>
      </c>
      <c r="M467" s="88"/>
      <c r="N467" s="89">
        <v>0</v>
      </c>
      <c r="O467" s="89"/>
    </row>
    <row r="468" spans="1:20" s="1" customFormat="1" ht="14.1" customHeight="1" x14ac:dyDescent="0.25">
      <c r="A468" s="86"/>
      <c r="B468" s="86"/>
      <c r="C468" s="86"/>
      <c r="D468" s="86"/>
      <c r="E468" s="86"/>
      <c r="F468" s="86"/>
      <c r="G468" s="86"/>
      <c r="H468" s="86"/>
      <c r="I468" s="86"/>
      <c r="J468" s="86"/>
      <c r="K468" s="86"/>
      <c r="L468" s="86"/>
      <c r="M468" s="86"/>
      <c r="N468" s="86"/>
      <c r="O468" s="86"/>
      <c r="P468" s="86"/>
      <c r="Q468" s="86"/>
      <c r="R468" s="86"/>
      <c r="S468" s="86"/>
    </row>
    <row r="469" spans="1:20" s="1" customFormat="1" ht="14.1" customHeight="1" x14ac:dyDescent="0.25">
      <c r="A469" s="84" t="s">
        <v>52</v>
      </c>
      <c r="B469" s="84"/>
      <c r="C469" s="84"/>
      <c r="D469" s="84"/>
      <c r="E469" s="84"/>
      <c r="F469" s="84"/>
      <c r="G469" s="84"/>
      <c r="H469" s="84"/>
      <c r="I469" s="84"/>
      <c r="J469" s="84"/>
      <c r="K469" s="84"/>
      <c r="L469" s="84"/>
      <c r="M469" s="84"/>
      <c r="N469" s="84"/>
      <c r="O469" s="84"/>
      <c r="P469" s="84"/>
      <c r="Q469" s="84"/>
      <c r="R469" s="84"/>
      <c r="S469" s="84"/>
    </row>
    <row r="470" spans="1:20" s="1" customFormat="1" ht="104.4" customHeight="1" x14ac:dyDescent="0.25">
      <c r="A470" s="85" t="s">
        <v>501</v>
      </c>
      <c r="B470" s="85"/>
      <c r="C470" s="85"/>
      <c r="D470" s="85"/>
      <c r="E470" s="85"/>
      <c r="F470" s="85"/>
      <c r="G470" s="85"/>
      <c r="H470" s="85"/>
      <c r="I470" s="85"/>
      <c r="J470" s="85"/>
      <c r="K470" s="85"/>
      <c r="L470" s="85"/>
      <c r="M470" s="85"/>
      <c r="N470" s="85"/>
      <c r="O470" s="85"/>
      <c r="P470" s="85"/>
      <c r="Q470" s="85"/>
      <c r="R470" s="85"/>
      <c r="S470" s="85"/>
    </row>
    <row r="471" spans="1:20" s="1" customFormat="1" ht="14.1" customHeight="1" x14ac:dyDescent="0.25">
      <c r="A471" s="84" t="s">
        <v>54</v>
      </c>
      <c r="B471" s="84"/>
      <c r="C471" s="84"/>
      <c r="D471" s="84"/>
      <c r="E471" s="84"/>
      <c r="F471" s="84"/>
      <c r="G471" s="84"/>
      <c r="H471" s="84"/>
      <c r="I471" s="84"/>
      <c r="J471" s="84"/>
      <c r="K471" s="84"/>
      <c r="L471" s="84"/>
      <c r="M471" s="84"/>
      <c r="N471" s="84"/>
      <c r="O471" s="84"/>
      <c r="P471" s="84"/>
      <c r="Q471" s="84"/>
      <c r="R471" s="84"/>
      <c r="S471" s="84"/>
    </row>
    <row r="472" spans="1:20" s="1" customFormat="1" ht="12.15" customHeight="1" x14ac:dyDescent="0.25">
      <c r="A472" s="85" t="s">
        <v>495</v>
      </c>
      <c r="B472" s="85"/>
      <c r="C472" s="85"/>
      <c r="D472" s="85"/>
      <c r="E472" s="85"/>
      <c r="F472" s="85"/>
      <c r="G472" s="85"/>
      <c r="H472" s="85"/>
      <c r="I472" s="85"/>
      <c r="J472" s="85"/>
      <c r="K472" s="85"/>
      <c r="L472" s="85"/>
      <c r="M472" s="85"/>
      <c r="N472" s="85"/>
      <c r="O472" s="85"/>
      <c r="P472" s="85"/>
      <c r="Q472" s="85"/>
      <c r="R472" s="85"/>
      <c r="S472" s="85"/>
    </row>
    <row r="473" spans="1:20" s="1" customFormat="1" ht="14.1" customHeight="1" x14ac:dyDescent="0.25">
      <c r="A473" s="86"/>
      <c r="B473" s="86"/>
      <c r="C473" s="86"/>
      <c r="D473" s="86"/>
      <c r="E473" s="86"/>
      <c r="F473" s="86"/>
      <c r="G473" s="86"/>
      <c r="H473" s="86"/>
      <c r="I473" s="86"/>
      <c r="J473" s="86"/>
      <c r="K473" s="86"/>
      <c r="L473" s="86"/>
      <c r="M473" s="86"/>
      <c r="N473" s="86"/>
      <c r="O473" s="86"/>
      <c r="P473" s="86"/>
      <c r="Q473" s="86"/>
      <c r="R473" s="86"/>
      <c r="S473" s="86"/>
    </row>
    <row r="474" spans="1:20" s="1" customFormat="1" ht="14.1" customHeight="1" x14ac:dyDescent="0.25">
      <c r="A474" s="84" t="s">
        <v>56</v>
      </c>
      <c r="B474" s="84"/>
      <c r="C474" s="84"/>
      <c r="D474" s="84"/>
      <c r="E474" s="84"/>
      <c r="F474" s="84"/>
      <c r="G474" s="84"/>
      <c r="H474" s="84"/>
      <c r="I474" s="84"/>
      <c r="J474" s="84"/>
      <c r="K474" s="84"/>
      <c r="L474" s="84"/>
      <c r="M474" s="84"/>
      <c r="N474" s="84"/>
      <c r="O474" s="84"/>
      <c r="P474" s="84"/>
      <c r="Q474" s="84"/>
      <c r="R474" s="84"/>
      <c r="S474" s="84"/>
    </row>
    <row r="475" spans="1:20" s="1" customFormat="1" ht="49.2" customHeight="1" x14ac:dyDescent="0.25">
      <c r="A475" s="85" t="s">
        <v>502</v>
      </c>
      <c r="B475" s="85"/>
      <c r="C475" s="85"/>
      <c r="D475" s="85"/>
      <c r="E475" s="85"/>
      <c r="F475" s="85"/>
      <c r="G475" s="85"/>
      <c r="H475" s="85"/>
      <c r="I475" s="85"/>
      <c r="J475" s="85"/>
      <c r="K475" s="85"/>
      <c r="L475" s="85"/>
      <c r="M475" s="85"/>
      <c r="N475" s="85"/>
      <c r="O475" s="85"/>
      <c r="P475" s="85"/>
      <c r="Q475" s="85"/>
      <c r="R475" s="85"/>
      <c r="S475" s="85"/>
    </row>
    <row r="477" spans="1:20" s="1" customFormat="1" ht="72.45" customHeight="1" x14ac:dyDescent="0.25">
      <c r="J477" s="100" t="s">
        <v>0</v>
      </c>
      <c r="K477" s="100"/>
      <c r="L477" s="100"/>
      <c r="M477" s="100"/>
      <c r="N477" s="100"/>
      <c r="O477" s="100"/>
      <c r="P477" s="100"/>
      <c r="Q477" s="100"/>
      <c r="R477" s="100"/>
      <c r="S477" s="100"/>
      <c r="T477" s="100"/>
    </row>
    <row r="478" spans="1:20" s="1" customFormat="1" ht="7.05" customHeight="1" x14ac:dyDescent="0.25"/>
    <row r="479" spans="1:20" s="1" customFormat="1" ht="14.1" customHeight="1" x14ac:dyDescent="0.25">
      <c r="B479" s="101" t="s">
        <v>695</v>
      </c>
      <c r="C479" s="101"/>
      <c r="D479" s="101"/>
      <c r="E479" s="101"/>
      <c r="F479" s="101"/>
      <c r="G479" s="101"/>
      <c r="H479" s="101"/>
      <c r="I479" s="101"/>
      <c r="J479" s="101"/>
      <c r="K479" s="101"/>
      <c r="L479" s="101"/>
      <c r="M479" s="101"/>
      <c r="N479" s="101"/>
      <c r="O479" s="101"/>
      <c r="P479" s="101"/>
      <c r="Q479" s="101"/>
      <c r="R479" s="101"/>
    </row>
    <row r="480" spans="1:20" s="1" customFormat="1" ht="14.1" customHeight="1" x14ac:dyDescent="0.25"/>
    <row r="481" spans="1:20" s="1" customFormat="1" ht="14.1" customHeight="1" x14ac:dyDescent="0.25">
      <c r="A481" s="102" t="s">
        <v>2</v>
      </c>
      <c r="B481" s="102"/>
      <c r="C481" s="102"/>
      <c r="D481" s="103" t="s">
        <v>199</v>
      </c>
      <c r="E481" s="103"/>
      <c r="F481" s="103"/>
      <c r="G481" s="103"/>
      <c r="H481" s="103"/>
      <c r="I481" s="103"/>
      <c r="J481" s="103"/>
      <c r="K481" s="103"/>
      <c r="L481" s="103"/>
      <c r="M481" s="103"/>
      <c r="N481" s="103"/>
      <c r="O481" s="103"/>
      <c r="P481" s="103"/>
      <c r="Q481" s="103"/>
      <c r="R481" s="103"/>
      <c r="S481" s="103"/>
      <c r="T481" s="103"/>
    </row>
    <row r="482" spans="1:20" s="1" customFormat="1" ht="14.1" customHeight="1" x14ac:dyDescent="0.25">
      <c r="A482" s="102" t="s">
        <v>4</v>
      </c>
      <c r="B482" s="102"/>
      <c r="C482" s="103" t="s">
        <v>694</v>
      </c>
      <c r="D482" s="103"/>
      <c r="E482" s="103"/>
      <c r="F482" s="103"/>
      <c r="G482" s="103"/>
      <c r="H482" s="103"/>
      <c r="I482" s="103"/>
      <c r="J482" s="103"/>
      <c r="K482" s="103"/>
      <c r="L482" s="103"/>
      <c r="M482" s="103"/>
      <c r="N482" s="103"/>
      <c r="O482" s="103"/>
      <c r="P482" s="103"/>
      <c r="Q482" s="103"/>
      <c r="R482" s="103"/>
      <c r="S482" s="103"/>
      <c r="T482" s="103"/>
    </row>
    <row r="483" spans="1:20" s="1" customFormat="1" ht="14.1" customHeight="1" x14ac:dyDescent="0.25">
      <c r="A483" s="102" t="s">
        <v>6</v>
      </c>
      <c r="B483" s="102"/>
      <c r="C483" s="102"/>
      <c r="D483" s="102"/>
      <c r="E483" s="102"/>
      <c r="F483" s="103" t="s">
        <v>75</v>
      </c>
      <c r="G483" s="103"/>
      <c r="H483" s="103"/>
      <c r="I483" s="103"/>
      <c r="J483" s="103"/>
      <c r="K483" s="103"/>
      <c r="L483" s="103"/>
      <c r="M483" s="103"/>
      <c r="N483" s="103"/>
      <c r="O483" s="103"/>
      <c r="P483" s="103"/>
      <c r="Q483" s="103"/>
      <c r="R483" s="103"/>
      <c r="S483" s="103"/>
      <c r="T483" s="103"/>
    </row>
    <row r="484" spans="1:20" s="1" customFormat="1" ht="1.35" customHeight="1" x14ac:dyDescent="0.25"/>
    <row r="485" spans="1:20" s="1" customFormat="1" ht="13.2" x14ac:dyDescent="0.25">
      <c r="A485" s="115" t="s">
        <v>686</v>
      </c>
      <c r="B485" s="119"/>
      <c r="C485" s="119"/>
      <c r="D485" s="119"/>
      <c r="E485" s="119"/>
      <c r="F485" s="119"/>
      <c r="G485" s="119"/>
      <c r="H485" s="119"/>
      <c r="I485" s="119"/>
      <c r="J485" s="119"/>
      <c r="K485" s="119"/>
      <c r="L485" s="119"/>
      <c r="M485" s="119"/>
      <c r="N485" s="119"/>
      <c r="O485" s="119"/>
      <c r="P485" s="119"/>
      <c r="Q485" s="119"/>
      <c r="R485" s="119"/>
      <c r="S485" s="119"/>
    </row>
    <row r="486" spans="1:20" s="1" customFormat="1" ht="49.95" customHeight="1" x14ac:dyDescent="0.25">
      <c r="A486" s="146" t="s">
        <v>696</v>
      </c>
      <c r="B486" s="119"/>
      <c r="C486" s="119"/>
      <c r="D486" s="119"/>
      <c r="E486" s="119"/>
      <c r="F486" s="119"/>
      <c r="G486" s="119"/>
      <c r="H486" s="119"/>
      <c r="I486" s="119"/>
      <c r="J486" s="119"/>
      <c r="K486" s="119"/>
      <c r="L486" s="119"/>
      <c r="M486" s="119"/>
      <c r="N486" s="119"/>
      <c r="O486" s="119"/>
      <c r="P486" s="119"/>
      <c r="Q486" s="119"/>
      <c r="R486" s="119"/>
      <c r="S486" s="119"/>
    </row>
    <row r="487" spans="1:20" s="1" customFormat="1" ht="7.05" customHeight="1" x14ac:dyDescent="0.25">
      <c r="A487" s="86"/>
      <c r="B487" s="86"/>
      <c r="C487" s="86"/>
      <c r="D487" s="86"/>
      <c r="E487" s="86"/>
      <c r="F487" s="86"/>
      <c r="G487" s="86"/>
      <c r="H487" s="86"/>
      <c r="I487" s="86"/>
      <c r="J487" s="86"/>
      <c r="K487" s="86"/>
      <c r="L487" s="86"/>
      <c r="M487" s="86"/>
      <c r="N487" s="86"/>
      <c r="O487" s="86"/>
      <c r="P487" s="86"/>
      <c r="Q487" s="16"/>
      <c r="R487" s="86"/>
      <c r="S487" s="86"/>
      <c r="T487" s="86"/>
    </row>
    <row r="488" spans="1:20" s="1" customFormat="1" ht="16.95" customHeight="1" x14ac:dyDescent="0.25">
      <c r="A488" s="94" t="s">
        <v>8</v>
      </c>
      <c r="B488" s="94"/>
      <c r="C488" s="94"/>
      <c r="D488" s="94"/>
      <c r="E488" s="94"/>
      <c r="F488" s="94"/>
      <c r="G488" s="94"/>
      <c r="H488" s="94"/>
      <c r="I488" s="94"/>
      <c r="J488" s="94"/>
      <c r="K488" s="94"/>
      <c r="L488" s="94"/>
      <c r="M488" s="95" t="s">
        <v>9</v>
      </c>
      <c r="N488" s="95"/>
      <c r="O488" s="95"/>
      <c r="P488" s="95"/>
      <c r="Q488" s="95"/>
      <c r="R488" s="95"/>
      <c r="S488" s="95"/>
      <c r="T488" s="95"/>
    </row>
    <row r="489" spans="1:20" s="1" customFormat="1" ht="16.95" customHeight="1" x14ac:dyDescent="0.25">
      <c r="A489" s="94"/>
      <c r="B489" s="94"/>
      <c r="C489" s="94"/>
      <c r="D489" s="94"/>
      <c r="E489" s="94"/>
      <c r="F489" s="94"/>
      <c r="G489" s="94"/>
      <c r="H489" s="94"/>
      <c r="I489" s="94"/>
      <c r="J489" s="94"/>
      <c r="K489" s="94"/>
      <c r="L489" s="94"/>
      <c r="M489" s="96" t="s">
        <v>10</v>
      </c>
      <c r="N489" s="96"/>
      <c r="O489" s="96"/>
      <c r="P489" s="96"/>
      <c r="Q489" s="97" t="s">
        <v>11</v>
      </c>
      <c r="R489" s="97"/>
      <c r="S489" s="97"/>
      <c r="T489" s="97"/>
    </row>
    <row r="490" spans="1:20" s="1" customFormat="1" ht="16.95" customHeight="1" x14ac:dyDescent="0.25">
      <c r="A490" s="94"/>
      <c r="B490" s="94"/>
      <c r="C490" s="94"/>
      <c r="D490" s="94"/>
      <c r="E490" s="94"/>
      <c r="F490" s="94"/>
      <c r="G490" s="94"/>
      <c r="H490" s="94"/>
      <c r="I490" s="94"/>
      <c r="J490" s="94"/>
      <c r="K490" s="94"/>
      <c r="L490" s="94"/>
      <c r="M490" s="98" t="s">
        <v>12</v>
      </c>
      <c r="N490" s="98"/>
      <c r="O490" s="98" t="s">
        <v>13</v>
      </c>
      <c r="P490" s="98"/>
      <c r="Q490" s="13" t="s">
        <v>14</v>
      </c>
      <c r="R490" s="99" t="s">
        <v>15</v>
      </c>
      <c r="S490" s="99"/>
      <c r="T490" s="99"/>
    </row>
    <row r="491" spans="1:20" s="1" customFormat="1" ht="13.35" customHeight="1" x14ac:dyDescent="0.25">
      <c r="A491" s="88" t="s">
        <v>18</v>
      </c>
      <c r="B491" s="88"/>
      <c r="C491" s="88"/>
      <c r="D491" s="88"/>
      <c r="E491" s="88"/>
      <c r="F491" s="88"/>
      <c r="G491" s="88"/>
      <c r="H491" s="88"/>
      <c r="I491" s="88"/>
      <c r="J491" s="88"/>
      <c r="K491" s="88"/>
      <c r="L491" s="88"/>
      <c r="M491" s="88" t="s">
        <v>82</v>
      </c>
      <c r="N491" s="88"/>
      <c r="O491" s="88" t="s">
        <v>82</v>
      </c>
      <c r="P491" s="88"/>
      <c r="Q491" s="6" t="s">
        <v>83</v>
      </c>
      <c r="R491" s="88" t="s">
        <v>83</v>
      </c>
      <c r="S491" s="88"/>
      <c r="T491" s="88"/>
    </row>
    <row r="492" spans="1:20" s="1" customFormat="1" ht="13.35" customHeight="1" x14ac:dyDescent="0.25">
      <c r="A492" s="88" t="s">
        <v>114</v>
      </c>
      <c r="B492" s="88"/>
      <c r="C492" s="88"/>
      <c r="D492" s="88"/>
      <c r="E492" s="88"/>
      <c r="F492" s="88"/>
      <c r="G492" s="88"/>
      <c r="H492" s="88"/>
      <c r="I492" s="88"/>
      <c r="J492" s="88"/>
      <c r="K492" s="88"/>
      <c r="L492" s="88"/>
      <c r="M492" s="88" t="s">
        <v>543</v>
      </c>
      <c r="N492" s="88"/>
      <c r="O492" s="88" t="s">
        <v>543</v>
      </c>
      <c r="P492" s="88"/>
      <c r="Q492" s="6" t="s">
        <v>544</v>
      </c>
      <c r="R492" s="88" t="s">
        <v>544</v>
      </c>
      <c r="S492" s="88"/>
      <c r="T492" s="88"/>
    </row>
    <row r="493" spans="1:20" s="1" customFormat="1" ht="13.35" customHeight="1" x14ac:dyDescent="0.25">
      <c r="A493" s="88" t="s">
        <v>100</v>
      </c>
      <c r="B493" s="88"/>
      <c r="C493" s="88"/>
      <c r="D493" s="88"/>
      <c r="E493" s="88"/>
      <c r="F493" s="88"/>
      <c r="G493" s="88"/>
      <c r="H493" s="88"/>
      <c r="I493" s="88"/>
      <c r="J493" s="88"/>
      <c r="K493" s="88"/>
      <c r="L493" s="88"/>
      <c r="M493" s="88"/>
      <c r="N493" s="88"/>
      <c r="O493" s="88"/>
      <c r="P493" s="88"/>
      <c r="Q493" s="6"/>
      <c r="R493" s="88"/>
      <c r="S493" s="88"/>
      <c r="T493" s="88"/>
    </row>
    <row r="494" spans="1:20" s="1" customFormat="1" ht="13.35" customHeight="1" x14ac:dyDescent="0.25">
      <c r="A494" s="88" t="s">
        <v>91</v>
      </c>
      <c r="B494" s="88"/>
      <c r="C494" s="88"/>
      <c r="D494" s="88"/>
      <c r="E494" s="88"/>
      <c r="F494" s="88"/>
      <c r="G494" s="88"/>
      <c r="H494" s="88"/>
      <c r="I494" s="88"/>
      <c r="J494" s="88"/>
      <c r="K494" s="88"/>
      <c r="L494" s="88"/>
      <c r="M494" s="88" t="s">
        <v>545</v>
      </c>
      <c r="N494" s="88"/>
      <c r="O494" s="88" t="s">
        <v>546</v>
      </c>
      <c r="P494" s="88"/>
      <c r="Q494" s="6" t="s">
        <v>547</v>
      </c>
      <c r="R494" s="88" t="s">
        <v>303</v>
      </c>
      <c r="S494" s="88"/>
      <c r="T494" s="88"/>
    </row>
    <row r="495" spans="1:20" s="1" customFormat="1" ht="13.35" customHeight="1" x14ac:dyDescent="0.25">
      <c r="A495" s="88" t="s">
        <v>94</v>
      </c>
      <c r="B495" s="88"/>
      <c r="C495" s="88"/>
      <c r="D495" s="88"/>
      <c r="E495" s="88"/>
      <c r="F495" s="88"/>
      <c r="G495" s="88"/>
      <c r="H495" s="88"/>
      <c r="I495" s="88"/>
      <c r="J495" s="88"/>
      <c r="K495" s="88"/>
      <c r="L495" s="88"/>
      <c r="M495" s="88" t="s">
        <v>548</v>
      </c>
      <c r="N495" s="88"/>
      <c r="O495" s="88" t="s">
        <v>546</v>
      </c>
      <c r="P495" s="88"/>
      <c r="Q495" s="6" t="s">
        <v>406</v>
      </c>
      <c r="R495" s="88" t="s">
        <v>303</v>
      </c>
      <c r="S495" s="88"/>
      <c r="T495" s="88"/>
    </row>
    <row r="496" spans="1:20" s="1" customFormat="1" ht="13.35" customHeight="1" x14ac:dyDescent="0.25">
      <c r="A496" s="88" t="s">
        <v>21</v>
      </c>
      <c r="B496" s="88"/>
      <c r="C496" s="88"/>
      <c r="D496" s="88"/>
      <c r="E496" s="88"/>
      <c r="F496" s="88"/>
      <c r="G496" s="88"/>
      <c r="H496" s="88"/>
      <c r="I496" s="88"/>
      <c r="J496" s="88"/>
      <c r="K496" s="88"/>
      <c r="L496" s="88"/>
      <c r="M496" s="88" t="s">
        <v>17</v>
      </c>
      <c r="N496" s="88"/>
      <c r="O496" s="88" t="s">
        <v>62</v>
      </c>
      <c r="P496" s="88"/>
      <c r="Q496" s="6" t="s">
        <v>453</v>
      </c>
      <c r="R496" s="88" t="s">
        <v>63</v>
      </c>
      <c r="S496" s="88"/>
      <c r="T496" s="88"/>
    </row>
    <row r="497" spans="1:20" s="1" customFormat="1" ht="13.35" customHeight="1" x14ac:dyDescent="0.25">
      <c r="A497" s="88" t="s">
        <v>28</v>
      </c>
      <c r="B497" s="88"/>
      <c r="C497" s="88"/>
      <c r="D497" s="88"/>
      <c r="E497" s="88"/>
      <c r="F497" s="88"/>
      <c r="G497" s="88"/>
      <c r="H497" s="88"/>
      <c r="I497" s="88"/>
      <c r="J497" s="88"/>
      <c r="K497" s="88"/>
      <c r="L497" s="88"/>
      <c r="M497" s="88" t="s">
        <v>226</v>
      </c>
      <c r="N497" s="88"/>
      <c r="O497" s="88" t="s">
        <v>226</v>
      </c>
      <c r="P497" s="88"/>
      <c r="Q497" s="6" t="s">
        <v>127</v>
      </c>
      <c r="R497" s="88" t="s">
        <v>127</v>
      </c>
      <c r="S497" s="88"/>
      <c r="T497" s="88"/>
    </row>
    <row r="498" spans="1:20" s="1" customFormat="1" ht="13.35" customHeight="1" x14ac:dyDescent="0.25">
      <c r="A498" s="88" t="s">
        <v>25</v>
      </c>
      <c r="B498" s="88"/>
      <c r="C498" s="88"/>
      <c r="D498" s="88"/>
      <c r="E498" s="88"/>
      <c r="F498" s="88"/>
      <c r="G498" s="88"/>
      <c r="H498" s="88"/>
      <c r="I498" s="88"/>
      <c r="J498" s="88"/>
      <c r="K498" s="88"/>
      <c r="L498" s="88"/>
      <c r="M498" s="88" t="s">
        <v>93</v>
      </c>
      <c r="N498" s="88"/>
      <c r="O498" s="88" t="s">
        <v>93</v>
      </c>
      <c r="P498" s="88"/>
      <c r="Q498" s="6" t="s">
        <v>416</v>
      </c>
      <c r="R498" s="88" t="s">
        <v>416</v>
      </c>
      <c r="S498" s="88"/>
      <c r="T498" s="88"/>
    </row>
    <row r="499" spans="1:20" s="1" customFormat="1" ht="13.35" customHeight="1" x14ac:dyDescent="0.25">
      <c r="A499" s="88" t="s">
        <v>70</v>
      </c>
      <c r="B499" s="88"/>
      <c r="C499" s="88"/>
      <c r="D499" s="88"/>
      <c r="E499" s="88"/>
      <c r="F499" s="88"/>
      <c r="G499" s="88"/>
      <c r="H499" s="88"/>
      <c r="I499" s="88"/>
      <c r="J499" s="88"/>
      <c r="K499" s="88"/>
      <c r="L499" s="88"/>
      <c r="M499" s="88" t="s">
        <v>226</v>
      </c>
      <c r="N499" s="88"/>
      <c r="O499" s="88" t="s">
        <v>226</v>
      </c>
      <c r="P499" s="88"/>
      <c r="Q499" s="6" t="s">
        <v>127</v>
      </c>
      <c r="R499" s="88" t="s">
        <v>127</v>
      </c>
      <c r="S499" s="88"/>
      <c r="T499" s="88"/>
    </row>
    <row r="500" spans="1:20" s="1" customFormat="1" ht="13.35" customHeight="1" x14ac:dyDescent="0.25">
      <c r="A500" s="88" t="s">
        <v>109</v>
      </c>
      <c r="B500" s="88"/>
      <c r="C500" s="88"/>
      <c r="D500" s="88"/>
      <c r="E500" s="88"/>
      <c r="F500" s="88"/>
      <c r="G500" s="88"/>
      <c r="H500" s="88"/>
      <c r="I500" s="88"/>
      <c r="J500" s="88"/>
      <c r="K500" s="88"/>
      <c r="L500" s="88"/>
      <c r="M500" s="88" t="s">
        <v>226</v>
      </c>
      <c r="N500" s="88"/>
      <c r="O500" s="88" t="s">
        <v>226</v>
      </c>
      <c r="P500" s="88"/>
      <c r="Q500" s="6" t="s">
        <v>127</v>
      </c>
      <c r="R500" s="88" t="s">
        <v>127</v>
      </c>
      <c r="S500" s="88"/>
      <c r="T500" s="88"/>
    </row>
    <row r="501" spans="1:20" s="1" customFormat="1" ht="14.1" customHeight="1" x14ac:dyDescent="0.25">
      <c r="A501" s="90" t="s">
        <v>549</v>
      </c>
      <c r="B501" s="90"/>
      <c r="C501" s="90"/>
      <c r="D501" s="90"/>
      <c r="E501" s="90"/>
      <c r="F501" s="90"/>
      <c r="G501" s="90"/>
      <c r="H501" s="90"/>
      <c r="I501" s="90"/>
      <c r="J501" s="90"/>
      <c r="K501" s="90"/>
      <c r="L501" s="90"/>
      <c r="M501" s="90"/>
      <c r="N501" s="90"/>
      <c r="O501" s="90"/>
      <c r="P501" s="90"/>
      <c r="Q501" s="90"/>
      <c r="R501" s="90"/>
      <c r="S501" s="90"/>
      <c r="T501" s="90"/>
    </row>
    <row r="502" spans="1:20" s="1" customFormat="1" ht="21.3" customHeight="1" x14ac:dyDescent="0.25"/>
    <row r="503" spans="1:20" s="1" customFormat="1" ht="14.1" customHeight="1" x14ac:dyDescent="0.25">
      <c r="A503" s="91" t="s">
        <v>33</v>
      </c>
      <c r="B503" s="91"/>
      <c r="C503" s="91"/>
      <c r="D503" s="91"/>
      <c r="E503" s="91"/>
      <c r="F503" s="91"/>
      <c r="G503" s="91"/>
      <c r="H503" s="91"/>
      <c r="I503" s="91"/>
      <c r="J503" s="91"/>
      <c r="K503" s="91"/>
      <c r="L503" s="91"/>
      <c r="M503" s="91"/>
      <c r="N503" s="91"/>
    </row>
    <row r="504" spans="1:20" s="1" customFormat="1" ht="13.35" customHeight="1" x14ac:dyDescent="0.25">
      <c r="A504" s="88" t="s">
        <v>34</v>
      </c>
      <c r="B504" s="88"/>
      <c r="C504" s="88"/>
      <c r="D504" s="88"/>
      <c r="E504" s="89">
        <v>0.3</v>
      </c>
      <c r="F504" s="89"/>
      <c r="G504" s="17"/>
      <c r="H504" s="6" t="s">
        <v>35</v>
      </c>
      <c r="I504" s="89">
        <v>0</v>
      </c>
      <c r="J504" s="89"/>
      <c r="K504" s="17"/>
      <c r="L504" s="88" t="s">
        <v>36</v>
      </c>
      <c r="M504" s="88"/>
      <c r="N504" s="89">
        <v>7.05</v>
      </c>
      <c r="O504" s="89"/>
    </row>
    <row r="505" spans="1:20" s="1" customFormat="1" ht="13.35" customHeight="1" x14ac:dyDescent="0.25">
      <c r="A505" s="88" t="s">
        <v>37</v>
      </c>
      <c r="B505" s="88"/>
      <c r="C505" s="88"/>
      <c r="D505" s="88"/>
      <c r="E505" s="89">
        <v>2.7</v>
      </c>
      <c r="F505" s="89"/>
      <c r="G505" s="17"/>
      <c r="H505" s="6" t="s">
        <v>38</v>
      </c>
      <c r="I505" s="89">
        <v>0.74</v>
      </c>
      <c r="J505" s="89"/>
      <c r="K505" s="17"/>
      <c r="L505" s="88" t="s">
        <v>39</v>
      </c>
      <c r="M505" s="88"/>
      <c r="N505" s="89">
        <v>3.64</v>
      </c>
      <c r="O505" s="89"/>
    </row>
    <row r="506" spans="1:20" s="1" customFormat="1" ht="13.35" customHeight="1" x14ac:dyDescent="0.25">
      <c r="A506" s="88" t="s">
        <v>40</v>
      </c>
      <c r="B506" s="88"/>
      <c r="C506" s="88"/>
      <c r="D506" s="88"/>
      <c r="E506" s="89">
        <v>2.2999999999999998</v>
      </c>
      <c r="F506" s="89"/>
      <c r="G506" s="17"/>
      <c r="H506" s="6" t="s">
        <v>41</v>
      </c>
      <c r="I506" s="89">
        <v>0.1</v>
      </c>
      <c r="J506" s="89"/>
      <c r="K506" s="17"/>
      <c r="L506" s="88" t="s">
        <v>42</v>
      </c>
      <c r="M506" s="88"/>
      <c r="N506" s="89">
        <v>7.36</v>
      </c>
      <c r="O506" s="89"/>
    </row>
    <row r="507" spans="1:20" s="1" customFormat="1" ht="13.35" customHeight="1" x14ac:dyDescent="0.25">
      <c r="A507" s="88" t="s">
        <v>43</v>
      </c>
      <c r="B507" s="88"/>
      <c r="C507" s="88"/>
      <c r="D507" s="88"/>
      <c r="E507" s="89">
        <v>44</v>
      </c>
      <c r="F507" s="89"/>
      <c r="G507" s="17"/>
      <c r="H507" s="6" t="s">
        <v>44</v>
      </c>
      <c r="I507" s="89">
        <v>1.67</v>
      </c>
      <c r="J507" s="89"/>
      <c r="K507" s="17"/>
      <c r="L507" s="88" t="s">
        <v>45</v>
      </c>
      <c r="M507" s="88"/>
      <c r="N507" s="89">
        <v>0.17</v>
      </c>
      <c r="O507" s="89"/>
    </row>
    <row r="508" spans="1:20" s="1" customFormat="1" ht="13.35" customHeight="1" x14ac:dyDescent="0.25">
      <c r="A508" s="87"/>
      <c r="B508" s="87"/>
      <c r="C508" s="87"/>
      <c r="D508" s="87"/>
      <c r="E508" s="87"/>
      <c r="F508" s="87"/>
      <c r="G508" s="17"/>
      <c r="H508" s="6" t="s">
        <v>46</v>
      </c>
      <c r="I508" s="89">
        <v>0</v>
      </c>
      <c r="J508" s="89"/>
      <c r="K508" s="17"/>
      <c r="L508" s="88" t="s">
        <v>47</v>
      </c>
      <c r="M508" s="88"/>
      <c r="N508" s="89">
        <v>40.22</v>
      </c>
      <c r="O508" s="89"/>
    </row>
    <row r="509" spans="1:20" s="1" customFormat="1" ht="13.35" customHeight="1" x14ac:dyDescent="0.25">
      <c r="A509" s="87"/>
      <c r="B509" s="87"/>
      <c r="C509" s="87"/>
      <c r="D509" s="87"/>
      <c r="E509" s="87"/>
      <c r="F509" s="87"/>
      <c r="G509" s="17"/>
      <c r="H509" s="6" t="s">
        <v>48</v>
      </c>
      <c r="I509" s="89">
        <v>0</v>
      </c>
      <c r="J509" s="89"/>
      <c r="K509" s="17"/>
      <c r="L509" s="88" t="s">
        <v>49</v>
      </c>
      <c r="M509" s="88"/>
      <c r="N509" s="89">
        <v>0.61</v>
      </c>
      <c r="O509" s="89"/>
    </row>
    <row r="510" spans="1:20" s="1" customFormat="1" ht="13.35" customHeight="1" x14ac:dyDescent="0.25">
      <c r="A510" s="87"/>
      <c r="B510" s="87"/>
      <c r="C510" s="87"/>
      <c r="D510" s="87"/>
      <c r="E510" s="87"/>
      <c r="F510" s="87"/>
      <c r="G510" s="17"/>
      <c r="H510" s="17"/>
      <c r="I510" s="87"/>
      <c r="J510" s="87"/>
      <c r="K510" s="17"/>
      <c r="L510" s="88" t="s">
        <v>50</v>
      </c>
      <c r="M510" s="88"/>
      <c r="N510" s="89">
        <v>0</v>
      </c>
      <c r="O510" s="89"/>
    </row>
    <row r="511" spans="1:20" s="1" customFormat="1" ht="13.35" customHeight="1" x14ac:dyDescent="0.25">
      <c r="A511" s="87"/>
      <c r="B511" s="87"/>
      <c r="C511" s="87"/>
      <c r="D511" s="87"/>
      <c r="E511" s="87"/>
      <c r="F511" s="87"/>
      <c r="G511" s="17"/>
      <c r="H511" s="17"/>
      <c r="I511" s="87"/>
      <c r="J511" s="87"/>
      <c r="K511" s="17"/>
      <c r="L511" s="88" t="s">
        <v>51</v>
      </c>
      <c r="M511" s="88"/>
      <c r="N511" s="89">
        <v>0</v>
      </c>
      <c r="O511" s="89"/>
    </row>
    <row r="512" spans="1:20" s="1" customFormat="1" ht="14.1" customHeight="1" x14ac:dyDescent="0.25">
      <c r="A512" s="86"/>
      <c r="B512" s="86"/>
      <c r="C512" s="86"/>
      <c r="D512" s="86"/>
      <c r="E512" s="86"/>
      <c r="F512" s="86"/>
      <c r="G512" s="86"/>
      <c r="H512" s="86"/>
      <c r="I512" s="86"/>
      <c r="J512" s="86"/>
      <c r="K512" s="86"/>
      <c r="L512" s="86"/>
      <c r="M512" s="86"/>
      <c r="N512" s="86"/>
      <c r="O512" s="86"/>
      <c r="P512" s="86"/>
      <c r="Q512" s="86"/>
      <c r="R512" s="86"/>
      <c r="S512" s="86"/>
    </row>
    <row r="513" spans="1:20" s="1" customFormat="1" ht="14.1" customHeight="1" x14ac:dyDescent="0.25">
      <c r="A513" s="84" t="s">
        <v>52</v>
      </c>
      <c r="B513" s="84"/>
      <c r="C513" s="84"/>
      <c r="D513" s="84"/>
      <c r="E513" s="84"/>
      <c r="F513" s="84"/>
      <c r="G513" s="84"/>
      <c r="H513" s="84"/>
      <c r="I513" s="84"/>
      <c r="J513" s="84"/>
      <c r="K513" s="84"/>
      <c r="L513" s="84"/>
      <c r="M513" s="84"/>
      <c r="N513" s="84"/>
      <c r="O513" s="84"/>
      <c r="P513" s="84"/>
      <c r="Q513" s="84"/>
      <c r="R513" s="84"/>
      <c r="S513" s="84"/>
    </row>
    <row r="514" spans="1:20" s="1" customFormat="1" ht="30.9" customHeight="1" x14ac:dyDescent="0.25">
      <c r="A514" s="85" t="s">
        <v>550</v>
      </c>
      <c r="B514" s="85"/>
      <c r="C514" s="85"/>
      <c r="D514" s="85"/>
      <c r="E514" s="85"/>
      <c r="F514" s="85"/>
      <c r="G514" s="85"/>
      <c r="H514" s="85"/>
      <c r="I514" s="85"/>
      <c r="J514" s="85"/>
      <c r="K514" s="85"/>
      <c r="L514" s="85"/>
      <c r="M514" s="85"/>
      <c r="N514" s="85"/>
      <c r="O514" s="85"/>
      <c r="P514" s="85"/>
      <c r="Q514" s="85"/>
      <c r="R514" s="85"/>
      <c r="S514" s="85"/>
    </row>
    <row r="515" spans="1:20" s="1" customFormat="1" ht="14.1" customHeight="1" x14ac:dyDescent="0.25">
      <c r="A515" s="86"/>
      <c r="B515" s="86"/>
      <c r="C515" s="86"/>
      <c r="D515" s="86"/>
      <c r="E515" s="86"/>
      <c r="F515" s="86"/>
      <c r="G515" s="86"/>
      <c r="H515" s="86"/>
      <c r="I515" s="86"/>
      <c r="J515" s="86"/>
      <c r="K515" s="86"/>
      <c r="L515" s="86"/>
      <c r="M515" s="86"/>
      <c r="N515" s="86"/>
      <c r="O515" s="86"/>
      <c r="P515" s="86"/>
      <c r="Q515" s="86"/>
      <c r="R515" s="86"/>
      <c r="S515" s="86"/>
    </row>
    <row r="516" spans="1:20" s="1" customFormat="1" ht="14.1" customHeight="1" x14ac:dyDescent="0.25">
      <c r="A516" s="84" t="s">
        <v>56</v>
      </c>
      <c r="B516" s="84"/>
      <c r="C516" s="84"/>
      <c r="D516" s="84"/>
      <c r="E516" s="84"/>
      <c r="F516" s="84"/>
      <c r="G516" s="84"/>
      <c r="H516" s="84"/>
      <c r="I516" s="84"/>
      <c r="J516" s="84"/>
      <c r="K516" s="84"/>
      <c r="L516" s="84"/>
      <c r="M516" s="84"/>
      <c r="N516" s="84"/>
      <c r="O516" s="84"/>
      <c r="P516" s="84"/>
      <c r="Q516" s="84"/>
      <c r="R516" s="84"/>
      <c r="S516" s="84"/>
    </row>
    <row r="517" spans="1:20" s="1" customFormat="1" ht="95.25" customHeight="1" x14ac:dyDescent="0.25">
      <c r="A517" s="85" t="s">
        <v>551</v>
      </c>
      <c r="B517" s="85"/>
      <c r="C517" s="85"/>
      <c r="D517" s="85"/>
      <c r="E517" s="85"/>
      <c r="F517" s="85"/>
      <c r="G517" s="85"/>
      <c r="H517" s="85"/>
      <c r="I517" s="85"/>
      <c r="J517" s="85"/>
      <c r="K517" s="85"/>
      <c r="L517" s="85"/>
      <c r="M517" s="85"/>
      <c r="N517" s="85"/>
      <c r="O517" s="85"/>
      <c r="P517" s="85"/>
      <c r="Q517" s="85"/>
      <c r="R517" s="85"/>
      <c r="S517" s="85"/>
    </row>
    <row r="518" spans="1:20" s="1" customFormat="1" ht="72.45" customHeight="1" x14ac:dyDescent="0.25">
      <c r="J518" s="100" t="s">
        <v>0</v>
      </c>
      <c r="K518" s="100"/>
      <c r="L518" s="100"/>
      <c r="M518" s="100"/>
      <c r="N518" s="100"/>
      <c r="O518" s="100"/>
      <c r="P518" s="100"/>
      <c r="Q518" s="100"/>
      <c r="R518" s="100"/>
      <c r="S518" s="100"/>
      <c r="T518" s="100"/>
    </row>
    <row r="519" spans="1:20" s="1" customFormat="1" ht="7.05" customHeight="1" x14ac:dyDescent="0.25"/>
    <row r="520" spans="1:20" s="1" customFormat="1" ht="14.1" customHeight="1" x14ac:dyDescent="0.25">
      <c r="B520" s="101" t="s">
        <v>747</v>
      </c>
      <c r="C520" s="101"/>
      <c r="D520" s="101"/>
      <c r="E520" s="101"/>
      <c r="F520" s="101"/>
      <c r="G520" s="101"/>
      <c r="H520" s="101"/>
      <c r="I520" s="101"/>
      <c r="J520" s="101"/>
      <c r="K520" s="101"/>
      <c r="L520" s="101"/>
      <c r="M520" s="101"/>
      <c r="N520" s="101"/>
      <c r="O520" s="101"/>
      <c r="P520" s="101"/>
      <c r="Q520" s="101"/>
      <c r="R520" s="101"/>
    </row>
    <row r="521" spans="1:20" s="1" customFormat="1" ht="14.1" customHeight="1" x14ac:dyDescent="0.25"/>
    <row r="522" spans="1:20" s="1" customFormat="1" ht="14.1" customHeight="1" x14ac:dyDescent="0.25">
      <c r="A522" s="102" t="s">
        <v>2</v>
      </c>
      <c r="B522" s="102"/>
      <c r="C522" s="102"/>
      <c r="D522" s="103" t="s">
        <v>762</v>
      </c>
      <c r="E522" s="103"/>
      <c r="F522" s="103"/>
      <c r="G522" s="103"/>
      <c r="H522" s="103"/>
      <c r="I522" s="103"/>
      <c r="J522" s="103"/>
      <c r="K522" s="103"/>
      <c r="L522" s="103"/>
      <c r="M522" s="103"/>
      <c r="N522" s="103"/>
      <c r="O522" s="103"/>
      <c r="P522" s="103"/>
      <c r="Q522" s="103"/>
      <c r="R522" s="103"/>
      <c r="S522" s="103"/>
      <c r="T522" s="103"/>
    </row>
    <row r="523" spans="1:20" s="1" customFormat="1" ht="14.1" customHeight="1" x14ac:dyDescent="0.25">
      <c r="A523" s="102" t="s">
        <v>4</v>
      </c>
      <c r="B523" s="102"/>
      <c r="C523" s="103">
        <v>6</v>
      </c>
      <c r="D523" s="103"/>
      <c r="E523" s="103"/>
      <c r="F523" s="103"/>
      <c r="G523" s="103"/>
      <c r="H523" s="103"/>
      <c r="I523" s="103"/>
      <c r="J523" s="103"/>
      <c r="K523" s="103"/>
      <c r="L523" s="103"/>
      <c r="M523" s="103"/>
      <c r="N523" s="103"/>
      <c r="O523" s="103"/>
      <c r="P523" s="103"/>
      <c r="Q523" s="103"/>
      <c r="R523" s="103"/>
      <c r="S523" s="103"/>
      <c r="T523" s="103"/>
    </row>
    <row r="524" spans="1:20" s="1" customFormat="1" ht="14.1" customHeight="1" x14ac:dyDescent="0.25">
      <c r="A524" s="102" t="s">
        <v>6</v>
      </c>
      <c r="B524" s="102"/>
      <c r="C524" s="102"/>
      <c r="D524" s="102"/>
      <c r="E524" s="102"/>
      <c r="F524" s="103" t="s">
        <v>75</v>
      </c>
      <c r="G524" s="103"/>
      <c r="H524" s="103"/>
      <c r="I524" s="103"/>
      <c r="J524" s="103"/>
      <c r="K524" s="103"/>
      <c r="L524" s="103"/>
      <c r="M524" s="103"/>
      <c r="N524" s="103"/>
      <c r="O524" s="103"/>
      <c r="P524" s="103"/>
      <c r="Q524" s="103"/>
      <c r="R524" s="103"/>
      <c r="S524" s="103"/>
      <c r="T524" s="103"/>
    </row>
    <row r="525" spans="1:20" s="1" customFormat="1" ht="22.35" customHeight="1" x14ac:dyDescent="0.25">
      <c r="F525" s="103"/>
      <c r="G525" s="103"/>
      <c r="H525" s="103"/>
      <c r="I525" s="103"/>
      <c r="J525" s="103"/>
      <c r="K525" s="103"/>
      <c r="L525" s="103"/>
      <c r="M525" s="103"/>
      <c r="N525" s="103"/>
      <c r="O525" s="103"/>
      <c r="P525" s="103"/>
      <c r="Q525" s="103"/>
      <c r="R525" s="103"/>
      <c r="S525" s="103"/>
      <c r="T525" s="103"/>
    </row>
    <row r="526" spans="1:20" s="8" customFormat="1" ht="22.35" customHeight="1" x14ac:dyDescent="0.2">
      <c r="A526" s="149" t="s">
        <v>686</v>
      </c>
      <c r="B526" s="149"/>
      <c r="C526" s="149"/>
      <c r="D526" s="149"/>
      <c r="E526" s="149"/>
      <c r="F526" s="149"/>
      <c r="G526" s="149"/>
      <c r="H526" s="149"/>
      <c r="I526" s="149"/>
      <c r="J526" s="149"/>
      <c r="K526" s="149"/>
      <c r="L526" s="149"/>
      <c r="M526" s="149"/>
      <c r="N526" s="149"/>
      <c r="O526" s="149"/>
      <c r="P526" s="149"/>
      <c r="Q526" s="149"/>
      <c r="R526" s="149"/>
      <c r="S526" s="149"/>
      <c r="T526" s="5"/>
    </row>
    <row r="527" spans="1:20" s="8" customFormat="1" ht="49.95" customHeight="1" x14ac:dyDescent="0.2">
      <c r="A527" s="150" t="s">
        <v>748</v>
      </c>
      <c r="B527" s="150"/>
      <c r="C527" s="150"/>
      <c r="D527" s="150"/>
      <c r="E527" s="150"/>
      <c r="F527" s="150"/>
      <c r="G527" s="150"/>
      <c r="H527" s="150"/>
      <c r="I527" s="150"/>
      <c r="J527" s="150"/>
      <c r="K527" s="150"/>
      <c r="L527" s="150"/>
      <c r="M527" s="150"/>
      <c r="N527" s="150"/>
      <c r="O527" s="150"/>
      <c r="P527" s="150"/>
      <c r="Q527" s="150"/>
      <c r="R527" s="150"/>
      <c r="S527" s="150"/>
      <c r="T527" s="5"/>
    </row>
    <row r="528" spans="1:20" s="1" customFormat="1" ht="7.05" customHeight="1" x14ac:dyDescent="0.25">
      <c r="A528" s="86"/>
      <c r="B528" s="86"/>
      <c r="C528" s="86"/>
      <c r="D528" s="86"/>
      <c r="E528" s="86"/>
      <c r="F528" s="86"/>
      <c r="G528" s="86"/>
      <c r="H528" s="86"/>
      <c r="I528" s="86"/>
      <c r="J528" s="86"/>
      <c r="K528" s="86"/>
      <c r="L528" s="86"/>
      <c r="M528" s="86"/>
      <c r="N528" s="86"/>
      <c r="O528" s="86"/>
      <c r="P528" s="86"/>
      <c r="Q528" s="16"/>
      <c r="R528" s="86"/>
      <c r="S528" s="86"/>
      <c r="T528" s="86"/>
    </row>
    <row r="529" spans="1:20" s="1" customFormat="1" ht="16.95" customHeight="1" x14ac:dyDescent="0.25">
      <c r="A529" s="94" t="s">
        <v>8</v>
      </c>
      <c r="B529" s="94"/>
      <c r="C529" s="94"/>
      <c r="D529" s="94"/>
      <c r="E529" s="94"/>
      <c r="F529" s="94"/>
      <c r="G529" s="94"/>
      <c r="H529" s="94"/>
      <c r="I529" s="94"/>
      <c r="J529" s="94"/>
      <c r="K529" s="94"/>
      <c r="L529" s="94"/>
      <c r="M529" s="95" t="s">
        <v>9</v>
      </c>
      <c r="N529" s="95"/>
      <c r="O529" s="95"/>
      <c r="P529" s="95"/>
      <c r="Q529" s="95"/>
      <c r="R529" s="95"/>
      <c r="S529" s="95"/>
      <c r="T529" s="95"/>
    </row>
    <row r="530" spans="1:20" s="1" customFormat="1" ht="16.95" customHeight="1" x14ac:dyDescent="0.25">
      <c r="A530" s="94"/>
      <c r="B530" s="94"/>
      <c r="C530" s="94"/>
      <c r="D530" s="94"/>
      <c r="E530" s="94"/>
      <c r="F530" s="94"/>
      <c r="G530" s="94"/>
      <c r="H530" s="94"/>
      <c r="I530" s="94"/>
      <c r="J530" s="94"/>
      <c r="K530" s="94"/>
      <c r="L530" s="94"/>
      <c r="M530" s="96" t="s">
        <v>10</v>
      </c>
      <c r="N530" s="96"/>
      <c r="O530" s="96"/>
      <c r="P530" s="96"/>
      <c r="Q530" s="97" t="s">
        <v>11</v>
      </c>
      <c r="R530" s="97"/>
      <c r="S530" s="97"/>
      <c r="T530" s="97"/>
    </row>
    <row r="531" spans="1:20" s="1" customFormat="1" ht="16.95" customHeight="1" x14ac:dyDescent="0.25">
      <c r="A531" s="94"/>
      <c r="B531" s="94"/>
      <c r="C531" s="94"/>
      <c r="D531" s="94"/>
      <c r="E531" s="94"/>
      <c r="F531" s="94"/>
      <c r="G531" s="94"/>
      <c r="H531" s="94"/>
      <c r="I531" s="94"/>
      <c r="J531" s="94"/>
      <c r="K531" s="94"/>
      <c r="L531" s="94"/>
      <c r="M531" s="98" t="s">
        <v>12</v>
      </c>
      <c r="N531" s="98"/>
      <c r="O531" s="98" t="s">
        <v>13</v>
      </c>
      <c r="P531" s="98"/>
      <c r="Q531" s="13" t="s">
        <v>14</v>
      </c>
      <c r="R531" s="99" t="s">
        <v>15</v>
      </c>
      <c r="S531" s="99"/>
      <c r="T531" s="99"/>
    </row>
    <row r="532" spans="1:20" s="1" customFormat="1" ht="13.35" customHeight="1" x14ac:dyDescent="0.25">
      <c r="A532" s="88" t="s">
        <v>222</v>
      </c>
      <c r="B532" s="88"/>
      <c r="C532" s="88"/>
      <c r="D532" s="88"/>
      <c r="E532" s="88"/>
      <c r="F532" s="88"/>
      <c r="G532" s="88"/>
      <c r="H532" s="88"/>
      <c r="I532" s="88"/>
      <c r="J532" s="88"/>
      <c r="K532" s="88"/>
      <c r="L532" s="88"/>
      <c r="M532" s="88">
        <v>219.76</v>
      </c>
      <c r="N532" s="88"/>
      <c r="O532" s="88">
        <v>153.88</v>
      </c>
      <c r="P532" s="88"/>
      <c r="Q532" s="6">
        <v>21.97</v>
      </c>
      <c r="R532" s="88">
        <v>15.38</v>
      </c>
      <c r="S532" s="88"/>
      <c r="T532" s="88"/>
    </row>
    <row r="533" spans="1:20" s="1" customFormat="1" ht="13.35" customHeight="1" x14ac:dyDescent="0.25">
      <c r="A533" s="88" t="s">
        <v>269</v>
      </c>
      <c r="B533" s="88"/>
      <c r="C533" s="88"/>
      <c r="D533" s="88"/>
      <c r="E533" s="88"/>
      <c r="F533" s="88"/>
      <c r="G533" s="88"/>
      <c r="H533" s="88"/>
      <c r="I533" s="88"/>
      <c r="J533" s="88"/>
      <c r="K533" s="88"/>
      <c r="L533" s="88"/>
      <c r="M533" s="88">
        <v>76.94</v>
      </c>
      <c r="N533" s="88"/>
      <c r="O533" s="88">
        <v>53.88</v>
      </c>
      <c r="P533" s="88"/>
      <c r="Q533" s="6">
        <v>7.69</v>
      </c>
      <c r="R533" s="88">
        <v>5.39</v>
      </c>
      <c r="S533" s="88"/>
      <c r="T533" s="88"/>
    </row>
    <row r="534" spans="1:20" s="1" customFormat="1" ht="13.35" customHeight="1" x14ac:dyDescent="0.25">
      <c r="A534" s="88" t="s">
        <v>109</v>
      </c>
      <c r="B534" s="88"/>
      <c r="C534" s="88"/>
      <c r="D534" s="88"/>
      <c r="E534" s="88"/>
      <c r="F534" s="88"/>
      <c r="G534" s="88"/>
      <c r="H534" s="88"/>
      <c r="I534" s="88"/>
      <c r="J534" s="88"/>
      <c r="K534" s="88"/>
      <c r="L534" s="88"/>
      <c r="M534" s="88">
        <v>7.8</v>
      </c>
      <c r="N534" s="88"/>
      <c r="O534" s="88">
        <v>7.8</v>
      </c>
      <c r="P534" s="88"/>
      <c r="Q534" s="6">
        <v>0.78</v>
      </c>
      <c r="R534" s="88">
        <v>0.78</v>
      </c>
      <c r="S534" s="88"/>
      <c r="T534" s="88"/>
    </row>
    <row r="535" spans="1:20" s="1" customFormat="1" ht="13.35" customHeight="1" x14ac:dyDescent="0.25">
      <c r="A535" s="88" t="s">
        <v>61</v>
      </c>
      <c r="B535" s="88"/>
      <c r="C535" s="88"/>
      <c r="D535" s="88"/>
      <c r="E535" s="88"/>
      <c r="F535" s="88"/>
      <c r="G535" s="88"/>
      <c r="H535" s="88"/>
      <c r="I535" s="88"/>
      <c r="J535" s="88"/>
      <c r="K535" s="88"/>
      <c r="L535" s="88"/>
      <c r="M535" s="88">
        <v>7.8</v>
      </c>
      <c r="N535" s="88"/>
      <c r="O535" s="88">
        <v>7.8</v>
      </c>
      <c r="P535" s="88"/>
      <c r="Q535" s="6">
        <v>0.78</v>
      </c>
      <c r="R535" s="88">
        <v>0.78</v>
      </c>
      <c r="S535" s="88"/>
      <c r="T535" s="88"/>
    </row>
    <row r="536" spans="1:20" s="1" customFormat="1" ht="14.1" customHeight="1" x14ac:dyDescent="0.25">
      <c r="A536" s="90" t="s">
        <v>116</v>
      </c>
      <c r="B536" s="90"/>
      <c r="C536" s="90"/>
      <c r="D536" s="90"/>
      <c r="E536" s="90"/>
      <c r="F536" s="90"/>
      <c r="G536" s="90"/>
      <c r="H536" s="90"/>
      <c r="I536" s="90"/>
      <c r="J536" s="90"/>
      <c r="K536" s="90"/>
      <c r="L536" s="90"/>
      <c r="M536" s="90"/>
      <c r="N536" s="90"/>
      <c r="O536" s="90"/>
      <c r="P536" s="90"/>
      <c r="Q536" s="90"/>
      <c r="R536" s="90"/>
      <c r="S536" s="90"/>
      <c r="T536" s="90"/>
    </row>
    <row r="537" spans="1:20" s="1" customFormat="1" ht="21.3" customHeight="1" x14ac:dyDescent="0.25"/>
    <row r="538" spans="1:20" s="1" customFormat="1" ht="14.1" customHeight="1" x14ac:dyDescent="0.25">
      <c r="A538" s="91" t="s">
        <v>33</v>
      </c>
      <c r="B538" s="91"/>
      <c r="C538" s="91"/>
      <c r="D538" s="91"/>
      <c r="E538" s="91"/>
      <c r="F538" s="91"/>
      <c r="G538" s="91"/>
      <c r="H538" s="91"/>
      <c r="I538" s="91"/>
      <c r="J538" s="91"/>
      <c r="K538" s="91"/>
      <c r="L538" s="91"/>
      <c r="M538" s="91"/>
      <c r="N538" s="91"/>
    </row>
    <row r="539" spans="1:20" s="1" customFormat="1" ht="13.35" customHeight="1" x14ac:dyDescent="0.25">
      <c r="A539" s="88" t="s">
        <v>34</v>
      </c>
      <c r="B539" s="88"/>
      <c r="C539" s="88"/>
      <c r="D539" s="88"/>
      <c r="E539" s="89">
        <v>7.47</v>
      </c>
      <c r="F539" s="89"/>
      <c r="G539" s="17"/>
      <c r="H539" s="6" t="s">
        <v>35</v>
      </c>
      <c r="I539" s="89">
        <v>0.08</v>
      </c>
      <c r="J539" s="89"/>
      <c r="K539" s="17"/>
      <c r="L539" s="88" t="s">
        <v>36</v>
      </c>
      <c r="M539" s="88"/>
      <c r="N539" s="89">
        <v>52.35</v>
      </c>
      <c r="O539" s="89"/>
    </row>
    <row r="540" spans="1:20" s="1" customFormat="1" ht="13.35" customHeight="1" x14ac:dyDescent="0.25">
      <c r="A540" s="88" t="s">
        <v>37</v>
      </c>
      <c r="B540" s="88"/>
      <c r="C540" s="88"/>
      <c r="D540" s="88"/>
      <c r="E540" s="89">
        <f>11.1*200/170</f>
        <v>13.058823529411764</v>
      </c>
      <c r="F540" s="89"/>
      <c r="G540" s="17"/>
      <c r="H540" s="6" t="s">
        <v>38</v>
      </c>
      <c r="I540" s="89">
        <v>11.78</v>
      </c>
      <c r="J540" s="89"/>
      <c r="K540" s="17"/>
      <c r="L540" s="88" t="s">
        <v>39</v>
      </c>
      <c r="M540" s="88"/>
      <c r="N540" s="89">
        <v>27.48</v>
      </c>
      <c r="O540" s="89"/>
    </row>
    <row r="541" spans="1:20" s="1" customFormat="1" ht="13.35" customHeight="1" x14ac:dyDescent="0.25">
      <c r="A541" s="88" t="s">
        <v>40</v>
      </c>
      <c r="B541" s="88"/>
      <c r="C541" s="88"/>
      <c r="D541" s="88"/>
      <c r="E541" s="89">
        <v>21.72</v>
      </c>
      <c r="F541" s="89"/>
      <c r="G541" s="17"/>
      <c r="H541" s="6" t="s">
        <v>41</v>
      </c>
      <c r="I541" s="89">
        <v>0.38</v>
      </c>
      <c r="J541" s="89"/>
      <c r="K541" s="17"/>
      <c r="L541" s="88" t="s">
        <v>42</v>
      </c>
      <c r="M541" s="88"/>
      <c r="N541" s="89">
        <v>57.58</v>
      </c>
      <c r="O541" s="89"/>
    </row>
    <row r="542" spans="1:20" s="1" customFormat="1" ht="13.35" customHeight="1" x14ac:dyDescent="0.25">
      <c r="A542" s="88" t="s">
        <v>43</v>
      </c>
      <c r="B542" s="88"/>
      <c r="C542" s="88"/>
      <c r="D542" s="88"/>
      <c r="E542" s="89">
        <f>174*200/170</f>
        <v>204.70588235294119</v>
      </c>
      <c r="F542" s="89"/>
      <c r="G542" s="17"/>
      <c r="H542" s="6" t="s">
        <v>44</v>
      </c>
      <c r="I542" s="89">
        <v>3.14</v>
      </c>
      <c r="J542" s="89"/>
      <c r="K542" s="17"/>
      <c r="L542" s="88" t="s">
        <v>45</v>
      </c>
      <c r="M542" s="88"/>
      <c r="N542" s="89">
        <v>2.62</v>
      </c>
      <c r="O542" s="89"/>
    </row>
    <row r="543" spans="1:20" s="1" customFormat="1" ht="13.35" customHeight="1" x14ac:dyDescent="0.25">
      <c r="A543" s="87"/>
      <c r="B543" s="87"/>
      <c r="C543" s="87"/>
      <c r="D543" s="87"/>
      <c r="E543" s="87"/>
      <c r="F543" s="87"/>
      <c r="G543" s="17"/>
      <c r="H543" s="6" t="s">
        <v>46</v>
      </c>
      <c r="I543" s="89">
        <v>0</v>
      </c>
      <c r="J543" s="89"/>
      <c r="K543" s="17"/>
      <c r="L543" s="88" t="s">
        <v>47</v>
      </c>
      <c r="M543" s="88"/>
      <c r="N543" s="89">
        <v>0</v>
      </c>
      <c r="O543" s="89"/>
    </row>
    <row r="544" spans="1:20" s="1" customFormat="1" ht="13.35" customHeight="1" x14ac:dyDescent="0.25">
      <c r="A544" s="87"/>
      <c r="B544" s="87"/>
      <c r="C544" s="87"/>
      <c r="D544" s="87"/>
      <c r="E544" s="87"/>
      <c r="F544" s="87"/>
      <c r="G544" s="17"/>
      <c r="H544" s="6" t="s">
        <v>48</v>
      </c>
      <c r="I544" s="89">
        <v>0</v>
      </c>
      <c r="J544" s="89"/>
      <c r="K544" s="17"/>
      <c r="L544" s="88" t="s">
        <v>49</v>
      </c>
      <c r="M544" s="88"/>
      <c r="N544" s="89">
        <v>0</v>
      </c>
      <c r="O544" s="89"/>
    </row>
    <row r="545" spans="1:20" s="1" customFormat="1" ht="13.35" customHeight="1" x14ac:dyDescent="0.25">
      <c r="A545" s="87"/>
      <c r="B545" s="87"/>
      <c r="C545" s="87"/>
      <c r="D545" s="87"/>
      <c r="E545" s="87"/>
      <c r="F545" s="87"/>
      <c r="G545" s="17"/>
      <c r="H545" s="17"/>
      <c r="I545" s="87"/>
      <c r="J545" s="87"/>
      <c r="K545" s="17"/>
      <c r="L545" s="88" t="s">
        <v>50</v>
      </c>
      <c r="M545" s="88"/>
      <c r="N545" s="89">
        <v>0</v>
      </c>
      <c r="O545" s="89"/>
    </row>
    <row r="546" spans="1:20" s="1" customFormat="1" ht="13.35" customHeight="1" x14ac:dyDescent="0.25">
      <c r="A546" s="87"/>
      <c r="B546" s="87"/>
      <c r="C546" s="87"/>
      <c r="D546" s="87"/>
      <c r="E546" s="87"/>
      <c r="F546" s="87"/>
      <c r="G546" s="17"/>
      <c r="H546" s="17"/>
      <c r="I546" s="87"/>
      <c r="J546" s="87"/>
      <c r="K546" s="17"/>
      <c r="L546" s="88" t="s">
        <v>51</v>
      </c>
      <c r="M546" s="88"/>
      <c r="N546" s="89">
        <v>0</v>
      </c>
      <c r="O546" s="89"/>
    </row>
    <row r="547" spans="1:20" s="1" customFormat="1" ht="14.1" customHeight="1" x14ac:dyDescent="0.25">
      <c r="A547" s="86"/>
      <c r="B547" s="86"/>
      <c r="C547" s="86"/>
      <c r="D547" s="86"/>
      <c r="E547" s="86"/>
      <c r="F547" s="86"/>
      <c r="G547" s="86"/>
      <c r="H547" s="86"/>
      <c r="I547" s="86"/>
      <c r="J547" s="86"/>
      <c r="K547" s="86"/>
      <c r="L547" s="86"/>
      <c r="M547" s="86"/>
      <c r="N547" s="86"/>
      <c r="O547" s="86"/>
      <c r="P547" s="86"/>
      <c r="Q547" s="86"/>
      <c r="R547" s="86"/>
      <c r="S547" s="86"/>
    </row>
    <row r="548" spans="1:20" s="1" customFormat="1" ht="14.1" customHeight="1" x14ac:dyDescent="0.25">
      <c r="A548" s="84" t="s">
        <v>52</v>
      </c>
      <c r="B548" s="84"/>
      <c r="C548" s="84"/>
      <c r="D548" s="84"/>
      <c r="E548" s="84"/>
      <c r="F548" s="84"/>
      <c r="G548" s="84"/>
      <c r="H548" s="84"/>
      <c r="I548" s="84"/>
      <c r="J548" s="84"/>
      <c r="K548" s="84"/>
      <c r="L548" s="84"/>
      <c r="M548" s="84"/>
      <c r="N548" s="84"/>
      <c r="O548" s="84"/>
      <c r="P548" s="84"/>
      <c r="Q548" s="84"/>
      <c r="R548" s="84"/>
      <c r="S548" s="84"/>
    </row>
    <row r="549" spans="1:20" s="1" customFormat="1" ht="30.9" customHeight="1" x14ac:dyDescent="0.25">
      <c r="A549" s="85" t="s">
        <v>608</v>
      </c>
      <c r="B549" s="85"/>
      <c r="C549" s="85"/>
      <c r="D549" s="85"/>
      <c r="E549" s="85"/>
      <c r="F549" s="85"/>
      <c r="G549" s="85"/>
      <c r="H549" s="85"/>
      <c r="I549" s="85"/>
      <c r="J549" s="85"/>
      <c r="K549" s="85"/>
      <c r="L549" s="85"/>
      <c r="M549" s="85"/>
      <c r="N549" s="85"/>
      <c r="O549" s="85"/>
      <c r="P549" s="85"/>
      <c r="Q549" s="85"/>
      <c r="R549" s="85"/>
      <c r="S549" s="85"/>
    </row>
    <row r="550" spans="1:20" s="1" customFormat="1" ht="14.1" customHeight="1" x14ac:dyDescent="0.25">
      <c r="A550" s="86"/>
      <c r="B550" s="86"/>
      <c r="C550" s="86"/>
      <c r="D550" s="86"/>
      <c r="E550" s="86"/>
      <c r="F550" s="86"/>
      <c r="G550" s="86"/>
      <c r="H550" s="86"/>
      <c r="I550" s="86"/>
      <c r="J550" s="86"/>
      <c r="K550" s="86"/>
      <c r="L550" s="86"/>
      <c r="M550" s="86"/>
      <c r="N550" s="86"/>
      <c r="O550" s="86"/>
      <c r="P550" s="86"/>
      <c r="Q550" s="86"/>
      <c r="R550" s="86"/>
      <c r="S550" s="86"/>
    </row>
    <row r="551" spans="1:20" s="1" customFormat="1" ht="14.1" customHeight="1" x14ac:dyDescent="0.25">
      <c r="A551" s="84" t="s">
        <v>54</v>
      </c>
      <c r="B551" s="84"/>
      <c r="C551" s="84"/>
      <c r="D551" s="84"/>
      <c r="E551" s="84"/>
      <c r="F551" s="84"/>
      <c r="G551" s="84"/>
      <c r="H551" s="84"/>
      <c r="I551" s="84"/>
      <c r="J551" s="84"/>
      <c r="K551" s="84"/>
      <c r="L551" s="84"/>
      <c r="M551" s="84"/>
      <c r="N551" s="84"/>
      <c r="O551" s="84"/>
      <c r="P551" s="84"/>
      <c r="Q551" s="84"/>
      <c r="R551" s="84"/>
      <c r="S551" s="84"/>
    </row>
    <row r="552" spans="1:20" s="1" customFormat="1" ht="12.45" customHeight="1" x14ac:dyDescent="0.25">
      <c r="A552" s="85" t="s">
        <v>609</v>
      </c>
      <c r="B552" s="85"/>
      <c r="C552" s="85"/>
      <c r="D552" s="85"/>
      <c r="E552" s="85"/>
      <c r="F552" s="85"/>
      <c r="G552" s="85"/>
      <c r="H552" s="85"/>
      <c r="I552" s="85"/>
      <c r="J552" s="85"/>
      <c r="K552" s="85"/>
      <c r="L552" s="85"/>
      <c r="M552" s="85"/>
      <c r="N552" s="85"/>
      <c r="O552" s="85"/>
      <c r="P552" s="85"/>
      <c r="Q552" s="85"/>
      <c r="R552" s="85"/>
      <c r="S552" s="85"/>
    </row>
    <row r="553" spans="1:20" s="1" customFormat="1" ht="14.1" customHeight="1" x14ac:dyDescent="0.25">
      <c r="A553" s="86"/>
      <c r="B553" s="86"/>
      <c r="C553" s="86"/>
      <c r="D553" s="86"/>
      <c r="E553" s="86"/>
      <c r="F553" s="86"/>
      <c r="G553" s="86"/>
      <c r="H553" s="86"/>
      <c r="I553" s="86"/>
      <c r="J553" s="86"/>
      <c r="K553" s="86"/>
      <c r="L553" s="86"/>
      <c r="M553" s="86"/>
      <c r="N553" s="86"/>
      <c r="O553" s="86"/>
      <c r="P553" s="86"/>
      <c r="Q553" s="86"/>
      <c r="R553" s="86"/>
      <c r="S553" s="86"/>
    </row>
    <row r="554" spans="1:20" s="1" customFormat="1" ht="14.1" customHeight="1" x14ac:dyDescent="0.25">
      <c r="A554" s="84" t="s">
        <v>56</v>
      </c>
      <c r="B554" s="84"/>
      <c r="C554" s="84"/>
      <c r="D554" s="84"/>
      <c r="E554" s="84"/>
      <c r="F554" s="84"/>
      <c r="G554" s="84"/>
      <c r="H554" s="84"/>
      <c r="I554" s="84"/>
      <c r="J554" s="84"/>
      <c r="K554" s="84"/>
      <c r="L554" s="84"/>
      <c r="M554" s="84"/>
      <c r="N554" s="84"/>
      <c r="O554" s="84"/>
      <c r="P554" s="84"/>
      <c r="Q554" s="84"/>
      <c r="R554" s="84"/>
      <c r="S554" s="84"/>
    </row>
    <row r="555" spans="1:20" s="1" customFormat="1" ht="49.2" customHeight="1" x14ac:dyDescent="0.25">
      <c r="A555" s="85" t="s">
        <v>610</v>
      </c>
      <c r="B555" s="85"/>
      <c r="C555" s="85"/>
      <c r="D555" s="85"/>
      <c r="E555" s="85"/>
      <c r="F555" s="85"/>
      <c r="G555" s="85"/>
      <c r="H555" s="85"/>
      <c r="I555" s="85"/>
      <c r="J555" s="85"/>
      <c r="K555" s="85"/>
      <c r="L555" s="85"/>
      <c r="M555" s="85"/>
      <c r="N555" s="85"/>
      <c r="O555" s="85"/>
      <c r="P555" s="85"/>
      <c r="Q555" s="85"/>
      <c r="R555" s="85"/>
      <c r="S555" s="85"/>
    </row>
    <row r="557" spans="1:20" s="1" customFormat="1" ht="72.45" customHeight="1" x14ac:dyDescent="0.25">
      <c r="J557" s="100" t="s">
        <v>0</v>
      </c>
      <c r="K557" s="100"/>
      <c r="L557" s="100"/>
      <c r="M557" s="100"/>
      <c r="N557" s="100"/>
      <c r="O557" s="100"/>
      <c r="P557" s="100"/>
      <c r="Q557" s="100"/>
      <c r="R557" s="100"/>
      <c r="S557" s="100"/>
      <c r="T557" s="100"/>
    </row>
    <row r="558" spans="1:20" ht="7.05" customHeight="1" x14ac:dyDescent="0.2"/>
    <row r="559" spans="1:20" ht="14.1" customHeight="1" x14ac:dyDescent="0.2">
      <c r="B559" s="130" t="s">
        <v>968</v>
      </c>
      <c r="C559" s="130"/>
      <c r="D559" s="130"/>
      <c r="E559" s="130"/>
      <c r="F559" s="130"/>
      <c r="G559" s="130"/>
      <c r="H559" s="130"/>
      <c r="I559" s="130"/>
      <c r="J559" s="130"/>
      <c r="K559" s="130"/>
      <c r="L559" s="130"/>
      <c r="M559" s="130"/>
      <c r="N559" s="130"/>
      <c r="O559" s="130"/>
      <c r="P559" s="130"/>
      <c r="Q559" s="130"/>
      <c r="R559" s="130"/>
    </row>
    <row r="560" spans="1:20" ht="14.1" customHeight="1" x14ac:dyDescent="0.2"/>
    <row r="561" spans="1:20" ht="14.1" customHeight="1" x14ac:dyDescent="0.2">
      <c r="A561" s="120" t="s">
        <v>2</v>
      </c>
      <c r="B561" s="120"/>
      <c r="C561" s="120"/>
      <c r="D561" s="129" t="s">
        <v>969</v>
      </c>
      <c r="E561" s="129"/>
      <c r="F561" s="129"/>
      <c r="G561" s="129"/>
      <c r="H561" s="129"/>
      <c r="I561" s="129"/>
      <c r="J561" s="129"/>
      <c r="K561" s="129"/>
      <c r="L561" s="129"/>
      <c r="M561" s="129"/>
      <c r="N561" s="129"/>
      <c r="O561" s="129"/>
      <c r="P561" s="129"/>
      <c r="Q561" s="129"/>
      <c r="R561" s="129"/>
      <c r="S561" s="129"/>
      <c r="T561" s="129"/>
    </row>
    <row r="562" spans="1:20" ht="14.1" customHeight="1" x14ac:dyDescent="0.2">
      <c r="A562" s="120" t="s">
        <v>4</v>
      </c>
      <c r="B562" s="120"/>
      <c r="C562" s="129" t="s">
        <v>970</v>
      </c>
      <c r="D562" s="129"/>
      <c r="E562" s="129"/>
      <c r="F562" s="129"/>
      <c r="G562" s="129"/>
      <c r="H562" s="129"/>
      <c r="I562" s="129"/>
      <c r="J562" s="129"/>
      <c r="K562" s="129"/>
      <c r="L562" s="129"/>
      <c r="M562" s="129"/>
      <c r="N562" s="129"/>
      <c r="O562" s="129"/>
      <c r="P562" s="129"/>
      <c r="Q562" s="129"/>
      <c r="R562" s="129"/>
      <c r="S562" s="129"/>
      <c r="T562" s="129"/>
    </row>
    <row r="563" spans="1:20" ht="14.1" customHeight="1" x14ac:dyDescent="0.2">
      <c r="A563" s="120" t="s">
        <v>6</v>
      </c>
      <c r="B563" s="120"/>
      <c r="C563" s="120"/>
      <c r="D563" s="120"/>
      <c r="E563" s="120"/>
      <c r="F563" s="129" t="s">
        <v>248</v>
      </c>
      <c r="G563" s="129"/>
      <c r="H563" s="129"/>
      <c r="I563" s="129"/>
      <c r="J563" s="129"/>
      <c r="K563" s="129"/>
      <c r="L563" s="129"/>
      <c r="M563" s="129"/>
      <c r="N563" s="129"/>
      <c r="O563" s="129"/>
      <c r="P563" s="129"/>
      <c r="Q563" s="129"/>
      <c r="R563" s="129"/>
      <c r="S563" s="129"/>
      <c r="T563" s="129"/>
    </row>
    <row r="564" spans="1:20" ht="22.35" customHeight="1" x14ac:dyDescent="0.2">
      <c r="F564" s="129"/>
      <c r="G564" s="129"/>
      <c r="H564" s="129"/>
      <c r="I564" s="129"/>
      <c r="J564" s="129"/>
      <c r="K564" s="129"/>
      <c r="L564" s="129"/>
      <c r="M564" s="129"/>
      <c r="N564" s="129"/>
      <c r="O564" s="129"/>
      <c r="P564" s="129"/>
      <c r="Q564" s="129"/>
      <c r="R564" s="129"/>
      <c r="S564" s="129"/>
      <c r="T564" s="129"/>
    </row>
    <row r="565" spans="1:20" ht="7.05" customHeight="1" x14ac:dyDescent="0.2">
      <c r="A565" s="120"/>
      <c r="B565" s="120"/>
      <c r="C565" s="120"/>
      <c r="D565" s="120"/>
      <c r="E565" s="120"/>
      <c r="F565" s="120"/>
      <c r="G565" s="120"/>
      <c r="H565" s="120"/>
      <c r="I565" s="120"/>
      <c r="J565" s="120"/>
      <c r="K565" s="120"/>
      <c r="L565" s="120"/>
      <c r="M565" s="120"/>
      <c r="N565" s="120"/>
      <c r="O565" s="120"/>
      <c r="P565" s="120"/>
      <c r="Q565" s="71"/>
      <c r="R565" s="120"/>
      <c r="S565" s="120"/>
      <c r="T565" s="120"/>
    </row>
    <row r="566" spans="1:20" ht="16.95" customHeight="1" x14ac:dyDescent="0.2">
      <c r="A566" s="128" t="s">
        <v>8</v>
      </c>
      <c r="B566" s="128"/>
      <c r="C566" s="128"/>
      <c r="D566" s="128"/>
      <c r="E566" s="128"/>
      <c r="F566" s="128"/>
      <c r="G566" s="128"/>
      <c r="H566" s="128"/>
      <c r="I566" s="128"/>
      <c r="J566" s="128"/>
      <c r="K566" s="128"/>
      <c r="L566" s="128"/>
      <c r="M566" s="128" t="s">
        <v>9</v>
      </c>
      <c r="N566" s="128"/>
      <c r="O566" s="128"/>
      <c r="P566" s="128"/>
      <c r="Q566" s="128"/>
      <c r="R566" s="128"/>
      <c r="S566" s="128"/>
      <c r="T566" s="128"/>
    </row>
    <row r="567" spans="1:20" ht="16.95" customHeight="1" x14ac:dyDescent="0.2">
      <c r="A567" s="128"/>
      <c r="B567" s="128"/>
      <c r="C567" s="128"/>
      <c r="D567" s="128"/>
      <c r="E567" s="128"/>
      <c r="F567" s="128"/>
      <c r="G567" s="128"/>
      <c r="H567" s="128"/>
      <c r="I567" s="128"/>
      <c r="J567" s="128"/>
      <c r="K567" s="128"/>
      <c r="L567" s="128"/>
      <c r="M567" s="128" t="s">
        <v>10</v>
      </c>
      <c r="N567" s="128"/>
      <c r="O567" s="128"/>
      <c r="P567" s="128"/>
      <c r="Q567" s="128" t="s">
        <v>11</v>
      </c>
      <c r="R567" s="128"/>
      <c r="S567" s="128"/>
      <c r="T567" s="128"/>
    </row>
    <row r="568" spans="1:20" ht="16.95" customHeight="1" x14ac:dyDescent="0.2">
      <c r="A568" s="128"/>
      <c r="B568" s="128"/>
      <c r="C568" s="128"/>
      <c r="D568" s="128"/>
      <c r="E568" s="128"/>
      <c r="F568" s="128"/>
      <c r="G568" s="128"/>
      <c r="H568" s="128"/>
      <c r="I568" s="128"/>
      <c r="J568" s="128"/>
      <c r="K568" s="128"/>
      <c r="L568" s="128"/>
      <c r="M568" s="128" t="s">
        <v>12</v>
      </c>
      <c r="N568" s="128"/>
      <c r="O568" s="128" t="s">
        <v>13</v>
      </c>
      <c r="P568" s="128"/>
      <c r="Q568" s="74" t="s">
        <v>14</v>
      </c>
      <c r="R568" s="128" t="s">
        <v>15</v>
      </c>
      <c r="S568" s="128"/>
      <c r="T568" s="128"/>
    </row>
    <row r="569" spans="1:20" ht="13.35" customHeight="1" x14ac:dyDescent="0.2">
      <c r="A569" s="124" t="s">
        <v>195</v>
      </c>
      <c r="B569" s="124"/>
      <c r="C569" s="124"/>
      <c r="D569" s="124"/>
      <c r="E569" s="124"/>
      <c r="F569" s="124"/>
      <c r="G569" s="124"/>
      <c r="H569" s="124"/>
      <c r="I569" s="124"/>
      <c r="J569" s="124"/>
      <c r="K569" s="124"/>
      <c r="L569" s="124"/>
      <c r="M569" s="124" t="s">
        <v>971</v>
      </c>
      <c r="N569" s="124"/>
      <c r="O569" s="124" t="s">
        <v>972</v>
      </c>
      <c r="P569" s="124"/>
      <c r="Q569" s="73" t="s">
        <v>973</v>
      </c>
      <c r="R569" s="124" t="s">
        <v>974</v>
      </c>
      <c r="S569" s="124"/>
      <c r="T569" s="124"/>
    </row>
    <row r="570" spans="1:20" ht="13.35" customHeight="1" x14ac:dyDescent="0.2">
      <c r="A570" s="124" t="s">
        <v>61</v>
      </c>
      <c r="B570" s="124"/>
      <c r="C570" s="124"/>
      <c r="D570" s="124"/>
      <c r="E570" s="124"/>
      <c r="F570" s="124"/>
      <c r="G570" s="124"/>
      <c r="H570" s="124"/>
      <c r="I570" s="124"/>
      <c r="J570" s="124"/>
      <c r="K570" s="124"/>
      <c r="L570" s="124"/>
      <c r="M570" s="124" t="s">
        <v>975</v>
      </c>
      <c r="N570" s="124"/>
      <c r="O570" s="124" t="s">
        <v>975</v>
      </c>
      <c r="P570" s="124"/>
      <c r="Q570" s="73" t="s">
        <v>976</v>
      </c>
      <c r="R570" s="124" t="s">
        <v>976</v>
      </c>
      <c r="S570" s="124"/>
      <c r="T570" s="124"/>
    </row>
    <row r="571" spans="1:20" ht="13.35" customHeight="1" x14ac:dyDescent="0.2">
      <c r="A571" s="124" t="s">
        <v>70</v>
      </c>
      <c r="B571" s="124"/>
      <c r="C571" s="124"/>
      <c r="D571" s="124"/>
      <c r="E571" s="124"/>
      <c r="F571" s="124"/>
      <c r="G571" s="124"/>
      <c r="H571" s="124"/>
      <c r="I571" s="124"/>
      <c r="J571" s="124"/>
      <c r="K571" s="124"/>
      <c r="L571" s="124"/>
      <c r="M571" s="124" t="s">
        <v>335</v>
      </c>
      <c r="N571" s="124"/>
      <c r="O571" s="124" t="s">
        <v>335</v>
      </c>
      <c r="P571" s="124"/>
      <c r="Q571" s="73" t="s">
        <v>779</v>
      </c>
      <c r="R571" s="124" t="s">
        <v>779</v>
      </c>
      <c r="S571" s="124"/>
      <c r="T571" s="124"/>
    </row>
    <row r="572" spans="1:20" ht="13.35" customHeight="1" x14ac:dyDescent="0.2">
      <c r="A572" s="124" t="s">
        <v>114</v>
      </c>
      <c r="B572" s="124"/>
      <c r="C572" s="124"/>
      <c r="D572" s="124"/>
      <c r="E572" s="124"/>
      <c r="F572" s="124"/>
      <c r="G572" s="124"/>
      <c r="H572" s="124"/>
      <c r="I572" s="124"/>
      <c r="J572" s="124"/>
      <c r="K572" s="124"/>
      <c r="L572" s="124"/>
      <c r="M572" s="124" t="s">
        <v>977</v>
      </c>
      <c r="N572" s="124"/>
      <c r="O572" s="124" t="s">
        <v>977</v>
      </c>
      <c r="P572" s="124"/>
      <c r="Q572" s="73" t="s">
        <v>978</v>
      </c>
      <c r="R572" s="124" t="s">
        <v>978</v>
      </c>
      <c r="S572" s="124"/>
      <c r="T572" s="124"/>
    </row>
    <row r="573" spans="1:20" ht="14.1" customHeight="1" x14ac:dyDescent="0.2">
      <c r="A573" s="126" t="s">
        <v>217</v>
      </c>
      <c r="B573" s="126"/>
      <c r="C573" s="126"/>
      <c r="D573" s="126"/>
      <c r="E573" s="126"/>
      <c r="F573" s="126"/>
      <c r="G573" s="126"/>
      <c r="H573" s="126"/>
      <c r="I573" s="126"/>
      <c r="J573" s="126"/>
      <c r="K573" s="126"/>
      <c r="L573" s="126"/>
      <c r="M573" s="126"/>
      <c r="N573" s="126"/>
      <c r="O573" s="126"/>
      <c r="P573" s="126"/>
      <c r="Q573" s="126"/>
      <c r="R573" s="126"/>
      <c r="S573" s="126"/>
      <c r="T573" s="126"/>
    </row>
    <row r="574" spans="1:20" ht="14.1" customHeight="1" x14ac:dyDescent="0.2"/>
    <row r="575" spans="1:20" ht="14.1" customHeight="1" x14ac:dyDescent="0.2">
      <c r="A575" s="121" t="s">
        <v>33</v>
      </c>
      <c r="B575" s="121"/>
      <c r="C575" s="121"/>
      <c r="D575" s="121"/>
      <c r="E575" s="121"/>
      <c r="F575" s="121"/>
      <c r="G575" s="121"/>
      <c r="H575" s="121"/>
      <c r="I575" s="121"/>
      <c r="J575" s="121"/>
      <c r="K575" s="121"/>
      <c r="L575" s="121"/>
      <c r="M575" s="121"/>
      <c r="N575" s="121"/>
    </row>
    <row r="576" spans="1:20" ht="13.35" customHeight="1" x14ac:dyDescent="0.2">
      <c r="A576" s="124" t="s">
        <v>34</v>
      </c>
      <c r="B576" s="124"/>
      <c r="C576" s="124"/>
      <c r="D576" s="124"/>
      <c r="E576" s="125">
        <v>4.4400000000000004</v>
      </c>
      <c r="F576" s="125"/>
      <c r="G576" s="72"/>
      <c r="H576" s="73" t="s">
        <v>35</v>
      </c>
      <c r="I576" s="125">
        <v>0.04</v>
      </c>
      <c r="J576" s="125"/>
      <c r="K576" s="72"/>
      <c r="L576" s="124" t="s">
        <v>36</v>
      </c>
      <c r="M576" s="124"/>
      <c r="N576" s="125">
        <v>29.18</v>
      </c>
      <c r="O576" s="125"/>
    </row>
    <row r="577" spans="1:19" ht="13.35" customHeight="1" x14ac:dyDescent="0.2">
      <c r="A577" s="124" t="s">
        <v>37</v>
      </c>
      <c r="B577" s="124"/>
      <c r="C577" s="124"/>
      <c r="D577" s="124"/>
      <c r="E577" s="125">
        <v>6.32</v>
      </c>
      <c r="F577" s="125"/>
      <c r="G577" s="72"/>
      <c r="H577" s="73" t="s">
        <v>38</v>
      </c>
      <c r="I577" s="125">
        <v>0</v>
      </c>
      <c r="J577" s="125"/>
      <c r="K577" s="72"/>
      <c r="L577" s="124" t="s">
        <v>39</v>
      </c>
      <c r="M577" s="124"/>
      <c r="N577" s="125">
        <v>33.14</v>
      </c>
      <c r="O577" s="125"/>
    </row>
    <row r="578" spans="1:19" ht="13.35" customHeight="1" x14ac:dyDescent="0.2">
      <c r="A578" s="124" t="s">
        <v>40</v>
      </c>
      <c r="B578" s="124"/>
      <c r="C578" s="124"/>
      <c r="D578" s="124"/>
      <c r="E578" s="125">
        <v>46.57</v>
      </c>
      <c r="F578" s="125"/>
      <c r="G578" s="72"/>
      <c r="H578" s="73" t="s">
        <v>41</v>
      </c>
      <c r="I578" s="125">
        <v>0.04</v>
      </c>
      <c r="J578" s="125"/>
      <c r="K578" s="72"/>
      <c r="L578" s="124" t="s">
        <v>42</v>
      </c>
      <c r="M578" s="124"/>
      <c r="N578" s="125">
        <v>90.33</v>
      </c>
      <c r="O578" s="125"/>
    </row>
    <row r="579" spans="1:19" ht="13.35" customHeight="1" x14ac:dyDescent="0.2">
      <c r="A579" s="124" t="s">
        <v>43</v>
      </c>
      <c r="B579" s="124"/>
      <c r="C579" s="124"/>
      <c r="D579" s="124"/>
      <c r="E579" s="125">
        <v>268.08</v>
      </c>
      <c r="F579" s="125"/>
      <c r="G579" s="72"/>
      <c r="H579" s="73" t="s">
        <v>44</v>
      </c>
      <c r="I579" s="125">
        <v>0.47</v>
      </c>
      <c r="J579" s="125"/>
      <c r="K579" s="72"/>
      <c r="L579" s="124" t="s">
        <v>45</v>
      </c>
      <c r="M579" s="124"/>
      <c r="N579" s="125">
        <v>0.67</v>
      </c>
      <c r="O579" s="125"/>
    </row>
    <row r="580" spans="1:19" ht="13.35" customHeight="1" x14ac:dyDescent="0.2">
      <c r="A580" s="123"/>
      <c r="B580" s="123"/>
      <c r="C580" s="123"/>
      <c r="D580" s="123"/>
      <c r="E580" s="123"/>
      <c r="F580" s="123"/>
      <c r="G580" s="72"/>
      <c r="H580" s="73" t="s">
        <v>46</v>
      </c>
      <c r="I580" s="125">
        <v>0.12</v>
      </c>
      <c r="J580" s="125"/>
      <c r="K580" s="72"/>
      <c r="L580" s="124" t="s">
        <v>47</v>
      </c>
      <c r="M580" s="124"/>
      <c r="N580" s="125">
        <v>67.41</v>
      </c>
      <c r="O580" s="125"/>
    </row>
    <row r="581" spans="1:19" ht="13.35" customHeight="1" x14ac:dyDescent="0.2">
      <c r="A581" s="123"/>
      <c r="B581" s="123"/>
      <c r="C581" s="123"/>
      <c r="D581" s="123"/>
      <c r="E581" s="123"/>
      <c r="F581" s="123"/>
      <c r="G581" s="72"/>
      <c r="H581" s="73" t="s">
        <v>48</v>
      </c>
      <c r="I581" s="125">
        <v>0.04</v>
      </c>
      <c r="J581" s="125"/>
      <c r="K581" s="72"/>
      <c r="L581" s="124" t="s">
        <v>49</v>
      </c>
      <c r="M581" s="124"/>
      <c r="N581" s="125">
        <v>0.91</v>
      </c>
      <c r="O581" s="125"/>
    </row>
    <row r="582" spans="1:19" ht="13.35" customHeight="1" x14ac:dyDescent="0.2">
      <c r="A582" s="123"/>
      <c r="B582" s="123"/>
      <c r="C582" s="123"/>
      <c r="D582" s="123"/>
      <c r="E582" s="123"/>
      <c r="F582" s="123"/>
      <c r="G582" s="72"/>
      <c r="H582" s="72"/>
      <c r="I582" s="123"/>
      <c r="J582" s="123"/>
      <c r="K582" s="72"/>
      <c r="L582" s="124" t="s">
        <v>50</v>
      </c>
      <c r="M582" s="124"/>
      <c r="N582" s="125">
        <v>0.03</v>
      </c>
      <c r="O582" s="125"/>
    </row>
    <row r="583" spans="1:19" ht="13.35" customHeight="1" x14ac:dyDescent="0.2">
      <c r="A583" s="123"/>
      <c r="B583" s="123"/>
      <c r="C583" s="123"/>
      <c r="D583" s="123"/>
      <c r="E583" s="123"/>
      <c r="F583" s="123"/>
      <c r="G583" s="72"/>
      <c r="H583" s="72"/>
      <c r="I583" s="123"/>
      <c r="J583" s="123"/>
      <c r="K583" s="72"/>
      <c r="L583" s="124" t="s">
        <v>51</v>
      </c>
      <c r="M583" s="124"/>
      <c r="N583" s="125">
        <v>0.01</v>
      </c>
      <c r="O583" s="125"/>
    </row>
    <row r="584" spans="1:19" ht="14.1" customHeight="1" x14ac:dyDescent="0.2">
      <c r="A584" s="120"/>
      <c r="B584" s="120"/>
      <c r="C584" s="120"/>
      <c r="D584" s="120"/>
      <c r="E584" s="120"/>
      <c r="F584" s="120"/>
      <c r="G584" s="120"/>
      <c r="H584" s="120"/>
      <c r="I584" s="120"/>
      <c r="J584" s="120"/>
      <c r="K584" s="120"/>
      <c r="L584" s="120"/>
      <c r="M584" s="120"/>
      <c r="N584" s="120"/>
      <c r="O584" s="120"/>
      <c r="P584" s="120"/>
      <c r="Q584" s="120"/>
      <c r="R584" s="120"/>
      <c r="S584" s="120"/>
    </row>
    <row r="585" spans="1:19" ht="14.1" customHeight="1" x14ac:dyDescent="0.2">
      <c r="A585" s="121" t="s">
        <v>52</v>
      </c>
      <c r="B585" s="121"/>
      <c r="C585" s="121"/>
      <c r="D585" s="121"/>
      <c r="E585" s="121"/>
      <c r="F585" s="121"/>
      <c r="G585" s="121"/>
      <c r="H585" s="121"/>
      <c r="I585" s="121"/>
      <c r="J585" s="121"/>
      <c r="K585" s="121"/>
      <c r="L585" s="121"/>
      <c r="M585" s="121"/>
      <c r="N585" s="121"/>
      <c r="O585" s="121"/>
      <c r="P585" s="121"/>
      <c r="Q585" s="121"/>
      <c r="R585" s="121"/>
      <c r="S585" s="121"/>
    </row>
    <row r="586" spans="1:19" ht="30.9" customHeight="1" x14ac:dyDescent="0.2">
      <c r="A586" s="122" t="s">
        <v>979</v>
      </c>
      <c r="B586" s="122"/>
      <c r="C586" s="122"/>
      <c r="D586" s="122"/>
      <c r="E586" s="122"/>
      <c r="F586" s="122"/>
      <c r="G586" s="122"/>
      <c r="H586" s="122"/>
      <c r="I586" s="122"/>
      <c r="J586" s="122"/>
      <c r="K586" s="122"/>
      <c r="L586" s="122"/>
      <c r="M586" s="122"/>
      <c r="N586" s="122"/>
      <c r="O586" s="122"/>
      <c r="P586" s="122"/>
      <c r="Q586" s="122"/>
      <c r="R586" s="122"/>
      <c r="S586" s="122"/>
    </row>
    <row r="587" spans="1:19" s="1" customFormat="1" ht="14.1" customHeight="1" x14ac:dyDescent="0.25">
      <c r="A587" s="142" t="s">
        <v>54</v>
      </c>
      <c r="B587" s="142"/>
      <c r="C587" s="142"/>
      <c r="D587" s="142"/>
      <c r="E587" s="142"/>
      <c r="F587" s="142"/>
      <c r="G587" s="142"/>
      <c r="H587" s="142"/>
      <c r="I587" s="142"/>
      <c r="J587" s="142"/>
      <c r="K587" s="142"/>
      <c r="L587" s="142"/>
      <c r="M587" s="142"/>
      <c r="N587" s="142"/>
      <c r="O587" s="142"/>
      <c r="P587" s="142"/>
      <c r="Q587" s="142"/>
      <c r="R587" s="142"/>
      <c r="S587" s="142"/>
    </row>
    <row r="588" spans="1:19" s="1" customFormat="1" ht="12.45" customHeight="1" x14ac:dyDescent="0.25">
      <c r="A588" s="85" t="s">
        <v>980</v>
      </c>
      <c r="B588" s="85"/>
      <c r="C588" s="85"/>
      <c r="D588" s="85"/>
      <c r="E588" s="85"/>
      <c r="F588" s="85"/>
      <c r="G588" s="85"/>
      <c r="H588" s="85"/>
      <c r="I588" s="85"/>
      <c r="J588" s="85"/>
      <c r="K588" s="85"/>
      <c r="L588" s="85"/>
      <c r="M588" s="85"/>
      <c r="N588" s="85"/>
      <c r="O588" s="85"/>
      <c r="P588" s="85"/>
      <c r="Q588" s="85"/>
      <c r="R588" s="85"/>
      <c r="S588" s="85"/>
    </row>
    <row r="589" spans="1:19" ht="14.1" customHeight="1" x14ac:dyDescent="0.2">
      <c r="A589" s="120"/>
      <c r="B589" s="120"/>
      <c r="C589" s="120"/>
      <c r="D589" s="120"/>
      <c r="E589" s="120"/>
      <c r="F589" s="120"/>
      <c r="G589" s="120"/>
      <c r="H589" s="120"/>
      <c r="I589" s="120"/>
      <c r="J589" s="120"/>
      <c r="K589" s="120"/>
      <c r="L589" s="120"/>
      <c r="M589" s="120"/>
      <c r="N589" s="120"/>
      <c r="O589" s="120"/>
      <c r="P589" s="120"/>
      <c r="Q589" s="120"/>
      <c r="R589" s="120"/>
      <c r="S589" s="120"/>
    </row>
    <row r="590" spans="1:19" ht="14.1" customHeight="1" x14ac:dyDescent="0.2">
      <c r="A590" s="121" t="s">
        <v>56</v>
      </c>
      <c r="B590" s="121"/>
      <c r="C590" s="121"/>
      <c r="D590" s="121"/>
      <c r="E590" s="121"/>
      <c r="F590" s="121"/>
      <c r="G590" s="121"/>
      <c r="H590" s="121"/>
      <c r="I590" s="121"/>
      <c r="J590" s="121"/>
      <c r="K590" s="121"/>
      <c r="L590" s="121"/>
      <c r="M590" s="121"/>
      <c r="N590" s="121"/>
      <c r="O590" s="121"/>
      <c r="P590" s="121"/>
      <c r="Q590" s="121"/>
      <c r="R590" s="121"/>
      <c r="S590" s="121"/>
    </row>
    <row r="591" spans="1:19" ht="49.2" customHeight="1" x14ac:dyDescent="0.2">
      <c r="A591" s="122" t="s">
        <v>981</v>
      </c>
      <c r="B591" s="122"/>
      <c r="C591" s="122"/>
      <c r="D591" s="122"/>
      <c r="E591" s="122"/>
      <c r="F591" s="122"/>
      <c r="G591" s="122"/>
      <c r="H591" s="122"/>
      <c r="I591" s="122"/>
      <c r="J591" s="122"/>
      <c r="K591" s="122"/>
      <c r="L591" s="122"/>
      <c r="M591" s="122"/>
      <c r="N591" s="122"/>
      <c r="O591" s="122"/>
      <c r="P591" s="122"/>
      <c r="Q591" s="122"/>
      <c r="R591" s="122"/>
      <c r="S591" s="122"/>
    </row>
  </sheetData>
  <mergeCells count="1474">
    <mergeCell ref="A584:S584"/>
    <mergeCell ref="A585:S585"/>
    <mergeCell ref="A586:S586"/>
    <mergeCell ref="A587:S587"/>
    <mergeCell ref="A588:S588"/>
    <mergeCell ref="A589:S589"/>
    <mergeCell ref="A590:S590"/>
    <mergeCell ref="A591:S591"/>
    <mergeCell ref="A580:D580"/>
    <mergeCell ref="E580:F580"/>
    <mergeCell ref="I580:J580"/>
    <mergeCell ref="L580:M580"/>
    <mergeCell ref="N580:O580"/>
    <mergeCell ref="A581:D581"/>
    <mergeCell ref="E581:F581"/>
    <mergeCell ref="I581:J581"/>
    <mergeCell ref="L581:M581"/>
    <mergeCell ref="N581:O581"/>
    <mergeCell ref="A582:D582"/>
    <mergeCell ref="E582:F582"/>
    <mergeCell ref="I582:J582"/>
    <mergeCell ref="L582:M582"/>
    <mergeCell ref="N582:O582"/>
    <mergeCell ref="A583:D583"/>
    <mergeCell ref="E583:F583"/>
    <mergeCell ref="I583:J583"/>
    <mergeCell ref="L583:M583"/>
    <mergeCell ref="N583:O583"/>
    <mergeCell ref="A575:N575"/>
    <mergeCell ref="A576:D576"/>
    <mergeCell ref="E576:F576"/>
    <mergeCell ref="I576:J576"/>
    <mergeCell ref="L576:M576"/>
    <mergeCell ref="N576:O576"/>
    <mergeCell ref="A577:D577"/>
    <mergeCell ref="E577:F577"/>
    <mergeCell ref="I577:J577"/>
    <mergeCell ref="L577:M577"/>
    <mergeCell ref="N577:O577"/>
    <mergeCell ref="A578:D578"/>
    <mergeCell ref="E578:F578"/>
    <mergeCell ref="I578:J578"/>
    <mergeCell ref="L578:M578"/>
    <mergeCell ref="N578:O578"/>
    <mergeCell ref="A579:D579"/>
    <mergeCell ref="E579:F579"/>
    <mergeCell ref="I579:J579"/>
    <mergeCell ref="L579:M579"/>
    <mergeCell ref="N579:O579"/>
    <mergeCell ref="A569:L569"/>
    <mergeCell ref="M569:N569"/>
    <mergeCell ref="O569:P569"/>
    <mergeCell ref="R569:T569"/>
    <mergeCell ref="A570:L570"/>
    <mergeCell ref="M570:N570"/>
    <mergeCell ref="O570:P570"/>
    <mergeCell ref="R570:T570"/>
    <mergeCell ref="A571:L571"/>
    <mergeCell ref="M571:N571"/>
    <mergeCell ref="O571:P571"/>
    <mergeCell ref="R571:T571"/>
    <mergeCell ref="A572:L572"/>
    <mergeCell ref="M572:N572"/>
    <mergeCell ref="O572:P572"/>
    <mergeCell ref="R572:T572"/>
    <mergeCell ref="A573:T573"/>
    <mergeCell ref="J557:T557"/>
    <mergeCell ref="B559:R559"/>
    <mergeCell ref="A561:C561"/>
    <mergeCell ref="D561:T561"/>
    <mergeCell ref="A562:B562"/>
    <mergeCell ref="C562:T562"/>
    <mergeCell ref="A563:E563"/>
    <mergeCell ref="F563:T564"/>
    <mergeCell ref="A565:L565"/>
    <mergeCell ref="M565:N565"/>
    <mergeCell ref="O565:P565"/>
    <mergeCell ref="R565:T565"/>
    <mergeCell ref="A566:L568"/>
    <mergeCell ref="M566:T566"/>
    <mergeCell ref="M567:P567"/>
    <mergeCell ref="Q567:T567"/>
    <mergeCell ref="M568:N568"/>
    <mergeCell ref="O568:P568"/>
    <mergeCell ref="R568:T568"/>
    <mergeCell ref="A554:S554"/>
    <mergeCell ref="A555:S555"/>
    <mergeCell ref="A548:S548"/>
    <mergeCell ref="A549:S549"/>
    <mergeCell ref="A550:S550"/>
    <mergeCell ref="A551:S551"/>
    <mergeCell ref="A552:S552"/>
    <mergeCell ref="A553:S553"/>
    <mergeCell ref="A546:D546"/>
    <mergeCell ref="E546:F546"/>
    <mergeCell ref="I546:J546"/>
    <mergeCell ref="L546:M546"/>
    <mergeCell ref="N546:O546"/>
    <mergeCell ref="A547:S547"/>
    <mergeCell ref="A544:D544"/>
    <mergeCell ref="E544:F544"/>
    <mergeCell ref="I544:J544"/>
    <mergeCell ref="L544:M544"/>
    <mergeCell ref="N544:O544"/>
    <mergeCell ref="A545:D545"/>
    <mergeCell ref="E545:F545"/>
    <mergeCell ref="I545:J545"/>
    <mergeCell ref="L545:M545"/>
    <mergeCell ref="N545:O545"/>
    <mergeCell ref="A542:D542"/>
    <mergeCell ref="E542:F542"/>
    <mergeCell ref="I542:J542"/>
    <mergeCell ref="L542:M542"/>
    <mergeCell ref="N542:O542"/>
    <mergeCell ref="A543:D543"/>
    <mergeCell ref="E543:F543"/>
    <mergeCell ref="I543:J543"/>
    <mergeCell ref="L543:M543"/>
    <mergeCell ref="N543:O543"/>
    <mergeCell ref="A540:D540"/>
    <mergeCell ref="E540:F540"/>
    <mergeCell ref="I540:J540"/>
    <mergeCell ref="L540:M540"/>
    <mergeCell ref="N540:O540"/>
    <mergeCell ref="A541:D541"/>
    <mergeCell ref="E541:F541"/>
    <mergeCell ref="I541:J541"/>
    <mergeCell ref="L541:M541"/>
    <mergeCell ref="N541:O541"/>
    <mergeCell ref="A536:T536"/>
    <mergeCell ref="A538:N538"/>
    <mergeCell ref="A539:D539"/>
    <mergeCell ref="E539:F539"/>
    <mergeCell ref="I539:J539"/>
    <mergeCell ref="L539:M539"/>
    <mergeCell ref="N539:O539"/>
    <mergeCell ref="A534:L534"/>
    <mergeCell ref="M534:N534"/>
    <mergeCell ref="O534:P534"/>
    <mergeCell ref="R534:T534"/>
    <mergeCell ref="A535:L535"/>
    <mergeCell ref="M535:N535"/>
    <mergeCell ref="O535:P535"/>
    <mergeCell ref="R535:T535"/>
    <mergeCell ref="A532:L532"/>
    <mergeCell ref="M532:N532"/>
    <mergeCell ref="O532:P532"/>
    <mergeCell ref="R532:T532"/>
    <mergeCell ref="A533:L533"/>
    <mergeCell ref="M533:N533"/>
    <mergeCell ref="O533:P533"/>
    <mergeCell ref="R533:T533"/>
    <mergeCell ref="A529:L531"/>
    <mergeCell ref="M529:T529"/>
    <mergeCell ref="M530:P530"/>
    <mergeCell ref="Q530:T530"/>
    <mergeCell ref="M531:N531"/>
    <mergeCell ref="O531:P531"/>
    <mergeCell ref="R531:T531"/>
    <mergeCell ref="A526:S526"/>
    <mergeCell ref="A527:S527"/>
    <mergeCell ref="A528:L528"/>
    <mergeCell ref="M528:N528"/>
    <mergeCell ref="O528:P528"/>
    <mergeCell ref="R528:T528"/>
    <mergeCell ref="B520:R520"/>
    <mergeCell ref="A522:C522"/>
    <mergeCell ref="D522:T522"/>
    <mergeCell ref="A523:B523"/>
    <mergeCell ref="C523:T523"/>
    <mergeCell ref="A524:E524"/>
    <mergeCell ref="F524:T525"/>
    <mergeCell ref="A513:S513"/>
    <mergeCell ref="A514:S514"/>
    <mergeCell ref="A515:S515"/>
    <mergeCell ref="A516:S516"/>
    <mergeCell ref="A517:S517"/>
    <mergeCell ref="J518:T518"/>
    <mergeCell ref="A511:D511"/>
    <mergeCell ref="E511:F511"/>
    <mergeCell ref="I511:J511"/>
    <mergeCell ref="L511:M511"/>
    <mergeCell ref="N511:O511"/>
    <mergeCell ref="A512:S512"/>
    <mergeCell ref="A509:D509"/>
    <mergeCell ref="E509:F509"/>
    <mergeCell ref="I509:J509"/>
    <mergeCell ref="L509:M509"/>
    <mergeCell ref="N509:O509"/>
    <mergeCell ref="A510:D510"/>
    <mergeCell ref="E510:F510"/>
    <mergeCell ref="I510:J510"/>
    <mergeCell ref="L510:M510"/>
    <mergeCell ref="N510:O510"/>
    <mergeCell ref="A507:D507"/>
    <mergeCell ref="E507:F507"/>
    <mergeCell ref="I507:J507"/>
    <mergeCell ref="L507:M507"/>
    <mergeCell ref="N507:O507"/>
    <mergeCell ref="A508:D508"/>
    <mergeCell ref="E508:F508"/>
    <mergeCell ref="I508:J508"/>
    <mergeCell ref="L508:M508"/>
    <mergeCell ref="N508:O508"/>
    <mergeCell ref="A505:D505"/>
    <mergeCell ref="E505:F505"/>
    <mergeCell ref="I505:J505"/>
    <mergeCell ref="L505:M505"/>
    <mergeCell ref="N505:O505"/>
    <mergeCell ref="A506:D506"/>
    <mergeCell ref="E506:F506"/>
    <mergeCell ref="I506:J506"/>
    <mergeCell ref="L506:M506"/>
    <mergeCell ref="N506:O506"/>
    <mergeCell ref="A501:T501"/>
    <mergeCell ref="A503:N503"/>
    <mergeCell ref="A504:D504"/>
    <mergeCell ref="E504:F504"/>
    <mergeCell ref="I504:J504"/>
    <mergeCell ref="L504:M504"/>
    <mergeCell ref="N504:O504"/>
    <mergeCell ref="A499:L499"/>
    <mergeCell ref="M499:N499"/>
    <mergeCell ref="O499:P499"/>
    <mergeCell ref="R499:T499"/>
    <mergeCell ref="A500:L500"/>
    <mergeCell ref="M500:N500"/>
    <mergeCell ref="O500:P500"/>
    <mergeCell ref="R500:T500"/>
    <mergeCell ref="A497:L497"/>
    <mergeCell ref="M497:N497"/>
    <mergeCell ref="O497:P497"/>
    <mergeCell ref="R497:T497"/>
    <mergeCell ref="A498:L498"/>
    <mergeCell ref="M498:N498"/>
    <mergeCell ref="O498:P498"/>
    <mergeCell ref="R498:T498"/>
    <mergeCell ref="A495:L495"/>
    <mergeCell ref="M495:N495"/>
    <mergeCell ref="O495:P495"/>
    <mergeCell ref="R495:T495"/>
    <mergeCell ref="A496:L496"/>
    <mergeCell ref="M496:N496"/>
    <mergeCell ref="O496:P496"/>
    <mergeCell ref="R496:T496"/>
    <mergeCell ref="A493:L493"/>
    <mergeCell ref="M493:N493"/>
    <mergeCell ref="O493:P493"/>
    <mergeCell ref="R493:T493"/>
    <mergeCell ref="A494:L494"/>
    <mergeCell ref="M494:N494"/>
    <mergeCell ref="O494:P494"/>
    <mergeCell ref="R494:T494"/>
    <mergeCell ref="R490:T490"/>
    <mergeCell ref="A491:L491"/>
    <mergeCell ref="M491:N491"/>
    <mergeCell ref="O491:P491"/>
    <mergeCell ref="R491:T491"/>
    <mergeCell ref="A492:L492"/>
    <mergeCell ref="M492:N492"/>
    <mergeCell ref="O492:P492"/>
    <mergeCell ref="R492:T492"/>
    <mergeCell ref="A487:L487"/>
    <mergeCell ref="M487:N487"/>
    <mergeCell ref="O487:P487"/>
    <mergeCell ref="R487:T487"/>
    <mergeCell ref="A488:L490"/>
    <mergeCell ref="M488:T488"/>
    <mergeCell ref="M489:P489"/>
    <mergeCell ref="Q489:T489"/>
    <mergeCell ref="M490:N490"/>
    <mergeCell ref="O490:P490"/>
    <mergeCell ref="A482:B482"/>
    <mergeCell ref="C482:T482"/>
    <mergeCell ref="A483:E483"/>
    <mergeCell ref="F483:T483"/>
    <mergeCell ref="A485:S485"/>
    <mergeCell ref="A486:S486"/>
    <mergeCell ref="A474:S474"/>
    <mergeCell ref="A475:S475"/>
    <mergeCell ref="J477:T477"/>
    <mergeCell ref="B479:R479"/>
    <mergeCell ref="A481:C481"/>
    <mergeCell ref="D481:T481"/>
    <mergeCell ref="A468:S468"/>
    <mergeCell ref="A469:S469"/>
    <mergeCell ref="A470:S470"/>
    <mergeCell ref="A471:S471"/>
    <mergeCell ref="A472:S472"/>
    <mergeCell ref="A473:S473"/>
    <mergeCell ref="A466:D466"/>
    <mergeCell ref="E466:F466"/>
    <mergeCell ref="I466:J466"/>
    <mergeCell ref="L466:M466"/>
    <mergeCell ref="N466:O466"/>
    <mergeCell ref="A467:D467"/>
    <mergeCell ref="E467:F467"/>
    <mergeCell ref="I467:J467"/>
    <mergeCell ref="L467:M467"/>
    <mergeCell ref="N467:O467"/>
    <mergeCell ref="A464:D464"/>
    <mergeCell ref="E464:F464"/>
    <mergeCell ref="I464:J464"/>
    <mergeCell ref="L464:M464"/>
    <mergeCell ref="N464:O464"/>
    <mergeCell ref="A465:D465"/>
    <mergeCell ref="E465:F465"/>
    <mergeCell ref="I465:J465"/>
    <mergeCell ref="L465:M465"/>
    <mergeCell ref="N465:O465"/>
    <mergeCell ref="A462:D462"/>
    <mergeCell ref="E462:F462"/>
    <mergeCell ref="I462:J462"/>
    <mergeCell ref="L462:M462"/>
    <mergeCell ref="N462:O462"/>
    <mergeCell ref="A463:D463"/>
    <mergeCell ref="E463:F463"/>
    <mergeCell ref="I463:J463"/>
    <mergeCell ref="L463:M463"/>
    <mergeCell ref="N463:O463"/>
    <mergeCell ref="A460:D460"/>
    <mergeCell ref="E460:F460"/>
    <mergeCell ref="I460:J460"/>
    <mergeCell ref="L460:M460"/>
    <mergeCell ref="N460:O460"/>
    <mergeCell ref="A461:D461"/>
    <mergeCell ref="E461:F461"/>
    <mergeCell ref="I461:J461"/>
    <mergeCell ref="L461:M461"/>
    <mergeCell ref="N461:O461"/>
    <mergeCell ref="A457:T457"/>
    <mergeCell ref="A459:N459"/>
    <mergeCell ref="A455:L455"/>
    <mergeCell ref="M455:N455"/>
    <mergeCell ref="O455:P455"/>
    <mergeCell ref="R455:T455"/>
    <mergeCell ref="A456:L456"/>
    <mergeCell ref="M456:N456"/>
    <mergeCell ref="O456:P456"/>
    <mergeCell ref="R456:T456"/>
    <mergeCell ref="A453:L453"/>
    <mergeCell ref="M453:N453"/>
    <mergeCell ref="O453:P453"/>
    <mergeCell ref="R453:T453"/>
    <mergeCell ref="A454:L454"/>
    <mergeCell ref="M454:N454"/>
    <mergeCell ref="O454:P454"/>
    <mergeCell ref="R454:T454"/>
    <mergeCell ref="A451:L451"/>
    <mergeCell ref="M451:N451"/>
    <mergeCell ref="O451:P451"/>
    <mergeCell ref="R451:T451"/>
    <mergeCell ref="A452:L452"/>
    <mergeCell ref="M452:N452"/>
    <mergeCell ref="O452:P452"/>
    <mergeCell ref="R452:T452"/>
    <mergeCell ref="A449:L449"/>
    <mergeCell ref="M449:N449"/>
    <mergeCell ref="O449:P449"/>
    <mergeCell ref="R449:T449"/>
    <mergeCell ref="A450:L450"/>
    <mergeCell ref="M450:N450"/>
    <mergeCell ref="O450:P450"/>
    <mergeCell ref="R450:T450"/>
    <mergeCell ref="A448:L448"/>
    <mergeCell ref="M448:N448"/>
    <mergeCell ref="O448:P448"/>
    <mergeCell ref="R448:T448"/>
    <mergeCell ref="A447:L447"/>
    <mergeCell ref="M447:N447"/>
    <mergeCell ref="O447:P447"/>
    <mergeCell ref="R447:T447"/>
    <mergeCell ref="A444:L446"/>
    <mergeCell ref="M444:T444"/>
    <mergeCell ref="M445:P445"/>
    <mergeCell ref="Q445:T445"/>
    <mergeCell ref="M446:N446"/>
    <mergeCell ref="O446:P446"/>
    <mergeCell ref="R446:T446"/>
    <mergeCell ref="A440:B440"/>
    <mergeCell ref="C440:T440"/>
    <mergeCell ref="A441:E441"/>
    <mergeCell ref="F441:T442"/>
    <mergeCell ref="A443:L443"/>
    <mergeCell ref="M443:N443"/>
    <mergeCell ref="O443:P443"/>
    <mergeCell ref="R443:T443"/>
    <mergeCell ref="A432:S432"/>
    <mergeCell ref="A433:S433"/>
    <mergeCell ref="A434:S434"/>
    <mergeCell ref="J435:T435"/>
    <mergeCell ref="B437:R437"/>
    <mergeCell ref="A439:C439"/>
    <mergeCell ref="D439:T439"/>
    <mergeCell ref="A426:S426"/>
    <mergeCell ref="A427:S427"/>
    <mergeCell ref="A428:S428"/>
    <mergeCell ref="A429:S429"/>
    <mergeCell ref="A430:S430"/>
    <mergeCell ref="A431:S431"/>
    <mergeCell ref="A424:D424"/>
    <mergeCell ref="E424:F424"/>
    <mergeCell ref="I424:J424"/>
    <mergeCell ref="L424:M424"/>
    <mergeCell ref="N424:O424"/>
    <mergeCell ref="A425:D425"/>
    <mergeCell ref="E425:F425"/>
    <mergeCell ref="I425:J425"/>
    <mergeCell ref="L425:M425"/>
    <mergeCell ref="N425:O425"/>
    <mergeCell ref="A422:D422"/>
    <mergeCell ref="E422:F422"/>
    <mergeCell ref="I422:J422"/>
    <mergeCell ref="L422:M422"/>
    <mergeCell ref="N422:O422"/>
    <mergeCell ref="A423:D423"/>
    <mergeCell ref="E423:F423"/>
    <mergeCell ref="I423:J423"/>
    <mergeCell ref="L423:M423"/>
    <mergeCell ref="N423:O423"/>
    <mergeCell ref="A420:D420"/>
    <mergeCell ref="E420:F420"/>
    <mergeCell ref="I420:J420"/>
    <mergeCell ref="L420:M420"/>
    <mergeCell ref="N420:O420"/>
    <mergeCell ref="A421:D421"/>
    <mergeCell ref="E421:F421"/>
    <mergeCell ref="I421:J421"/>
    <mergeCell ref="L421:M421"/>
    <mergeCell ref="N421:O421"/>
    <mergeCell ref="A411:L411"/>
    <mergeCell ref="M411:N411"/>
    <mergeCell ref="O411:P411"/>
    <mergeCell ref="R411:T411"/>
    <mergeCell ref="A418:D418"/>
    <mergeCell ref="E418:F418"/>
    <mergeCell ref="I418:J418"/>
    <mergeCell ref="L418:M418"/>
    <mergeCell ref="N418:O418"/>
    <mergeCell ref="A419:D419"/>
    <mergeCell ref="E419:F419"/>
    <mergeCell ref="I419:J419"/>
    <mergeCell ref="L419:M419"/>
    <mergeCell ref="N419:O419"/>
    <mergeCell ref="A414:L414"/>
    <mergeCell ref="M414:N414"/>
    <mergeCell ref="O414:P414"/>
    <mergeCell ref="R414:T414"/>
    <mergeCell ref="A415:T415"/>
    <mergeCell ref="A417:N417"/>
    <mergeCell ref="A412:L412"/>
    <mergeCell ref="M412:N412"/>
    <mergeCell ref="O412:P412"/>
    <mergeCell ref="R412:T412"/>
    <mergeCell ref="A413:L413"/>
    <mergeCell ref="M413:N413"/>
    <mergeCell ref="O413:P413"/>
    <mergeCell ref="R413:T413"/>
    <mergeCell ref="A408:L410"/>
    <mergeCell ref="M408:T408"/>
    <mergeCell ref="M409:P409"/>
    <mergeCell ref="Q409:T409"/>
    <mergeCell ref="M410:N410"/>
    <mergeCell ref="O410:P410"/>
    <mergeCell ref="R410:T410"/>
    <mergeCell ref="A404:B404"/>
    <mergeCell ref="C404:T404"/>
    <mergeCell ref="A405:E405"/>
    <mergeCell ref="F405:T406"/>
    <mergeCell ref="A407:L407"/>
    <mergeCell ref="M407:N407"/>
    <mergeCell ref="O407:P407"/>
    <mergeCell ref="R407:T407"/>
    <mergeCell ref="A396:S396"/>
    <mergeCell ref="A397:S397"/>
    <mergeCell ref="J399:T399"/>
    <mergeCell ref="B401:R401"/>
    <mergeCell ref="A403:C403"/>
    <mergeCell ref="D403:T403"/>
    <mergeCell ref="A390:S390"/>
    <mergeCell ref="A391:S391"/>
    <mergeCell ref="A392:S392"/>
    <mergeCell ref="A393:S393"/>
    <mergeCell ref="A394:S394"/>
    <mergeCell ref="A395:S395"/>
    <mergeCell ref="A388:D388"/>
    <mergeCell ref="E388:F388"/>
    <mergeCell ref="I388:J388"/>
    <mergeCell ref="L388:M388"/>
    <mergeCell ref="N388:O388"/>
    <mergeCell ref="A389:D389"/>
    <mergeCell ref="E389:F389"/>
    <mergeCell ref="I389:J389"/>
    <mergeCell ref="L389:M389"/>
    <mergeCell ref="N389:O389"/>
    <mergeCell ref="A386:D386"/>
    <mergeCell ref="E386:F386"/>
    <mergeCell ref="I386:J386"/>
    <mergeCell ref="L386:M386"/>
    <mergeCell ref="N386:O386"/>
    <mergeCell ref="A387:D387"/>
    <mergeCell ref="E387:F387"/>
    <mergeCell ref="I387:J387"/>
    <mergeCell ref="L387:M387"/>
    <mergeCell ref="N387:O387"/>
    <mergeCell ref="A384:D384"/>
    <mergeCell ref="E384:F384"/>
    <mergeCell ref="I384:J384"/>
    <mergeCell ref="L384:M384"/>
    <mergeCell ref="N384:O384"/>
    <mergeCell ref="A385:D385"/>
    <mergeCell ref="E385:F385"/>
    <mergeCell ref="I385:J385"/>
    <mergeCell ref="L385:M385"/>
    <mergeCell ref="N385:O385"/>
    <mergeCell ref="A382:D382"/>
    <mergeCell ref="E382:F382"/>
    <mergeCell ref="I382:J382"/>
    <mergeCell ref="L382:M382"/>
    <mergeCell ref="N382:O382"/>
    <mergeCell ref="A383:D383"/>
    <mergeCell ref="E383:F383"/>
    <mergeCell ref="I383:J383"/>
    <mergeCell ref="L383:M383"/>
    <mergeCell ref="N383:O383"/>
    <mergeCell ref="A378:L378"/>
    <mergeCell ref="M378:N378"/>
    <mergeCell ref="O378:P378"/>
    <mergeCell ref="R378:T378"/>
    <mergeCell ref="A379:T379"/>
    <mergeCell ref="A381:N381"/>
    <mergeCell ref="A376:L376"/>
    <mergeCell ref="M376:N376"/>
    <mergeCell ref="O376:P376"/>
    <mergeCell ref="R376:T376"/>
    <mergeCell ref="A377:L377"/>
    <mergeCell ref="M377:N377"/>
    <mergeCell ref="O377:P377"/>
    <mergeCell ref="R377:T377"/>
    <mergeCell ref="A374:L374"/>
    <mergeCell ref="M374:N374"/>
    <mergeCell ref="O374:P374"/>
    <mergeCell ref="R374:T374"/>
    <mergeCell ref="A375:L375"/>
    <mergeCell ref="M375:N375"/>
    <mergeCell ref="O375:P375"/>
    <mergeCell ref="R375:T375"/>
    <mergeCell ref="A372:L372"/>
    <mergeCell ref="M372:N372"/>
    <mergeCell ref="O372:P372"/>
    <mergeCell ref="R372:T372"/>
    <mergeCell ref="A373:L373"/>
    <mergeCell ref="M373:N373"/>
    <mergeCell ref="O373:P373"/>
    <mergeCell ref="R373:T373"/>
    <mergeCell ref="A370:L370"/>
    <mergeCell ref="M370:N370"/>
    <mergeCell ref="O370:P370"/>
    <mergeCell ref="R370:T370"/>
    <mergeCell ref="A371:L371"/>
    <mergeCell ref="M371:N371"/>
    <mergeCell ref="O371:P371"/>
    <mergeCell ref="R371:T371"/>
    <mergeCell ref="A367:L369"/>
    <mergeCell ref="M367:T367"/>
    <mergeCell ref="M368:P368"/>
    <mergeCell ref="Q368:T368"/>
    <mergeCell ref="M369:N369"/>
    <mergeCell ref="O369:P369"/>
    <mergeCell ref="R369:T369"/>
    <mergeCell ref="A364:E364"/>
    <mergeCell ref="F364:T365"/>
    <mergeCell ref="A366:L366"/>
    <mergeCell ref="M366:N366"/>
    <mergeCell ref="O366:P366"/>
    <mergeCell ref="R366:T366"/>
    <mergeCell ref="A357:S357"/>
    <mergeCell ref="J358:T358"/>
    <mergeCell ref="B360:R360"/>
    <mergeCell ref="A362:C362"/>
    <mergeCell ref="D362:T362"/>
    <mergeCell ref="A363:B363"/>
    <mergeCell ref="C363:T363"/>
    <mergeCell ref="A351:S351"/>
    <mergeCell ref="A352:S352"/>
    <mergeCell ref="A353:S353"/>
    <mergeCell ref="A354:S354"/>
    <mergeCell ref="A355:S355"/>
    <mergeCell ref="A356:S356"/>
    <mergeCell ref="A349:D349"/>
    <mergeCell ref="E349:F349"/>
    <mergeCell ref="I349:J349"/>
    <mergeCell ref="L349:M349"/>
    <mergeCell ref="N349:O349"/>
    <mergeCell ref="A350:S350"/>
    <mergeCell ref="A347:D347"/>
    <mergeCell ref="E347:F347"/>
    <mergeCell ref="I347:J347"/>
    <mergeCell ref="L347:M347"/>
    <mergeCell ref="N347:O347"/>
    <mergeCell ref="A348:D348"/>
    <mergeCell ref="E348:F348"/>
    <mergeCell ref="I348:J348"/>
    <mergeCell ref="L348:M348"/>
    <mergeCell ref="N348:O348"/>
    <mergeCell ref="A345:D345"/>
    <mergeCell ref="E345:F345"/>
    <mergeCell ref="I345:J345"/>
    <mergeCell ref="L345:M345"/>
    <mergeCell ref="N345:O345"/>
    <mergeCell ref="A346:D346"/>
    <mergeCell ref="E346:F346"/>
    <mergeCell ref="I346:J346"/>
    <mergeCell ref="L346:M346"/>
    <mergeCell ref="N346:O346"/>
    <mergeCell ref="A343:D343"/>
    <mergeCell ref="E343:F343"/>
    <mergeCell ref="I343:J343"/>
    <mergeCell ref="L343:M343"/>
    <mergeCell ref="N343:O343"/>
    <mergeCell ref="A344:D344"/>
    <mergeCell ref="E344:F344"/>
    <mergeCell ref="I344:J344"/>
    <mergeCell ref="L344:M344"/>
    <mergeCell ref="N344:O344"/>
    <mergeCell ref="A339:T339"/>
    <mergeCell ref="A341:N341"/>
    <mergeCell ref="A342:D342"/>
    <mergeCell ref="E342:F342"/>
    <mergeCell ref="I342:J342"/>
    <mergeCell ref="L342:M342"/>
    <mergeCell ref="N342:O342"/>
    <mergeCell ref="A337:L337"/>
    <mergeCell ref="M337:N337"/>
    <mergeCell ref="O337:P337"/>
    <mergeCell ref="R337:T337"/>
    <mergeCell ref="A338:L338"/>
    <mergeCell ref="M338:N338"/>
    <mergeCell ref="O338:P338"/>
    <mergeCell ref="R338:T338"/>
    <mergeCell ref="A335:L335"/>
    <mergeCell ref="M335:N335"/>
    <mergeCell ref="O335:P335"/>
    <mergeCell ref="R335:T335"/>
    <mergeCell ref="A336:L336"/>
    <mergeCell ref="M336:N336"/>
    <mergeCell ref="O336:P336"/>
    <mergeCell ref="R336:T336"/>
    <mergeCell ref="A333:L333"/>
    <mergeCell ref="M333:N333"/>
    <mergeCell ref="O333:P333"/>
    <mergeCell ref="R333:T333"/>
    <mergeCell ref="A334:L334"/>
    <mergeCell ref="M334:N334"/>
    <mergeCell ref="O334:P334"/>
    <mergeCell ref="R334:T334"/>
    <mergeCell ref="A331:L331"/>
    <mergeCell ref="M331:N331"/>
    <mergeCell ref="O331:P331"/>
    <mergeCell ref="R331:T331"/>
    <mergeCell ref="A332:L332"/>
    <mergeCell ref="M332:N332"/>
    <mergeCell ref="O332:P332"/>
    <mergeCell ref="R332:T332"/>
    <mergeCell ref="R328:T328"/>
    <mergeCell ref="A329:L329"/>
    <mergeCell ref="M329:N329"/>
    <mergeCell ref="O329:P329"/>
    <mergeCell ref="R329:T329"/>
    <mergeCell ref="A330:L330"/>
    <mergeCell ref="M330:N330"/>
    <mergeCell ref="O330:P330"/>
    <mergeCell ref="R330:T330"/>
    <mergeCell ref="A325:L325"/>
    <mergeCell ref="M325:N325"/>
    <mergeCell ref="O325:P325"/>
    <mergeCell ref="R325:T325"/>
    <mergeCell ref="A326:L328"/>
    <mergeCell ref="M326:T326"/>
    <mergeCell ref="M327:P327"/>
    <mergeCell ref="Q327:T327"/>
    <mergeCell ref="M328:N328"/>
    <mergeCell ref="O328:P328"/>
    <mergeCell ref="A320:B320"/>
    <mergeCell ref="C320:T320"/>
    <mergeCell ref="A321:E321"/>
    <mergeCell ref="F321:T322"/>
    <mergeCell ref="A323:S323"/>
    <mergeCell ref="A324:S324"/>
    <mergeCell ref="A311:S311"/>
    <mergeCell ref="A312:S312"/>
    <mergeCell ref="A313:S313"/>
    <mergeCell ref="J315:T315"/>
    <mergeCell ref="B317:R317"/>
    <mergeCell ref="A319:C319"/>
    <mergeCell ref="D319:T319"/>
    <mergeCell ref="A305:S305"/>
    <mergeCell ref="A306:S306"/>
    <mergeCell ref="A307:S307"/>
    <mergeCell ref="A308:S308"/>
    <mergeCell ref="A309:S309"/>
    <mergeCell ref="A310:S310"/>
    <mergeCell ref="A303:D303"/>
    <mergeCell ref="E303:F303"/>
    <mergeCell ref="I303:J303"/>
    <mergeCell ref="L303:M303"/>
    <mergeCell ref="N303:O303"/>
    <mergeCell ref="A304:D304"/>
    <mergeCell ref="E304:F304"/>
    <mergeCell ref="I304:J304"/>
    <mergeCell ref="L304:M304"/>
    <mergeCell ref="N304:O304"/>
    <mergeCell ref="A301:D301"/>
    <mergeCell ref="E301:F301"/>
    <mergeCell ref="I301:J301"/>
    <mergeCell ref="L301:M301"/>
    <mergeCell ref="N301:O301"/>
    <mergeCell ref="A302:D302"/>
    <mergeCell ref="E302:F302"/>
    <mergeCell ref="I302:J302"/>
    <mergeCell ref="L302:M302"/>
    <mergeCell ref="N302:O302"/>
    <mergeCell ref="A299:D299"/>
    <mergeCell ref="E299:F299"/>
    <mergeCell ref="I299:J299"/>
    <mergeCell ref="L299:M299"/>
    <mergeCell ref="N299:O299"/>
    <mergeCell ref="A300:D300"/>
    <mergeCell ref="E300:F300"/>
    <mergeCell ref="I300:J300"/>
    <mergeCell ref="L300:M300"/>
    <mergeCell ref="N300:O300"/>
    <mergeCell ref="A297:D297"/>
    <mergeCell ref="E297:F297"/>
    <mergeCell ref="I297:J297"/>
    <mergeCell ref="L297:M297"/>
    <mergeCell ref="N297:O297"/>
    <mergeCell ref="A298:D298"/>
    <mergeCell ref="E298:F298"/>
    <mergeCell ref="I298:J298"/>
    <mergeCell ref="L298:M298"/>
    <mergeCell ref="N298:O298"/>
    <mergeCell ref="A293:L293"/>
    <mergeCell ref="M293:N293"/>
    <mergeCell ref="O293:P293"/>
    <mergeCell ref="R293:T293"/>
    <mergeCell ref="A294:T294"/>
    <mergeCell ref="A296:N296"/>
    <mergeCell ref="A291:L291"/>
    <mergeCell ref="M291:N291"/>
    <mergeCell ref="O291:P291"/>
    <mergeCell ref="R291:T291"/>
    <mergeCell ref="A292:L292"/>
    <mergeCell ref="M292:N292"/>
    <mergeCell ref="O292:P292"/>
    <mergeCell ref="R292:T292"/>
    <mergeCell ref="A289:L289"/>
    <mergeCell ref="M289:N289"/>
    <mergeCell ref="O289:P289"/>
    <mergeCell ref="R289:T289"/>
    <mergeCell ref="A290:L290"/>
    <mergeCell ref="M290:N290"/>
    <mergeCell ref="O290:P290"/>
    <mergeCell ref="R290:T290"/>
    <mergeCell ref="A287:L287"/>
    <mergeCell ref="M287:N287"/>
    <mergeCell ref="O287:P287"/>
    <mergeCell ref="R287:T287"/>
    <mergeCell ref="A288:L288"/>
    <mergeCell ref="M288:N288"/>
    <mergeCell ref="O288:P288"/>
    <mergeCell ref="R288:T288"/>
    <mergeCell ref="A284:L286"/>
    <mergeCell ref="M284:T284"/>
    <mergeCell ref="M285:P285"/>
    <mergeCell ref="Q285:T285"/>
    <mergeCell ref="M286:N286"/>
    <mergeCell ref="O286:P286"/>
    <mergeCell ref="R286:T286"/>
    <mergeCell ref="A280:E280"/>
    <mergeCell ref="F280:T280"/>
    <mergeCell ref="A282:S282"/>
    <mergeCell ref="A283:L283"/>
    <mergeCell ref="M283:N283"/>
    <mergeCell ref="O283:P283"/>
    <mergeCell ref="R283:T283"/>
    <mergeCell ref="A273:S273"/>
    <mergeCell ref="J274:T274"/>
    <mergeCell ref="B276:R276"/>
    <mergeCell ref="A278:C278"/>
    <mergeCell ref="D278:T278"/>
    <mergeCell ref="A279:B279"/>
    <mergeCell ref="C279:T279"/>
    <mergeCell ref="A267:S267"/>
    <mergeCell ref="A268:S268"/>
    <mergeCell ref="A269:S269"/>
    <mergeCell ref="A270:S270"/>
    <mergeCell ref="A271:S271"/>
    <mergeCell ref="A272:S272"/>
    <mergeCell ref="A265:D265"/>
    <mergeCell ref="E265:F265"/>
    <mergeCell ref="I265:J265"/>
    <mergeCell ref="L265:M265"/>
    <mergeCell ref="N265:O265"/>
    <mergeCell ref="A266:S266"/>
    <mergeCell ref="A263:D263"/>
    <mergeCell ref="E263:F263"/>
    <mergeCell ref="I263:J263"/>
    <mergeCell ref="L263:M263"/>
    <mergeCell ref="N263:O263"/>
    <mergeCell ref="A264:D264"/>
    <mergeCell ref="E264:F264"/>
    <mergeCell ref="I264:J264"/>
    <mergeCell ref="L264:M264"/>
    <mergeCell ref="N264:O264"/>
    <mergeCell ref="A261:D261"/>
    <mergeCell ref="E261:F261"/>
    <mergeCell ref="I261:J261"/>
    <mergeCell ref="L261:M261"/>
    <mergeCell ref="N261:O261"/>
    <mergeCell ref="A262:D262"/>
    <mergeCell ref="E262:F262"/>
    <mergeCell ref="I262:J262"/>
    <mergeCell ref="L262:M262"/>
    <mergeCell ref="N262:O262"/>
    <mergeCell ref="A259:D259"/>
    <mergeCell ref="E259:F259"/>
    <mergeCell ref="I259:J259"/>
    <mergeCell ref="L259:M259"/>
    <mergeCell ref="N259:O259"/>
    <mergeCell ref="A260:D260"/>
    <mergeCell ref="E260:F260"/>
    <mergeCell ref="I260:J260"/>
    <mergeCell ref="L260:M260"/>
    <mergeCell ref="N260:O260"/>
    <mergeCell ref="A255:T255"/>
    <mergeCell ref="A257:N257"/>
    <mergeCell ref="A258:D258"/>
    <mergeCell ref="E258:F258"/>
    <mergeCell ref="I258:J258"/>
    <mergeCell ref="L258:M258"/>
    <mergeCell ref="N258:O258"/>
    <mergeCell ref="A253:L253"/>
    <mergeCell ref="M253:N253"/>
    <mergeCell ref="O253:P253"/>
    <mergeCell ref="R253:T253"/>
    <mergeCell ref="A254:L254"/>
    <mergeCell ref="M254:N254"/>
    <mergeCell ref="O254:P254"/>
    <mergeCell ref="R254:T254"/>
    <mergeCell ref="A251:L251"/>
    <mergeCell ref="M251:N251"/>
    <mergeCell ref="O251:P251"/>
    <mergeCell ref="R251:T251"/>
    <mergeCell ref="A252:L252"/>
    <mergeCell ref="M252:N252"/>
    <mergeCell ref="O252:P252"/>
    <mergeCell ref="R252:T252"/>
    <mergeCell ref="A248:L250"/>
    <mergeCell ref="M248:T248"/>
    <mergeCell ref="M249:P249"/>
    <mergeCell ref="Q249:T249"/>
    <mergeCell ref="M250:N250"/>
    <mergeCell ref="O250:P250"/>
    <mergeCell ref="R250:T250"/>
    <mergeCell ref="A244:B244"/>
    <mergeCell ref="C244:T244"/>
    <mergeCell ref="A245:E245"/>
    <mergeCell ref="F245:T246"/>
    <mergeCell ref="A247:L247"/>
    <mergeCell ref="M247:N247"/>
    <mergeCell ref="O247:P247"/>
    <mergeCell ref="R247:T247"/>
    <mergeCell ref="A237:S237"/>
    <mergeCell ref="A238:S238"/>
    <mergeCell ref="J239:T239"/>
    <mergeCell ref="B241:R241"/>
    <mergeCell ref="A243:C243"/>
    <mergeCell ref="D243:T243"/>
    <mergeCell ref="A231:S231"/>
    <mergeCell ref="A232:S232"/>
    <mergeCell ref="A233:S233"/>
    <mergeCell ref="A234:S234"/>
    <mergeCell ref="A235:S235"/>
    <mergeCell ref="A236:S236"/>
    <mergeCell ref="A229:D229"/>
    <mergeCell ref="E229:F229"/>
    <mergeCell ref="I229:J229"/>
    <mergeCell ref="L229:M229"/>
    <mergeCell ref="N229:O229"/>
    <mergeCell ref="A230:S230"/>
    <mergeCell ref="A227:D227"/>
    <mergeCell ref="E227:F227"/>
    <mergeCell ref="I227:J227"/>
    <mergeCell ref="L227:M227"/>
    <mergeCell ref="N227:O227"/>
    <mergeCell ref="A228:D228"/>
    <mergeCell ref="E228:F228"/>
    <mergeCell ref="I228:J228"/>
    <mergeCell ref="L228:M228"/>
    <mergeCell ref="N228:O228"/>
    <mergeCell ref="A225:D225"/>
    <mergeCell ref="E225:F225"/>
    <mergeCell ref="I225:J225"/>
    <mergeCell ref="L225:M225"/>
    <mergeCell ref="N225:O225"/>
    <mergeCell ref="A226:D226"/>
    <mergeCell ref="E226:F226"/>
    <mergeCell ref="I226:J226"/>
    <mergeCell ref="L226:M226"/>
    <mergeCell ref="N226:O226"/>
    <mergeCell ref="A223:D223"/>
    <mergeCell ref="E223:F223"/>
    <mergeCell ref="I223:J223"/>
    <mergeCell ref="L223:M223"/>
    <mergeCell ref="N223:O223"/>
    <mergeCell ref="A224:D224"/>
    <mergeCell ref="E224:F224"/>
    <mergeCell ref="I224:J224"/>
    <mergeCell ref="L224:M224"/>
    <mergeCell ref="N224:O224"/>
    <mergeCell ref="A219:T219"/>
    <mergeCell ref="A221:N221"/>
    <mergeCell ref="A222:D222"/>
    <mergeCell ref="E222:F222"/>
    <mergeCell ref="I222:J222"/>
    <mergeCell ref="L222:M222"/>
    <mergeCell ref="N222:O222"/>
    <mergeCell ref="A217:L217"/>
    <mergeCell ref="M217:N217"/>
    <mergeCell ref="O217:P217"/>
    <mergeCell ref="R217:T217"/>
    <mergeCell ref="A218:L218"/>
    <mergeCell ref="M218:N218"/>
    <mergeCell ref="O218:P218"/>
    <mergeCell ref="R218:T218"/>
    <mergeCell ref="A215:L215"/>
    <mergeCell ref="M215:N215"/>
    <mergeCell ref="O215:P215"/>
    <mergeCell ref="R215:T215"/>
    <mergeCell ref="A216:L216"/>
    <mergeCell ref="M216:N216"/>
    <mergeCell ref="O216:P216"/>
    <mergeCell ref="R216:T216"/>
    <mergeCell ref="A212:L214"/>
    <mergeCell ref="M212:T212"/>
    <mergeCell ref="M213:P213"/>
    <mergeCell ref="Q213:T213"/>
    <mergeCell ref="M214:N214"/>
    <mergeCell ref="O214:P214"/>
    <mergeCell ref="R214:T214"/>
    <mergeCell ref="A209:E209"/>
    <mergeCell ref="F209:T210"/>
    <mergeCell ref="A211:L211"/>
    <mergeCell ref="M211:N211"/>
    <mergeCell ref="O211:P211"/>
    <mergeCell ref="R211:T211"/>
    <mergeCell ref="A201:S201"/>
    <mergeCell ref="J203:T203"/>
    <mergeCell ref="B205:R205"/>
    <mergeCell ref="A207:C207"/>
    <mergeCell ref="D207:T207"/>
    <mergeCell ref="A208:B208"/>
    <mergeCell ref="C208:T208"/>
    <mergeCell ref="A195:S195"/>
    <mergeCell ref="A196:S196"/>
    <mergeCell ref="A197:S197"/>
    <mergeCell ref="A198:S198"/>
    <mergeCell ref="A199:S199"/>
    <mergeCell ref="A200:S200"/>
    <mergeCell ref="A193:D193"/>
    <mergeCell ref="E193:F193"/>
    <mergeCell ref="I193:J193"/>
    <mergeCell ref="L193:M193"/>
    <mergeCell ref="N193:O193"/>
    <mergeCell ref="A194:S194"/>
    <mergeCell ref="A191:D191"/>
    <mergeCell ref="E191:F191"/>
    <mergeCell ref="I191:J191"/>
    <mergeCell ref="L191:M191"/>
    <mergeCell ref="N191:O191"/>
    <mergeCell ref="A192:D192"/>
    <mergeCell ref="E192:F192"/>
    <mergeCell ref="I192:J192"/>
    <mergeCell ref="L192:M192"/>
    <mergeCell ref="N192:O192"/>
    <mergeCell ref="A189:D189"/>
    <mergeCell ref="E189:F189"/>
    <mergeCell ref="I189:J189"/>
    <mergeCell ref="L189:M189"/>
    <mergeCell ref="N189:O189"/>
    <mergeCell ref="A190:D190"/>
    <mergeCell ref="E190:F190"/>
    <mergeCell ref="I190:J190"/>
    <mergeCell ref="L190:M190"/>
    <mergeCell ref="N190:O190"/>
    <mergeCell ref="A187:D187"/>
    <mergeCell ref="E187:F187"/>
    <mergeCell ref="I187:J187"/>
    <mergeCell ref="L187:M187"/>
    <mergeCell ref="N187:O187"/>
    <mergeCell ref="A188:D188"/>
    <mergeCell ref="E188:F188"/>
    <mergeCell ref="I188:J188"/>
    <mergeCell ref="L188:M188"/>
    <mergeCell ref="N188:O188"/>
    <mergeCell ref="A183:T183"/>
    <mergeCell ref="A185:N185"/>
    <mergeCell ref="A186:D186"/>
    <mergeCell ref="E186:F186"/>
    <mergeCell ref="I186:J186"/>
    <mergeCell ref="L186:M186"/>
    <mergeCell ref="N186:O186"/>
    <mergeCell ref="A181:L181"/>
    <mergeCell ref="M181:N181"/>
    <mergeCell ref="O181:P181"/>
    <mergeCell ref="R181:T181"/>
    <mergeCell ref="A182:L182"/>
    <mergeCell ref="M182:N182"/>
    <mergeCell ref="O182:P182"/>
    <mergeCell ref="R182:T182"/>
    <mergeCell ref="A179:L179"/>
    <mergeCell ref="M179:N179"/>
    <mergeCell ref="O179:P179"/>
    <mergeCell ref="R179:T179"/>
    <mergeCell ref="A180:L180"/>
    <mergeCell ref="M180:N180"/>
    <mergeCell ref="O180:P180"/>
    <mergeCell ref="R180:T180"/>
    <mergeCell ref="A176:L178"/>
    <mergeCell ref="M176:T176"/>
    <mergeCell ref="M177:P177"/>
    <mergeCell ref="Q177:T177"/>
    <mergeCell ref="M178:N178"/>
    <mergeCell ref="O178:P178"/>
    <mergeCell ref="R178:T178"/>
    <mergeCell ref="A172:B172"/>
    <mergeCell ref="C172:T172"/>
    <mergeCell ref="A173:E173"/>
    <mergeCell ref="F173:T174"/>
    <mergeCell ref="A175:L175"/>
    <mergeCell ref="M175:N175"/>
    <mergeCell ref="O175:P175"/>
    <mergeCell ref="R175:T175"/>
    <mergeCell ref="A165:S165"/>
    <mergeCell ref="A166:S166"/>
    <mergeCell ref="J167:T167"/>
    <mergeCell ref="B169:R169"/>
    <mergeCell ref="A171:C171"/>
    <mergeCell ref="D171:T171"/>
    <mergeCell ref="A159:S159"/>
    <mergeCell ref="A160:S160"/>
    <mergeCell ref="A161:S161"/>
    <mergeCell ref="A162:S162"/>
    <mergeCell ref="A163:S163"/>
    <mergeCell ref="A164:S164"/>
    <mergeCell ref="A157:D157"/>
    <mergeCell ref="E157:F157"/>
    <mergeCell ref="I157:J157"/>
    <mergeCell ref="L157:M157"/>
    <mergeCell ref="N157:O157"/>
    <mergeCell ref="A158:S158"/>
    <mergeCell ref="A155:D155"/>
    <mergeCell ref="E155:F155"/>
    <mergeCell ref="I155:J155"/>
    <mergeCell ref="L155:M155"/>
    <mergeCell ref="N155:O155"/>
    <mergeCell ref="A156:D156"/>
    <mergeCell ref="E156:F156"/>
    <mergeCell ref="I156:J156"/>
    <mergeCell ref="L156:M156"/>
    <mergeCell ref="N156:O156"/>
    <mergeCell ref="A153:D153"/>
    <mergeCell ref="E153:F153"/>
    <mergeCell ref="I153:J153"/>
    <mergeCell ref="L153:M153"/>
    <mergeCell ref="N153:O153"/>
    <mergeCell ref="A154:D154"/>
    <mergeCell ref="E154:F154"/>
    <mergeCell ref="I154:J154"/>
    <mergeCell ref="L154:M154"/>
    <mergeCell ref="N154:O154"/>
    <mergeCell ref="A151:D151"/>
    <mergeCell ref="E151:F151"/>
    <mergeCell ref="I151:J151"/>
    <mergeCell ref="L151:M151"/>
    <mergeCell ref="N151:O151"/>
    <mergeCell ref="A152:D152"/>
    <mergeCell ref="E152:F152"/>
    <mergeCell ref="I152:J152"/>
    <mergeCell ref="L152:M152"/>
    <mergeCell ref="N152:O152"/>
    <mergeCell ref="A147:T147"/>
    <mergeCell ref="A149:N149"/>
    <mergeCell ref="A150:D150"/>
    <mergeCell ref="E150:F150"/>
    <mergeCell ref="I150:J150"/>
    <mergeCell ref="L150:M150"/>
    <mergeCell ref="N150:O150"/>
    <mergeCell ref="A145:L145"/>
    <mergeCell ref="M145:N145"/>
    <mergeCell ref="O145:P145"/>
    <mergeCell ref="R145:T145"/>
    <mergeCell ref="A146:L146"/>
    <mergeCell ref="M146:N146"/>
    <mergeCell ref="O146:P146"/>
    <mergeCell ref="R146:T146"/>
    <mergeCell ref="A144:L144"/>
    <mergeCell ref="M144:N144"/>
    <mergeCell ref="O144:P144"/>
    <mergeCell ref="R144:T144"/>
    <mergeCell ref="A142:L142"/>
    <mergeCell ref="M142:N142"/>
    <mergeCell ref="O142:P142"/>
    <mergeCell ref="R142:T142"/>
    <mergeCell ref="A143:L143"/>
    <mergeCell ref="M143:N143"/>
    <mergeCell ref="O143:P143"/>
    <mergeCell ref="R143:T143"/>
    <mergeCell ref="A140:L140"/>
    <mergeCell ref="M140:N140"/>
    <mergeCell ref="O140:P140"/>
    <mergeCell ref="R140:T140"/>
    <mergeCell ref="A141:L141"/>
    <mergeCell ref="M141:N141"/>
    <mergeCell ref="O141:P141"/>
    <mergeCell ref="R141:T141"/>
    <mergeCell ref="A138:L138"/>
    <mergeCell ref="M138:N138"/>
    <mergeCell ref="O138:P138"/>
    <mergeCell ref="R138:T138"/>
    <mergeCell ref="A139:L139"/>
    <mergeCell ref="M139:N139"/>
    <mergeCell ref="O139:P139"/>
    <mergeCell ref="R139:T139"/>
    <mergeCell ref="A135:L137"/>
    <mergeCell ref="M135:T135"/>
    <mergeCell ref="M136:P136"/>
    <mergeCell ref="Q136:T136"/>
    <mergeCell ref="M137:N137"/>
    <mergeCell ref="O137:P137"/>
    <mergeCell ref="R137:T137"/>
    <mergeCell ref="A130:E130"/>
    <mergeCell ref="F130:T130"/>
    <mergeCell ref="A132:S132"/>
    <mergeCell ref="A133:S133"/>
    <mergeCell ref="A134:L134"/>
    <mergeCell ref="M134:N134"/>
    <mergeCell ref="O134:P134"/>
    <mergeCell ref="R134:T134"/>
    <mergeCell ref="A123:S123"/>
    <mergeCell ref="J124:T124"/>
    <mergeCell ref="B126:R126"/>
    <mergeCell ref="A128:C128"/>
    <mergeCell ref="D128:T128"/>
    <mergeCell ref="A129:B129"/>
    <mergeCell ref="C129:T129"/>
    <mergeCell ref="A117:S117"/>
    <mergeCell ref="A118:S118"/>
    <mergeCell ref="A119:S119"/>
    <mergeCell ref="A120:S120"/>
    <mergeCell ref="A121:S121"/>
    <mergeCell ref="A122:S122"/>
    <mergeCell ref="A115:D115"/>
    <mergeCell ref="E115:F115"/>
    <mergeCell ref="I115:J115"/>
    <mergeCell ref="L115:M115"/>
    <mergeCell ref="N115:O115"/>
    <mergeCell ref="A116:S116"/>
    <mergeCell ref="A113:D113"/>
    <mergeCell ref="E113:F113"/>
    <mergeCell ref="I113:J113"/>
    <mergeCell ref="L113:M113"/>
    <mergeCell ref="N113:O113"/>
    <mergeCell ref="A114:D114"/>
    <mergeCell ref="E114:F114"/>
    <mergeCell ref="I114:J114"/>
    <mergeCell ref="L114:M114"/>
    <mergeCell ref="N114:O114"/>
    <mergeCell ref="A111:D111"/>
    <mergeCell ref="E111:F111"/>
    <mergeCell ref="I111:J111"/>
    <mergeCell ref="L111:M111"/>
    <mergeCell ref="N111:O111"/>
    <mergeCell ref="A112:D112"/>
    <mergeCell ref="E112:F112"/>
    <mergeCell ref="I112:J112"/>
    <mergeCell ref="L112:M112"/>
    <mergeCell ref="N112:O112"/>
    <mergeCell ref="A109:D109"/>
    <mergeCell ref="E109:F109"/>
    <mergeCell ref="I109:J109"/>
    <mergeCell ref="L109:M109"/>
    <mergeCell ref="N109:O109"/>
    <mergeCell ref="A110:D110"/>
    <mergeCell ref="E110:F110"/>
    <mergeCell ref="I110:J110"/>
    <mergeCell ref="L110:M110"/>
    <mergeCell ref="N110:O110"/>
    <mergeCell ref="A105:T105"/>
    <mergeCell ref="A107:N107"/>
    <mergeCell ref="A108:D108"/>
    <mergeCell ref="E108:F108"/>
    <mergeCell ref="I108:J108"/>
    <mergeCell ref="L108:M108"/>
    <mergeCell ref="N108:O108"/>
    <mergeCell ref="A103:L103"/>
    <mergeCell ref="M103:N103"/>
    <mergeCell ref="O103:P103"/>
    <mergeCell ref="R103:T103"/>
    <mergeCell ref="A104:L104"/>
    <mergeCell ref="M104:N104"/>
    <mergeCell ref="O104:P104"/>
    <mergeCell ref="R104:T104"/>
    <mergeCell ref="A101:L101"/>
    <mergeCell ref="M101:N101"/>
    <mergeCell ref="O101:P101"/>
    <mergeCell ref="R101:T101"/>
    <mergeCell ref="A102:L102"/>
    <mergeCell ref="M102:N102"/>
    <mergeCell ref="O102:P102"/>
    <mergeCell ref="R102:T102"/>
    <mergeCell ref="A99:L99"/>
    <mergeCell ref="M99:N99"/>
    <mergeCell ref="O99:P99"/>
    <mergeCell ref="R99:T99"/>
    <mergeCell ref="A100:L100"/>
    <mergeCell ref="M100:N100"/>
    <mergeCell ref="O100:P100"/>
    <mergeCell ref="R100:T100"/>
    <mergeCell ref="A97:L97"/>
    <mergeCell ref="M97:N97"/>
    <mergeCell ref="O97:P97"/>
    <mergeCell ref="R97:T97"/>
    <mergeCell ref="A98:L98"/>
    <mergeCell ref="M98:N98"/>
    <mergeCell ref="O98:P98"/>
    <mergeCell ref="R98:T98"/>
    <mergeCell ref="A95:L95"/>
    <mergeCell ref="M95:N95"/>
    <mergeCell ref="O95:P95"/>
    <mergeCell ref="R95:T95"/>
    <mergeCell ref="A96:L96"/>
    <mergeCell ref="M96:N96"/>
    <mergeCell ref="O96:P96"/>
    <mergeCell ref="R96:T96"/>
    <mergeCell ref="A92:L94"/>
    <mergeCell ref="M92:T92"/>
    <mergeCell ref="M93:P93"/>
    <mergeCell ref="Q93:T93"/>
    <mergeCell ref="M94:N94"/>
    <mergeCell ref="O94:P94"/>
    <mergeCell ref="R94:T94"/>
    <mergeCell ref="A87:E87"/>
    <mergeCell ref="F87:T87"/>
    <mergeCell ref="A89:S89"/>
    <mergeCell ref="A90:S90"/>
    <mergeCell ref="A91:L91"/>
    <mergeCell ref="M91:N91"/>
    <mergeCell ref="O91:P91"/>
    <mergeCell ref="R91:T91"/>
    <mergeCell ref="A80:S80"/>
    <mergeCell ref="J81:T81"/>
    <mergeCell ref="B83:R83"/>
    <mergeCell ref="A85:C85"/>
    <mergeCell ref="D85:T85"/>
    <mergeCell ref="A86:B86"/>
    <mergeCell ref="C86:T86"/>
    <mergeCell ref="A74:S74"/>
    <mergeCell ref="A75:S75"/>
    <mergeCell ref="A76:S76"/>
    <mergeCell ref="A77:S77"/>
    <mergeCell ref="A78:S78"/>
    <mergeCell ref="A79:S79"/>
    <mergeCell ref="A72:D72"/>
    <mergeCell ref="E72:F72"/>
    <mergeCell ref="I72:J72"/>
    <mergeCell ref="L72:M72"/>
    <mergeCell ref="N72:O72"/>
    <mergeCell ref="A73:S73"/>
    <mergeCell ref="A70:D70"/>
    <mergeCell ref="E70:F70"/>
    <mergeCell ref="I70:J70"/>
    <mergeCell ref="L70:M70"/>
    <mergeCell ref="N70:O70"/>
    <mergeCell ref="A71:D71"/>
    <mergeCell ref="E71:F71"/>
    <mergeCell ref="I71:J71"/>
    <mergeCell ref="L71:M71"/>
    <mergeCell ref="N71:O71"/>
    <mergeCell ref="A68:D68"/>
    <mergeCell ref="E68:F68"/>
    <mergeCell ref="I68:J68"/>
    <mergeCell ref="L68:M68"/>
    <mergeCell ref="N68:O68"/>
    <mergeCell ref="A69:D69"/>
    <mergeCell ref="E69:F69"/>
    <mergeCell ref="I69:J69"/>
    <mergeCell ref="L69:M69"/>
    <mergeCell ref="N69:O69"/>
    <mergeCell ref="A66:D66"/>
    <mergeCell ref="E66:F66"/>
    <mergeCell ref="I66:J66"/>
    <mergeCell ref="L66:M66"/>
    <mergeCell ref="N66:O66"/>
    <mergeCell ref="A67:D67"/>
    <mergeCell ref="E67:F67"/>
    <mergeCell ref="I67:J67"/>
    <mergeCell ref="L67:M67"/>
    <mergeCell ref="N67:O67"/>
    <mergeCell ref="A62:T62"/>
    <mergeCell ref="A64:N64"/>
    <mergeCell ref="A65:D65"/>
    <mergeCell ref="E65:F65"/>
    <mergeCell ref="I65:J65"/>
    <mergeCell ref="L65:M65"/>
    <mergeCell ref="N65:O65"/>
    <mergeCell ref="A60:L60"/>
    <mergeCell ref="M60:N60"/>
    <mergeCell ref="O60:P60"/>
    <mergeCell ref="R60:T60"/>
    <mergeCell ref="A61:L61"/>
    <mergeCell ref="M61:N61"/>
    <mergeCell ref="O61:P61"/>
    <mergeCell ref="R61:T61"/>
    <mergeCell ref="A58:L58"/>
    <mergeCell ref="M58:N58"/>
    <mergeCell ref="O58:P58"/>
    <mergeCell ref="R58:T58"/>
    <mergeCell ref="A59:L59"/>
    <mergeCell ref="M59:N59"/>
    <mergeCell ref="O59:P59"/>
    <mergeCell ref="R59:T59"/>
    <mergeCell ref="A56:L56"/>
    <mergeCell ref="M56:N56"/>
    <mergeCell ref="O56:P56"/>
    <mergeCell ref="R56:T56"/>
    <mergeCell ref="A57:L57"/>
    <mergeCell ref="M57:N57"/>
    <mergeCell ref="O57:P57"/>
    <mergeCell ref="R57:T57"/>
    <mergeCell ref="A53:L55"/>
    <mergeCell ref="M53:T53"/>
    <mergeCell ref="M54:P54"/>
    <mergeCell ref="Q54:T54"/>
    <mergeCell ref="M55:N55"/>
    <mergeCell ref="O55:P55"/>
    <mergeCell ref="R55:T55"/>
    <mergeCell ref="A49:B49"/>
    <mergeCell ref="C49:T49"/>
    <mergeCell ref="A50:E50"/>
    <mergeCell ref="F50:T51"/>
    <mergeCell ref="A52:L52"/>
    <mergeCell ref="M52:N52"/>
    <mergeCell ref="O52:P52"/>
    <mergeCell ref="R52:T52"/>
    <mergeCell ref="A41:S41"/>
    <mergeCell ref="A42:S42"/>
    <mergeCell ref="A43:S43"/>
    <mergeCell ref="J44:T44"/>
    <mergeCell ref="B46:R46"/>
    <mergeCell ref="A48:C48"/>
    <mergeCell ref="D48:T48"/>
    <mergeCell ref="A35:S35"/>
    <mergeCell ref="A36:S36"/>
    <mergeCell ref="A37:S37"/>
    <mergeCell ref="A38:S38"/>
    <mergeCell ref="A39:S39"/>
    <mergeCell ref="A40:S40"/>
    <mergeCell ref="A33:D33"/>
    <mergeCell ref="E33:F33"/>
    <mergeCell ref="I33:J33"/>
    <mergeCell ref="L33:M33"/>
    <mergeCell ref="N33:O33"/>
    <mergeCell ref="A34:D34"/>
    <mergeCell ref="E34:F34"/>
    <mergeCell ref="I34:J34"/>
    <mergeCell ref="L34:M34"/>
    <mergeCell ref="N34:O34"/>
    <mergeCell ref="A31:D31"/>
    <mergeCell ref="E31:F31"/>
    <mergeCell ref="I31:J31"/>
    <mergeCell ref="L31:M31"/>
    <mergeCell ref="N31:O31"/>
    <mergeCell ref="A32:D32"/>
    <mergeCell ref="E32:F32"/>
    <mergeCell ref="I32:J32"/>
    <mergeCell ref="L32:M32"/>
    <mergeCell ref="N32:O32"/>
    <mergeCell ref="A29:D29"/>
    <mergeCell ref="E29:F29"/>
    <mergeCell ref="I29:J29"/>
    <mergeCell ref="L29:M29"/>
    <mergeCell ref="N29:O29"/>
    <mergeCell ref="A30:D30"/>
    <mergeCell ref="E30:F30"/>
    <mergeCell ref="I30:J30"/>
    <mergeCell ref="L30:M30"/>
    <mergeCell ref="N30:O30"/>
    <mergeCell ref="A27:D27"/>
    <mergeCell ref="E27:F27"/>
    <mergeCell ref="I27:J27"/>
    <mergeCell ref="L27:M27"/>
    <mergeCell ref="N27:O27"/>
    <mergeCell ref="A28:D28"/>
    <mergeCell ref="E28:F28"/>
    <mergeCell ref="I28:J28"/>
    <mergeCell ref="L28:M28"/>
    <mergeCell ref="N28:O28"/>
    <mergeCell ref="A24:T24"/>
    <mergeCell ref="A26:N26"/>
    <mergeCell ref="A21:L21"/>
    <mergeCell ref="M21:N21"/>
    <mergeCell ref="O21:P21"/>
    <mergeCell ref="R21:T21"/>
    <mergeCell ref="A22:L22"/>
    <mergeCell ref="M22:N22"/>
    <mergeCell ref="O22:P22"/>
    <mergeCell ref="R22:T22"/>
    <mergeCell ref="A19:L19"/>
    <mergeCell ref="M19:N19"/>
    <mergeCell ref="O19:P19"/>
    <mergeCell ref="R19:T19"/>
    <mergeCell ref="A20:L20"/>
    <mergeCell ref="M20:N20"/>
    <mergeCell ref="O20:P20"/>
    <mergeCell ref="R20:T20"/>
    <mergeCell ref="A17:L17"/>
    <mergeCell ref="M17:N17"/>
    <mergeCell ref="O17:P17"/>
    <mergeCell ref="R17:T17"/>
    <mergeCell ref="A18:L18"/>
    <mergeCell ref="M18:N18"/>
    <mergeCell ref="O18:P18"/>
    <mergeCell ref="R18:T18"/>
    <mergeCell ref="A16:L16"/>
    <mergeCell ref="M16:N16"/>
    <mergeCell ref="O16:P16"/>
    <mergeCell ref="R16:T16"/>
    <mergeCell ref="A15:L15"/>
    <mergeCell ref="M15:N15"/>
    <mergeCell ref="O15:P15"/>
    <mergeCell ref="R15:T15"/>
    <mergeCell ref="A23:L23"/>
    <mergeCell ref="M23:N23"/>
    <mergeCell ref="O23:P23"/>
    <mergeCell ref="R23:T23"/>
    <mergeCell ref="J1:T1"/>
    <mergeCell ref="B3:R3"/>
    <mergeCell ref="A5:C5"/>
    <mergeCell ref="D5:T5"/>
    <mergeCell ref="A6:B6"/>
    <mergeCell ref="C6:T6"/>
    <mergeCell ref="A13:L13"/>
    <mergeCell ref="M13:N13"/>
    <mergeCell ref="O13:P13"/>
    <mergeCell ref="R13:T13"/>
    <mergeCell ref="A14:L14"/>
    <mergeCell ref="M14:N14"/>
    <mergeCell ref="O14:P14"/>
    <mergeCell ref="R14:T14"/>
    <mergeCell ref="A10:L12"/>
    <mergeCell ref="M10:T10"/>
    <mergeCell ref="M11:P11"/>
    <mergeCell ref="Q11:T11"/>
    <mergeCell ref="M12:N12"/>
    <mergeCell ref="O12:P12"/>
    <mergeCell ref="R12:T12"/>
    <mergeCell ref="A7:E7"/>
    <mergeCell ref="F7:T8"/>
    <mergeCell ref="A9:L9"/>
    <mergeCell ref="M9:N9"/>
    <mergeCell ref="O9:P9"/>
    <mergeCell ref="R9:T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1"/>
  <sheetViews>
    <sheetView workbookViewId="0">
      <selection activeCell="W14" sqref="W14"/>
    </sheetView>
  </sheetViews>
  <sheetFormatPr defaultRowHeight="10.199999999999999" x14ac:dyDescent="0.2"/>
  <sheetData>
    <row r="1" spans="1:23" s="1" customFormat="1" ht="72.45" customHeight="1" x14ac:dyDescent="0.25">
      <c r="J1" s="100" t="s">
        <v>0</v>
      </c>
      <c r="K1" s="100"/>
      <c r="L1" s="100"/>
      <c r="M1" s="100"/>
      <c r="N1" s="100"/>
      <c r="O1" s="100"/>
      <c r="P1" s="100"/>
      <c r="Q1" s="100"/>
      <c r="R1" s="100"/>
      <c r="S1" s="100"/>
      <c r="T1" s="100"/>
    </row>
    <row r="2" spans="1:23" s="1" customFormat="1" ht="7.05" customHeight="1" x14ac:dyDescent="0.25"/>
    <row r="3" spans="1:23" s="1" customFormat="1" ht="14.1" customHeight="1" x14ac:dyDescent="0.25">
      <c r="B3" s="101" t="s">
        <v>58</v>
      </c>
      <c r="C3" s="101"/>
      <c r="D3" s="101"/>
      <c r="E3" s="101"/>
      <c r="F3" s="101"/>
      <c r="G3" s="101"/>
      <c r="H3" s="101"/>
      <c r="I3" s="101"/>
      <c r="J3" s="101"/>
      <c r="K3" s="101"/>
      <c r="L3" s="101"/>
      <c r="M3" s="101"/>
      <c r="N3" s="101"/>
      <c r="O3" s="101"/>
      <c r="P3" s="101"/>
      <c r="Q3" s="101"/>
      <c r="R3" s="101"/>
    </row>
    <row r="4" spans="1:23" s="1" customFormat="1" ht="14.1" customHeight="1" x14ac:dyDescent="0.25"/>
    <row r="5" spans="1:23" s="1" customFormat="1" ht="14.1" customHeight="1" x14ac:dyDescent="0.25">
      <c r="A5" s="102" t="s">
        <v>2</v>
      </c>
      <c r="B5" s="102"/>
      <c r="C5" s="102"/>
      <c r="D5" s="103" t="s">
        <v>795</v>
      </c>
      <c r="E5" s="103"/>
      <c r="F5" s="103"/>
      <c r="G5" s="103"/>
      <c r="H5" s="103"/>
      <c r="I5" s="103"/>
      <c r="J5" s="103"/>
      <c r="K5" s="103"/>
      <c r="L5" s="103"/>
      <c r="M5" s="103"/>
      <c r="N5" s="103"/>
      <c r="O5" s="103"/>
      <c r="P5" s="103"/>
      <c r="Q5" s="103"/>
      <c r="R5" s="103"/>
      <c r="S5" s="103"/>
      <c r="T5" s="103"/>
    </row>
    <row r="6" spans="1:23" s="1" customFormat="1" ht="14.1" customHeight="1" x14ac:dyDescent="0.25">
      <c r="A6" s="102" t="s">
        <v>4</v>
      </c>
      <c r="B6" s="102"/>
      <c r="C6" s="103" t="s">
        <v>59</v>
      </c>
      <c r="D6" s="103"/>
      <c r="E6" s="103"/>
      <c r="F6" s="103"/>
      <c r="G6" s="103"/>
      <c r="H6" s="103"/>
      <c r="I6" s="103"/>
      <c r="J6" s="103"/>
      <c r="K6" s="103"/>
      <c r="L6" s="103"/>
      <c r="M6" s="103"/>
      <c r="N6" s="103"/>
      <c r="O6" s="103"/>
      <c r="P6" s="103"/>
      <c r="Q6" s="103"/>
      <c r="R6" s="103"/>
      <c r="S6" s="103"/>
      <c r="T6" s="103"/>
    </row>
    <row r="7" spans="1:23" s="1" customFormat="1" ht="14.1" customHeight="1" x14ac:dyDescent="0.25">
      <c r="A7" s="102" t="s">
        <v>6</v>
      </c>
      <c r="B7" s="102"/>
      <c r="C7" s="102"/>
      <c r="D7" s="102"/>
      <c r="E7" s="102"/>
      <c r="F7" s="103" t="s">
        <v>60</v>
      </c>
      <c r="G7" s="103"/>
      <c r="H7" s="103"/>
      <c r="I7" s="103"/>
      <c r="J7" s="103"/>
      <c r="K7" s="103"/>
      <c r="L7" s="103"/>
      <c r="M7" s="103"/>
      <c r="N7" s="103"/>
      <c r="O7" s="103"/>
      <c r="P7" s="103"/>
      <c r="Q7" s="103"/>
      <c r="R7" s="103"/>
      <c r="S7" s="103"/>
      <c r="T7" s="103"/>
    </row>
    <row r="8" spans="1:23" s="1" customFormat="1" ht="22.35" customHeight="1" x14ac:dyDescent="0.25">
      <c r="F8" s="103"/>
      <c r="G8" s="103"/>
      <c r="H8" s="103"/>
      <c r="I8" s="103"/>
      <c r="J8" s="103"/>
      <c r="K8" s="103"/>
      <c r="L8" s="103"/>
      <c r="M8" s="103"/>
      <c r="N8" s="103"/>
      <c r="O8" s="103"/>
      <c r="P8" s="103"/>
      <c r="Q8" s="103"/>
      <c r="R8" s="103"/>
      <c r="S8" s="103"/>
      <c r="T8" s="103"/>
    </row>
    <row r="9" spans="1:23" s="1" customFormat="1" ht="7.05" customHeight="1" x14ac:dyDescent="0.25">
      <c r="A9" s="86"/>
      <c r="B9" s="86"/>
      <c r="C9" s="86"/>
      <c r="D9" s="86"/>
      <c r="E9" s="86"/>
      <c r="F9" s="86"/>
      <c r="G9" s="86"/>
      <c r="H9" s="86"/>
      <c r="I9" s="86"/>
      <c r="J9" s="86"/>
      <c r="K9" s="86"/>
      <c r="L9" s="86"/>
      <c r="M9" s="86"/>
      <c r="N9" s="86"/>
      <c r="O9" s="86"/>
      <c r="P9" s="86"/>
      <c r="Q9" s="16"/>
      <c r="R9" s="86"/>
      <c r="S9" s="86"/>
      <c r="T9" s="86"/>
    </row>
    <row r="10" spans="1:23" s="1" customFormat="1" ht="16.95" customHeight="1" x14ac:dyDescent="0.25">
      <c r="A10" s="94" t="s">
        <v>8</v>
      </c>
      <c r="B10" s="94"/>
      <c r="C10" s="94"/>
      <c r="D10" s="94"/>
      <c r="E10" s="94"/>
      <c r="F10" s="94"/>
      <c r="G10" s="94"/>
      <c r="H10" s="94"/>
      <c r="I10" s="94"/>
      <c r="J10" s="94"/>
      <c r="K10" s="94"/>
      <c r="L10" s="94"/>
      <c r="M10" s="95" t="s">
        <v>9</v>
      </c>
      <c r="N10" s="95"/>
      <c r="O10" s="95"/>
      <c r="P10" s="95"/>
      <c r="Q10" s="95"/>
      <c r="R10" s="95"/>
      <c r="S10" s="95"/>
      <c r="T10" s="95"/>
    </row>
    <row r="11" spans="1:23" s="1" customFormat="1" ht="16.95" customHeight="1" x14ac:dyDescent="0.25">
      <c r="A11" s="94"/>
      <c r="B11" s="94"/>
      <c r="C11" s="94"/>
      <c r="D11" s="94"/>
      <c r="E11" s="94"/>
      <c r="F11" s="94"/>
      <c r="G11" s="94"/>
      <c r="H11" s="94"/>
      <c r="I11" s="94"/>
      <c r="J11" s="94"/>
      <c r="K11" s="94"/>
      <c r="L11" s="94"/>
      <c r="M11" s="96" t="s">
        <v>10</v>
      </c>
      <c r="N11" s="96"/>
      <c r="O11" s="96"/>
      <c r="P11" s="96"/>
      <c r="Q11" s="97" t="s">
        <v>11</v>
      </c>
      <c r="R11" s="97"/>
      <c r="S11" s="97"/>
      <c r="T11" s="97"/>
    </row>
    <row r="12" spans="1:23" s="1" customFormat="1" ht="16.95" customHeight="1" x14ac:dyDescent="0.25">
      <c r="A12" s="94"/>
      <c r="B12" s="94"/>
      <c r="C12" s="94"/>
      <c r="D12" s="94"/>
      <c r="E12" s="94"/>
      <c r="F12" s="94"/>
      <c r="G12" s="94"/>
      <c r="H12" s="94"/>
      <c r="I12" s="94"/>
      <c r="J12" s="94"/>
      <c r="K12" s="94"/>
      <c r="L12" s="94"/>
      <c r="M12" s="98" t="s">
        <v>12</v>
      </c>
      <c r="N12" s="98"/>
      <c r="O12" s="98" t="s">
        <v>13</v>
      </c>
      <c r="P12" s="98"/>
      <c r="Q12" s="13" t="s">
        <v>14</v>
      </c>
      <c r="R12" s="99" t="s">
        <v>15</v>
      </c>
      <c r="S12" s="99"/>
      <c r="T12" s="99"/>
    </row>
    <row r="13" spans="1:23" s="1" customFormat="1" ht="13.35" customHeight="1" x14ac:dyDescent="0.25">
      <c r="A13" s="88" t="s">
        <v>64</v>
      </c>
      <c r="B13" s="88"/>
      <c r="C13" s="88"/>
      <c r="D13" s="88"/>
      <c r="E13" s="88"/>
      <c r="F13" s="88"/>
      <c r="G13" s="88"/>
      <c r="H13" s="88"/>
      <c r="I13" s="88"/>
      <c r="J13" s="88"/>
      <c r="K13" s="88"/>
      <c r="L13" s="88"/>
      <c r="M13" s="88">
        <v>140</v>
      </c>
      <c r="N13" s="88"/>
      <c r="O13" s="88">
        <v>70</v>
      </c>
      <c r="P13" s="88"/>
      <c r="Q13" s="6">
        <v>14</v>
      </c>
      <c r="R13" s="88">
        <v>7</v>
      </c>
      <c r="S13" s="88"/>
      <c r="T13" s="88"/>
      <c r="W13" s="1">
        <f>70/0.88</f>
        <v>79.545454545454547</v>
      </c>
    </row>
    <row r="14" spans="1:23" s="1" customFormat="1" ht="13.35" customHeight="1" x14ac:dyDescent="0.25">
      <c r="A14" s="88" t="s">
        <v>65</v>
      </c>
      <c r="B14" s="88"/>
      <c r="C14" s="88"/>
      <c r="D14" s="88"/>
      <c r="E14" s="88"/>
      <c r="F14" s="88"/>
      <c r="G14" s="88"/>
      <c r="H14" s="88"/>
      <c r="I14" s="88"/>
      <c r="J14" s="88"/>
      <c r="K14" s="88"/>
      <c r="L14" s="88"/>
      <c r="M14" s="88">
        <f>16.2*100/90</f>
        <v>18</v>
      </c>
      <c r="N14" s="88"/>
      <c r="O14" s="88">
        <v>18</v>
      </c>
      <c r="P14" s="88"/>
      <c r="Q14" s="6">
        <v>1.8</v>
      </c>
      <c r="R14" s="88">
        <v>1.8</v>
      </c>
      <c r="S14" s="88"/>
      <c r="T14" s="88"/>
    </row>
    <row r="15" spans="1:23" s="1" customFormat="1" ht="13.35" customHeight="1" x14ac:dyDescent="0.25">
      <c r="A15" s="88" t="s">
        <v>66</v>
      </c>
      <c r="B15" s="88"/>
      <c r="C15" s="88"/>
      <c r="D15" s="88"/>
      <c r="E15" s="88"/>
      <c r="F15" s="88"/>
      <c r="G15" s="88"/>
      <c r="H15" s="88"/>
      <c r="I15" s="88"/>
      <c r="J15" s="88"/>
      <c r="K15" s="88"/>
      <c r="L15" s="88"/>
      <c r="M15" s="88">
        <f>23.4*100/90</f>
        <v>26</v>
      </c>
      <c r="N15" s="88"/>
      <c r="O15" s="88">
        <v>26</v>
      </c>
      <c r="P15" s="88"/>
      <c r="Q15" s="6">
        <v>2.6</v>
      </c>
      <c r="R15" s="88">
        <v>2.6</v>
      </c>
      <c r="S15" s="88"/>
      <c r="T15" s="88"/>
    </row>
    <row r="16" spans="1:23" s="1" customFormat="1" ht="13.35" customHeight="1" x14ac:dyDescent="0.25">
      <c r="A16" s="88" t="s">
        <v>67</v>
      </c>
      <c r="B16" s="88"/>
      <c r="C16" s="88"/>
      <c r="D16" s="88"/>
      <c r="E16" s="88"/>
      <c r="F16" s="88"/>
      <c r="G16" s="88"/>
      <c r="H16" s="88"/>
      <c r="I16" s="88"/>
      <c r="J16" s="88"/>
      <c r="K16" s="88"/>
      <c r="L16" s="88"/>
      <c r="M16" s="88">
        <f>9*100/90</f>
        <v>10</v>
      </c>
      <c r="N16" s="88"/>
      <c r="O16" s="88">
        <v>10</v>
      </c>
      <c r="P16" s="88"/>
      <c r="Q16" s="6">
        <v>1</v>
      </c>
      <c r="R16" s="88">
        <v>1</v>
      </c>
      <c r="S16" s="88"/>
      <c r="T16" s="88"/>
    </row>
    <row r="17" spans="1:20" s="1" customFormat="1" ht="13.35" customHeight="1" x14ac:dyDescent="0.25">
      <c r="A17" s="88" t="s">
        <v>18</v>
      </c>
      <c r="B17" s="88"/>
      <c r="C17" s="88"/>
      <c r="D17" s="88"/>
      <c r="E17" s="88"/>
      <c r="F17" s="88"/>
      <c r="G17" s="88"/>
      <c r="H17" s="88"/>
      <c r="I17" s="88"/>
      <c r="J17" s="88"/>
      <c r="K17" s="88"/>
      <c r="L17" s="88"/>
      <c r="M17" s="88">
        <v>4.4400000000000004</v>
      </c>
      <c r="N17" s="88"/>
      <c r="O17" s="88">
        <v>4.4400000000000004</v>
      </c>
      <c r="P17" s="88"/>
      <c r="Q17" s="6">
        <v>0.44</v>
      </c>
      <c r="R17" s="88">
        <v>0.44</v>
      </c>
      <c r="S17" s="88"/>
      <c r="T17" s="88"/>
    </row>
    <row r="18" spans="1:20" s="1" customFormat="1" ht="13.35" customHeight="1" x14ac:dyDescent="0.25">
      <c r="A18" s="88" t="s">
        <v>61</v>
      </c>
      <c r="B18" s="88"/>
      <c r="C18" s="88"/>
      <c r="D18" s="88"/>
      <c r="E18" s="88"/>
      <c r="F18" s="88"/>
      <c r="G18" s="88"/>
      <c r="H18" s="88"/>
      <c r="I18" s="88"/>
      <c r="J18" s="88"/>
      <c r="K18" s="88"/>
      <c r="L18" s="88"/>
      <c r="M18" s="88">
        <v>5</v>
      </c>
      <c r="N18" s="88"/>
      <c r="O18" s="88">
        <v>5</v>
      </c>
      <c r="P18" s="88"/>
      <c r="Q18" s="6">
        <v>0.5</v>
      </c>
      <c r="R18" s="88">
        <v>0.5</v>
      </c>
      <c r="S18" s="88"/>
      <c r="T18" s="88"/>
    </row>
    <row r="19" spans="1:20" s="1" customFormat="1" ht="14.1" customHeight="1" x14ac:dyDescent="0.25">
      <c r="A19" s="90" t="s">
        <v>134</v>
      </c>
      <c r="B19" s="90"/>
      <c r="C19" s="90"/>
      <c r="D19" s="90"/>
      <c r="E19" s="90"/>
      <c r="F19" s="90"/>
      <c r="G19" s="90"/>
      <c r="H19" s="90"/>
      <c r="I19" s="90"/>
      <c r="J19" s="90"/>
      <c r="K19" s="90"/>
      <c r="L19" s="90"/>
      <c r="M19" s="90"/>
      <c r="N19" s="90"/>
      <c r="O19" s="90"/>
      <c r="P19" s="90"/>
      <c r="Q19" s="90"/>
      <c r="R19" s="90"/>
      <c r="S19" s="90"/>
      <c r="T19" s="90"/>
    </row>
    <row r="20" spans="1:20" s="1" customFormat="1" ht="21.3" customHeight="1" x14ac:dyDescent="0.25"/>
    <row r="21" spans="1:20" s="1" customFormat="1" ht="14.1" customHeight="1" x14ac:dyDescent="0.25">
      <c r="A21" s="91" t="s">
        <v>33</v>
      </c>
      <c r="B21" s="91"/>
      <c r="C21" s="91"/>
      <c r="D21" s="91"/>
      <c r="E21" s="91"/>
      <c r="F21" s="91"/>
      <c r="G21" s="91"/>
      <c r="H21" s="91"/>
      <c r="I21" s="91"/>
      <c r="J21" s="91"/>
      <c r="K21" s="91"/>
      <c r="L21" s="91"/>
      <c r="M21" s="91"/>
      <c r="N21" s="91"/>
    </row>
    <row r="22" spans="1:20" s="1" customFormat="1" ht="13.35" customHeight="1" x14ac:dyDescent="0.25">
      <c r="A22" s="88" t="s">
        <v>34</v>
      </c>
      <c r="B22" s="88"/>
      <c r="C22" s="88"/>
      <c r="D22" s="88"/>
      <c r="E22" s="89">
        <f>11.36*100/90</f>
        <v>12.622222222222222</v>
      </c>
      <c r="F22" s="89"/>
      <c r="G22" s="17"/>
      <c r="H22" s="6" t="s">
        <v>35</v>
      </c>
      <c r="I22" s="89">
        <v>0.1</v>
      </c>
      <c r="J22" s="89"/>
      <c r="K22" s="17"/>
      <c r="L22" s="88" t="s">
        <v>36</v>
      </c>
      <c r="M22" s="88"/>
      <c r="N22" s="89">
        <v>67.56</v>
      </c>
      <c r="O22" s="89"/>
    </row>
    <row r="23" spans="1:20" s="1" customFormat="1" ht="13.35" customHeight="1" x14ac:dyDescent="0.25">
      <c r="A23" s="88" t="s">
        <v>37</v>
      </c>
      <c r="B23" s="88"/>
      <c r="C23" s="88"/>
      <c r="D23" s="88"/>
      <c r="E23" s="89">
        <f>12.29*100/90</f>
        <v>13.655555555555555</v>
      </c>
      <c r="F23" s="89"/>
      <c r="G23" s="17"/>
      <c r="H23" s="6" t="s">
        <v>38</v>
      </c>
      <c r="I23" s="89">
        <v>0.25</v>
      </c>
      <c r="J23" s="89"/>
      <c r="K23" s="17"/>
      <c r="L23" s="88" t="s">
        <v>39</v>
      </c>
      <c r="M23" s="88"/>
      <c r="N23" s="89">
        <v>47.68</v>
      </c>
      <c r="O23" s="89"/>
    </row>
    <row r="24" spans="1:20" s="1" customFormat="1" ht="13.35" customHeight="1" x14ac:dyDescent="0.25">
      <c r="A24" s="88" t="s">
        <v>40</v>
      </c>
      <c r="B24" s="88"/>
      <c r="C24" s="88"/>
      <c r="D24" s="88"/>
      <c r="E24" s="89">
        <f>12.13*100/90</f>
        <v>13.477777777777778</v>
      </c>
      <c r="F24" s="89"/>
      <c r="G24" s="17"/>
      <c r="H24" s="6" t="s">
        <v>41</v>
      </c>
      <c r="I24" s="89">
        <v>0.04</v>
      </c>
      <c r="J24" s="89"/>
      <c r="K24" s="17"/>
      <c r="L24" s="88" t="s">
        <v>42</v>
      </c>
      <c r="M24" s="88"/>
      <c r="N24" s="89">
        <v>197.47</v>
      </c>
      <c r="O24" s="89"/>
    </row>
    <row r="25" spans="1:20" s="1" customFormat="1" ht="13.35" customHeight="1" x14ac:dyDescent="0.25">
      <c r="A25" s="88" t="s">
        <v>43</v>
      </c>
      <c r="B25" s="88"/>
      <c r="C25" s="88"/>
      <c r="D25" s="88"/>
      <c r="E25" s="89">
        <f>199.64*100/90</f>
        <v>221.82222222222222</v>
      </c>
      <c r="F25" s="89"/>
      <c r="G25" s="17"/>
      <c r="H25" s="6" t="s">
        <v>44</v>
      </c>
      <c r="I25" s="89">
        <v>2.27</v>
      </c>
      <c r="J25" s="89"/>
      <c r="K25" s="17"/>
      <c r="L25" s="88" t="s">
        <v>45</v>
      </c>
      <c r="M25" s="88"/>
      <c r="N25" s="89">
        <v>1.53</v>
      </c>
      <c r="O25" s="89"/>
    </row>
    <row r="26" spans="1:20" s="1" customFormat="1" ht="13.35" customHeight="1" x14ac:dyDescent="0.25">
      <c r="A26" s="87"/>
      <c r="B26" s="87"/>
      <c r="C26" s="87"/>
      <c r="D26" s="87"/>
      <c r="E26" s="87"/>
      <c r="F26" s="87"/>
      <c r="G26" s="17"/>
      <c r="H26" s="6" t="s">
        <v>46</v>
      </c>
      <c r="I26" s="89">
        <v>0.08</v>
      </c>
      <c r="J26" s="89"/>
      <c r="K26" s="17"/>
      <c r="L26" s="88" t="s">
        <v>47</v>
      </c>
      <c r="M26" s="88"/>
      <c r="N26" s="89">
        <v>350.47</v>
      </c>
      <c r="O26" s="89"/>
    </row>
    <row r="27" spans="1:20" s="1" customFormat="1" ht="13.35" customHeight="1" x14ac:dyDescent="0.25">
      <c r="A27" s="87"/>
      <c r="B27" s="87"/>
      <c r="C27" s="87"/>
      <c r="D27" s="87"/>
      <c r="E27" s="87"/>
      <c r="F27" s="87"/>
      <c r="G27" s="17"/>
      <c r="H27" s="6" t="s">
        <v>48</v>
      </c>
      <c r="I27" s="89">
        <v>0.12</v>
      </c>
      <c r="J27" s="89"/>
      <c r="K27" s="17"/>
      <c r="L27" s="88" t="s">
        <v>49</v>
      </c>
      <c r="M27" s="88"/>
      <c r="N27" s="89">
        <v>96.61</v>
      </c>
      <c r="O27" s="89"/>
    </row>
    <row r="28" spans="1:20" s="1" customFormat="1" ht="13.35" customHeight="1" x14ac:dyDescent="0.25">
      <c r="A28" s="87"/>
      <c r="B28" s="87"/>
      <c r="C28" s="87"/>
      <c r="D28" s="87"/>
      <c r="E28" s="87"/>
      <c r="F28" s="87"/>
      <c r="G28" s="17"/>
      <c r="H28" s="17"/>
      <c r="I28" s="87"/>
      <c r="J28" s="87"/>
      <c r="K28" s="17"/>
      <c r="L28" s="88" t="s">
        <v>50</v>
      </c>
      <c r="M28" s="88"/>
      <c r="N28" s="89">
        <v>0.4</v>
      </c>
      <c r="O28" s="89"/>
    </row>
    <row r="29" spans="1:20" s="1" customFormat="1" ht="13.35" customHeight="1" x14ac:dyDescent="0.25">
      <c r="A29" s="87"/>
      <c r="B29" s="87"/>
      <c r="C29" s="87"/>
      <c r="D29" s="87"/>
      <c r="E29" s="87"/>
      <c r="F29" s="87"/>
      <c r="G29" s="17"/>
      <c r="H29" s="17"/>
      <c r="I29" s="87"/>
      <c r="J29" s="87"/>
      <c r="K29" s="17"/>
      <c r="L29" s="88" t="s">
        <v>51</v>
      </c>
      <c r="M29" s="88"/>
      <c r="N29" s="89">
        <v>0.01</v>
      </c>
      <c r="O29" s="89"/>
    </row>
    <row r="30" spans="1:20" s="1" customFormat="1" ht="14.1" customHeight="1" x14ac:dyDescent="0.25">
      <c r="A30" s="86"/>
      <c r="B30" s="86"/>
      <c r="C30" s="86"/>
      <c r="D30" s="86"/>
      <c r="E30" s="86"/>
      <c r="F30" s="86"/>
      <c r="G30" s="86"/>
      <c r="H30" s="86"/>
      <c r="I30" s="86"/>
      <c r="J30" s="86"/>
      <c r="K30" s="86"/>
      <c r="L30" s="86"/>
      <c r="M30" s="86"/>
      <c r="N30" s="86"/>
      <c r="O30" s="86"/>
      <c r="P30" s="86"/>
      <c r="Q30" s="86"/>
      <c r="R30" s="86"/>
      <c r="S30" s="86"/>
    </row>
    <row r="31" spans="1:20" s="1" customFormat="1" ht="14.1" customHeight="1" x14ac:dyDescent="0.25">
      <c r="A31" s="84" t="s">
        <v>52</v>
      </c>
      <c r="B31" s="84"/>
      <c r="C31" s="84"/>
      <c r="D31" s="84"/>
      <c r="E31" s="84"/>
      <c r="F31" s="84"/>
      <c r="G31" s="84"/>
      <c r="H31" s="84"/>
      <c r="I31" s="84"/>
      <c r="J31" s="84"/>
      <c r="K31" s="84"/>
      <c r="L31" s="84"/>
      <c r="M31" s="84"/>
      <c r="N31" s="84"/>
      <c r="O31" s="84"/>
      <c r="P31" s="84"/>
      <c r="Q31" s="84"/>
      <c r="R31" s="84"/>
      <c r="S31" s="84"/>
    </row>
    <row r="32" spans="1:20" s="1" customFormat="1" ht="104.4" customHeight="1" x14ac:dyDescent="0.25">
      <c r="A32" s="85" t="s">
        <v>71</v>
      </c>
      <c r="B32" s="85"/>
      <c r="C32" s="85"/>
      <c r="D32" s="85"/>
      <c r="E32" s="85"/>
      <c r="F32" s="85"/>
      <c r="G32" s="85"/>
      <c r="H32" s="85"/>
      <c r="I32" s="85"/>
      <c r="J32" s="85"/>
      <c r="K32" s="85"/>
      <c r="L32" s="85"/>
      <c r="M32" s="85"/>
      <c r="N32" s="85"/>
      <c r="O32" s="85"/>
      <c r="P32" s="85"/>
      <c r="Q32" s="85"/>
      <c r="R32" s="85"/>
      <c r="S32" s="85"/>
    </row>
    <row r="33" spans="1:20" s="1" customFormat="1" ht="14.1" customHeight="1" x14ac:dyDescent="0.25">
      <c r="A33" s="86"/>
      <c r="B33" s="86"/>
      <c r="C33" s="86"/>
      <c r="D33" s="86"/>
      <c r="E33" s="86"/>
      <c r="F33" s="86"/>
      <c r="G33" s="86"/>
      <c r="H33" s="86"/>
      <c r="I33" s="86"/>
      <c r="J33" s="86"/>
      <c r="K33" s="86"/>
      <c r="L33" s="86"/>
      <c r="M33" s="86"/>
      <c r="N33" s="86"/>
      <c r="O33" s="86"/>
      <c r="P33" s="86"/>
      <c r="Q33" s="86"/>
      <c r="R33" s="86"/>
      <c r="S33" s="86"/>
    </row>
    <row r="34" spans="1:20" s="1" customFormat="1" ht="14.1" customHeight="1" x14ac:dyDescent="0.25">
      <c r="A34" s="84" t="s">
        <v>54</v>
      </c>
      <c r="B34" s="84"/>
      <c r="C34" s="84"/>
      <c r="D34" s="84"/>
      <c r="E34" s="84"/>
      <c r="F34" s="84"/>
      <c r="G34" s="84"/>
      <c r="H34" s="84"/>
      <c r="I34" s="84"/>
      <c r="J34" s="84"/>
      <c r="K34" s="84"/>
      <c r="L34" s="84"/>
      <c r="M34" s="84"/>
      <c r="N34" s="84"/>
      <c r="O34" s="84"/>
      <c r="P34" s="84"/>
      <c r="Q34" s="84"/>
      <c r="R34" s="84"/>
      <c r="S34" s="84"/>
    </row>
    <row r="35" spans="1:20" s="1" customFormat="1" ht="12.15" customHeight="1" x14ac:dyDescent="0.25">
      <c r="A35" s="85" t="s">
        <v>72</v>
      </c>
      <c r="B35" s="85"/>
      <c r="C35" s="85"/>
      <c r="D35" s="85"/>
      <c r="E35" s="85"/>
      <c r="F35" s="85"/>
      <c r="G35" s="85"/>
      <c r="H35" s="85"/>
      <c r="I35" s="85"/>
      <c r="J35" s="85"/>
      <c r="K35" s="85"/>
      <c r="L35" s="85"/>
      <c r="M35" s="85"/>
      <c r="N35" s="85"/>
      <c r="O35" s="85"/>
      <c r="P35" s="85"/>
      <c r="Q35" s="85"/>
      <c r="R35" s="85"/>
      <c r="S35" s="85"/>
    </row>
    <row r="36" spans="1:20" s="1" customFormat="1" ht="14.1" customHeight="1" x14ac:dyDescent="0.25">
      <c r="A36" s="86"/>
      <c r="B36" s="86"/>
      <c r="C36" s="86"/>
      <c r="D36" s="86"/>
      <c r="E36" s="86"/>
      <c r="F36" s="86"/>
      <c r="G36" s="86"/>
      <c r="H36" s="86"/>
      <c r="I36" s="86"/>
      <c r="J36" s="86"/>
      <c r="K36" s="86"/>
      <c r="L36" s="86"/>
      <c r="M36" s="86"/>
      <c r="N36" s="86"/>
      <c r="O36" s="86"/>
      <c r="P36" s="86"/>
      <c r="Q36" s="86"/>
      <c r="R36" s="86"/>
      <c r="S36" s="86"/>
    </row>
    <row r="37" spans="1:20" s="1" customFormat="1" ht="14.1" customHeight="1" x14ac:dyDescent="0.25">
      <c r="A37" s="84" t="s">
        <v>56</v>
      </c>
      <c r="B37" s="84"/>
      <c r="C37" s="84"/>
      <c r="D37" s="84"/>
      <c r="E37" s="84"/>
      <c r="F37" s="84"/>
      <c r="G37" s="84"/>
      <c r="H37" s="84"/>
      <c r="I37" s="84"/>
      <c r="J37" s="84"/>
      <c r="K37" s="84"/>
      <c r="L37" s="84"/>
      <c r="M37" s="84"/>
      <c r="N37" s="84"/>
      <c r="O37" s="84"/>
      <c r="P37" s="84"/>
      <c r="Q37" s="84"/>
      <c r="R37" s="84"/>
      <c r="S37" s="84"/>
    </row>
    <row r="38" spans="1:20" s="1" customFormat="1" ht="49.2" customHeight="1" x14ac:dyDescent="0.25">
      <c r="A38" s="85" t="s">
        <v>73</v>
      </c>
      <c r="B38" s="85"/>
      <c r="C38" s="85"/>
      <c r="D38" s="85"/>
      <c r="E38" s="85"/>
      <c r="F38" s="85"/>
      <c r="G38" s="85"/>
      <c r="H38" s="85"/>
      <c r="I38" s="85"/>
      <c r="J38" s="85"/>
      <c r="K38" s="85"/>
      <c r="L38" s="85"/>
      <c r="M38" s="85"/>
      <c r="N38" s="85"/>
      <c r="O38" s="85"/>
      <c r="P38" s="85"/>
      <c r="Q38" s="85"/>
      <c r="R38" s="85"/>
      <c r="S38" s="85"/>
    </row>
    <row r="41" spans="1:20" s="1" customFormat="1" ht="72.45" customHeight="1" x14ac:dyDescent="0.25">
      <c r="J41" s="100" t="s">
        <v>0</v>
      </c>
      <c r="K41" s="100"/>
      <c r="L41" s="100"/>
      <c r="M41" s="100"/>
      <c r="N41" s="100"/>
      <c r="O41" s="100"/>
      <c r="P41" s="100"/>
      <c r="Q41" s="100"/>
      <c r="R41" s="100"/>
      <c r="S41" s="100"/>
      <c r="T41" s="100"/>
    </row>
    <row r="42" spans="1:20" s="1" customFormat="1" ht="7.05" customHeight="1" x14ac:dyDescent="0.25"/>
    <row r="43" spans="1:20" s="1" customFormat="1" ht="14.1" customHeight="1" x14ac:dyDescent="0.25">
      <c r="B43" s="101" t="s">
        <v>58</v>
      </c>
      <c r="C43" s="101"/>
      <c r="D43" s="101"/>
      <c r="E43" s="101"/>
      <c r="F43" s="101"/>
      <c r="G43" s="101"/>
      <c r="H43" s="101"/>
      <c r="I43" s="101"/>
      <c r="J43" s="101"/>
      <c r="K43" s="101"/>
      <c r="L43" s="101"/>
      <c r="M43" s="101"/>
      <c r="N43" s="101"/>
      <c r="O43" s="101"/>
      <c r="P43" s="101"/>
      <c r="Q43" s="101"/>
      <c r="R43" s="101"/>
    </row>
    <row r="44" spans="1:20" s="1" customFormat="1" ht="14.1" customHeight="1" x14ac:dyDescent="0.25"/>
    <row r="45" spans="1:20" s="1" customFormat="1" ht="14.1" customHeight="1" x14ac:dyDescent="0.25">
      <c r="A45" s="102" t="s">
        <v>2</v>
      </c>
      <c r="B45" s="102"/>
      <c r="C45" s="102"/>
      <c r="D45" s="103" t="s">
        <v>791</v>
      </c>
      <c r="E45" s="103"/>
      <c r="F45" s="103"/>
      <c r="G45" s="103"/>
      <c r="H45" s="103"/>
      <c r="I45" s="103"/>
      <c r="J45" s="103"/>
      <c r="K45" s="103"/>
      <c r="L45" s="103"/>
      <c r="M45" s="103"/>
      <c r="N45" s="103"/>
      <c r="O45" s="103"/>
      <c r="P45" s="103"/>
      <c r="Q45" s="103"/>
      <c r="R45" s="103"/>
      <c r="S45" s="103"/>
      <c r="T45" s="103"/>
    </row>
    <row r="46" spans="1:20" s="1" customFormat="1" ht="14.1" customHeight="1" x14ac:dyDescent="0.25">
      <c r="A46" s="102" t="s">
        <v>4</v>
      </c>
      <c r="B46" s="102"/>
      <c r="C46" s="103" t="s">
        <v>59</v>
      </c>
      <c r="D46" s="103"/>
      <c r="E46" s="103"/>
      <c r="F46" s="103"/>
      <c r="G46" s="103"/>
      <c r="H46" s="103"/>
      <c r="I46" s="103"/>
      <c r="J46" s="103"/>
      <c r="K46" s="103"/>
      <c r="L46" s="103"/>
      <c r="M46" s="103"/>
      <c r="N46" s="103"/>
      <c r="O46" s="103"/>
      <c r="P46" s="103"/>
      <c r="Q46" s="103"/>
      <c r="R46" s="103"/>
      <c r="S46" s="103"/>
      <c r="T46" s="103"/>
    </row>
    <row r="47" spans="1:20" s="1" customFormat="1" ht="14.1" customHeight="1" x14ac:dyDescent="0.25">
      <c r="A47" s="102" t="s">
        <v>6</v>
      </c>
      <c r="B47" s="102"/>
      <c r="C47" s="102"/>
      <c r="D47" s="102"/>
      <c r="E47" s="102"/>
      <c r="F47" s="103" t="s">
        <v>60</v>
      </c>
      <c r="G47" s="103"/>
      <c r="H47" s="103"/>
      <c r="I47" s="103"/>
      <c r="J47" s="103"/>
      <c r="K47" s="103"/>
      <c r="L47" s="103"/>
      <c r="M47" s="103"/>
      <c r="N47" s="103"/>
      <c r="O47" s="103"/>
      <c r="P47" s="103"/>
      <c r="Q47" s="103"/>
      <c r="R47" s="103"/>
      <c r="S47" s="103"/>
      <c r="T47" s="103"/>
    </row>
    <row r="48" spans="1:20" s="1" customFormat="1" ht="22.35" customHeight="1" x14ac:dyDescent="0.25">
      <c r="F48" s="103"/>
      <c r="G48" s="103"/>
      <c r="H48" s="103"/>
      <c r="I48" s="103"/>
      <c r="J48" s="103"/>
      <c r="K48" s="103"/>
      <c r="L48" s="103"/>
      <c r="M48" s="103"/>
      <c r="N48" s="103"/>
      <c r="O48" s="103"/>
      <c r="P48" s="103"/>
      <c r="Q48" s="103"/>
      <c r="R48" s="103"/>
      <c r="S48" s="103"/>
      <c r="T48" s="103"/>
    </row>
    <row r="49" spans="1:20" s="1" customFormat="1" ht="7.05" customHeight="1" x14ac:dyDescent="0.25">
      <c r="A49" s="86"/>
      <c r="B49" s="86"/>
      <c r="C49" s="86"/>
      <c r="D49" s="86"/>
      <c r="E49" s="86"/>
      <c r="F49" s="86"/>
      <c r="G49" s="86"/>
      <c r="H49" s="86"/>
      <c r="I49" s="86"/>
      <c r="J49" s="86"/>
      <c r="K49" s="86"/>
      <c r="L49" s="86"/>
      <c r="M49" s="86"/>
      <c r="N49" s="86"/>
      <c r="O49" s="86"/>
      <c r="P49" s="86"/>
      <c r="Q49" s="16"/>
      <c r="R49" s="86"/>
      <c r="S49" s="86"/>
      <c r="T49" s="86"/>
    </row>
    <row r="50" spans="1:20" s="1" customFormat="1" ht="16.95" customHeight="1" x14ac:dyDescent="0.25">
      <c r="A50" s="94" t="s">
        <v>8</v>
      </c>
      <c r="B50" s="94"/>
      <c r="C50" s="94"/>
      <c r="D50" s="94"/>
      <c r="E50" s="94"/>
      <c r="F50" s="94"/>
      <c r="G50" s="94"/>
      <c r="H50" s="94"/>
      <c r="I50" s="94"/>
      <c r="J50" s="94"/>
      <c r="K50" s="94"/>
      <c r="L50" s="94"/>
      <c r="M50" s="95" t="s">
        <v>9</v>
      </c>
      <c r="N50" s="95"/>
      <c r="O50" s="95"/>
      <c r="P50" s="95"/>
      <c r="Q50" s="95"/>
      <c r="R50" s="95"/>
      <c r="S50" s="95"/>
      <c r="T50" s="95"/>
    </row>
    <row r="51" spans="1:20" s="1" customFormat="1" ht="16.95" customHeight="1" x14ac:dyDescent="0.25">
      <c r="A51" s="94"/>
      <c r="B51" s="94"/>
      <c r="C51" s="94"/>
      <c r="D51" s="94"/>
      <c r="E51" s="94"/>
      <c r="F51" s="94"/>
      <c r="G51" s="94"/>
      <c r="H51" s="94"/>
      <c r="I51" s="94"/>
      <c r="J51" s="94"/>
      <c r="K51" s="94"/>
      <c r="L51" s="94"/>
      <c r="M51" s="96" t="s">
        <v>10</v>
      </c>
      <c r="N51" s="96"/>
      <c r="O51" s="96"/>
      <c r="P51" s="96"/>
      <c r="Q51" s="97" t="s">
        <v>11</v>
      </c>
      <c r="R51" s="97"/>
      <c r="S51" s="97"/>
      <c r="T51" s="97"/>
    </row>
    <row r="52" spans="1:20" s="1" customFormat="1" ht="16.95" customHeight="1" x14ac:dyDescent="0.25">
      <c r="A52" s="94"/>
      <c r="B52" s="94"/>
      <c r="C52" s="94"/>
      <c r="D52" s="94"/>
      <c r="E52" s="94"/>
      <c r="F52" s="94"/>
      <c r="G52" s="94"/>
      <c r="H52" s="94"/>
      <c r="I52" s="94"/>
      <c r="J52" s="94"/>
      <c r="K52" s="94"/>
      <c r="L52" s="94"/>
      <c r="M52" s="98" t="s">
        <v>12</v>
      </c>
      <c r="N52" s="98"/>
      <c r="O52" s="98" t="s">
        <v>13</v>
      </c>
      <c r="P52" s="98"/>
      <c r="Q52" s="13" t="s">
        <v>14</v>
      </c>
      <c r="R52" s="99" t="s">
        <v>15</v>
      </c>
      <c r="S52" s="99"/>
      <c r="T52" s="99"/>
    </row>
    <row r="53" spans="1:20" s="1" customFormat="1" ht="13.35" customHeight="1" x14ac:dyDescent="0.25">
      <c r="A53" s="88" t="s">
        <v>64</v>
      </c>
      <c r="B53" s="88"/>
      <c r="C53" s="88"/>
      <c r="D53" s="88"/>
      <c r="E53" s="88"/>
      <c r="F53" s="88"/>
      <c r="G53" s="88"/>
      <c r="H53" s="88"/>
      <c r="I53" s="88"/>
      <c r="J53" s="88"/>
      <c r="K53" s="88"/>
      <c r="L53" s="88"/>
      <c r="M53" s="88">
        <v>142</v>
      </c>
      <c r="N53" s="88"/>
      <c r="O53" s="88">
        <v>71.2</v>
      </c>
      <c r="P53" s="88"/>
      <c r="Q53" s="6">
        <v>14.2</v>
      </c>
      <c r="R53" s="88">
        <v>7.12</v>
      </c>
      <c r="S53" s="88"/>
      <c r="T53" s="88"/>
    </row>
    <row r="54" spans="1:20" s="1" customFormat="1" ht="13.35" customHeight="1" x14ac:dyDescent="0.25">
      <c r="A54" s="88" t="s">
        <v>65</v>
      </c>
      <c r="B54" s="88"/>
      <c r="C54" s="88"/>
      <c r="D54" s="88"/>
      <c r="E54" s="88"/>
      <c r="F54" s="88"/>
      <c r="G54" s="88"/>
      <c r="H54" s="88"/>
      <c r="I54" s="88"/>
      <c r="J54" s="88"/>
      <c r="K54" s="88"/>
      <c r="L54" s="88"/>
      <c r="M54" s="88">
        <f>16.2*100/90</f>
        <v>18</v>
      </c>
      <c r="N54" s="88"/>
      <c r="O54" s="88">
        <v>18</v>
      </c>
      <c r="P54" s="88"/>
      <c r="Q54" s="6">
        <v>1.8</v>
      </c>
      <c r="R54" s="88">
        <v>1.8</v>
      </c>
      <c r="S54" s="88"/>
      <c r="T54" s="88"/>
    </row>
    <row r="55" spans="1:20" s="1" customFormat="1" ht="13.35" customHeight="1" x14ac:dyDescent="0.25">
      <c r="A55" s="88" t="s">
        <v>66</v>
      </c>
      <c r="B55" s="88"/>
      <c r="C55" s="88"/>
      <c r="D55" s="88"/>
      <c r="E55" s="88"/>
      <c r="F55" s="88"/>
      <c r="G55" s="88"/>
      <c r="H55" s="88"/>
      <c r="I55" s="88"/>
      <c r="J55" s="88"/>
      <c r="K55" s="88"/>
      <c r="L55" s="88"/>
      <c r="M55" s="88">
        <f>23.4*100/90</f>
        <v>26</v>
      </c>
      <c r="N55" s="88"/>
      <c r="O55" s="88">
        <v>26</v>
      </c>
      <c r="P55" s="88"/>
      <c r="Q55" s="6">
        <v>2.6</v>
      </c>
      <c r="R55" s="88">
        <v>2.6</v>
      </c>
      <c r="S55" s="88"/>
      <c r="T55" s="88"/>
    </row>
    <row r="56" spans="1:20" s="1" customFormat="1" ht="13.35" customHeight="1" x14ac:dyDescent="0.25">
      <c r="A56" s="88" t="s">
        <v>67</v>
      </c>
      <c r="B56" s="88"/>
      <c r="C56" s="88"/>
      <c r="D56" s="88"/>
      <c r="E56" s="88"/>
      <c r="F56" s="88"/>
      <c r="G56" s="88"/>
      <c r="H56" s="88"/>
      <c r="I56" s="88"/>
      <c r="J56" s="88"/>
      <c r="K56" s="88"/>
      <c r="L56" s="88"/>
      <c r="M56" s="88">
        <f>9*100/90</f>
        <v>10</v>
      </c>
      <c r="N56" s="88"/>
      <c r="O56" s="88">
        <v>10</v>
      </c>
      <c r="P56" s="88"/>
      <c r="Q56" s="6">
        <v>1</v>
      </c>
      <c r="R56" s="88">
        <v>1</v>
      </c>
      <c r="S56" s="88"/>
      <c r="T56" s="88"/>
    </row>
    <row r="57" spans="1:20" s="1" customFormat="1" ht="13.35" customHeight="1" x14ac:dyDescent="0.25">
      <c r="A57" s="88" t="s">
        <v>61</v>
      </c>
      <c r="B57" s="88"/>
      <c r="C57" s="88"/>
      <c r="D57" s="88"/>
      <c r="E57" s="88"/>
      <c r="F57" s="88"/>
      <c r="G57" s="88"/>
      <c r="H57" s="88"/>
      <c r="I57" s="88"/>
      <c r="J57" s="88"/>
      <c r="K57" s="88"/>
      <c r="L57" s="88"/>
      <c r="M57" s="88">
        <v>3.33</v>
      </c>
      <c r="N57" s="88"/>
      <c r="O57" s="88">
        <v>3.33</v>
      </c>
      <c r="P57" s="88"/>
      <c r="Q57" s="6">
        <v>0.33</v>
      </c>
      <c r="R57" s="88">
        <v>0.33</v>
      </c>
      <c r="S57" s="88"/>
      <c r="T57" s="88"/>
    </row>
    <row r="58" spans="1:20" s="1" customFormat="1" ht="13.35" customHeight="1" x14ac:dyDescent="0.25">
      <c r="A58" s="88" t="s">
        <v>18</v>
      </c>
      <c r="B58" s="88"/>
      <c r="C58" s="88"/>
      <c r="D58" s="88"/>
      <c r="E58" s="88"/>
      <c r="F58" s="88"/>
      <c r="G58" s="88"/>
      <c r="H58" s="88"/>
      <c r="I58" s="88"/>
      <c r="J58" s="88"/>
      <c r="K58" s="88"/>
      <c r="L58" s="88"/>
      <c r="M58" s="88">
        <v>6.66</v>
      </c>
      <c r="N58" s="88"/>
      <c r="O58" s="88">
        <v>6.66</v>
      </c>
      <c r="P58" s="88"/>
      <c r="Q58" s="6">
        <v>0.66</v>
      </c>
      <c r="R58" s="88">
        <v>0.66</v>
      </c>
      <c r="S58" s="88"/>
      <c r="T58" s="88"/>
    </row>
    <row r="59" spans="1:20" s="1" customFormat="1" ht="13.35" customHeight="1" x14ac:dyDescent="0.25">
      <c r="A59" s="88" t="s">
        <v>70</v>
      </c>
      <c r="B59" s="88"/>
      <c r="C59" s="88"/>
      <c r="D59" s="88"/>
      <c r="E59" s="88"/>
      <c r="F59" s="88"/>
      <c r="G59" s="88"/>
      <c r="H59" s="88"/>
      <c r="I59" s="88"/>
      <c r="J59" s="88"/>
      <c r="K59" s="88"/>
      <c r="L59" s="88"/>
      <c r="M59" s="88" t="s">
        <v>389</v>
      </c>
      <c r="N59" s="88"/>
      <c r="O59" s="88" t="s">
        <v>389</v>
      </c>
      <c r="P59" s="88"/>
      <c r="Q59" s="6" t="s">
        <v>27</v>
      </c>
      <c r="R59" s="88" t="s">
        <v>27</v>
      </c>
      <c r="S59" s="88"/>
      <c r="T59" s="88"/>
    </row>
    <row r="60" spans="1:20" s="1" customFormat="1" ht="13.35" customHeight="1" x14ac:dyDescent="0.25">
      <c r="A60" s="131" t="s">
        <v>390</v>
      </c>
      <c r="B60" s="131"/>
      <c r="C60" s="131"/>
      <c r="D60" s="131"/>
      <c r="E60" s="131"/>
      <c r="F60" s="131"/>
      <c r="G60" s="131"/>
      <c r="H60" s="131"/>
      <c r="I60" s="131"/>
      <c r="J60" s="131"/>
      <c r="K60" s="131"/>
      <c r="L60" s="131"/>
      <c r="M60" s="131"/>
      <c r="N60" s="131"/>
      <c r="O60" s="131" t="s">
        <v>92</v>
      </c>
      <c r="P60" s="131"/>
      <c r="Q60" s="15"/>
      <c r="R60" s="131" t="s">
        <v>93</v>
      </c>
      <c r="S60" s="131"/>
      <c r="T60" s="131"/>
    </row>
    <row r="61" spans="1:20" s="1" customFormat="1" ht="13.35" customHeight="1" x14ac:dyDescent="0.25">
      <c r="A61" s="88" t="s">
        <v>66</v>
      </c>
      <c r="B61" s="88"/>
      <c r="C61" s="88"/>
      <c r="D61" s="88"/>
      <c r="E61" s="88"/>
      <c r="F61" s="88"/>
      <c r="G61" s="88"/>
      <c r="H61" s="88"/>
      <c r="I61" s="88"/>
      <c r="J61" s="88"/>
      <c r="K61" s="88"/>
      <c r="L61" s="88"/>
      <c r="M61" s="88" t="s">
        <v>391</v>
      </c>
      <c r="N61" s="88"/>
      <c r="O61" s="88" t="s">
        <v>391</v>
      </c>
      <c r="P61" s="88"/>
      <c r="Q61" s="6" t="s">
        <v>239</v>
      </c>
      <c r="R61" s="88" t="s">
        <v>239</v>
      </c>
      <c r="S61" s="88"/>
      <c r="T61" s="88"/>
    </row>
    <row r="62" spans="1:20" s="1" customFormat="1" ht="13.35" customHeight="1" x14ac:dyDescent="0.25">
      <c r="A62" s="88" t="s">
        <v>61</v>
      </c>
      <c r="B62" s="88"/>
      <c r="C62" s="88"/>
      <c r="D62" s="88"/>
      <c r="E62" s="88"/>
      <c r="F62" s="88"/>
      <c r="G62" s="88"/>
      <c r="H62" s="88"/>
      <c r="I62" s="88"/>
      <c r="J62" s="88"/>
      <c r="K62" s="88"/>
      <c r="L62" s="88"/>
      <c r="M62" s="88">
        <v>1.375</v>
      </c>
      <c r="N62" s="88"/>
      <c r="O62" s="88">
        <v>1.375</v>
      </c>
      <c r="P62" s="88"/>
      <c r="Q62" s="6">
        <v>0.13800000000000001</v>
      </c>
      <c r="R62" s="88">
        <v>0.13800000000000001</v>
      </c>
      <c r="S62" s="88"/>
      <c r="T62" s="88"/>
    </row>
    <row r="63" spans="1:20" s="1" customFormat="1" ht="13.35" customHeight="1" x14ac:dyDescent="0.25">
      <c r="A63" s="88" t="s">
        <v>28</v>
      </c>
      <c r="B63" s="88"/>
      <c r="C63" s="88"/>
      <c r="D63" s="88"/>
      <c r="E63" s="88"/>
      <c r="F63" s="88"/>
      <c r="G63" s="88"/>
      <c r="H63" s="88"/>
      <c r="I63" s="88"/>
      <c r="J63" s="88"/>
      <c r="K63" s="88"/>
      <c r="L63" s="88"/>
      <c r="M63" s="88">
        <v>1.375</v>
      </c>
      <c r="N63" s="88"/>
      <c r="O63" s="88">
        <v>1.375</v>
      </c>
      <c r="P63" s="88"/>
      <c r="Q63" s="6">
        <v>0.13800000000000001</v>
      </c>
      <c r="R63" s="88">
        <v>0.13800000000000001</v>
      </c>
      <c r="S63" s="88"/>
      <c r="T63" s="88"/>
    </row>
    <row r="64" spans="1:20" s="1" customFormat="1" ht="13.35" customHeight="1" x14ac:dyDescent="0.25">
      <c r="A64" s="88" t="s">
        <v>109</v>
      </c>
      <c r="B64" s="88"/>
      <c r="C64" s="88"/>
      <c r="D64" s="88"/>
      <c r="E64" s="88"/>
      <c r="F64" s="88"/>
      <c r="G64" s="88"/>
      <c r="H64" s="88"/>
      <c r="I64" s="88"/>
      <c r="J64" s="88"/>
      <c r="K64" s="88"/>
      <c r="L64" s="88"/>
      <c r="M64" s="88">
        <v>0.25</v>
      </c>
      <c r="N64" s="88"/>
      <c r="O64" s="88">
        <v>0.25</v>
      </c>
      <c r="P64" s="88"/>
      <c r="Q64" s="6">
        <v>2.5000000000000001E-3</v>
      </c>
      <c r="R64" s="88">
        <v>2.5000000000000001E-3</v>
      </c>
      <c r="S64" s="88"/>
      <c r="T64" s="88"/>
    </row>
    <row r="65" spans="1:20" s="1" customFormat="1" ht="13.35" customHeight="1" x14ac:dyDescent="0.25">
      <c r="A65" s="88" t="s">
        <v>114</v>
      </c>
      <c r="B65" s="88"/>
      <c r="C65" s="88"/>
      <c r="D65" s="88"/>
      <c r="E65" s="88"/>
      <c r="F65" s="88"/>
      <c r="G65" s="88"/>
      <c r="H65" s="88"/>
      <c r="I65" s="88"/>
      <c r="J65" s="88"/>
      <c r="K65" s="88"/>
      <c r="L65" s="88"/>
      <c r="M65" s="88" t="s">
        <v>391</v>
      </c>
      <c r="N65" s="88"/>
      <c r="O65" s="88" t="s">
        <v>391</v>
      </c>
      <c r="P65" s="88"/>
      <c r="Q65" s="6" t="s">
        <v>239</v>
      </c>
      <c r="R65" s="88" t="s">
        <v>239</v>
      </c>
      <c r="S65" s="88"/>
      <c r="T65" s="88"/>
    </row>
    <row r="66" spans="1:20" s="1" customFormat="1" ht="14.1" customHeight="1" x14ac:dyDescent="0.25">
      <c r="A66" s="90" t="s">
        <v>792</v>
      </c>
      <c r="B66" s="90"/>
      <c r="C66" s="90"/>
      <c r="D66" s="90"/>
      <c r="E66" s="90"/>
      <c r="F66" s="90"/>
      <c r="G66" s="90"/>
      <c r="H66" s="90"/>
      <c r="I66" s="90"/>
      <c r="J66" s="90"/>
      <c r="K66" s="90"/>
      <c r="L66" s="90"/>
      <c r="M66" s="90"/>
      <c r="N66" s="90"/>
      <c r="O66" s="90"/>
      <c r="P66" s="90"/>
      <c r="Q66" s="90"/>
      <c r="R66" s="90"/>
      <c r="S66" s="90"/>
      <c r="T66" s="90"/>
    </row>
    <row r="67" spans="1:20" s="1" customFormat="1" ht="21.3" customHeight="1" x14ac:dyDescent="0.25"/>
    <row r="68" spans="1:20" s="1" customFormat="1" ht="14.1" customHeight="1" x14ac:dyDescent="0.25">
      <c r="A68" s="91" t="s">
        <v>33</v>
      </c>
      <c r="B68" s="91"/>
      <c r="C68" s="91"/>
      <c r="D68" s="91"/>
      <c r="E68" s="91"/>
      <c r="F68" s="91"/>
      <c r="G68" s="91"/>
      <c r="H68" s="91"/>
      <c r="I68" s="91"/>
      <c r="J68" s="91"/>
      <c r="K68" s="91"/>
      <c r="L68" s="91"/>
      <c r="M68" s="91"/>
      <c r="N68" s="91"/>
    </row>
    <row r="69" spans="1:20" s="1" customFormat="1" ht="13.35" customHeight="1" x14ac:dyDescent="0.25">
      <c r="A69" s="88" t="s">
        <v>34</v>
      </c>
      <c r="B69" s="88"/>
      <c r="C69" s="88"/>
      <c r="D69" s="88"/>
      <c r="E69" s="89">
        <f>9.47*125/115</f>
        <v>10.293478260869565</v>
      </c>
      <c r="F69" s="89"/>
      <c r="G69" s="17"/>
      <c r="H69" s="6" t="s">
        <v>35</v>
      </c>
      <c r="I69" s="89">
        <v>0.1</v>
      </c>
      <c r="J69" s="89"/>
      <c r="K69" s="17"/>
      <c r="L69" s="88" t="s">
        <v>36</v>
      </c>
      <c r="M69" s="88"/>
      <c r="N69" s="89">
        <v>52.98</v>
      </c>
      <c r="O69" s="89"/>
    </row>
    <row r="70" spans="1:20" s="1" customFormat="1" ht="13.35" customHeight="1" x14ac:dyDescent="0.25">
      <c r="A70" s="88" t="s">
        <v>37</v>
      </c>
      <c r="B70" s="88"/>
      <c r="C70" s="88"/>
      <c r="D70" s="88"/>
      <c r="E70" s="89">
        <f>8.11*125/115</f>
        <v>8.8152173913043477</v>
      </c>
      <c r="F70" s="89"/>
      <c r="G70" s="17"/>
      <c r="H70" s="6" t="s">
        <v>38</v>
      </c>
      <c r="I70" s="89">
        <v>0.19</v>
      </c>
      <c r="J70" s="89"/>
      <c r="K70" s="17"/>
      <c r="L70" s="88" t="s">
        <v>39</v>
      </c>
      <c r="M70" s="88"/>
      <c r="N70" s="89">
        <v>46.68</v>
      </c>
      <c r="O70" s="89"/>
    </row>
    <row r="71" spans="1:20" s="1" customFormat="1" ht="13.35" customHeight="1" x14ac:dyDescent="0.25">
      <c r="A71" s="88" t="s">
        <v>40</v>
      </c>
      <c r="B71" s="88"/>
      <c r="C71" s="88"/>
      <c r="D71" s="88"/>
      <c r="E71" s="89">
        <f>13.48*125/115</f>
        <v>14.652173913043478</v>
      </c>
      <c r="F71" s="89"/>
      <c r="G71" s="17"/>
      <c r="H71" s="6" t="s">
        <v>41</v>
      </c>
      <c r="I71" s="89">
        <v>0.03</v>
      </c>
      <c r="J71" s="89"/>
      <c r="K71" s="17"/>
      <c r="L71" s="88" t="s">
        <v>42</v>
      </c>
      <c r="M71" s="88"/>
      <c r="N71" s="89">
        <v>189.54</v>
      </c>
      <c r="O71" s="89"/>
    </row>
    <row r="72" spans="1:20" s="1" customFormat="1" ht="13.35" customHeight="1" x14ac:dyDescent="0.25">
      <c r="A72" s="88" t="s">
        <v>43</v>
      </c>
      <c r="B72" s="88"/>
      <c r="C72" s="88"/>
      <c r="D72" s="88"/>
      <c r="E72" s="89">
        <f>165.31*125/115</f>
        <v>179.68478260869566</v>
      </c>
      <c r="F72" s="89"/>
      <c r="G72" s="17"/>
      <c r="H72" s="6" t="s">
        <v>44</v>
      </c>
      <c r="I72" s="89">
        <v>3.1</v>
      </c>
      <c r="J72" s="89"/>
      <c r="K72" s="17"/>
      <c r="L72" s="88" t="s">
        <v>45</v>
      </c>
      <c r="M72" s="88"/>
      <c r="N72" s="89">
        <v>1.48</v>
      </c>
      <c r="O72" s="89"/>
    </row>
    <row r="73" spans="1:20" s="1" customFormat="1" ht="13.35" customHeight="1" x14ac:dyDescent="0.25">
      <c r="A73" s="87"/>
      <c r="B73" s="87"/>
      <c r="C73" s="87"/>
      <c r="D73" s="87"/>
      <c r="E73" s="87"/>
      <c r="F73" s="87"/>
      <c r="G73" s="17"/>
      <c r="H73" s="6" t="s">
        <v>46</v>
      </c>
      <c r="I73" s="89">
        <v>7.0000000000000007E-2</v>
      </c>
      <c r="J73" s="89"/>
      <c r="K73" s="17"/>
      <c r="L73" s="88" t="s">
        <v>47</v>
      </c>
      <c r="M73" s="88"/>
      <c r="N73" s="89">
        <v>336.04</v>
      </c>
      <c r="O73" s="89"/>
    </row>
    <row r="74" spans="1:20" s="1" customFormat="1" ht="13.35" customHeight="1" x14ac:dyDescent="0.25">
      <c r="A74" s="87"/>
      <c r="B74" s="87"/>
      <c r="C74" s="87"/>
      <c r="D74" s="87"/>
      <c r="E74" s="87"/>
      <c r="F74" s="87"/>
      <c r="G74" s="17"/>
      <c r="H74" s="6" t="s">
        <v>48</v>
      </c>
      <c r="I74" s="89">
        <v>0.09</v>
      </c>
      <c r="J74" s="89"/>
      <c r="K74" s="17"/>
      <c r="L74" s="88" t="s">
        <v>49</v>
      </c>
      <c r="M74" s="88"/>
      <c r="N74" s="89">
        <v>95.65</v>
      </c>
      <c r="O74" s="89"/>
    </row>
    <row r="75" spans="1:20" s="1" customFormat="1" ht="13.35" customHeight="1" x14ac:dyDescent="0.25">
      <c r="A75" s="87"/>
      <c r="B75" s="87"/>
      <c r="C75" s="87"/>
      <c r="D75" s="87"/>
      <c r="E75" s="87"/>
      <c r="F75" s="87"/>
      <c r="G75" s="17"/>
      <c r="H75" s="17"/>
      <c r="I75" s="87"/>
      <c r="J75" s="87"/>
      <c r="K75" s="17"/>
      <c r="L75" s="88" t="s">
        <v>50</v>
      </c>
      <c r="M75" s="88"/>
      <c r="N75" s="89">
        <v>0.4</v>
      </c>
      <c r="O75" s="89"/>
    </row>
    <row r="76" spans="1:20" s="1" customFormat="1" ht="13.35" customHeight="1" x14ac:dyDescent="0.25">
      <c r="A76" s="87"/>
      <c r="B76" s="87"/>
      <c r="C76" s="87"/>
      <c r="D76" s="87"/>
      <c r="E76" s="87"/>
      <c r="F76" s="87"/>
      <c r="G76" s="17"/>
      <c r="H76" s="17"/>
      <c r="I76" s="87"/>
      <c r="J76" s="87"/>
      <c r="K76" s="17"/>
      <c r="L76" s="88" t="s">
        <v>51</v>
      </c>
      <c r="M76" s="88"/>
      <c r="N76" s="89">
        <v>0.01</v>
      </c>
      <c r="O76" s="89"/>
    </row>
    <row r="77" spans="1:20" s="1" customFormat="1" ht="14.1" customHeight="1" x14ac:dyDescent="0.25">
      <c r="A77" s="86"/>
      <c r="B77" s="86"/>
      <c r="C77" s="86"/>
      <c r="D77" s="86"/>
      <c r="E77" s="86"/>
      <c r="F77" s="86"/>
      <c r="G77" s="86"/>
      <c r="H77" s="86"/>
      <c r="I77" s="86"/>
      <c r="J77" s="86"/>
      <c r="K77" s="86"/>
      <c r="L77" s="86"/>
      <c r="M77" s="86"/>
      <c r="N77" s="86"/>
      <c r="O77" s="86"/>
      <c r="P77" s="86"/>
      <c r="Q77" s="86"/>
      <c r="R77" s="86"/>
      <c r="S77" s="86"/>
    </row>
    <row r="78" spans="1:20" s="1" customFormat="1" ht="14.1" customHeight="1" x14ac:dyDescent="0.25">
      <c r="A78" s="84" t="s">
        <v>52</v>
      </c>
      <c r="B78" s="84"/>
      <c r="C78" s="84"/>
      <c r="D78" s="84"/>
      <c r="E78" s="84"/>
      <c r="F78" s="84"/>
      <c r="G78" s="84"/>
      <c r="H78" s="84"/>
      <c r="I78" s="84"/>
      <c r="J78" s="84"/>
      <c r="K78" s="84"/>
      <c r="L78" s="84"/>
      <c r="M78" s="84"/>
      <c r="N78" s="84"/>
      <c r="O78" s="84"/>
      <c r="P78" s="84"/>
      <c r="Q78" s="84"/>
      <c r="R78" s="84"/>
      <c r="S78" s="84"/>
    </row>
    <row r="79" spans="1:20" s="1" customFormat="1" ht="141.30000000000001" customHeight="1" x14ac:dyDescent="0.25">
      <c r="A79" s="85" t="s">
        <v>394</v>
      </c>
      <c r="B79" s="85"/>
      <c r="C79" s="85"/>
      <c r="D79" s="85"/>
      <c r="E79" s="85"/>
      <c r="F79" s="85"/>
      <c r="G79" s="85"/>
      <c r="H79" s="85"/>
      <c r="I79" s="85"/>
      <c r="J79" s="85"/>
      <c r="K79" s="85"/>
      <c r="L79" s="85"/>
      <c r="M79" s="85"/>
      <c r="N79" s="85"/>
      <c r="O79" s="85"/>
      <c r="P79" s="85"/>
      <c r="Q79" s="85"/>
      <c r="R79" s="85"/>
      <c r="S79" s="85"/>
    </row>
    <row r="80" spans="1:20" s="1" customFormat="1" ht="14.1" customHeight="1" x14ac:dyDescent="0.25">
      <c r="A80" s="86"/>
      <c r="B80" s="86"/>
      <c r="C80" s="86"/>
      <c r="D80" s="86"/>
      <c r="E80" s="86"/>
      <c r="F80" s="86"/>
      <c r="G80" s="86"/>
      <c r="H80" s="86"/>
      <c r="I80" s="86"/>
      <c r="J80" s="86"/>
      <c r="K80" s="86"/>
      <c r="L80" s="86"/>
      <c r="M80" s="86"/>
      <c r="N80" s="86"/>
      <c r="O80" s="86"/>
      <c r="P80" s="86"/>
      <c r="Q80" s="86"/>
      <c r="R80" s="86"/>
      <c r="S80" s="86"/>
    </row>
    <row r="81" spans="1:20" s="1" customFormat="1" ht="14.1" customHeight="1" x14ac:dyDescent="0.25">
      <c r="A81" s="84" t="s">
        <v>54</v>
      </c>
      <c r="B81" s="84"/>
      <c r="C81" s="84"/>
      <c r="D81" s="84"/>
      <c r="E81" s="84"/>
      <c r="F81" s="84"/>
      <c r="G81" s="84"/>
      <c r="H81" s="84"/>
      <c r="I81" s="84"/>
      <c r="J81" s="84"/>
      <c r="K81" s="84"/>
      <c r="L81" s="84"/>
      <c r="M81" s="84"/>
      <c r="N81" s="84"/>
      <c r="O81" s="84"/>
      <c r="P81" s="84"/>
      <c r="Q81" s="84"/>
      <c r="R81" s="84"/>
      <c r="S81" s="84"/>
    </row>
    <row r="82" spans="1:20" s="1" customFormat="1" ht="21.6" customHeight="1" x14ac:dyDescent="0.25">
      <c r="A82" s="85" t="s">
        <v>395</v>
      </c>
      <c r="B82" s="85"/>
      <c r="C82" s="85"/>
      <c r="D82" s="85"/>
      <c r="E82" s="85"/>
      <c r="F82" s="85"/>
      <c r="G82" s="85"/>
      <c r="H82" s="85"/>
      <c r="I82" s="85"/>
      <c r="J82" s="85"/>
      <c r="K82" s="85"/>
      <c r="L82" s="85"/>
      <c r="M82" s="85"/>
      <c r="N82" s="85"/>
      <c r="O82" s="85"/>
      <c r="P82" s="85"/>
      <c r="Q82" s="85"/>
      <c r="R82" s="85"/>
      <c r="S82" s="85"/>
    </row>
    <row r="83" spans="1:20" s="1" customFormat="1" ht="14.1" customHeight="1" x14ac:dyDescent="0.25">
      <c r="A83" s="86"/>
      <c r="B83" s="86"/>
      <c r="C83" s="86"/>
      <c r="D83" s="86"/>
      <c r="E83" s="86"/>
      <c r="F83" s="86"/>
      <c r="G83" s="86"/>
      <c r="H83" s="86"/>
      <c r="I83" s="86"/>
      <c r="J83" s="86"/>
      <c r="K83" s="86"/>
      <c r="L83" s="86"/>
      <c r="M83" s="86"/>
      <c r="N83" s="86"/>
      <c r="O83" s="86"/>
      <c r="P83" s="86"/>
      <c r="Q83" s="86"/>
      <c r="R83" s="86"/>
      <c r="S83" s="86"/>
    </row>
    <row r="84" spans="1:20" s="1" customFormat="1" ht="14.1" customHeight="1" x14ac:dyDescent="0.25">
      <c r="A84" s="84" t="s">
        <v>56</v>
      </c>
      <c r="B84" s="84"/>
      <c r="C84" s="84"/>
      <c r="D84" s="84"/>
      <c r="E84" s="84"/>
      <c r="F84" s="84"/>
      <c r="G84" s="84"/>
      <c r="H84" s="84"/>
      <c r="I84" s="84"/>
      <c r="J84" s="84"/>
      <c r="K84" s="84"/>
      <c r="L84" s="84"/>
      <c r="M84" s="84"/>
      <c r="N84" s="84"/>
      <c r="O84" s="84"/>
      <c r="P84" s="84"/>
      <c r="Q84" s="84"/>
      <c r="R84" s="84"/>
      <c r="S84" s="84"/>
    </row>
    <row r="85" spans="1:20" s="1" customFormat="1" ht="49.2" customHeight="1" x14ac:dyDescent="0.25">
      <c r="A85" s="85" t="s">
        <v>73</v>
      </c>
      <c r="B85" s="85"/>
      <c r="C85" s="85"/>
      <c r="D85" s="85"/>
      <c r="E85" s="85"/>
      <c r="F85" s="85"/>
      <c r="G85" s="85"/>
      <c r="H85" s="85"/>
      <c r="I85" s="85"/>
      <c r="J85" s="85"/>
      <c r="K85" s="85"/>
      <c r="L85" s="85"/>
      <c r="M85" s="85"/>
      <c r="N85" s="85"/>
      <c r="O85" s="85"/>
      <c r="P85" s="85"/>
      <c r="Q85" s="85"/>
      <c r="R85" s="85"/>
      <c r="S85" s="85"/>
    </row>
    <row r="87" spans="1:20" s="1" customFormat="1" ht="72.45" customHeight="1" x14ac:dyDescent="0.25">
      <c r="J87" s="100" t="s">
        <v>0</v>
      </c>
      <c r="K87" s="100"/>
      <c r="L87" s="100"/>
      <c r="M87" s="100"/>
      <c r="N87" s="100"/>
      <c r="O87" s="100"/>
      <c r="P87" s="100"/>
      <c r="Q87" s="100"/>
      <c r="R87" s="100"/>
      <c r="S87" s="100"/>
      <c r="T87" s="100"/>
    </row>
    <row r="88" spans="1:20" s="1" customFormat="1" ht="7.05" customHeight="1" x14ac:dyDescent="0.25"/>
    <row r="89" spans="1:20" s="1" customFormat="1" ht="14.1" customHeight="1" x14ac:dyDescent="0.25">
      <c r="B89" s="101" t="s">
        <v>408</v>
      </c>
      <c r="C89" s="101"/>
      <c r="D89" s="101"/>
      <c r="E89" s="101"/>
      <c r="F89" s="101"/>
      <c r="G89" s="101"/>
      <c r="H89" s="101"/>
      <c r="I89" s="101"/>
      <c r="J89" s="101"/>
      <c r="K89" s="101"/>
      <c r="L89" s="101"/>
      <c r="M89" s="101"/>
      <c r="N89" s="101"/>
      <c r="O89" s="101"/>
      <c r="P89" s="101"/>
      <c r="Q89" s="101"/>
      <c r="R89" s="101"/>
    </row>
    <row r="90" spans="1:20" s="1" customFormat="1" ht="14.1" customHeight="1" x14ac:dyDescent="0.25"/>
    <row r="91" spans="1:20" s="1" customFormat="1" ht="14.1" customHeight="1" x14ac:dyDescent="0.25">
      <c r="A91" s="102" t="s">
        <v>2</v>
      </c>
      <c r="B91" s="102"/>
      <c r="C91" s="102"/>
      <c r="D91" s="103" t="s">
        <v>409</v>
      </c>
      <c r="E91" s="103"/>
      <c r="F91" s="103"/>
      <c r="G91" s="103"/>
      <c r="H91" s="103"/>
      <c r="I91" s="103"/>
      <c r="J91" s="103"/>
      <c r="K91" s="103"/>
      <c r="L91" s="103"/>
      <c r="M91" s="103"/>
      <c r="N91" s="103"/>
      <c r="O91" s="103"/>
      <c r="P91" s="103"/>
      <c r="Q91" s="103"/>
      <c r="R91" s="103"/>
      <c r="S91" s="103"/>
      <c r="T91" s="103"/>
    </row>
    <row r="92" spans="1:20" s="1" customFormat="1" ht="14.1" customHeight="1" x14ac:dyDescent="0.25">
      <c r="A92" s="102" t="s">
        <v>4</v>
      </c>
      <c r="B92" s="102"/>
      <c r="C92" s="103" t="s">
        <v>410</v>
      </c>
      <c r="D92" s="103"/>
      <c r="E92" s="103"/>
      <c r="F92" s="103"/>
      <c r="G92" s="103"/>
      <c r="H92" s="103"/>
      <c r="I92" s="103"/>
      <c r="J92" s="103"/>
      <c r="K92" s="103"/>
      <c r="L92" s="103"/>
      <c r="M92" s="103"/>
      <c r="N92" s="103"/>
      <c r="O92" s="103"/>
      <c r="P92" s="103"/>
      <c r="Q92" s="103"/>
      <c r="R92" s="103"/>
      <c r="S92" s="103"/>
      <c r="T92" s="103"/>
    </row>
    <row r="93" spans="1:20" s="1" customFormat="1" ht="14.1" customHeight="1" x14ac:dyDescent="0.25">
      <c r="A93" s="102" t="s">
        <v>6</v>
      </c>
      <c r="B93" s="102"/>
      <c r="C93" s="102"/>
      <c r="D93" s="102"/>
      <c r="E93" s="102"/>
      <c r="F93" s="103" t="s">
        <v>7</v>
      </c>
      <c r="G93" s="103"/>
      <c r="H93" s="103"/>
      <c r="I93" s="103"/>
      <c r="J93" s="103"/>
      <c r="K93" s="103"/>
      <c r="L93" s="103"/>
      <c r="M93" s="103"/>
      <c r="N93" s="103"/>
      <c r="O93" s="103"/>
      <c r="P93" s="103"/>
      <c r="Q93" s="103"/>
      <c r="R93" s="103"/>
      <c r="S93" s="103"/>
      <c r="T93" s="103"/>
    </row>
    <row r="94" spans="1:20" s="1" customFormat="1" ht="22.35" customHeight="1" x14ac:dyDescent="0.25">
      <c r="F94" s="103"/>
      <c r="G94" s="103"/>
      <c r="H94" s="103"/>
      <c r="I94" s="103"/>
      <c r="J94" s="103"/>
      <c r="K94" s="103"/>
      <c r="L94" s="103"/>
      <c r="M94" s="103"/>
      <c r="N94" s="103"/>
      <c r="O94" s="103"/>
      <c r="P94" s="103"/>
      <c r="Q94" s="103"/>
      <c r="R94" s="103"/>
      <c r="S94" s="103"/>
      <c r="T94" s="103"/>
    </row>
    <row r="95" spans="1:20" s="1" customFormat="1" ht="7.05" customHeight="1" x14ac:dyDescent="0.25">
      <c r="A95" s="86"/>
      <c r="B95" s="86"/>
      <c r="C95" s="86"/>
      <c r="D95" s="86"/>
      <c r="E95" s="86"/>
      <c r="F95" s="86"/>
      <c r="G95" s="86"/>
      <c r="H95" s="86"/>
      <c r="I95" s="86"/>
      <c r="J95" s="86"/>
      <c r="K95" s="86"/>
      <c r="L95" s="86"/>
      <c r="M95" s="86"/>
      <c r="N95" s="86"/>
      <c r="O95" s="86"/>
      <c r="P95" s="86"/>
      <c r="Q95" s="16"/>
      <c r="R95" s="86"/>
      <c r="S95" s="86"/>
      <c r="T95" s="86"/>
    </row>
    <row r="96" spans="1:20" s="1" customFormat="1" ht="16.95" customHeight="1" x14ac:dyDescent="0.25">
      <c r="A96" s="94" t="s">
        <v>8</v>
      </c>
      <c r="B96" s="94"/>
      <c r="C96" s="94"/>
      <c r="D96" s="94"/>
      <c r="E96" s="94"/>
      <c r="F96" s="94"/>
      <c r="G96" s="94"/>
      <c r="H96" s="94"/>
      <c r="I96" s="94"/>
      <c r="J96" s="94"/>
      <c r="K96" s="94"/>
      <c r="L96" s="94"/>
      <c r="M96" s="95" t="s">
        <v>9</v>
      </c>
      <c r="N96" s="95"/>
      <c r="O96" s="95"/>
      <c r="P96" s="95"/>
      <c r="Q96" s="95"/>
      <c r="R96" s="95"/>
      <c r="S96" s="95"/>
      <c r="T96" s="95"/>
    </row>
    <row r="97" spans="1:23" s="1" customFormat="1" ht="16.95" customHeight="1" x14ac:dyDescent="0.25">
      <c r="A97" s="94"/>
      <c r="B97" s="94"/>
      <c r="C97" s="94"/>
      <c r="D97" s="94"/>
      <c r="E97" s="94"/>
      <c r="F97" s="94"/>
      <c r="G97" s="94"/>
      <c r="H97" s="94"/>
      <c r="I97" s="94"/>
      <c r="J97" s="94"/>
      <c r="K97" s="94"/>
      <c r="L97" s="94"/>
      <c r="M97" s="96" t="s">
        <v>10</v>
      </c>
      <c r="N97" s="96"/>
      <c r="O97" s="96"/>
      <c r="P97" s="96"/>
      <c r="Q97" s="97" t="s">
        <v>11</v>
      </c>
      <c r="R97" s="97"/>
      <c r="S97" s="97"/>
      <c r="T97" s="97"/>
    </row>
    <row r="98" spans="1:23" s="1" customFormat="1" ht="16.95" customHeight="1" x14ac:dyDescent="0.25">
      <c r="A98" s="94"/>
      <c r="B98" s="94"/>
      <c r="C98" s="94"/>
      <c r="D98" s="94"/>
      <c r="E98" s="94"/>
      <c r="F98" s="94"/>
      <c r="G98" s="94"/>
      <c r="H98" s="94"/>
      <c r="I98" s="94"/>
      <c r="J98" s="94"/>
      <c r="K98" s="94"/>
      <c r="L98" s="94"/>
      <c r="M98" s="98" t="s">
        <v>12</v>
      </c>
      <c r="N98" s="98"/>
      <c r="O98" s="98" t="s">
        <v>13</v>
      </c>
      <c r="P98" s="98"/>
      <c r="Q98" s="13" t="s">
        <v>14</v>
      </c>
      <c r="R98" s="99" t="s">
        <v>15</v>
      </c>
      <c r="S98" s="99"/>
      <c r="T98" s="99"/>
    </row>
    <row r="99" spans="1:23" s="1" customFormat="1" ht="13.35" customHeight="1" x14ac:dyDescent="0.25">
      <c r="A99" s="88" t="s">
        <v>64</v>
      </c>
      <c r="B99" s="88"/>
      <c r="C99" s="88"/>
      <c r="D99" s="88"/>
      <c r="E99" s="88"/>
      <c r="F99" s="88"/>
      <c r="G99" s="88"/>
      <c r="H99" s="88"/>
      <c r="I99" s="88"/>
      <c r="J99" s="88"/>
      <c r="K99" s="88"/>
      <c r="L99" s="88"/>
      <c r="M99" s="88">
        <f>140*130/100</f>
        <v>182</v>
      </c>
      <c r="N99" s="88"/>
      <c r="O99" s="88">
        <f>70*130/100</f>
        <v>91</v>
      </c>
      <c r="P99" s="88"/>
      <c r="Q99" s="6">
        <v>18.2</v>
      </c>
      <c r="R99" s="88">
        <v>9.1</v>
      </c>
      <c r="S99" s="88"/>
      <c r="T99" s="88"/>
      <c r="W99" s="1">
        <f>91/0.88</f>
        <v>103.40909090909091</v>
      </c>
    </row>
    <row r="100" spans="1:23" s="1" customFormat="1" ht="13.35" customHeight="1" x14ac:dyDescent="0.25">
      <c r="A100" s="88" t="s">
        <v>100</v>
      </c>
      <c r="B100" s="88"/>
      <c r="C100" s="88"/>
      <c r="D100" s="88"/>
      <c r="E100" s="88"/>
      <c r="F100" s="88"/>
      <c r="G100" s="88"/>
      <c r="H100" s="88"/>
      <c r="I100" s="88"/>
      <c r="J100" s="88"/>
      <c r="K100" s="88"/>
      <c r="L100" s="88"/>
      <c r="M100" s="88">
        <f>25*130/100</f>
        <v>32.5</v>
      </c>
      <c r="N100" s="88"/>
      <c r="O100" s="88">
        <f>20*130/100</f>
        <v>26</v>
      </c>
      <c r="P100" s="88"/>
      <c r="Q100" s="30">
        <v>3.25</v>
      </c>
      <c r="R100" s="88">
        <v>2.6</v>
      </c>
      <c r="S100" s="88"/>
      <c r="T100" s="88"/>
    </row>
    <row r="101" spans="1:23" s="1" customFormat="1" ht="13.35" customHeight="1" x14ac:dyDescent="0.25">
      <c r="A101" s="88" t="s">
        <v>21</v>
      </c>
      <c r="B101" s="88"/>
      <c r="C101" s="88"/>
      <c r="D101" s="88"/>
      <c r="E101" s="88"/>
      <c r="F101" s="88"/>
      <c r="G101" s="88"/>
      <c r="H101" s="88"/>
      <c r="I101" s="88"/>
      <c r="J101" s="88"/>
      <c r="K101" s="88"/>
      <c r="L101" s="88"/>
      <c r="M101" s="88">
        <f>10*130/100</f>
        <v>13</v>
      </c>
      <c r="N101" s="88"/>
      <c r="O101" s="88">
        <f>8*130/100</f>
        <v>10.4</v>
      </c>
      <c r="P101" s="88"/>
      <c r="Q101" s="6">
        <v>1.3</v>
      </c>
      <c r="R101" s="88">
        <v>1.04</v>
      </c>
      <c r="S101" s="88"/>
      <c r="T101" s="88"/>
    </row>
    <row r="102" spans="1:23" s="1" customFormat="1" ht="13.35" customHeight="1" x14ac:dyDescent="0.25">
      <c r="A102" s="88" t="s">
        <v>65</v>
      </c>
      <c r="B102" s="88"/>
      <c r="C102" s="88"/>
      <c r="D102" s="88"/>
      <c r="E102" s="88"/>
      <c r="F102" s="88"/>
      <c r="G102" s="88"/>
      <c r="H102" s="88"/>
      <c r="I102" s="88"/>
      <c r="J102" s="88"/>
      <c r="K102" s="88"/>
      <c r="L102" s="88"/>
      <c r="M102" s="88">
        <f>8*130/100</f>
        <v>10.4</v>
      </c>
      <c r="N102" s="88"/>
      <c r="O102" s="88">
        <v>10.4</v>
      </c>
      <c r="P102" s="88"/>
      <c r="Q102" s="6">
        <v>1.04</v>
      </c>
      <c r="R102" s="88">
        <v>1.04</v>
      </c>
      <c r="S102" s="88"/>
      <c r="T102" s="88"/>
    </row>
    <row r="103" spans="1:23" s="1" customFormat="1" ht="13.35" customHeight="1" x14ac:dyDescent="0.25">
      <c r="A103" s="88" t="s">
        <v>183</v>
      </c>
      <c r="B103" s="88"/>
      <c r="C103" s="88"/>
      <c r="D103" s="88"/>
      <c r="E103" s="88"/>
      <c r="F103" s="88"/>
      <c r="G103" s="88"/>
      <c r="H103" s="88"/>
      <c r="I103" s="88"/>
      <c r="J103" s="88"/>
      <c r="K103" s="88"/>
      <c r="L103" s="88"/>
      <c r="M103" s="88">
        <f>0.25*130/100</f>
        <v>0.32500000000000001</v>
      </c>
      <c r="N103" s="88"/>
      <c r="O103" s="88">
        <f>0.325*40</f>
        <v>13</v>
      </c>
      <c r="P103" s="88"/>
      <c r="Q103" s="6">
        <v>32.5</v>
      </c>
      <c r="R103" s="88">
        <v>1.3</v>
      </c>
      <c r="S103" s="88"/>
      <c r="T103" s="88"/>
    </row>
    <row r="104" spans="1:23" s="1" customFormat="1" ht="13.35" customHeight="1" x14ac:dyDescent="0.25">
      <c r="A104" s="88" t="s">
        <v>66</v>
      </c>
      <c r="B104" s="88"/>
      <c r="C104" s="88"/>
      <c r="D104" s="88"/>
      <c r="E104" s="88"/>
      <c r="F104" s="88"/>
      <c r="G104" s="88"/>
      <c r="H104" s="88"/>
      <c r="I104" s="88"/>
      <c r="J104" s="88"/>
      <c r="K104" s="88"/>
      <c r="L104" s="88"/>
      <c r="M104" s="88">
        <f>9*100/90</f>
        <v>10</v>
      </c>
      <c r="N104" s="88"/>
      <c r="O104" s="88">
        <v>10</v>
      </c>
      <c r="P104" s="88"/>
      <c r="Q104" s="6">
        <v>1</v>
      </c>
      <c r="R104" s="88">
        <v>1</v>
      </c>
      <c r="S104" s="88"/>
      <c r="T104" s="88"/>
    </row>
    <row r="105" spans="1:23" s="1" customFormat="1" ht="13.35" customHeight="1" x14ac:dyDescent="0.25">
      <c r="A105" s="88" t="s">
        <v>61</v>
      </c>
      <c r="B105" s="88"/>
      <c r="C105" s="88"/>
      <c r="D105" s="88"/>
      <c r="E105" s="88"/>
      <c r="F105" s="88"/>
      <c r="G105" s="88"/>
      <c r="H105" s="88"/>
      <c r="I105" s="88"/>
      <c r="J105" s="88"/>
      <c r="K105" s="88"/>
      <c r="L105" s="88"/>
      <c r="M105" s="88">
        <f>4*130/100</f>
        <v>5.2</v>
      </c>
      <c r="N105" s="88"/>
      <c r="O105" s="88">
        <v>5.2</v>
      </c>
      <c r="P105" s="88"/>
      <c r="Q105" s="6">
        <v>0.52</v>
      </c>
      <c r="R105" s="88">
        <v>0.52</v>
      </c>
      <c r="S105" s="88"/>
      <c r="T105" s="88"/>
    </row>
    <row r="106" spans="1:23" s="1" customFormat="1" ht="14.1" customHeight="1" x14ac:dyDescent="0.25">
      <c r="A106" s="90" t="s">
        <v>599</v>
      </c>
      <c r="B106" s="90"/>
      <c r="C106" s="90"/>
      <c r="D106" s="90"/>
      <c r="E106" s="90"/>
      <c r="F106" s="90"/>
      <c r="G106" s="90"/>
      <c r="H106" s="90"/>
      <c r="I106" s="90"/>
      <c r="J106" s="90"/>
      <c r="K106" s="90"/>
      <c r="L106" s="90"/>
      <c r="M106" s="90"/>
      <c r="N106" s="90"/>
      <c r="O106" s="90"/>
      <c r="P106" s="90"/>
      <c r="Q106" s="90"/>
      <c r="R106" s="90"/>
      <c r="S106" s="90"/>
      <c r="T106" s="90"/>
    </row>
    <row r="107" spans="1:23" s="1" customFormat="1" ht="21.3" customHeight="1" x14ac:dyDescent="0.25"/>
    <row r="108" spans="1:23" s="1" customFormat="1" ht="14.1" customHeight="1" x14ac:dyDescent="0.25">
      <c r="A108" s="91" t="s">
        <v>33</v>
      </c>
      <c r="B108" s="91"/>
      <c r="C108" s="91"/>
      <c r="D108" s="91"/>
      <c r="E108" s="91"/>
      <c r="F108" s="91"/>
      <c r="G108" s="91"/>
      <c r="H108" s="91"/>
      <c r="I108" s="91"/>
      <c r="J108" s="91"/>
      <c r="K108" s="91"/>
      <c r="L108" s="91"/>
      <c r="M108" s="91"/>
      <c r="N108" s="91"/>
    </row>
    <row r="109" spans="1:23" s="1" customFormat="1" ht="13.35" customHeight="1" x14ac:dyDescent="0.25">
      <c r="A109" s="88" t="s">
        <v>34</v>
      </c>
      <c r="B109" s="88"/>
      <c r="C109" s="88"/>
      <c r="D109" s="88"/>
      <c r="E109" s="89">
        <f>11.7*130/90</f>
        <v>16.899999999999999</v>
      </c>
      <c r="F109" s="89"/>
      <c r="G109" s="17"/>
      <c r="H109" s="6" t="s">
        <v>35</v>
      </c>
      <c r="I109" s="89">
        <v>0.08</v>
      </c>
      <c r="J109" s="89"/>
      <c r="K109" s="17"/>
      <c r="L109" s="88" t="s">
        <v>36</v>
      </c>
      <c r="M109" s="88"/>
      <c r="N109" s="89">
        <v>47.85</v>
      </c>
      <c r="O109" s="89"/>
    </row>
    <row r="110" spans="1:23" s="1" customFormat="1" ht="13.35" customHeight="1" x14ac:dyDescent="0.25">
      <c r="A110" s="88" t="s">
        <v>37</v>
      </c>
      <c r="B110" s="88"/>
      <c r="C110" s="88"/>
      <c r="D110" s="88"/>
      <c r="E110" s="89">
        <f>10.9*130/90</f>
        <v>15.744444444444444</v>
      </c>
      <c r="F110" s="89"/>
      <c r="G110" s="17"/>
      <c r="H110" s="6" t="s">
        <v>38</v>
      </c>
      <c r="I110" s="89">
        <v>0.82</v>
      </c>
      <c r="J110" s="89"/>
      <c r="K110" s="17"/>
      <c r="L110" s="88" t="s">
        <v>39</v>
      </c>
      <c r="M110" s="88"/>
      <c r="N110" s="89">
        <v>41.49</v>
      </c>
      <c r="O110" s="89"/>
    </row>
    <row r="111" spans="1:23" s="1" customFormat="1" ht="13.35" customHeight="1" x14ac:dyDescent="0.25">
      <c r="A111" s="88" t="s">
        <v>40</v>
      </c>
      <c r="B111" s="88"/>
      <c r="C111" s="88"/>
      <c r="D111" s="88"/>
      <c r="E111" s="89">
        <f>15.8*130/90</f>
        <v>22.822222222222223</v>
      </c>
      <c r="F111" s="89"/>
      <c r="G111" s="17"/>
      <c r="H111" s="6" t="s">
        <v>41</v>
      </c>
      <c r="I111" s="89">
        <v>0.41</v>
      </c>
      <c r="J111" s="89"/>
      <c r="K111" s="17"/>
      <c r="L111" s="88" t="s">
        <v>42</v>
      </c>
      <c r="M111" s="88"/>
      <c r="N111" s="89">
        <v>173.05</v>
      </c>
      <c r="O111" s="89"/>
    </row>
    <row r="112" spans="1:23" s="1" customFormat="1" ht="13.35" customHeight="1" x14ac:dyDescent="0.25">
      <c r="A112" s="88" t="s">
        <v>43</v>
      </c>
      <c r="B112" s="88"/>
      <c r="C112" s="88"/>
      <c r="D112" s="88"/>
      <c r="E112" s="89">
        <f>192*130/90</f>
        <v>277.33333333333331</v>
      </c>
      <c r="F112" s="89"/>
      <c r="G112" s="17"/>
      <c r="H112" s="6" t="s">
        <v>44</v>
      </c>
      <c r="I112" s="89">
        <v>0.68</v>
      </c>
      <c r="J112" s="89"/>
      <c r="K112" s="17"/>
      <c r="L112" s="88" t="s">
        <v>45</v>
      </c>
      <c r="M112" s="88"/>
      <c r="N112" s="89">
        <v>1.02</v>
      </c>
      <c r="O112" s="89"/>
    </row>
    <row r="113" spans="1:20" s="1" customFormat="1" ht="13.35" customHeight="1" x14ac:dyDescent="0.25">
      <c r="A113" s="87"/>
      <c r="B113" s="87"/>
      <c r="C113" s="87"/>
      <c r="D113" s="87"/>
      <c r="E113" s="87"/>
      <c r="F113" s="87"/>
      <c r="G113" s="17"/>
      <c r="H113" s="6" t="s">
        <v>46</v>
      </c>
      <c r="I113" s="89">
        <v>0.25</v>
      </c>
      <c r="J113" s="89"/>
      <c r="K113" s="17"/>
      <c r="L113" s="88" t="s">
        <v>47</v>
      </c>
      <c r="M113" s="88"/>
      <c r="N113" s="89">
        <v>341.35</v>
      </c>
      <c r="O113" s="89"/>
    </row>
    <row r="114" spans="1:20" s="1" customFormat="1" ht="13.35" customHeight="1" x14ac:dyDescent="0.25">
      <c r="A114" s="87"/>
      <c r="B114" s="87"/>
      <c r="C114" s="87"/>
      <c r="D114" s="87"/>
      <c r="E114" s="87"/>
      <c r="F114" s="87"/>
      <c r="G114" s="17"/>
      <c r="H114" s="6" t="s">
        <v>48</v>
      </c>
      <c r="I114" s="89">
        <v>0.11</v>
      </c>
      <c r="J114" s="89"/>
      <c r="K114" s="17"/>
      <c r="L114" s="88" t="s">
        <v>49</v>
      </c>
      <c r="M114" s="88"/>
      <c r="N114" s="89">
        <v>95.55</v>
      </c>
      <c r="O114" s="89"/>
    </row>
    <row r="115" spans="1:20" s="1" customFormat="1" ht="13.35" customHeight="1" x14ac:dyDescent="0.25">
      <c r="A115" s="87"/>
      <c r="B115" s="87"/>
      <c r="C115" s="87"/>
      <c r="D115" s="87"/>
      <c r="E115" s="87"/>
      <c r="F115" s="87"/>
      <c r="G115" s="17"/>
      <c r="H115" s="17"/>
      <c r="I115" s="87"/>
      <c r="J115" s="87"/>
      <c r="K115" s="17"/>
      <c r="L115" s="88" t="s">
        <v>50</v>
      </c>
      <c r="M115" s="88"/>
      <c r="N115" s="89">
        <v>0.41</v>
      </c>
      <c r="O115" s="89"/>
    </row>
    <row r="116" spans="1:20" s="1" customFormat="1" ht="13.35" customHeight="1" x14ac:dyDescent="0.25">
      <c r="A116" s="87"/>
      <c r="B116" s="87"/>
      <c r="C116" s="87"/>
      <c r="D116" s="87"/>
      <c r="E116" s="87"/>
      <c r="F116" s="87"/>
      <c r="G116" s="17"/>
      <c r="H116" s="17"/>
      <c r="I116" s="87"/>
      <c r="J116" s="87"/>
      <c r="K116" s="17"/>
      <c r="L116" s="88" t="s">
        <v>51</v>
      </c>
      <c r="M116" s="88"/>
      <c r="N116" s="89">
        <v>0.01</v>
      </c>
      <c r="O116" s="89"/>
    </row>
    <row r="117" spans="1:20" s="1" customFormat="1" ht="14.1" customHeight="1" x14ac:dyDescent="0.25">
      <c r="A117" s="86"/>
      <c r="B117" s="86"/>
      <c r="C117" s="86"/>
      <c r="D117" s="86"/>
      <c r="E117" s="86"/>
      <c r="F117" s="86"/>
      <c r="G117" s="86"/>
      <c r="H117" s="86"/>
      <c r="I117" s="86"/>
      <c r="J117" s="86"/>
      <c r="K117" s="86"/>
      <c r="L117" s="86"/>
      <c r="M117" s="86"/>
      <c r="N117" s="86"/>
      <c r="O117" s="86"/>
      <c r="P117" s="86"/>
      <c r="Q117" s="86"/>
      <c r="R117" s="86"/>
      <c r="S117" s="86"/>
    </row>
    <row r="118" spans="1:20" s="1" customFormat="1" ht="14.1" customHeight="1" x14ac:dyDescent="0.25">
      <c r="A118" s="84" t="s">
        <v>52</v>
      </c>
      <c r="B118" s="84"/>
      <c r="C118" s="84"/>
      <c r="D118" s="84"/>
      <c r="E118" s="84"/>
      <c r="F118" s="84"/>
      <c r="G118" s="84"/>
      <c r="H118" s="84"/>
      <c r="I118" s="84"/>
      <c r="J118" s="84"/>
      <c r="K118" s="84"/>
      <c r="L118" s="84"/>
      <c r="M118" s="84"/>
      <c r="N118" s="84"/>
      <c r="O118" s="84"/>
      <c r="P118" s="84"/>
      <c r="Q118" s="84"/>
      <c r="R118" s="84"/>
      <c r="S118" s="84"/>
    </row>
    <row r="119" spans="1:20" s="1" customFormat="1" ht="40.049999999999997" customHeight="1" x14ac:dyDescent="0.25">
      <c r="A119" s="85" t="s">
        <v>411</v>
      </c>
      <c r="B119" s="85"/>
      <c r="C119" s="85"/>
      <c r="D119" s="85"/>
      <c r="E119" s="85"/>
      <c r="F119" s="85"/>
      <c r="G119" s="85"/>
      <c r="H119" s="85"/>
      <c r="I119" s="85"/>
      <c r="J119" s="85"/>
      <c r="K119" s="85"/>
      <c r="L119" s="85"/>
      <c r="M119" s="85"/>
      <c r="N119" s="85"/>
      <c r="O119" s="85"/>
      <c r="P119" s="85"/>
      <c r="Q119" s="85"/>
      <c r="R119" s="85"/>
      <c r="S119" s="85"/>
    </row>
    <row r="120" spans="1:20" s="1" customFormat="1" ht="14.1" customHeight="1" x14ac:dyDescent="0.25">
      <c r="A120" s="86"/>
      <c r="B120" s="86"/>
      <c r="C120" s="86"/>
      <c r="D120" s="86"/>
      <c r="E120" s="86"/>
      <c r="F120" s="86"/>
      <c r="G120" s="86"/>
      <c r="H120" s="86"/>
      <c r="I120" s="86"/>
      <c r="J120" s="86"/>
      <c r="K120" s="86"/>
      <c r="L120" s="86"/>
      <c r="M120" s="86"/>
      <c r="N120" s="86"/>
      <c r="O120" s="86"/>
      <c r="P120" s="86"/>
      <c r="Q120" s="86"/>
      <c r="R120" s="86"/>
      <c r="S120" s="86"/>
    </row>
    <row r="121" spans="1:20" s="1" customFormat="1" ht="14.1" customHeight="1" x14ac:dyDescent="0.25">
      <c r="A121" s="84" t="s">
        <v>54</v>
      </c>
      <c r="B121" s="84"/>
      <c r="C121" s="84"/>
      <c r="D121" s="84"/>
      <c r="E121" s="84"/>
      <c r="F121" s="84"/>
      <c r="G121" s="84"/>
      <c r="H121" s="84"/>
      <c r="I121" s="84"/>
      <c r="J121" s="84"/>
      <c r="K121" s="84"/>
      <c r="L121" s="84"/>
      <c r="M121" s="84"/>
      <c r="N121" s="84"/>
      <c r="O121" s="84"/>
      <c r="P121" s="84"/>
      <c r="Q121" s="84"/>
      <c r="R121" s="84"/>
      <c r="S121" s="84"/>
    </row>
    <row r="122" spans="1:20" s="1" customFormat="1" ht="21.6" customHeight="1" x14ac:dyDescent="0.25">
      <c r="A122" s="85" t="s">
        <v>412</v>
      </c>
      <c r="B122" s="85"/>
      <c r="C122" s="85"/>
      <c r="D122" s="85"/>
      <c r="E122" s="85"/>
      <c r="F122" s="85"/>
      <c r="G122" s="85"/>
      <c r="H122" s="85"/>
      <c r="I122" s="85"/>
      <c r="J122" s="85"/>
      <c r="K122" s="85"/>
      <c r="L122" s="85"/>
      <c r="M122" s="85"/>
      <c r="N122" s="85"/>
      <c r="O122" s="85"/>
      <c r="P122" s="85"/>
      <c r="Q122" s="85"/>
      <c r="R122" s="85"/>
      <c r="S122" s="85"/>
    </row>
    <row r="123" spans="1:20" s="1" customFormat="1" ht="14.1" customHeight="1" x14ac:dyDescent="0.25">
      <c r="A123" s="85" t="s">
        <v>281</v>
      </c>
      <c r="B123" s="85"/>
      <c r="C123" s="85"/>
      <c r="D123" s="85"/>
      <c r="E123" s="85"/>
      <c r="F123" s="85"/>
      <c r="G123" s="85"/>
      <c r="H123" s="85"/>
      <c r="I123" s="85"/>
      <c r="J123" s="85"/>
      <c r="K123" s="85"/>
      <c r="L123" s="85"/>
      <c r="M123" s="85"/>
      <c r="N123" s="85"/>
      <c r="O123" s="85"/>
      <c r="P123" s="85"/>
      <c r="Q123" s="85"/>
      <c r="R123" s="85"/>
      <c r="S123" s="85"/>
    </row>
    <row r="124" spans="1:20" s="1" customFormat="1" ht="14.1" customHeight="1" x14ac:dyDescent="0.25">
      <c r="A124" s="84" t="s">
        <v>56</v>
      </c>
      <c r="B124" s="84"/>
      <c r="C124" s="84"/>
      <c r="D124" s="84"/>
      <c r="E124" s="84"/>
      <c r="F124" s="84"/>
      <c r="G124" s="84"/>
      <c r="H124" s="84"/>
      <c r="I124" s="84"/>
      <c r="J124" s="84"/>
      <c r="K124" s="84"/>
      <c r="L124" s="84"/>
      <c r="M124" s="84"/>
      <c r="N124" s="84"/>
      <c r="O124" s="84"/>
      <c r="P124" s="84"/>
      <c r="Q124" s="84"/>
      <c r="R124" s="84"/>
      <c r="S124" s="84"/>
    </row>
    <row r="125" spans="1:20" s="1" customFormat="1" ht="49.2" customHeight="1" x14ac:dyDescent="0.25">
      <c r="A125" s="85" t="s">
        <v>413</v>
      </c>
      <c r="B125" s="85"/>
      <c r="C125" s="85"/>
      <c r="D125" s="85"/>
      <c r="E125" s="85"/>
      <c r="F125" s="85"/>
      <c r="G125" s="85"/>
      <c r="H125" s="85"/>
      <c r="I125" s="85"/>
      <c r="J125" s="85"/>
      <c r="K125" s="85"/>
      <c r="L125" s="85"/>
      <c r="M125" s="85"/>
      <c r="N125" s="85"/>
      <c r="O125" s="85"/>
      <c r="P125" s="85"/>
      <c r="Q125" s="85"/>
      <c r="R125" s="85"/>
      <c r="S125" s="85"/>
    </row>
    <row r="126" spans="1:20" ht="72.45" customHeight="1" x14ac:dyDescent="0.2">
      <c r="J126" s="151" t="s">
        <v>0</v>
      </c>
      <c r="K126" s="151"/>
      <c r="L126" s="151"/>
      <c r="M126" s="151"/>
      <c r="N126" s="151"/>
      <c r="O126" s="151"/>
      <c r="P126" s="151"/>
      <c r="Q126" s="151"/>
      <c r="R126" s="151"/>
      <c r="S126" s="151"/>
      <c r="T126" s="151"/>
    </row>
    <row r="127" spans="1:20" ht="7.05" customHeight="1" x14ac:dyDescent="0.2"/>
    <row r="128" spans="1:20" ht="14.1" customHeight="1" x14ac:dyDescent="0.2">
      <c r="B128" s="130" t="s">
        <v>58</v>
      </c>
      <c r="C128" s="130"/>
      <c r="D128" s="130"/>
      <c r="E128" s="130"/>
      <c r="F128" s="130"/>
      <c r="G128" s="130"/>
      <c r="H128" s="130"/>
      <c r="I128" s="130"/>
      <c r="J128" s="130"/>
      <c r="K128" s="130"/>
      <c r="L128" s="130"/>
      <c r="M128" s="130"/>
      <c r="N128" s="130"/>
      <c r="O128" s="130"/>
      <c r="P128" s="130"/>
      <c r="Q128" s="130"/>
      <c r="R128" s="130"/>
    </row>
    <row r="129" spans="1:20" ht="14.1" customHeight="1" x14ac:dyDescent="0.2"/>
    <row r="130" spans="1:20" ht="14.1" customHeight="1" x14ac:dyDescent="0.2">
      <c r="A130" s="120" t="s">
        <v>2</v>
      </c>
      <c r="B130" s="120"/>
      <c r="C130" s="120"/>
      <c r="D130" s="152" t="s">
        <v>831</v>
      </c>
      <c r="E130" s="129"/>
      <c r="F130" s="129"/>
      <c r="G130" s="129"/>
      <c r="H130" s="129"/>
      <c r="I130" s="129"/>
      <c r="J130" s="129"/>
      <c r="K130" s="129"/>
      <c r="L130" s="129"/>
      <c r="M130" s="129"/>
      <c r="N130" s="129"/>
      <c r="O130" s="129"/>
      <c r="P130" s="129"/>
      <c r="Q130" s="129"/>
      <c r="R130" s="129"/>
      <c r="S130" s="129"/>
      <c r="T130" s="129"/>
    </row>
    <row r="131" spans="1:20" ht="14.1" customHeight="1" x14ac:dyDescent="0.2">
      <c r="A131" s="120" t="s">
        <v>4</v>
      </c>
      <c r="B131" s="120"/>
      <c r="C131" s="129" t="s">
        <v>59</v>
      </c>
      <c r="D131" s="129"/>
      <c r="E131" s="129"/>
      <c r="F131" s="129"/>
      <c r="G131" s="129"/>
      <c r="H131" s="129"/>
      <c r="I131" s="129"/>
      <c r="J131" s="129"/>
      <c r="K131" s="129"/>
      <c r="L131" s="129"/>
      <c r="M131" s="129"/>
      <c r="N131" s="129"/>
      <c r="O131" s="129"/>
      <c r="P131" s="129"/>
      <c r="Q131" s="129"/>
      <c r="R131" s="129"/>
      <c r="S131" s="129"/>
      <c r="T131" s="129"/>
    </row>
    <row r="132" spans="1:20" ht="14.1" customHeight="1" x14ac:dyDescent="0.2">
      <c r="A132" s="120" t="s">
        <v>6</v>
      </c>
      <c r="B132" s="120"/>
      <c r="C132" s="120"/>
      <c r="D132" s="120"/>
      <c r="E132" s="120"/>
      <c r="F132" s="129" t="s">
        <v>60</v>
      </c>
      <c r="G132" s="129"/>
      <c r="H132" s="129"/>
      <c r="I132" s="129"/>
      <c r="J132" s="129"/>
      <c r="K132" s="129"/>
      <c r="L132" s="129"/>
      <c r="M132" s="129"/>
      <c r="N132" s="129"/>
      <c r="O132" s="129"/>
      <c r="P132" s="129"/>
      <c r="Q132" s="129"/>
      <c r="R132" s="129"/>
      <c r="S132" s="129"/>
      <c r="T132" s="129"/>
    </row>
    <row r="133" spans="1:20" ht="22.35" customHeight="1" x14ac:dyDescent="0.2">
      <c r="F133" s="129"/>
      <c r="G133" s="129"/>
      <c r="H133" s="129"/>
      <c r="I133" s="129"/>
      <c r="J133" s="129"/>
      <c r="K133" s="129"/>
      <c r="L133" s="129"/>
      <c r="M133" s="129"/>
      <c r="N133" s="129"/>
      <c r="O133" s="129"/>
      <c r="P133" s="129"/>
      <c r="Q133" s="129"/>
      <c r="R133" s="129"/>
      <c r="S133" s="129"/>
      <c r="T133" s="129"/>
    </row>
    <row r="134" spans="1:20" ht="7.05" customHeight="1" x14ac:dyDescent="0.2">
      <c r="A134" s="120"/>
      <c r="B134" s="120"/>
      <c r="C134" s="120"/>
      <c r="D134" s="120"/>
      <c r="E134" s="120"/>
      <c r="F134" s="120"/>
      <c r="G134" s="120"/>
      <c r="H134" s="120"/>
      <c r="I134" s="120"/>
      <c r="J134" s="120"/>
      <c r="K134" s="120"/>
      <c r="L134" s="120"/>
      <c r="M134" s="120"/>
      <c r="N134" s="120"/>
      <c r="O134" s="120"/>
      <c r="P134" s="120"/>
      <c r="Q134" s="18"/>
      <c r="R134" s="120"/>
      <c r="S134" s="120"/>
      <c r="T134" s="120"/>
    </row>
    <row r="135" spans="1:20" ht="16.95" customHeight="1" x14ac:dyDescent="0.2">
      <c r="A135" s="128" t="s">
        <v>8</v>
      </c>
      <c r="B135" s="128"/>
      <c r="C135" s="128"/>
      <c r="D135" s="128"/>
      <c r="E135" s="128"/>
      <c r="F135" s="128"/>
      <c r="G135" s="128"/>
      <c r="H135" s="128"/>
      <c r="I135" s="128"/>
      <c r="J135" s="128"/>
      <c r="K135" s="128"/>
      <c r="L135" s="128"/>
      <c r="M135" s="128" t="s">
        <v>9</v>
      </c>
      <c r="N135" s="128"/>
      <c r="O135" s="128"/>
      <c r="P135" s="128"/>
      <c r="Q135" s="128"/>
      <c r="R135" s="128"/>
      <c r="S135" s="128"/>
      <c r="T135" s="128"/>
    </row>
    <row r="136" spans="1:20" ht="16.95" customHeight="1" x14ac:dyDescent="0.2">
      <c r="A136" s="128"/>
      <c r="B136" s="128"/>
      <c r="C136" s="128"/>
      <c r="D136" s="128"/>
      <c r="E136" s="128"/>
      <c r="F136" s="128"/>
      <c r="G136" s="128"/>
      <c r="H136" s="128"/>
      <c r="I136" s="128"/>
      <c r="J136" s="128"/>
      <c r="K136" s="128"/>
      <c r="L136" s="128"/>
      <c r="M136" s="128" t="s">
        <v>10</v>
      </c>
      <c r="N136" s="128"/>
      <c r="O136" s="128"/>
      <c r="P136" s="128"/>
      <c r="Q136" s="128" t="s">
        <v>11</v>
      </c>
      <c r="R136" s="128"/>
      <c r="S136" s="128"/>
      <c r="T136" s="128"/>
    </row>
    <row r="137" spans="1:20" ht="16.95" customHeight="1" x14ac:dyDescent="0.2">
      <c r="A137" s="128"/>
      <c r="B137" s="128"/>
      <c r="C137" s="128"/>
      <c r="D137" s="128"/>
      <c r="E137" s="128"/>
      <c r="F137" s="128"/>
      <c r="G137" s="128"/>
      <c r="H137" s="128"/>
      <c r="I137" s="128"/>
      <c r="J137" s="128"/>
      <c r="K137" s="128"/>
      <c r="L137" s="128"/>
      <c r="M137" s="128" t="s">
        <v>12</v>
      </c>
      <c r="N137" s="128"/>
      <c r="O137" s="128" t="s">
        <v>13</v>
      </c>
      <c r="P137" s="128"/>
      <c r="Q137" s="19" t="s">
        <v>14</v>
      </c>
      <c r="R137" s="128" t="s">
        <v>15</v>
      </c>
      <c r="S137" s="128"/>
      <c r="T137" s="128"/>
    </row>
    <row r="138" spans="1:20" ht="13.35" customHeight="1" x14ac:dyDescent="0.2">
      <c r="A138" s="124" t="s">
        <v>61</v>
      </c>
      <c r="B138" s="124"/>
      <c r="C138" s="124"/>
      <c r="D138" s="124"/>
      <c r="E138" s="124"/>
      <c r="F138" s="124"/>
      <c r="G138" s="124"/>
      <c r="H138" s="124"/>
      <c r="I138" s="124"/>
      <c r="J138" s="124"/>
      <c r="K138" s="124"/>
      <c r="L138" s="124"/>
      <c r="M138" s="124" t="s">
        <v>62</v>
      </c>
      <c r="N138" s="124"/>
      <c r="O138" s="124" t="s">
        <v>62</v>
      </c>
      <c r="P138" s="124"/>
      <c r="Q138" s="20" t="s">
        <v>63</v>
      </c>
      <c r="R138" s="124" t="s">
        <v>63</v>
      </c>
      <c r="S138" s="124"/>
      <c r="T138" s="124"/>
    </row>
    <row r="139" spans="1:20" ht="13.35" customHeight="1" x14ac:dyDescent="0.2">
      <c r="A139" s="124" t="s">
        <v>64</v>
      </c>
      <c r="B139" s="124"/>
      <c r="C139" s="124"/>
      <c r="D139" s="124"/>
      <c r="E139" s="124"/>
      <c r="F139" s="124"/>
      <c r="G139" s="124"/>
      <c r="H139" s="124"/>
      <c r="I139" s="124"/>
      <c r="J139" s="124"/>
      <c r="K139" s="124"/>
      <c r="L139" s="124"/>
      <c r="M139" s="124">
        <v>160</v>
      </c>
      <c r="N139" s="124"/>
      <c r="O139" s="124">
        <v>80</v>
      </c>
      <c r="P139" s="124"/>
      <c r="Q139" s="20">
        <v>16</v>
      </c>
      <c r="R139" s="124">
        <v>8</v>
      </c>
      <c r="S139" s="124"/>
      <c r="T139" s="124"/>
    </row>
    <row r="140" spans="1:20" ht="13.35" customHeight="1" x14ac:dyDescent="0.2">
      <c r="A140" s="124" t="s">
        <v>65</v>
      </c>
      <c r="B140" s="124"/>
      <c r="C140" s="124"/>
      <c r="D140" s="124"/>
      <c r="E140" s="124"/>
      <c r="F140" s="124"/>
      <c r="G140" s="124"/>
      <c r="H140" s="124"/>
      <c r="I140" s="124"/>
      <c r="J140" s="124"/>
      <c r="K140" s="124"/>
      <c r="L140" s="124"/>
      <c r="M140" s="124">
        <f>18*110/100</f>
        <v>19.8</v>
      </c>
      <c r="N140" s="124"/>
      <c r="O140" s="124">
        <v>19.8</v>
      </c>
      <c r="P140" s="124"/>
      <c r="Q140" s="20">
        <v>1.98</v>
      </c>
      <c r="R140" s="124">
        <v>1.98</v>
      </c>
      <c r="S140" s="124"/>
      <c r="T140" s="124"/>
    </row>
    <row r="141" spans="1:20" ht="13.35" customHeight="1" x14ac:dyDescent="0.2">
      <c r="A141" s="124" t="s">
        <v>114</v>
      </c>
      <c r="B141" s="124"/>
      <c r="C141" s="124"/>
      <c r="D141" s="124"/>
      <c r="E141" s="124"/>
      <c r="F141" s="124"/>
      <c r="G141" s="124"/>
      <c r="H141" s="124"/>
      <c r="I141" s="124"/>
      <c r="J141" s="124"/>
      <c r="K141" s="124"/>
      <c r="L141" s="124"/>
      <c r="M141" s="124">
        <f>26*110/100</f>
        <v>28.6</v>
      </c>
      <c r="N141" s="124"/>
      <c r="O141" s="124">
        <v>28.6</v>
      </c>
      <c r="P141" s="124"/>
      <c r="Q141" s="20">
        <v>2.86</v>
      </c>
      <c r="R141" s="124">
        <v>2.86</v>
      </c>
      <c r="S141" s="124"/>
      <c r="T141" s="124"/>
    </row>
    <row r="142" spans="1:20" ht="13.35" customHeight="1" x14ac:dyDescent="0.2">
      <c r="A142" s="124" t="s">
        <v>67</v>
      </c>
      <c r="B142" s="124"/>
      <c r="C142" s="124"/>
      <c r="D142" s="124"/>
      <c r="E142" s="124"/>
      <c r="F142" s="124"/>
      <c r="G142" s="124"/>
      <c r="H142" s="124"/>
      <c r="I142" s="124"/>
      <c r="J142" s="124"/>
      <c r="K142" s="124"/>
      <c r="L142" s="124"/>
      <c r="M142" s="124">
        <f>10*110/100</f>
        <v>11</v>
      </c>
      <c r="N142" s="124"/>
      <c r="O142" s="124">
        <v>11</v>
      </c>
      <c r="P142" s="124"/>
      <c r="Q142" s="20">
        <v>0.11</v>
      </c>
      <c r="R142" s="124">
        <v>0.11</v>
      </c>
      <c r="S142" s="124"/>
      <c r="T142" s="124"/>
    </row>
    <row r="143" spans="1:20" ht="13.35" customHeight="1" x14ac:dyDescent="0.2">
      <c r="A143" s="124" t="s">
        <v>18</v>
      </c>
      <c r="B143" s="124"/>
      <c r="C143" s="124"/>
      <c r="D143" s="124"/>
      <c r="E143" s="124"/>
      <c r="F143" s="124"/>
      <c r="G143" s="124"/>
      <c r="H143" s="124"/>
      <c r="I143" s="124"/>
      <c r="J143" s="124"/>
      <c r="K143" s="124"/>
      <c r="L143" s="124"/>
      <c r="M143" s="124">
        <v>11</v>
      </c>
      <c r="N143" s="124"/>
      <c r="O143" s="124">
        <v>11</v>
      </c>
      <c r="P143" s="124"/>
      <c r="Q143" s="20">
        <v>0.11</v>
      </c>
      <c r="R143" s="124">
        <v>0.11</v>
      </c>
      <c r="S143" s="124"/>
      <c r="T143" s="124"/>
    </row>
    <row r="144" spans="1:20" ht="13.35" customHeight="1" x14ac:dyDescent="0.2">
      <c r="A144" s="124" t="s">
        <v>70</v>
      </c>
      <c r="B144" s="124"/>
      <c r="C144" s="124"/>
      <c r="D144" s="124"/>
      <c r="E144" s="124"/>
      <c r="F144" s="124"/>
      <c r="G144" s="124"/>
      <c r="H144" s="124"/>
      <c r="I144" s="124"/>
      <c r="J144" s="124"/>
      <c r="K144" s="124"/>
      <c r="L144" s="124"/>
      <c r="M144" s="124" t="s">
        <v>93</v>
      </c>
      <c r="N144" s="124"/>
      <c r="O144" s="124" t="s">
        <v>93</v>
      </c>
      <c r="P144" s="124"/>
      <c r="Q144" s="20" t="s">
        <v>416</v>
      </c>
      <c r="R144" s="124" t="s">
        <v>416</v>
      </c>
      <c r="S144" s="124"/>
      <c r="T144" s="124"/>
    </row>
    <row r="145" spans="1:20" ht="14.1" customHeight="1" x14ac:dyDescent="0.2">
      <c r="A145" s="153" t="s">
        <v>393</v>
      </c>
      <c r="B145" s="126"/>
      <c r="C145" s="126"/>
      <c r="D145" s="126"/>
      <c r="E145" s="126"/>
      <c r="F145" s="126"/>
      <c r="G145" s="126"/>
      <c r="H145" s="126"/>
      <c r="I145" s="126"/>
      <c r="J145" s="126"/>
      <c r="K145" s="126"/>
      <c r="L145" s="126"/>
      <c r="M145" s="126"/>
      <c r="N145" s="126"/>
      <c r="O145" s="126"/>
      <c r="P145" s="126"/>
      <c r="Q145" s="126"/>
      <c r="R145" s="126"/>
      <c r="S145" s="126"/>
      <c r="T145" s="126"/>
    </row>
    <row r="146" spans="1:20" ht="14.1" customHeight="1" x14ac:dyDescent="0.2"/>
    <row r="147" spans="1:20" ht="14.1" customHeight="1" x14ac:dyDescent="0.2">
      <c r="A147" s="121" t="s">
        <v>33</v>
      </c>
      <c r="B147" s="121"/>
      <c r="C147" s="121"/>
      <c r="D147" s="121"/>
      <c r="E147" s="121"/>
      <c r="F147" s="121"/>
      <c r="G147" s="121"/>
      <c r="H147" s="121"/>
      <c r="I147" s="121"/>
      <c r="J147" s="121"/>
      <c r="K147" s="121"/>
      <c r="L147" s="121"/>
      <c r="M147" s="121"/>
      <c r="N147" s="121"/>
    </row>
    <row r="148" spans="1:20" ht="13.35" customHeight="1" x14ac:dyDescent="0.2">
      <c r="A148" s="124" t="s">
        <v>34</v>
      </c>
      <c r="B148" s="124"/>
      <c r="C148" s="124"/>
      <c r="D148" s="124"/>
      <c r="E148" s="125">
        <v>2.39</v>
      </c>
      <c r="F148" s="125"/>
      <c r="G148" s="21"/>
      <c r="H148" s="20" t="s">
        <v>35</v>
      </c>
      <c r="I148" s="125">
        <v>0.09</v>
      </c>
      <c r="J148" s="125"/>
      <c r="K148" s="21"/>
      <c r="L148" s="124" t="s">
        <v>36</v>
      </c>
      <c r="M148" s="124"/>
      <c r="N148" s="125">
        <v>39.67</v>
      </c>
      <c r="O148" s="125"/>
    </row>
    <row r="149" spans="1:20" ht="13.35" customHeight="1" x14ac:dyDescent="0.2">
      <c r="A149" s="124" t="s">
        <v>37</v>
      </c>
      <c r="B149" s="124"/>
      <c r="C149" s="124"/>
      <c r="D149" s="124"/>
      <c r="E149" s="125">
        <v>4.5999999999999996</v>
      </c>
      <c r="F149" s="125"/>
      <c r="G149" s="21"/>
      <c r="H149" s="20" t="s">
        <v>38</v>
      </c>
      <c r="I149" s="125">
        <v>0.13</v>
      </c>
      <c r="J149" s="125"/>
      <c r="K149" s="21"/>
      <c r="L149" s="124" t="s">
        <v>39</v>
      </c>
      <c r="M149" s="124"/>
      <c r="N149" s="125">
        <v>44.98</v>
      </c>
      <c r="O149" s="125"/>
    </row>
    <row r="150" spans="1:20" ht="13.35" customHeight="1" x14ac:dyDescent="0.2">
      <c r="A150" s="124" t="s">
        <v>40</v>
      </c>
      <c r="B150" s="124"/>
      <c r="C150" s="124"/>
      <c r="D150" s="124"/>
      <c r="E150" s="125">
        <f>6.89*105/95</f>
        <v>7.6152631578947361</v>
      </c>
      <c r="F150" s="125"/>
      <c r="G150" s="21"/>
      <c r="H150" s="20" t="s">
        <v>41</v>
      </c>
      <c r="I150" s="125">
        <v>0.03</v>
      </c>
      <c r="J150" s="125"/>
      <c r="K150" s="21"/>
      <c r="L150" s="124" t="s">
        <v>42</v>
      </c>
      <c r="M150" s="124"/>
      <c r="N150" s="125">
        <v>179.7</v>
      </c>
      <c r="O150" s="125"/>
    </row>
    <row r="151" spans="1:20" ht="13.35" customHeight="1" x14ac:dyDescent="0.2">
      <c r="A151" s="124" t="s">
        <v>43</v>
      </c>
      <c r="B151" s="124"/>
      <c r="C151" s="124"/>
      <c r="D151" s="124"/>
      <c r="E151" s="125">
        <v>87.6</v>
      </c>
      <c r="F151" s="125"/>
      <c r="G151" s="21"/>
      <c r="H151" s="20" t="s">
        <v>44</v>
      </c>
      <c r="I151" s="125">
        <v>4.37</v>
      </c>
      <c r="J151" s="125"/>
      <c r="K151" s="21"/>
      <c r="L151" s="124" t="s">
        <v>45</v>
      </c>
      <c r="M151" s="124"/>
      <c r="N151" s="125">
        <v>1.46</v>
      </c>
      <c r="O151" s="125"/>
    </row>
    <row r="152" spans="1:20" ht="13.35" customHeight="1" x14ac:dyDescent="0.2">
      <c r="A152" s="123"/>
      <c r="B152" s="123"/>
      <c r="C152" s="123"/>
      <c r="D152" s="123"/>
      <c r="E152" s="123"/>
      <c r="F152" s="123"/>
      <c r="G152" s="21"/>
      <c r="H152" s="20" t="s">
        <v>46</v>
      </c>
      <c r="I152" s="125">
        <v>0.08</v>
      </c>
      <c r="J152" s="125"/>
      <c r="K152" s="21"/>
      <c r="L152" s="124" t="s">
        <v>47</v>
      </c>
      <c r="M152" s="124"/>
      <c r="N152" s="125">
        <v>316.25</v>
      </c>
      <c r="O152" s="125"/>
    </row>
    <row r="153" spans="1:20" ht="13.35" customHeight="1" x14ac:dyDescent="0.2">
      <c r="A153" s="123"/>
      <c r="B153" s="123"/>
      <c r="C153" s="123"/>
      <c r="D153" s="123"/>
      <c r="E153" s="123"/>
      <c r="F153" s="123"/>
      <c r="G153" s="21"/>
      <c r="H153" s="20" t="s">
        <v>48</v>
      </c>
      <c r="I153" s="125">
        <v>0.09</v>
      </c>
      <c r="J153" s="125"/>
      <c r="K153" s="21"/>
      <c r="L153" s="124" t="s">
        <v>49</v>
      </c>
      <c r="M153" s="124"/>
      <c r="N153" s="125">
        <v>94.5</v>
      </c>
      <c r="O153" s="125"/>
    </row>
    <row r="154" spans="1:20" ht="13.35" customHeight="1" x14ac:dyDescent="0.2">
      <c r="A154" s="123"/>
      <c r="B154" s="123"/>
      <c r="C154" s="123"/>
      <c r="D154" s="123"/>
      <c r="E154" s="123"/>
      <c r="F154" s="123"/>
      <c r="G154" s="21"/>
      <c r="H154" s="21"/>
      <c r="I154" s="123"/>
      <c r="J154" s="123"/>
      <c r="K154" s="21"/>
      <c r="L154" s="124" t="s">
        <v>50</v>
      </c>
      <c r="M154" s="124"/>
      <c r="N154" s="125">
        <v>0.4</v>
      </c>
      <c r="O154" s="125"/>
    </row>
    <row r="155" spans="1:20" ht="13.35" customHeight="1" x14ac:dyDescent="0.2">
      <c r="A155" s="123"/>
      <c r="B155" s="123"/>
      <c r="C155" s="123"/>
      <c r="D155" s="123"/>
      <c r="E155" s="123"/>
      <c r="F155" s="123"/>
      <c r="G155" s="21"/>
      <c r="H155" s="21"/>
      <c r="I155" s="123"/>
      <c r="J155" s="123"/>
      <c r="K155" s="21"/>
      <c r="L155" s="124" t="s">
        <v>51</v>
      </c>
      <c r="M155" s="124"/>
      <c r="N155" s="125">
        <v>0.01</v>
      </c>
      <c r="O155" s="125"/>
    </row>
    <row r="156" spans="1:20" ht="14.1" customHeight="1" x14ac:dyDescent="0.2">
      <c r="A156" s="120"/>
      <c r="B156" s="120"/>
      <c r="C156" s="120"/>
      <c r="D156" s="120"/>
      <c r="E156" s="120"/>
      <c r="F156" s="120"/>
      <c r="G156" s="120"/>
      <c r="H156" s="120"/>
      <c r="I156" s="120"/>
      <c r="J156" s="120"/>
      <c r="K156" s="120"/>
      <c r="L156" s="120"/>
      <c r="M156" s="120"/>
      <c r="N156" s="120"/>
      <c r="O156" s="120"/>
      <c r="P156" s="120"/>
      <c r="Q156" s="120"/>
      <c r="R156" s="120"/>
      <c r="S156" s="120"/>
    </row>
    <row r="157" spans="1:20" ht="14.1" customHeight="1" x14ac:dyDescent="0.2">
      <c r="A157" s="121" t="s">
        <v>52</v>
      </c>
      <c r="B157" s="121"/>
      <c r="C157" s="121"/>
      <c r="D157" s="121"/>
      <c r="E157" s="121"/>
      <c r="F157" s="121"/>
      <c r="G157" s="121"/>
      <c r="H157" s="121"/>
      <c r="I157" s="121"/>
      <c r="J157" s="121"/>
      <c r="K157" s="121"/>
      <c r="L157" s="121"/>
      <c r="M157" s="121"/>
      <c r="N157" s="121"/>
      <c r="O157" s="121"/>
      <c r="P157" s="121"/>
      <c r="Q157" s="121"/>
      <c r="R157" s="121"/>
      <c r="S157" s="121"/>
    </row>
    <row r="158" spans="1:20" ht="104.4" customHeight="1" x14ac:dyDescent="0.2">
      <c r="A158" s="122" t="s">
        <v>71</v>
      </c>
      <c r="B158" s="122"/>
      <c r="C158" s="122"/>
      <c r="D158" s="122"/>
      <c r="E158" s="122"/>
      <c r="F158" s="122"/>
      <c r="G158" s="122"/>
      <c r="H158" s="122"/>
      <c r="I158" s="122"/>
      <c r="J158" s="122"/>
      <c r="K158" s="122"/>
      <c r="L158" s="122"/>
      <c r="M158" s="122"/>
      <c r="N158" s="122"/>
      <c r="O158" s="122"/>
      <c r="P158" s="122"/>
      <c r="Q158" s="122"/>
      <c r="R158" s="122"/>
      <c r="S158" s="122"/>
    </row>
    <row r="159" spans="1:20" ht="14.1" customHeight="1" x14ac:dyDescent="0.2">
      <c r="A159" s="120"/>
      <c r="B159" s="120"/>
      <c r="C159" s="120"/>
      <c r="D159" s="120"/>
      <c r="E159" s="120"/>
      <c r="F159" s="120"/>
      <c r="G159" s="120"/>
      <c r="H159" s="120"/>
      <c r="I159" s="120"/>
      <c r="J159" s="120"/>
      <c r="K159" s="120"/>
      <c r="L159" s="120"/>
      <c r="M159" s="120"/>
      <c r="N159" s="120"/>
      <c r="O159" s="120"/>
      <c r="P159" s="120"/>
      <c r="Q159" s="120"/>
      <c r="R159" s="120"/>
      <c r="S159" s="120"/>
    </row>
    <row r="160" spans="1:20" ht="14.1" customHeight="1" x14ac:dyDescent="0.2">
      <c r="A160" s="121" t="s">
        <v>54</v>
      </c>
      <c r="B160" s="121"/>
      <c r="C160" s="121"/>
      <c r="D160" s="121"/>
      <c r="E160" s="121"/>
      <c r="F160" s="121"/>
      <c r="G160" s="121"/>
      <c r="H160" s="121"/>
      <c r="I160" s="121"/>
      <c r="J160" s="121"/>
      <c r="K160" s="121"/>
      <c r="L160" s="121"/>
      <c r="M160" s="121"/>
      <c r="N160" s="121"/>
      <c r="O160" s="121"/>
      <c r="P160" s="121"/>
      <c r="Q160" s="121"/>
      <c r="R160" s="121"/>
      <c r="S160" s="121"/>
    </row>
    <row r="161" spans="1:20" ht="12.45" customHeight="1" x14ac:dyDescent="0.2">
      <c r="A161" s="122" t="s">
        <v>224</v>
      </c>
      <c r="B161" s="122"/>
      <c r="C161" s="122"/>
      <c r="D161" s="122"/>
      <c r="E161" s="122"/>
      <c r="F161" s="122"/>
      <c r="G161" s="122"/>
      <c r="H161" s="122"/>
      <c r="I161" s="122"/>
      <c r="J161" s="122"/>
      <c r="K161" s="122"/>
      <c r="L161" s="122"/>
      <c r="M161" s="122"/>
      <c r="N161" s="122"/>
      <c r="O161" s="122"/>
      <c r="P161" s="122"/>
      <c r="Q161" s="122"/>
      <c r="R161" s="122"/>
      <c r="S161" s="122"/>
    </row>
    <row r="162" spans="1:20" ht="14.1" customHeight="1" x14ac:dyDescent="0.2">
      <c r="A162" s="120"/>
      <c r="B162" s="120"/>
      <c r="C162" s="120"/>
      <c r="D162" s="120"/>
      <c r="E162" s="120"/>
      <c r="F162" s="120"/>
      <c r="G162" s="120"/>
      <c r="H162" s="120"/>
      <c r="I162" s="120"/>
      <c r="J162" s="120"/>
      <c r="K162" s="120"/>
      <c r="L162" s="120"/>
      <c r="M162" s="120"/>
      <c r="N162" s="120"/>
      <c r="O162" s="120"/>
      <c r="P162" s="120"/>
      <c r="Q162" s="120"/>
      <c r="R162" s="120"/>
      <c r="S162" s="120"/>
    </row>
    <row r="163" spans="1:20" ht="14.1" customHeight="1" x14ac:dyDescent="0.2">
      <c r="A163" s="121" t="s">
        <v>56</v>
      </c>
      <c r="B163" s="121"/>
      <c r="C163" s="121"/>
      <c r="D163" s="121"/>
      <c r="E163" s="121"/>
      <c r="F163" s="121"/>
      <c r="G163" s="121"/>
      <c r="H163" s="121"/>
      <c r="I163" s="121"/>
      <c r="J163" s="121"/>
      <c r="K163" s="121"/>
      <c r="L163" s="121"/>
      <c r="M163" s="121"/>
      <c r="N163" s="121"/>
      <c r="O163" s="121"/>
      <c r="P163" s="121"/>
      <c r="Q163" s="121"/>
      <c r="R163" s="121"/>
      <c r="S163" s="121"/>
    </row>
    <row r="164" spans="1:20" ht="49.2" customHeight="1" x14ac:dyDescent="0.2">
      <c r="A164" s="122" t="s">
        <v>73</v>
      </c>
      <c r="B164" s="122"/>
      <c r="C164" s="122"/>
      <c r="D164" s="122"/>
      <c r="E164" s="122"/>
      <c r="F164" s="122"/>
      <c r="G164" s="122"/>
      <c r="H164" s="122"/>
      <c r="I164" s="122"/>
      <c r="J164" s="122"/>
      <c r="K164" s="122"/>
      <c r="L164" s="122"/>
      <c r="M164" s="122"/>
      <c r="N164" s="122"/>
      <c r="O164" s="122"/>
      <c r="P164" s="122"/>
      <c r="Q164" s="122"/>
      <c r="R164" s="122"/>
      <c r="S164" s="122"/>
    </row>
    <row r="166" spans="1:20" s="1" customFormat="1" ht="72.45" customHeight="1" x14ac:dyDescent="0.25">
      <c r="J166" s="100" t="s">
        <v>0</v>
      </c>
      <c r="K166" s="100"/>
      <c r="L166" s="100"/>
      <c r="M166" s="100"/>
      <c r="N166" s="100"/>
      <c r="O166" s="100"/>
      <c r="P166" s="100"/>
      <c r="Q166" s="100"/>
      <c r="R166" s="100"/>
      <c r="S166" s="100"/>
      <c r="T166" s="100"/>
    </row>
    <row r="167" spans="1:20" s="1" customFormat="1" ht="7.05" customHeight="1" x14ac:dyDescent="0.25"/>
    <row r="168" spans="1:20" s="1" customFormat="1" ht="14.1" customHeight="1" x14ac:dyDescent="0.25">
      <c r="B168" s="101" t="s">
        <v>58</v>
      </c>
      <c r="C168" s="101"/>
      <c r="D168" s="101"/>
      <c r="E168" s="101"/>
      <c r="F168" s="101"/>
      <c r="G168" s="101"/>
      <c r="H168" s="101"/>
      <c r="I168" s="101"/>
      <c r="J168" s="101"/>
      <c r="K168" s="101"/>
      <c r="L168" s="101"/>
      <c r="M168" s="101"/>
      <c r="N168" s="101"/>
      <c r="O168" s="101"/>
      <c r="P168" s="101"/>
      <c r="Q168" s="101"/>
      <c r="R168" s="101"/>
    </row>
    <row r="169" spans="1:20" s="1" customFormat="1" ht="14.1" customHeight="1" x14ac:dyDescent="0.25"/>
    <row r="170" spans="1:20" s="1" customFormat="1" ht="14.1" customHeight="1" x14ac:dyDescent="0.25">
      <c r="A170" s="102" t="s">
        <v>2</v>
      </c>
      <c r="B170" s="102"/>
      <c r="C170" s="102"/>
      <c r="D170" s="103" t="s">
        <v>818</v>
      </c>
      <c r="E170" s="103"/>
      <c r="F170" s="103"/>
      <c r="G170" s="103"/>
      <c r="H170" s="103"/>
      <c r="I170" s="103"/>
      <c r="J170" s="103"/>
      <c r="K170" s="103"/>
      <c r="L170" s="103"/>
      <c r="M170" s="103"/>
      <c r="N170" s="103"/>
      <c r="O170" s="103"/>
      <c r="P170" s="103"/>
      <c r="Q170" s="103"/>
      <c r="R170" s="103"/>
      <c r="S170" s="103"/>
      <c r="T170" s="103"/>
    </row>
    <row r="171" spans="1:20" s="1" customFormat="1" ht="14.1" customHeight="1" x14ac:dyDescent="0.25">
      <c r="A171" s="102" t="s">
        <v>4</v>
      </c>
      <c r="B171" s="102"/>
      <c r="C171" s="103" t="s">
        <v>59</v>
      </c>
      <c r="D171" s="103"/>
      <c r="E171" s="103"/>
      <c r="F171" s="103"/>
      <c r="G171" s="103"/>
      <c r="H171" s="103"/>
      <c r="I171" s="103"/>
      <c r="J171" s="103"/>
      <c r="K171" s="103"/>
      <c r="L171" s="103"/>
      <c r="M171" s="103"/>
      <c r="N171" s="103"/>
      <c r="O171" s="103"/>
      <c r="P171" s="103"/>
      <c r="Q171" s="103"/>
      <c r="R171" s="103"/>
      <c r="S171" s="103"/>
      <c r="T171" s="103"/>
    </row>
    <row r="172" spans="1:20" s="1" customFormat="1" ht="14.1" customHeight="1" x14ac:dyDescent="0.25">
      <c r="A172" s="102" t="s">
        <v>6</v>
      </c>
      <c r="B172" s="102"/>
      <c r="C172" s="102"/>
      <c r="D172" s="102"/>
      <c r="E172" s="102"/>
      <c r="F172" s="103" t="s">
        <v>60</v>
      </c>
      <c r="G172" s="103"/>
      <c r="H172" s="103"/>
      <c r="I172" s="103"/>
      <c r="J172" s="103"/>
      <c r="K172" s="103"/>
      <c r="L172" s="103"/>
      <c r="M172" s="103"/>
      <c r="N172" s="103"/>
      <c r="O172" s="103"/>
      <c r="P172" s="103"/>
      <c r="Q172" s="103"/>
      <c r="R172" s="103"/>
      <c r="S172" s="103"/>
      <c r="T172" s="103"/>
    </row>
    <row r="173" spans="1:20" s="1" customFormat="1" ht="22.35" customHeight="1" x14ac:dyDescent="0.25">
      <c r="F173" s="103"/>
      <c r="G173" s="103"/>
      <c r="H173" s="103"/>
      <c r="I173" s="103"/>
      <c r="J173" s="103"/>
      <c r="K173" s="103"/>
      <c r="L173" s="103"/>
      <c r="M173" s="103"/>
      <c r="N173" s="103"/>
      <c r="O173" s="103"/>
      <c r="P173" s="103"/>
      <c r="Q173" s="103"/>
      <c r="R173" s="103"/>
      <c r="S173" s="103"/>
      <c r="T173" s="103"/>
    </row>
    <row r="174" spans="1:20" s="1" customFormat="1" ht="7.05" customHeight="1" x14ac:dyDescent="0.25">
      <c r="A174" s="86"/>
      <c r="B174" s="86"/>
      <c r="C174" s="86"/>
      <c r="D174" s="86"/>
      <c r="E174" s="86"/>
      <c r="F174" s="86"/>
      <c r="G174" s="86"/>
      <c r="H174" s="86"/>
      <c r="I174" s="86"/>
      <c r="J174" s="86"/>
      <c r="K174" s="86"/>
      <c r="L174" s="86"/>
      <c r="M174" s="86"/>
      <c r="N174" s="86"/>
      <c r="O174" s="86"/>
      <c r="P174" s="86"/>
      <c r="Q174" s="16"/>
      <c r="R174" s="86"/>
      <c r="S174" s="86"/>
      <c r="T174" s="86"/>
    </row>
    <row r="175" spans="1:20" s="1" customFormat="1" ht="16.95" customHeight="1" x14ac:dyDescent="0.25">
      <c r="A175" s="94" t="s">
        <v>8</v>
      </c>
      <c r="B175" s="94"/>
      <c r="C175" s="94"/>
      <c r="D175" s="94"/>
      <c r="E175" s="94"/>
      <c r="F175" s="94"/>
      <c r="G175" s="94"/>
      <c r="H175" s="94"/>
      <c r="I175" s="94"/>
      <c r="J175" s="94"/>
      <c r="K175" s="94"/>
      <c r="L175" s="94"/>
      <c r="M175" s="95" t="s">
        <v>9</v>
      </c>
      <c r="N175" s="95"/>
      <c r="O175" s="95"/>
      <c r="P175" s="95"/>
      <c r="Q175" s="95"/>
      <c r="R175" s="95"/>
      <c r="S175" s="95"/>
      <c r="T175" s="95"/>
    </row>
    <row r="176" spans="1:20" s="1" customFormat="1" ht="16.95" customHeight="1" x14ac:dyDescent="0.25">
      <c r="A176" s="94"/>
      <c r="B176" s="94"/>
      <c r="C176" s="94"/>
      <c r="D176" s="94"/>
      <c r="E176" s="94"/>
      <c r="F176" s="94"/>
      <c r="G176" s="94"/>
      <c r="H176" s="94"/>
      <c r="I176" s="94"/>
      <c r="J176" s="94"/>
      <c r="K176" s="94"/>
      <c r="L176" s="94"/>
      <c r="M176" s="96" t="s">
        <v>10</v>
      </c>
      <c r="N176" s="96"/>
      <c r="O176" s="96"/>
      <c r="P176" s="96"/>
      <c r="Q176" s="97" t="s">
        <v>11</v>
      </c>
      <c r="R176" s="97"/>
      <c r="S176" s="97"/>
      <c r="T176" s="97"/>
    </row>
    <row r="177" spans="1:20" s="1" customFormat="1" ht="16.95" customHeight="1" x14ac:dyDescent="0.25">
      <c r="A177" s="94"/>
      <c r="B177" s="94"/>
      <c r="C177" s="94"/>
      <c r="D177" s="94"/>
      <c r="E177" s="94"/>
      <c r="F177" s="94"/>
      <c r="G177" s="94"/>
      <c r="H177" s="94"/>
      <c r="I177" s="94"/>
      <c r="J177" s="94"/>
      <c r="K177" s="94"/>
      <c r="L177" s="94"/>
      <c r="M177" s="98" t="s">
        <v>12</v>
      </c>
      <c r="N177" s="98"/>
      <c r="O177" s="98" t="s">
        <v>13</v>
      </c>
      <c r="P177" s="98"/>
      <c r="Q177" s="13" t="s">
        <v>14</v>
      </c>
      <c r="R177" s="99" t="s">
        <v>15</v>
      </c>
      <c r="S177" s="99"/>
      <c r="T177" s="99"/>
    </row>
    <row r="178" spans="1:20" s="1" customFormat="1" ht="13.35" customHeight="1" x14ac:dyDescent="0.25">
      <c r="A178" s="131" t="s">
        <v>414</v>
      </c>
      <c r="B178" s="131"/>
      <c r="C178" s="131"/>
      <c r="D178" s="131"/>
      <c r="E178" s="131"/>
      <c r="F178" s="131"/>
      <c r="G178" s="131"/>
      <c r="H178" s="131"/>
      <c r="I178" s="131"/>
      <c r="J178" s="131"/>
      <c r="K178" s="131"/>
      <c r="L178" s="131"/>
      <c r="M178" s="131"/>
      <c r="N178" s="131"/>
      <c r="O178" s="131" t="s">
        <v>92</v>
      </c>
      <c r="P178" s="131"/>
      <c r="Q178" s="15"/>
      <c r="R178" s="131" t="s">
        <v>93</v>
      </c>
      <c r="S178" s="131"/>
      <c r="T178" s="131"/>
    </row>
    <row r="179" spans="1:20" s="1" customFormat="1" ht="13.35" customHeight="1" x14ac:dyDescent="0.25">
      <c r="A179" s="88" t="s">
        <v>129</v>
      </c>
      <c r="B179" s="88"/>
      <c r="C179" s="88"/>
      <c r="D179" s="88"/>
      <c r="E179" s="88"/>
      <c r="F179" s="88"/>
      <c r="G179" s="88"/>
      <c r="H179" s="88"/>
      <c r="I179" s="88"/>
      <c r="J179" s="88"/>
      <c r="K179" s="88"/>
      <c r="L179" s="88"/>
      <c r="M179" s="88" t="s">
        <v>178</v>
      </c>
      <c r="N179" s="88"/>
      <c r="O179" s="88" t="s">
        <v>178</v>
      </c>
      <c r="P179" s="88"/>
      <c r="Q179" s="6" t="s">
        <v>179</v>
      </c>
      <c r="R179" s="88" t="s">
        <v>179</v>
      </c>
      <c r="S179" s="88"/>
      <c r="T179" s="88"/>
    </row>
    <row r="180" spans="1:20" s="1" customFormat="1" ht="13.35" customHeight="1" x14ac:dyDescent="0.25">
      <c r="A180" s="88" t="s">
        <v>28</v>
      </c>
      <c r="B180" s="88"/>
      <c r="C180" s="88"/>
      <c r="D180" s="88"/>
      <c r="E180" s="88"/>
      <c r="F180" s="88"/>
      <c r="G180" s="88"/>
      <c r="H180" s="88"/>
      <c r="I180" s="88"/>
      <c r="J180" s="88"/>
      <c r="K180" s="88"/>
      <c r="L180" s="88"/>
      <c r="M180" s="88" t="s">
        <v>78</v>
      </c>
      <c r="N180" s="88"/>
      <c r="O180" s="88" t="s">
        <v>78</v>
      </c>
      <c r="P180" s="88"/>
      <c r="Q180" s="6" t="s">
        <v>80</v>
      </c>
      <c r="R180" s="88" t="s">
        <v>80</v>
      </c>
      <c r="S180" s="88"/>
      <c r="T180" s="88"/>
    </row>
    <row r="181" spans="1:20" s="1" customFormat="1" ht="13.35" customHeight="1" x14ac:dyDescent="0.25">
      <c r="A181" s="88" t="s">
        <v>114</v>
      </c>
      <c r="B181" s="88"/>
      <c r="C181" s="88"/>
      <c r="D181" s="88"/>
      <c r="E181" s="88"/>
      <c r="F181" s="88"/>
      <c r="G181" s="88"/>
      <c r="H181" s="88"/>
      <c r="I181" s="88"/>
      <c r="J181" s="88"/>
      <c r="K181" s="88"/>
      <c r="L181" s="88"/>
      <c r="M181" s="88" t="s">
        <v>415</v>
      </c>
      <c r="N181" s="88"/>
      <c r="O181" s="88" t="s">
        <v>415</v>
      </c>
      <c r="P181" s="88"/>
      <c r="Q181" s="6" t="s">
        <v>122</v>
      </c>
      <c r="R181" s="88" t="s">
        <v>122</v>
      </c>
      <c r="S181" s="88"/>
      <c r="T181" s="88"/>
    </row>
    <row r="182" spans="1:20" s="1" customFormat="1" ht="13.35" customHeight="1" x14ac:dyDescent="0.25">
      <c r="A182" s="88" t="s">
        <v>21</v>
      </c>
      <c r="B182" s="88"/>
      <c r="C182" s="88"/>
      <c r="D182" s="88"/>
      <c r="E182" s="88"/>
      <c r="F182" s="88"/>
      <c r="G182" s="88"/>
      <c r="H182" s="88"/>
      <c r="I182" s="88"/>
      <c r="J182" s="88"/>
      <c r="K182" s="88"/>
      <c r="L182" s="88"/>
      <c r="M182" s="88" t="s">
        <v>19</v>
      </c>
      <c r="N182" s="88"/>
      <c r="O182" s="88" t="s">
        <v>62</v>
      </c>
      <c r="P182" s="88"/>
      <c r="Q182" s="6" t="s">
        <v>20</v>
      </c>
      <c r="R182" s="88" t="s">
        <v>63</v>
      </c>
      <c r="S182" s="88"/>
      <c r="T182" s="88"/>
    </row>
    <row r="183" spans="1:20" s="1" customFormat="1" ht="13.35" customHeight="1" x14ac:dyDescent="0.25">
      <c r="A183" s="88" t="s">
        <v>61</v>
      </c>
      <c r="B183" s="88"/>
      <c r="C183" s="88"/>
      <c r="D183" s="88"/>
      <c r="E183" s="88"/>
      <c r="F183" s="88"/>
      <c r="G183" s="88"/>
      <c r="H183" s="88"/>
      <c r="I183" s="88"/>
      <c r="J183" s="88"/>
      <c r="K183" s="88"/>
      <c r="L183" s="88"/>
      <c r="M183" s="88" t="s">
        <v>63</v>
      </c>
      <c r="N183" s="88"/>
      <c r="O183" s="88" t="s">
        <v>63</v>
      </c>
      <c r="P183" s="88"/>
      <c r="Q183" s="6" t="s">
        <v>210</v>
      </c>
      <c r="R183" s="88" t="s">
        <v>210</v>
      </c>
      <c r="S183" s="88"/>
      <c r="T183" s="88"/>
    </row>
    <row r="184" spans="1:20" s="1" customFormat="1" ht="13.35" customHeight="1" x14ac:dyDescent="0.25">
      <c r="A184" s="88" t="s">
        <v>64</v>
      </c>
      <c r="B184" s="88"/>
      <c r="C184" s="88"/>
      <c r="D184" s="88"/>
      <c r="E184" s="88"/>
      <c r="F184" s="88"/>
      <c r="G184" s="88"/>
      <c r="H184" s="88"/>
      <c r="I184" s="88"/>
      <c r="J184" s="88"/>
      <c r="K184" s="88"/>
      <c r="L184" s="88"/>
      <c r="M184" s="88">
        <v>140</v>
      </c>
      <c r="N184" s="88"/>
      <c r="O184" s="88">
        <v>70</v>
      </c>
      <c r="P184" s="88"/>
      <c r="Q184" s="6">
        <v>14</v>
      </c>
      <c r="R184" s="88">
        <v>7</v>
      </c>
      <c r="S184" s="88"/>
      <c r="T184" s="88"/>
    </row>
    <row r="185" spans="1:20" s="1" customFormat="1" ht="13.35" customHeight="1" x14ac:dyDescent="0.25">
      <c r="A185" s="88" t="s">
        <v>65</v>
      </c>
      <c r="B185" s="88"/>
      <c r="C185" s="88"/>
      <c r="D185" s="88"/>
      <c r="E185" s="88"/>
      <c r="F185" s="88"/>
      <c r="G185" s="88"/>
      <c r="H185" s="88"/>
      <c r="I185" s="88"/>
      <c r="J185" s="88"/>
      <c r="K185" s="88"/>
      <c r="L185" s="88"/>
      <c r="M185" s="88">
        <f>16.2*100/90</f>
        <v>18</v>
      </c>
      <c r="N185" s="88"/>
      <c r="O185" s="88">
        <v>18</v>
      </c>
      <c r="P185" s="88"/>
      <c r="Q185" s="6">
        <v>1.8</v>
      </c>
      <c r="R185" s="88">
        <v>1.8</v>
      </c>
      <c r="S185" s="88"/>
      <c r="T185" s="88"/>
    </row>
    <row r="186" spans="1:20" s="1" customFormat="1" ht="13.35" customHeight="1" x14ac:dyDescent="0.25">
      <c r="A186" s="88" t="s">
        <v>114</v>
      </c>
      <c r="B186" s="88"/>
      <c r="C186" s="88"/>
      <c r="D186" s="88"/>
      <c r="E186" s="88"/>
      <c r="F186" s="88"/>
      <c r="G186" s="88"/>
      <c r="H186" s="88"/>
      <c r="I186" s="88"/>
      <c r="J186" s="88"/>
      <c r="K186" s="88"/>
      <c r="L186" s="88"/>
      <c r="M186" s="88">
        <f>23.4*100/90</f>
        <v>26</v>
      </c>
      <c r="N186" s="88"/>
      <c r="O186" s="88">
        <v>26</v>
      </c>
      <c r="P186" s="88"/>
      <c r="Q186" s="6">
        <v>2.6</v>
      </c>
      <c r="R186" s="88">
        <v>2.6</v>
      </c>
      <c r="S186" s="88"/>
      <c r="T186" s="88"/>
    </row>
    <row r="187" spans="1:20" s="1" customFormat="1" ht="13.35" customHeight="1" x14ac:dyDescent="0.25">
      <c r="A187" s="88" t="s">
        <v>67</v>
      </c>
      <c r="B187" s="88"/>
      <c r="C187" s="88"/>
      <c r="D187" s="88"/>
      <c r="E187" s="88"/>
      <c r="F187" s="88"/>
      <c r="G187" s="88"/>
      <c r="H187" s="88"/>
      <c r="I187" s="88"/>
      <c r="J187" s="88"/>
      <c r="K187" s="88"/>
      <c r="L187" s="88"/>
      <c r="M187" s="88">
        <f>9*100/90</f>
        <v>10</v>
      </c>
      <c r="N187" s="88"/>
      <c r="O187" s="88">
        <v>10</v>
      </c>
      <c r="P187" s="88"/>
      <c r="Q187" s="6">
        <v>1</v>
      </c>
      <c r="R187" s="88">
        <v>1</v>
      </c>
      <c r="S187" s="88"/>
      <c r="T187" s="88"/>
    </row>
    <row r="188" spans="1:20" s="1" customFormat="1" ht="13.35" customHeight="1" x14ac:dyDescent="0.25">
      <c r="A188" s="88" t="s">
        <v>18</v>
      </c>
      <c r="B188" s="88"/>
      <c r="C188" s="88"/>
      <c r="D188" s="88"/>
      <c r="E188" s="88"/>
      <c r="F188" s="88"/>
      <c r="G188" s="88"/>
      <c r="H188" s="88"/>
      <c r="I188" s="88"/>
      <c r="J188" s="88"/>
      <c r="K188" s="88"/>
      <c r="L188" s="88"/>
      <c r="M188" s="88">
        <v>10</v>
      </c>
      <c r="N188" s="88"/>
      <c r="O188" s="88">
        <v>10</v>
      </c>
      <c r="P188" s="88"/>
      <c r="Q188" s="6">
        <v>1</v>
      </c>
      <c r="R188" s="88">
        <v>1</v>
      </c>
      <c r="S188" s="88"/>
      <c r="T188" s="88"/>
    </row>
    <row r="189" spans="1:20" s="1" customFormat="1" ht="13.35" customHeight="1" x14ac:dyDescent="0.25">
      <c r="A189" s="88" t="s">
        <v>70</v>
      </c>
      <c r="B189" s="88"/>
      <c r="C189" s="88"/>
      <c r="D189" s="88"/>
      <c r="E189" s="88"/>
      <c r="F189" s="88"/>
      <c r="G189" s="88"/>
      <c r="H189" s="88"/>
      <c r="I189" s="88"/>
      <c r="J189" s="88"/>
      <c r="K189" s="88"/>
      <c r="L189" s="88"/>
      <c r="M189" s="88" t="s">
        <v>93</v>
      </c>
      <c r="N189" s="88"/>
      <c r="O189" s="88" t="s">
        <v>93</v>
      </c>
      <c r="P189" s="88"/>
      <c r="Q189" s="6" t="s">
        <v>416</v>
      </c>
      <c r="R189" s="88" t="s">
        <v>416</v>
      </c>
      <c r="S189" s="88"/>
      <c r="T189" s="88"/>
    </row>
    <row r="190" spans="1:20" s="1" customFormat="1" ht="14.1" customHeight="1" x14ac:dyDescent="0.25">
      <c r="A190" s="90" t="s">
        <v>792</v>
      </c>
      <c r="B190" s="90"/>
      <c r="C190" s="90"/>
      <c r="D190" s="90"/>
      <c r="E190" s="90"/>
      <c r="F190" s="90"/>
      <c r="G190" s="90"/>
      <c r="H190" s="90"/>
      <c r="I190" s="90"/>
      <c r="J190" s="90"/>
      <c r="K190" s="90"/>
      <c r="L190" s="90"/>
      <c r="M190" s="90"/>
      <c r="N190" s="90"/>
      <c r="O190" s="90"/>
      <c r="P190" s="90"/>
      <c r="Q190" s="90"/>
      <c r="R190" s="90"/>
      <c r="S190" s="90"/>
      <c r="T190" s="90"/>
    </row>
    <row r="191" spans="1:20" s="1" customFormat="1" ht="21.3" customHeight="1" x14ac:dyDescent="0.25"/>
    <row r="192" spans="1:20" s="1" customFormat="1" ht="14.1" customHeight="1" x14ac:dyDescent="0.25">
      <c r="A192" s="91" t="s">
        <v>33</v>
      </c>
      <c r="B192" s="91"/>
      <c r="C192" s="91"/>
      <c r="D192" s="91"/>
      <c r="E192" s="91"/>
      <c r="F192" s="91"/>
      <c r="G192" s="91"/>
      <c r="H192" s="91"/>
      <c r="I192" s="91"/>
      <c r="J192" s="91"/>
      <c r="K192" s="91"/>
      <c r="L192" s="91"/>
      <c r="M192" s="91"/>
      <c r="N192" s="91"/>
    </row>
    <row r="193" spans="1:19" s="1" customFormat="1" ht="13.35" customHeight="1" x14ac:dyDescent="0.25">
      <c r="A193" s="88" t="s">
        <v>34</v>
      </c>
      <c r="B193" s="88"/>
      <c r="C193" s="88"/>
      <c r="D193" s="88"/>
      <c r="E193" s="89">
        <v>5.34</v>
      </c>
      <c r="F193" s="89"/>
      <c r="G193" s="17"/>
      <c r="H193" s="6" t="s">
        <v>35</v>
      </c>
      <c r="I193" s="89">
        <v>0.09</v>
      </c>
      <c r="J193" s="89"/>
      <c r="K193" s="17"/>
      <c r="L193" s="88" t="s">
        <v>36</v>
      </c>
      <c r="M193" s="88"/>
      <c r="N193" s="89">
        <v>45.83</v>
      </c>
      <c r="O193" s="89"/>
    </row>
    <row r="194" spans="1:19" s="1" customFormat="1" ht="13.35" customHeight="1" x14ac:dyDescent="0.25">
      <c r="A194" s="88" t="s">
        <v>37</v>
      </c>
      <c r="B194" s="88"/>
      <c r="C194" s="88"/>
      <c r="D194" s="88"/>
      <c r="E194" s="89">
        <v>6.13</v>
      </c>
      <c r="F194" s="89"/>
      <c r="G194" s="17"/>
      <c r="H194" s="6" t="s">
        <v>38</v>
      </c>
      <c r="I194" s="89">
        <v>0.34</v>
      </c>
      <c r="J194" s="89"/>
      <c r="K194" s="17"/>
      <c r="L194" s="88" t="s">
        <v>39</v>
      </c>
      <c r="M194" s="88"/>
      <c r="N194" s="89">
        <v>46.37</v>
      </c>
      <c r="O194" s="89"/>
    </row>
    <row r="195" spans="1:19" s="1" customFormat="1" ht="13.35" customHeight="1" x14ac:dyDescent="0.25">
      <c r="A195" s="88" t="s">
        <v>40</v>
      </c>
      <c r="B195" s="88"/>
      <c r="C195" s="88"/>
      <c r="D195" s="88"/>
      <c r="E195" s="89">
        <v>8.3000000000000007</v>
      </c>
      <c r="F195" s="89"/>
      <c r="G195" s="17"/>
      <c r="H195" s="6" t="s">
        <v>41</v>
      </c>
      <c r="I195" s="89">
        <v>0.02</v>
      </c>
      <c r="J195" s="89"/>
      <c r="K195" s="17"/>
      <c r="L195" s="88" t="s">
        <v>42</v>
      </c>
      <c r="M195" s="88"/>
      <c r="N195" s="89">
        <v>185.72</v>
      </c>
      <c r="O195" s="89"/>
    </row>
    <row r="196" spans="1:19" s="1" customFormat="1" ht="13.35" customHeight="1" x14ac:dyDescent="0.25">
      <c r="A196" s="88" t="s">
        <v>43</v>
      </c>
      <c r="B196" s="88"/>
      <c r="C196" s="88"/>
      <c r="D196" s="88"/>
      <c r="E196" s="89">
        <v>127.05</v>
      </c>
      <c r="F196" s="89"/>
      <c r="G196" s="17"/>
      <c r="H196" s="6" t="s">
        <v>44</v>
      </c>
      <c r="I196" s="89">
        <v>4.28</v>
      </c>
      <c r="J196" s="89"/>
      <c r="K196" s="17"/>
      <c r="L196" s="88" t="s">
        <v>45</v>
      </c>
      <c r="M196" s="88"/>
      <c r="N196" s="89">
        <v>1.53</v>
      </c>
      <c r="O196" s="89"/>
    </row>
    <row r="197" spans="1:19" s="1" customFormat="1" ht="13.35" customHeight="1" x14ac:dyDescent="0.25">
      <c r="A197" s="87"/>
      <c r="B197" s="87"/>
      <c r="C197" s="87"/>
      <c r="D197" s="87"/>
      <c r="E197" s="87"/>
      <c r="F197" s="87"/>
      <c r="G197" s="17"/>
      <c r="H197" s="6" t="s">
        <v>46</v>
      </c>
      <c r="I197" s="89">
        <v>0.01</v>
      </c>
      <c r="J197" s="89"/>
      <c r="K197" s="17"/>
      <c r="L197" s="88" t="s">
        <v>47</v>
      </c>
      <c r="M197" s="88"/>
      <c r="N197" s="89">
        <v>332.77</v>
      </c>
      <c r="O197" s="89"/>
    </row>
    <row r="198" spans="1:19" s="1" customFormat="1" ht="13.35" customHeight="1" x14ac:dyDescent="0.25">
      <c r="A198" s="87"/>
      <c r="B198" s="87"/>
      <c r="C198" s="87"/>
      <c r="D198" s="87"/>
      <c r="E198" s="87"/>
      <c r="F198" s="87"/>
      <c r="G198" s="17"/>
      <c r="H198" s="6" t="s">
        <v>48</v>
      </c>
      <c r="I198" s="89">
        <v>0.09</v>
      </c>
      <c r="J198" s="89"/>
      <c r="K198" s="17"/>
      <c r="L198" s="88" t="s">
        <v>49</v>
      </c>
      <c r="M198" s="88"/>
      <c r="N198" s="89">
        <v>95.2</v>
      </c>
      <c r="O198" s="89"/>
    </row>
    <row r="199" spans="1:19" s="1" customFormat="1" ht="13.35" customHeight="1" x14ac:dyDescent="0.25">
      <c r="A199" s="87"/>
      <c r="B199" s="87"/>
      <c r="C199" s="87"/>
      <c r="D199" s="87"/>
      <c r="E199" s="87"/>
      <c r="F199" s="87"/>
      <c r="G199" s="17"/>
      <c r="H199" s="17"/>
      <c r="I199" s="87"/>
      <c r="J199" s="87"/>
      <c r="K199" s="17"/>
      <c r="L199" s="88" t="s">
        <v>50</v>
      </c>
      <c r="M199" s="88"/>
      <c r="N199" s="89">
        <v>0.4</v>
      </c>
      <c r="O199" s="89"/>
    </row>
    <row r="200" spans="1:19" s="1" customFormat="1" ht="13.35" customHeight="1" x14ac:dyDescent="0.25">
      <c r="A200" s="87"/>
      <c r="B200" s="87"/>
      <c r="C200" s="87"/>
      <c r="D200" s="87"/>
      <c r="E200" s="87"/>
      <c r="F200" s="87"/>
      <c r="G200" s="17"/>
      <c r="H200" s="17"/>
      <c r="I200" s="87"/>
      <c r="J200" s="87"/>
      <c r="K200" s="17"/>
      <c r="L200" s="88" t="s">
        <v>51</v>
      </c>
      <c r="M200" s="88"/>
      <c r="N200" s="89">
        <v>0.01</v>
      </c>
      <c r="O200" s="89"/>
    </row>
    <row r="201" spans="1:19" s="1" customFormat="1" ht="14.1" customHeight="1" x14ac:dyDescent="0.25">
      <c r="A201" s="86"/>
      <c r="B201" s="86"/>
      <c r="C201" s="86"/>
      <c r="D201" s="86"/>
      <c r="E201" s="86"/>
      <c r="F201" s="86"/>
      <c r="G201" s="86"/>
      <c r="H201" s="86"/>
      <c r="I201" s="86"/>
      <c r="J201" s="86"/>
      <c r="K201" s="86"/>
      <c r="L201" s="86"/>
      <c r="M201" s="86"/>
      <c r="N201" s="86"/>
      <c r="O201" s="86"/>
      <c r="P201" s="86"/>
      <c r="Q201" s="86"/>
      <c r="R201" s="86"/>
      <c r="S201" s="86"/>
    </row>
    <row r="202" spans="1:19" s="1" customFormat="1" ht="14.1" customHeight="1" x14ac:dyDescent="0.25">
      <c r="A202" s="84" t="s">
        <v>52</v>
      </c>
      <c r="B202" s="84"/>
      <c r="C202" s="84"/>
      <c r="D202" s="84"/>
      <c r="E202" s="84"/>
      <c r="F202" s="84"/>
      <c r="G202" s="84"/>
      <c r="H202" s="84"/>
      <c r="I202" s="84"/>
      <c r="J202" s="84"/>
      <c r="K202" s="84"/>
      <c r="L202" s="84"/>
      <c r="M202" s="84"/>
      <c r="N202" s="84"/>
      <c r="O202" s="84"/>
      <c r="P202" s="84"/>
      <c r="Q202" s="84"/>
      <c r="R202" s="84"/>
      <c r="S202" s="84"/>
    </row>
    <row r="203" spans="1:19" s="1" customFormat="1" ht="132" customHeight="1" x14ac:dyDescent="0.25">
      <c r="A203" s="85" t="s">
        <v>417</v>
      </c>
      <c r="B203" s="85"/>
      <c r="C203" s="85"/>
      <c r="D203" s="85"/>
      <c r="E203" s="85"/>
      <c r="F203" s="85"/>
      <c r="G203" s="85"/>
      <c r="H203" s="85"/>
      <c r="I203" s="85"/>
      <c r="J203" s="85"/>
      <c r="K203" s="85"/>
      <c r="L203" s="85"/>
      <c r="M203" s="85"/>
      <c r="N203" s="85"/>
      <c r="O203" s="85"/>
      <c r="P203" s="85"/>
      <c r="Q203" s="85"/>
      <c r="R203" s="85"/>
      <c r="S203" s="85"/>
    </row>
    <row r="204" spans="1:19" s="1" customFormat="1" ht="14.1" customHeight="1" x14ac:dyDescent="0.25">
      <c r="A204" s="86"/>
      <c r="B204" s="86"/>
      <c r="C204" s="86"/>
      <c r="D204" s="86"/>
      <c r="E204" s="86"/>
      <c r="F204" s="86"/>
      <c r="G204" s="86"/>
      <c r="H204" s="86"/>
      <c r="I204" s="86"/>
      <c r="J204" s="86"/>
      <c r="K204" s="86"/>
      <c r="L204" s="86"/>
      <c r="M204" s="86"/>
      <c r="N204" s="86"/>
      <c r="O204" s="86"/>
      <c r="P204" s="86"/>
      <c r="Q204" s="86"/>
      <c r="R204" s="86"/>
      <c r="S204" s="86"/>
    </row>
    <row r="205" spans="1:19" s="1" customFormat="1" ht="14.1" customHeight="1" x14ac:dyDescent="0.25">
      <c r="A205" s="84" t="s">
        <v>54</v>
      </c>
      <c r="B205" s="84"/>
      <c r="C205" s="84"/>
      <c r="D205" s="84"/>
      <c r="E205" s="84"/>
      <c r="F205" s="84"/>
      <c r="G205" s="84"/>
      <c r="H205" s="84"/>
      <c r="I205" s="84"/>
      <c r="J205" s="84"/>
      <c r="K205" s="84"/>
      <c r="L205" s="84"/>
      <c r="M205" s="84"/>
      <c r="N205" s="84"/>
      <c r="O205" s="84"/>
      <c r="P205" s="84"/>
      <c r="Q205" s="84"/>
      <c r="R205" s="84"/>
      <c r="S205" s="84"/>
    </row>
    <row r="206" spans="1:19" s="1" customFormat="1" ht="12.45" customHeight="1" x14ac:dyDescent="0.25">
      <c r="A206" s="85" t="s">
        <v>224</v>
      </c>
      <c r="B206" s="85"/>
      <c r="C206" s="85"/>
      <c r="D206" s="85"/>
      <c r="E206" s="85"/>
      <c r="F206" s="85"/>
      <c r="G206" s="85"/>
      <c r="H206" s="85"/>
      <c r="I206" s="85"/>
      <c r="J206" s="85"/>
      <c r="K206" s="85"/>
      <c r="L206" s="85"/>
      <c r="M206" s="85"/>
      <c r="N206" s="85"/>
      <c r="O206" s="85"/>
      <c r="P206" s="85"/>
      <c r="Q206" s="85"/>
      <c r="R206" s="85"/>
      <c r="S206" s="85"/>
    </row>
    <row r="207" spans="1:19" s="1" customFormat="1" ht="14.1" customHeight="1" x14ac:dyDescent="0.25">
      <c r="A207" s="86"/>
      <c r="B207" s="86"/>
      <c r="C207" s="86"/>
      <c r="D207" s="86"/>
      <c r="E207" s="86"/>
      <c r="F207" s="86"/>
      <c r="G207" s="86"/>
      <c r="H207" s="86"/>
      <c r="I207" s="86"/>
      <c r="J207" s="86"/>
      <c r="K207" s="86"/>
      <c r="L207" s="86"/>
      <c r="M207" s="86"/>
      <c r="N207" s="86"/>
      <c r="O207" s="86"/>
      <c r="P207" s="86"/>
      <c r="Q207" s="86"/>
      <c r="R207" s="86"/>
      <c r="S207" s="86"/>
    </row>
    <row r="208" spans="1:19" s="1" customFormat="1" ht="14.1" customHeight="1" x14ac:dyDescent="0.25">
      <c r="A208" s="84" t="s">
        <v>56</v>
      </c>
      <c r="B208" s="84"/>
      <c r="C208" s="84"/>
      <c r="D208" s="84"/>
      <c r="E208" s="84"/>
      <c r="F208" s="84"/>
      <c r="G208" s="84"/>
      <c r="H208" s="84"/>
      <c r="I208" s="84"/>
      <c r="J208" s="84"/>
      <c r="K208" s="84"/>
      <c r="L208" s="84"/>
      <c r="M208" s="84"/>
      <c r="N208" s="84"/>
      <c r="O208" s="84"/>
      <c r="P208" s="84"/>
      <c r="Q208" s="84"/>
      <c r="R208" s="84"/>
      <c r="S208" s="84"/>
    </row>
    <row r="209" spans="1:20" s="1" customFormat="1" ht="49.2" customHeight="1" x14ac:dyDescent="0.25">
      <c r="A209" s="85" t="s">
        <v>73</v>
      </c>
      <c r="B209" s="85"/>
      <c r="C209" s="85"/>
      <c r="D209" s="85"/>
      <c r="E209" s="85"/>
      <c r="F209" s="85"/>
      <c r="G209" s="85"/>
      <c r="H209" s="85"/>
      <c r="I209" s="85"/>
      <c r="J209" s="85"/>
      <c r="K209" s="85"/>
      <c r="L209" s="85"/>
      <c r="M209" s="85"/>
      <c r="N209" s="85"/>
      <c r="O209" s="85"/>
      <c r="P209" s="85"/>
      <c r="Q209" s="85"/>
      <c r="R209" s="85"/>
      <c r="S209" s="85"/>
    </row>
    <row r="212" spans="1:20" s="1" customFormat="1" ht="72.45" customHeight="1" x14ac:dyDescent="0.25">
      <c r="J212" s="100" t="s">
        <v>0</v>
      </c>
      <c r="K212" s="100"/>
      <c r="L212" s="100"/>
      <c r="M212" s="100"/>
      <c r="N212" s="100"/>
      <c r="O212" s="100"/>
      <c r="P212" s="100"/>
      <c r="Q212" s="100"/>
      <c r="R212" s="100"/>
      <c r="S212" s="100"/>
      <c r="T212" s="100"/>
    </row>
    <row r="213" spans="1:20" s="1" customFormat="1" ht="7.05" customHeight="1" x14ac:dyDescent="0.25"/>
    <row r="214" spans="1:20" s="1" customFormat="1" ht="14.1" customHeight="1" x14ac:dyDescent="0.25">
      <c r="B214" s="101" t="s">
        <v>603</v>
      </c>
      <c r="C214" s="101"/>
      <c r="D214" s="101"/>
      <c r="E214" s="101"/>
      <c r="F214" s="101"/>
      <c r="G214" s="101"/>
      <c r="H214" s="101"/>
      <c r="I214" s="101"/>
      <c r="J214" s="101"/>
      <c r="K214" s="101"/>
      <c r="L214" s="101"/>
      <c r="M214" s="101"/>
      <c r="N214" s="101"/>
      <c r="O214" s="101"/>
      <c r="P214" s="101"/>
      <c r="Q214" s="101"/>
      <c r="R214" s="101"/>
    </row>
    <row r="215" spans="1:20" s="1" customFormat="1" ht="14.1" customHeight="1" x14ac:dyDescent="0.25"/>
    <row r="216" spans="1:20" s="1" customFormat="1" ht="14.1" customHeight="1" x14ac:dyDescent="0.25">
      <c r="A216" s="102" t="s">
        <v>2</v>
      </c>
      <c r="B216" s="102"/>
      <c r="C216" s="102"/>
      <c r="D216" s="103" t="s">
        <v>888</v>
      </c>
      <c r="E216" s="103"/>
      <c r="F216" s="103"/>
      <c r="G216" s="103"/>
      <c r="H216" s="103"/>
      <c r="I216" s="103"/>
      <c r="J216" s="103"/>
      <c r="K216" s="103"/>
      <c r="L216" s="103"/>
      <c r="M216" s="103"/>
      <c r="N216" s="103"/>
      <c r="O216" s="103"/>
      <c r="P216" s="103"/>
      <c r="Q216" s="103"/>
      <c r="R216" s="103"/>
      <c r="S216" s="103"/>
      <c r="T216" s="103"/>
    </row>
    <row r="217" spans="1:20" s="1" customFormat="1" ht="14.1" customHeight="1" x14ac:dyDescent="0.25">
      <c r="A217" s="102" t="s">
        <v>4</v>
      </c>
      <c r="B217" s="102"/>
      <c r="C217" s="103" t="s">
        <v>697</v>
      </c>
      <c r="D217" s="103"/>
      <c r="E217" s="103"/>
      <c r="F217" s="103"/>
      <c r="G217" s="103"/>
      <c r="H217" s="103"/>
      <c r="I217" s="103"/>
      <c r="J217" s="103"/>
      <c r="K217" s="103"/>
      <c r="L217" s="103"/>
      <c r="M217" s="103"/>
      <c r="N217" s="103"/>
      <c r="O217" s="103"/>
      <c r="P217" s="103"/>
      <c r="Q217" s="103"/>
      <c r="R217" s="103"/>
      <c r="S217" s="103"/>
      <c r="T217" s="103"/>
    </row>
    <row r="218" spans="1:20" s="1" customFormat="1" ht="14.1" customHeight="1" x14ac:dyDescent="0.25">
      <c r="A218" s="102" t="s">
        <v>6</v>
      </c>
      <c r="B218" s="102"/>
      <c r="C218" s="102"/>
      <c r="D218" s="102"/>
      <c r="E218" s="102"/>
      <c r="F218" s="103" t="s">
        <v>60</v>
      </c>
      <c r="G218" s="103"/>
      <c r="H218" s="103"/>
      <c r="I218" s="103"/>
      <c r="J218" s="103"/>
      <c r="K218" s="103"/>
      <c r="L218" s="103"/>
      <c r="M218" s="103"/>
      <c r="N218" s="103"/>
      <c r="O218" s="103"/>
      <c r="P218" s="103"/>
      <c r="Q218" s="103"/>
      <c r="R218" s="103"/>
      <c r="S218" s="103"/>
      <c r="T218" s="103"/>
    </row>
    <row r="219" spans="1:20" s="1" customFormat="1" ht="22.35" customHeight="1" x14ac:dyDescent="0.25">
      <c r="F219" s="103"/>
      <c r="G219" s="103"/>
      <c r="H219" s="103"/>
      <c r="I219" s="103"/>
      <c r="J219" s="103"/>
      <c r="K219" s="103"/>
      <c r="L219" s="103"/>
      <c r="M219" s="103"/>
      <c r="N219" s="103"/>
      <c r="O219" s="103"/>
      <c r="P219" s="103"/>
      <c r="Q219" s="103"/>
      <c r="R219" s="103"/>
      <c r="S219" s="103"/>
      <c r="T219" s="103"/>
    </row>
    <row r="220" spans="1:20" s="1" customFormat="1" ht="7.05" customHeight="1" x14ac:dyDescent="0.25">
      <c r="A220" s="86"/>
      <c r="B220" s="86"/>
      <c r="C220" s="86"/>
      <c r="D220" s="86"/>
      <c r="E220" s="86"/>
      <c r="F220" s="86"/>
      <c r="G220" s="86"/>
      <c r="H220" s="86"/>
      <c r="I220" s="86"/>
      <c r="J220" s="86"/>
      <c r="K220" s="86"/>
      <c r="L220" s="86"/>
      <c r="M220" s="86"/>
      <c r="N220" s="86"/>
      <c r="O220" s="86"/>
      <c r="P220" s="86"/>
      <c r="Q220" s="16"/>
      <c r="R220" s="86"/>
      <c r="S220" s="86"/>
      <c r="T220" s="86"/>
    </row>
    <row r="221" spans="1:20" s="1" customFormat="1" ht="16.95" customHeight="1" x14ac:dyDescent="0.25">
      <c r="A221" s="94" t="s">
        <v>8</v>
      </c>
      <c r="B221" s="94"/>
      <c r="C221" s="94"/>
      <c r="D221" s="94"/>
      <c r="E221" s="94"/>
      <c r="F221" s="94"/>
      <c r="G221" s="94"/>
      <c r="H221" s="94"/>
      <c r="I221" s="94"/>
      <c r="J221" s="94"/>
      <c r="K221" s="94"/>
      <c r="L221" s="94"/>
      <c r="M221" s="95" t="s">
        <v>9</v>
      </c>
      <c r="N221" s="95"/>
      <c r="O221" s="95"/>
      <c r="P221" s="95"/>
      <c r="Q221" s="95"/>
      <c r="R221" s="95"/>
      <c r="S221" s="95"/>
      <c r="T221" s="95"/>
    </row>
    <row r="222" spans="1:20" s="1" customFormat="1" ht="16.95" customHeight="1" x14ac:dyDescent="0.25">
      <c r="A222" s="94"/>
      <c r="B222" s="94"/>
      <c r="C222" s="94"/>
      <c r="D222" s="94"/>
      <c r="E222" s="94"/>
      <c r="F222" s="94"/>
      <c r="G222" s="94"/>
      <c r="H222" s="94"/>
      <c r="I222" s="94"/>
      <c r="J222" s="94"/>
      <c r="K222" s="94"/>
      <c r="L222" s="94"/>
      <c r="M222" s="96" t="s">
        <v>10</v>
      </c>
      <c r="N222" s="96"/>
      <c r="O222" s="96"/>
      <c r="P222" s="96"/>
      <c r="Q222" s="97" t="s">
        <v>11</v>
      </c>
      <c r="R222" s="97"/>
      <c r="S222" s="97"/>
      <c r="T222" s="97"/>
    </row>
    <row r="223" spans="1:20" s="1" customFormat="1" ht="16.95" customHeight="1" x14ac:dyDescent="0.25">
      <c r="A223" s="94"/>
      <c r="B223" s="94"/>
      <c r="C223" s="94"/>
      <c r="D223" s="94"/>
      <c r="E223" s="94"/>
      <c r="F223" s="94"/>
      <c r="G223" s="94"/>
      <c r="H223" s="94"/>
      <c r="I223" s="94"/>
      <c r="J223" s="94"/>
      <c r="K223" s="94"/>
      <c r="L223" s="94"/>
      <c r="M223" s="98" t="s">
        <v>12</v>
      </c>
      <c r="N223" s="98"/>
      <c r="O223" s="98" t="s">
        <v>13</v>
      </c>
      <c r="P223" s="98"/>
      <c r="Q223" s="13" t="s">
        <v>14</v>
      </c>
      <c r="R223" s="99" t="s">
        <v>15</v>
      </c>
      <c r="S223" s="99"/>
      <c r="T223" s="99"/>
    </row>
    <row r="224" spans="1:20" s="1" customFormat="1" ht="13.35" customHeight="1" x14ac:dyDescent="0.25">
      <c r="A224" s="131" t="s">
        <v>698</v>
      </c>
      <c r="B224" s="131"/>
      <c r="C224" s="131"/>
      <c r="D224" s="131"/>
      <c r="E224" s="131"/>
      <c r="F224" s="131"/>
      <c r="G224" s="131"/>
      <c r="H224" s="131"/>
      <c r="I224" s="131"/>
      <c r="J224" s="131"/>
      <c r="K224" s="131"/>
      <c r="L224" s="131"/>
      <c r="M224" s="131"/>
      <c r="N224" s="131"/>
      <c r="O224" s="131">
        <v>15</v>
      </c>
      <c r="P224" s="131"/>
      <c r="Q224" s="15"/>
      <c r="R224" s="131">
        <v>1.5</v>
      </c>
      <c r="S224" s="131"/>
      <c r="T224" s="131"/>
    </row>
    <row r="225" spans="1:20" s="1" customFormat="1" ht="13.35" customHeight="1" x14ac:dyDescent="0.25">
      <c r="A225" s="88" t="s">
        <v>18</v>
      </c>
      <c r="B225" s="88"/>
      <c r="C225" s="88"/>
      <c r="D225" s="88"/>
      <c r="E225" s="88"/>
      <c r="F225" s="88"/>
      <c r="G225" s="88"/>
      <c r="H225" s="88"/>
      <c r="I225" s="88"/>
      <c r="J225" s="88"/>
      <c r="K225" s="88"/>
      <c r="L225" s="88"/>
      <c r="M225" s="88">
        <v>2.2799999999999998</v>
      </c>
      <c r="N225" s="88"/>
      <c r="O225" s="88">
        <v>2.2799999999999998</v>
      </c>
      <c r="P225" s="88"/>
      <c r="Q225" s="6">
        <v>0.23</v>
      </c>
      <c r="R225" s="88">
        <v>0.23</v>
      </c>
      <c r="S225" s="88"/>
      <c r="T225" s="88"/>
    </row>
    <row r="226" spans="1:20" s="1" customFormat="1" ht="13.35" customHeight="1" x14ac:dyDescent="0.25">
      <c r="A226" s="88" t="s">
        <v>114</v>
      </c>
      <c r="B226" s="88"/>
      <c r="C226" s="88"/>
      <c r="D226" s="88"/>
      <c r="E226" s="88"/>
      <c r="F226" s="88"/>
      <c r="G226" s="88"/>
      <c r="H226" s="88"/>
      <c r="I226" s="88"/>
      <c r="J226" s="88"/>
      <c r="K226" s="88"/>
      <c r="L226" s="88"/>
      <c r="M226" s="88">
        <v>11.56</v>
      </c>
      <c r="N226" s="88"/>
      <c r="O226" s="88">
        <v>11.56</v>
      </c>
      <c r="P226" s="88"/>
      <c r="Q226" s="6">
        <v>1.58</v>
      </c>
      <c r="R226" s="88">
        <v>1.58</v>
      </c>
      <c r="S226" s="88"/>
      <c r="T226" s="88"/>
    </row>
    <row r="227" spans="1:20" s="1" customFormat="1" ht="13.35" customHeight="1" x14ac:dyDescent="0.25">
      <c r="A227" s="88" t="s">
        <v>100</v>
      </c>
      <c r="B227" s="88"/>
      <c r="C227" s="88"/>
      <c r="D227" s="88"/>
      <c r="E227" s="88"/>
      <c r="F227" s="88"/>
      <c r="G227" s="88"/>
      <c r="H227" s="88"/>
      <c r="I227" s="88"/>
      <c r="J227" s="88"/>
      <c r="K227" s="88"/>
      <c r="L227" s="88"/>
      <c r="M227" s="88">
        <v>3.43</v>
      </c>
      <c r="N227" s="88"/>
      <c r="O227" s="88">
        <v>2.58</v>
      </c>
      <c r="P227" s="88"/>
      <c r="Q227" s="6">
        <v>0.34300000000000003</v>
      </c>
      <c r="R227" s="88">
        <v>0.25800000000000001</v>
      </c>
      <c r="S227" s="88"/>
      <c r="T227" s="88"/>
    </row>
    <row r="228" spans="1:20" s="1" customFormat="1" ht="13.35" customHeight="1" x14ac:dyDescent="0.25">
      <c r="A228" s="88" t="s">
        <v>21</v>
      </c>
      <c r="B228" s="88"/>
      <c r="C228" s="88"/>
      <c r="D228" s="88"/>
      <c r="E228" s="88"/>
      <c r="F228" s="88"/>
      <c r="G228" s="88"/>
      <c r="H228" s="88"/>
      <c r="I228" s="88"/>
      <c r="J228" s="88"/>
      <c r="K228" s="88"/>
      <c r="L228" s="88"/>
      <c r="M228" s="88">
        <v>3.78</v>
      </c>
      <c r="N228" s="88"/>
      <c r="O228" s="88">
        <v>3</v>
      </c>
      <c r="P228" s="88"/>
      <c r="Q228" s="6">
        <v>0.38</v>
      </c>
      <c r="R228" s="88">
        <v>0.3</v>
      </c>
      <c r="S228" s="88"/>
      <c r="T228" s="88"/>
    </row>
    <row r="229" spans="1:20" s="1" customFormat="1" ht="13.35" customHeight="1" x14ac:dyDescent="0.25">
      <c r="A229" s="88" t="s">
        <v>28</v>
      </c>
      <c r="B229" s="88"/>
      <c r="C229" s="88"/>
      <c r="D229" s="88"/>
      <c r="E229" s="88"/>
      <c r="F229" s="88"/>
      <c r="G229" s="88"/>
      <c r="H229" s="88"/>
      <c r="I229" s="88"/>
      <c r="J229" s="88"/>
      <c r="K229" s="88"/>
      <c r="L229" s="88"/>
      <c r="M229" s="88">
        <v>0.4</v>
      </c>
      <c r="N229" s="88"/>
      <c r="O229" s="88">
        <v>0.4</v>
      </c>
      <c r="P229" s="88"/>
      <c r="Q229" s="6">
        <v>0.04</v>
      </c>
      <c r="R229" s="88">
        <v>0.04</v>
      </c>
      <c r="S229" s="88"/>
      <c r="T229" s="88"/>
    </row>
    <row r="230" spans="1:20" s="1" customFormat="1" ht="13.35" customHeight="1" x14ac:dyDescent="0.25">
      <c r="A230" s="88" t="s">
        <v>25</v>
      </c>
      <c r="B230" s="88"/>
      <c r="C230" s="88"/>
      <c r="D230" s="88"/>
      <c r="E230" s="88"/>
      <c r="F230" s="88"/>
      <c r="G230" s="88"/>
      <c r="H230" s="88"/>
      <c r="I230" s="88"/>
      <c r="J230" s="88"/>
      <c r="K230" s="88"/>
      <c r="L230" s="88"/>
      <c r="M230" s="88">
        <v>1.5</v>
      </c>
      <c r="N230" s="88"/>
      <c r="O230" s="88">
        <v>1.5</v>
      </c>
      <c r="P230" s="88"/>
      <c r="Q230" s="6">
        <v>0.15</v>
      </c>
      <c r="R230" s="88">
        <v>0.15</v>
      </c>
      <c r="S230" s="88"/>
      <c r="T230" s="88"/>
    </row>
    <row r="231" spans="1:20" s="1" customFormat="1" ht="13.35" customHeight="1" x14ac:dyDescent="0.25">
      <c r="A231" s="88" t="s">
        <v>70</v>
      </c>
      <c r="B231" s="88"/>
      <c r="C231" s="88"/>
      <c r="D231" s="88"/>
      <c r="E231" s="88"/>
      <c r="F231" s="88"/>
      <c r="G231" s="88"/>
      <c r="H231" s="88"/>
      <c r="I231" s="88"/>
      <c r="J231" s="88"/>
      <c r="K231" s="88"/>
      <c r="L231" s="88"/>
      <c r="M231" s="88">
        <v>0.4</v>
      </c>
      <c r="N231" s="88"/>
      <c r="O231" s="88">
        <v>0.4</v>
      </c>
      <c r="P231" s="88"/>
      <c r="Q231" s="6">
        <v>0.04</v>
      </c>
      <c r="R231" s="88">
        <v>0.04</v>
      </c>
      <c r="S231" s="88"/>
      <c r="T231" s="88"/>
    </row>
    <row r="232" spans="1:20" s="1" customFormat="1" ht="13.35" customHeight="1" x14ac:dyDescent="0.25">
      <c r="A232" s="88" t="s">
        <v>109</v>
      </c>
      <c r="B232" s="88"/>
      <c r="C232" s="88"/>
      <c r="D232" s="88"/>
      <c r="E232" s="88"/>
      <c r="F232" s="88"/>
      <c r="G232" s="88"/>
      <c r="H232" s="88"/>
      <c r="I232" s="88"/>
      <c r="J232" s="88"/>
      <c r="K232" s="88"/>
      <c r="L232" s="88"/>
      <c r="M232" s="88">
        <v>0.4</v>
      </c>
      <c r="N232" s="88"/>
      <c r="O232" s="88">
        <v>0.4</v>
      </c>
      <c r="P232" s="88"/>
      <c r="Q232" s="6">
        <v>0.04</v>
      </c>
      <c r="R232" s="88">
        <v>0.04</v>
      </c>
      <c r="S232" s="88"/>
      <c r="T232" s="88"/>
    </row>
    <row r="233" spans="1:20" s="2" customFormat="1" ht="13.35" customHeight="1" x14ac:dyDescent="0.25">
      <c r="A233" s="154" t="s">
        <v>796</v>
      </c>
      <c r="B233" s="154"/>
      <c r="C233" s="154"/>
      <c r="D233" s="154"/>
      <c r="E233" s="154"/>
      <c r="F233" s="154"/>
      <c r="G233" s="154"/>
      <c r="H233" s="154"/>
      <c r="I233" s="154"/>
      <c r="J233" s="154"/>
      <c r="K233" s="154"/>
      <c r="L233" s="154"/>
      <c r="M233" s="154"/>
      <c r="N233" s="154"/>
      <c r="O233" s="154"/>
      <c r="P233" s="154"/>
      <c r="Q233" s="9"/>
      <c r="R233" s="154"/>
      <c r="S233" s="154"/>
      <c r="T233" s="154"/>
    </row>
    <row r="234" spans="1:20" s="1" customFormat="1" ht="13.35" customHeight="1" x14ac:dyDescent="0.25">
      <c r="A234" s="88" t="s">
        <v>64</v>
      </c>
      <c r="B234" s="88"/>
      <c r="C234" s="88"/>
      <c r="D234" s="88"/>
      <c r="E234" s="88"/>
      <c r="F234" s="88"/>
      <c r="G234" s="88"/>
      <c r="H234" s="88"/>
      <c r="I234" s="88"/>
      <c r="J234" s="88"/>
      <c r="K234" s="88"/>
      <c r="L234" s="88"/>
      <c r="M234" s="88">
        <f>126*130/100</f>
        <v>163.80000000000001</v>
      </c>
      <c r="N234" s="88"/>
      <c r="O234" s="88">
        <v>94</v>
      </c>
      <c r="P234" s="88"/>
      <c r="Q234" s="6">
        <v>16.38</v>
      </c>
      <c r="R234" s="88">
        <v>9.4</v>
      </c>
      <c r="S234" s="88"/>
      <c r="T234" s="88"/>
    </row>
    <row r="235" spans="1:20" s="1" customFormat="1" ht="13.35" customHeight="1" x14ac:dyDescent="0.25">
      <c r="A235" s="88" t="s">
        <v>65</v>
      </c>
      <c r="B235" s="88"/>
      <c r="C235" s="88"/>
      <c r="D235" s="88"/>
      <c r="E235" s="88"/>
      <c r="F235" s="88"/>
      <c r="G235" s="88"/>
      <c r="H235" s="88"/>
      <c r="I235" s="88"/>
      <c r="J235" s="88"/>
      <c r="K235" s="88"/>
      <c r="L235" s="88"/>
      <c r="M235" s="88">
        <f>14*130/100</f>
        <v>18.2</v>
      </c>
      <c r="N235" s="88"/>
      <c r="O235" s="88">
        <v>18.2</v>
      </c>
      <c r="P235" s="88"/>
      <c r="Q235" s="6">
        <v>1.82</v>
      </c>
      <c r="R235" s="88">
        <v>1.82</v>
      </c>
      <c r="S235" s="88"/>
      <c r="T235" s="88"/>
    </row>
    <row r="236" spans="1:20" s="1" customFormat="1" ht="13.35" customHeight="1" x14ac:dyDescent="0.25">
      <c r="A236" s="88" t="s">
        <v>66</v>
      </c>
      <c r="B236" s="88"/>
      <c r="C236" s="88"/>
      <c r="D236" s="88"/>
      <c r="E236" s="88"/>
      <c r="F236" s="88"/>
      <c r="G236" s="88"/>
      <c r="H236" s="88"/>
      <c r="I236" s="88"/>
      <c r="J236" s="88"/>
      <c r="K236" s="88"/>
      <c r="L236" s="88"/>
      <c r="M236" s="88">
        <v>26</v>
      </c>
      <c r="N236" s="88"/>
      <c r="O236" s="88">
        <v>26</v>
      </c>
      <c r="P236" s="88"/>
      <c r="Q236" s="6">
        <v>2.6</v>
      </c>
      <c r="R236" s="88">
        <v>2.6</v>
      </c>
      <c r="S236" s="88"/>
      <c r="T236" s="88"/>
    </row>
    <row r="237" spans="1:20" s="1" customFormat="1" ht="13.35" customHeight="1" x14ac:dyDescent="0.25">
      <c r="A237" s="88" t="s">
        <v>21</v>
      </c>
      <c r="B237" s="88"/>
      <c r="C237" s="88"/>
      <c r="D237" s="88"/>
      <c r="E237" s="88"/>
      <c r="F237" s="88"/>
      <c r="G237" s="88"/>
      <c r="H237" s="88"/>
      <c r="I237" s="88"/>
      <c r="J237" s="88"/>
      <c r="K237" s="88"/>
      <c r="L237" s="88"/>
      <c r="M237" s="88">
        <f>18*130/100</f>
        <v>23.4</v>
      </c>
      <c r="N237" s="88"/>
      <c r="O237" s="88">
        <f>15*130/100</f>
        <v>19.5</v>
      </c>
      <c r="P237" s="88"/>
      <c r="Q237" s="6">
        <v>2.34</v>
      </c>
      <c r="R237" s="88">
        <v>1.95</v>
      </c>
      <c r="S237" s="88"/>
      <c r="T237" s="88"/>
    </row>
    <row r="238" spans="1:20" s="1" customFormat="1" ht="13.35" customHeight="1" x14ac:dyDescent="0.25">
      <c r="A238" s="88" t="s">
        <v>28</v>
      </c>
      <c r="B238" s="88"/>
      <c r="C238" s="88"/>
      <c r="D238" s="88"/>
      <c r="E238" s="88"/>
      <c r="F238" s="88"/>
      <c r="G238" s="88"/>
      <c r="H238" s="88"/>
      <c r="I238" s="88"/>
      <c r="J238" s="88"/>
      <c r="K238" s="88"/>
      <c r="L238" s="88"/>
      <c r="M238" s="88">
        <f>8*130/100</f>
        <v>10.4</v>
      </c>
      <c r="N238" s="88"/>
      <c r="O238" s="88">
        <v>10.4</v>
      </c>
      <c r="P238" s="88"/>
      <c r="Q238" s="6">
        <v>1.04</v>
      </c>
      <c r="R238" s="88">
        <v>1.04</v>
      </c>
      <c r="S238" s="88"/>
      <c r="T238" s="88"/>
    </row>
    <row r="239" spans="1:20" s="1" customFormat="1" ht="13.35" customHeight="1" x14ac:dyDescent="0.25">
      <c r="A239" s="88" t="s">
        <v>18</v>
      </c>
      <c r="B239" s="88"/>
      <c r="C239" s="88"/>
      <c r="D239" s="88"/>
      <c r="E239" s="88"/>
      <c r="F239" s="88"/>
      <c r="G239" s="88"/>
      <c r="H239" s="88"/>
      <c r="I239" s="88"/>
      <c r="J239" s="88"/>
      <c r="K239" s="88"/>
      <c r="L239" s="88"/>
      <c r="M239" s="88">
        <v>4.3</v>
      </c>
      <c r="N239" s="88"/>
      <c r="O239" s="88">
        <v>4.3</v>
      </c>
      <c r="P239" s="88"/>
      <c r="Q239" s="6">
        <v>0.43</v>
      </c>
      <c r="R239" s="88">
        <v>0.43</v>
      </c>
      <c r="S239" s="88"/>
      <c r="T239" s="88"/>
    </row>
    <row r="240" spans="1:20" s="1" customFormat="1" ht="13.35" customHeight="1" x14ac:dyDescent="0.25">
      <c r="A240" s="88" t="s">
        <v>699</v>
      </c>
      <c r="B240" s="88"/>
      <c r="C240" s="88"/>
      <c r="D240" s="88"/>
      <c r="E240" s="88"/>
      <c r="F240" s="88"/>
      <c r="G240" s="88"/>
      <c r="H240" s="88"/>
      <c r="I240" s="88"/>
      <c r="J240" s="88"/>
      <c r="K240" s="88"/>
      <c r="L240" s="88"/>
      <c r="M240" s="88">
        <v>8.6</v>
      </c>
      <c r="N240" s="88"/>
      <c r="O240" s="88">
        <v>8.6</v>
      </c>
      <c r="P240" s="88"/>
      <c r="Q240" s="6">
        <v>0.86</v>
      </c>
      <c r="R240" s="88">
        <v>0.86</v>
      </c>
      <c r="S240" s="88"/>
      <c r="T240" s="88"/>
    </row>
    <row r="241" spans="1:20" s="1" customFormat="1" ht="13.35" customHeight="1" x14ac:dyDescent="0.25">
      <c r="A241" s="88" t="s">
        <v>70</v>
      </c>
      <c r="B241" s="88"/>
      <c r="C241" s="88"/>
      <c r="D241" s="88"/>
      <c r="E241" s="88"/>
      <c r="F241" s="88"/>
      <c r="G241" s="88"/>
      <c r="H241" s="88"/>
      <c r="I241" s="88"/>
      <c r="J241" s="88"/>
      <c r="K241" s="88"/>
      <c r="L241" s="88"/>
      <c r="M241" s="88" t="s">
        <v>604</v>
      </c>
      <c r="N241" s="88"/>
      <c r="O241" s="88" t="s">
        <v>604</v>
      </c>
      <c r="P241" s="88"/>
      <c r="Q241" s="6" t="s">
        <v>271</v>
      </c>
      <c r="R241" s="88" t="s">
        <v>271</v>
      </c>
      <c r="S241" s="88"/>
      <c r="T241" s="88"/>
    </row>
    <row r="242" spans="1:20" s="1" customFormat="1" ht="14.1" customHeight="1" x14ac:dyDescent="0.25">
      <c r="A242" s="90" t="s">
        <v>889</v>
      </c>
      <c r="B242" s="90"/>
      <c r="C242" s="90"/>
      <c r="D242" s="90"/>
      <c r="E242" s="90"/>
      <c r="F242" s="90"/>
      <c r="G242" s="90"/>
      <c r="H242" s="90"/>
      <c r="I242" s="90"/>
      <c r="J242" s="90"/>
      <c r="K242" s="90"/>
      <c r="L242" s="90"/>
      <c r="M242" s="90"/>
      <c r="N242" s="90"/>
      <c r="O242" s="90"/>
      <c r="P242" s="90"/>
      <c r="Q242" s="90"/>
      <c r="R242" s="90"/>
      <c r="S242" s="90"/>
      <c r="T242" s="90"/>
    </row>
    <row r="243" spans="1:20" s="1" customFormat="1" ht="21.3" customHeight="1" x14ac:dyDescent="0.25"/>
    <row r="244" spans="1:20" s="1" customFormat="1" ht="14.1" customHeight="1" x14ac:dyDescent="0.25">
      <c r="A244" s="91" t="s">
        <v>33</v>
      </c>
      <c r="B244" s="91"/>
      <c r="C244" s="91"/>
      <c r="D244" s="91"/>
      <c r="E244" s="91"/>
      <c r="F244" s="91"/>
      <c r="G244" s="91"/>
      <c r="H244" s="91"/>
      <c r="I244" s="91"/>
      <c r="J244" s="91"/>
      <c r="K244" s="91"/>
      <c r="L244" s="91"/>
      <c r="M244" s="91"/>
      <c r="N244" s="91"/>
    </row>
    <row r="245" spans="1:20" s="1" customFormat="1" ht="13.35" customHeight="1" x14ac:dyDescent="0.25">
      <c r="A245" s="88" t="s">
        <v>34</v>
      </c>
      <c r="B245" s="88"/>
      <c r="C245" s="88"/>
      <c r="D245" s="88"/>
      <c r="E245" s="89">
        <f>9.99*130/90</f>
        <v>14.43</v>
      </c>
      <c r="F245" s="89"/>
      <c r="G245" s="17"/>
      <c r="H245" s="6" t="s">
        <v>35</v>
      </c>
      <c r="I245" s="89">
        <v>0.1</v>
      </c>
      <c r="J245" s="89"/>
      <c r="K245" s="17"/>
      <c r="L245" s="88" t="s">
        <v>36</v>
      </c>
      <c r="M245" s="88"/>
      <c r="N245" s="89">
        <v>63.28</v>
      </c>
      <c r="O245" s="89"/>
    </row>
    <row r="246" spans="1:20" s="1" customFormat="1" ht="13.35" customHeight="1" x14ac:dyDescent="0.25">
      <c r="A246" s="88" t="s">
        <v>37</v>
      </c>
      <c r="B246" s="88"/>
      <c r="C246" s="88"/>
      <c r="D246" s="88"/>
      <c r="E246" s="89">
        <f>11.08*130/90</f>
        <v>16.004444444444445</v>
      </c>
      <c r="F246" s="89"/>
      <c r="G246" s="17"/>
      <c r="H246" s="6" t="s">
        <v>38</v>
      </c>
      <c r="I246" s="89">
        <v>1.5</v>
      </c>
      <c r="J246" s="89"/>
      <c r="K246" s="17"/>
      <c r="L246" s="88" t="s">
        <v>39</v>
      </c>
      <c r="M246" s="88"/>
      <c r="N246" s="89">
        <v>43.81</v>
      </c>
      <c r="O246" s="89"/>
    </row>
    <row r="247" spans="1:20" s="1" customFormat="1" ht="13.35" customHeight="1" x14ac:dyDescent="0.25">
      <c r="A247" s="88" t="s">
        <v>40</v>
      </c>
      <c r="B247" s="88"/>
      <c r="C247" s="88"/>
      <c r="D247" s="88"/>
      <c r="E247" s="89">
        <f>12.35*130/90</f>
        <v>17.838888888888889</v>
      </c>
      <c r="F247" s="89"/>
      <c r="G247" s="17"/>
      <c r="H247" s="6" t="s">
        <v>41</v>
      </c>
      <c r="I247" s="89">
        <v>0.11</v>
      </c>
      <c r="J247" s="89"/>
      <c r="K247" s="17"/>
      <c r="L247" s="88" t="s">
        <v>42</v>
      </c>
      <c r="M247" s="88"/>
      <c r="N247" s="89">
        <v>180.2</v>
      </c>
      <c r="O247" s="89"/>
    </row>
    <row r="248" spans="1:20" s="1" customFormat="1" ht="13.35" customHeight="1" x14ac:dyDescent="0.25">
      <c r="A248" s="88" t="s">
        <v>43</v>
      </c>
      <c r="B248" s="88"/>
      <c r="C248" s="88"/>
      <c r="D248" s="88"/>
      <c r="E248" s="89">
        <f>160.13*130/90</f>
        <v>231.29888888888885</v>
      </c>
      <c r="F248" s="89"/>
      <c r="G248" s="17"/>
      <c r="H248" s="6" t="s">
        <v>44</v>
      </c>
      <c r="I248" s="89">
        <v>3.37</v>
      </c>
      <c r="J248" s="89"/>
      <c r="K248" s="17"/>
      <c r="L248" s="88" t="s">
        <v>45</v>
      </c>
      <c r="M248" s="88"/>
      <c r="N248" s="89">
        <v>1.1200000000000001</v>
      </c>
      <c r="O248" s="89"/>
    </row>
    <row r="249" spans="1:20" s="1" customFormat="1" ht="13.35" customHeight="1" x14ac:dyDescent="0.25">
      <c r="A249" s="87"/>
      <c r="B249" s="87"/>
      <c r="C249" s="87"/>
      <c r="D249" s="87"/>
      <c r="E249" s="87"/>
      <c r="F249" s="87"/>
      <c r="G249" s="17"/>
      <c r="H249" s="6" t="s">
        <v>46</v>
      </c>
      <c r="I249" s="89">
        <v>0</v>
      </c>
      <c r="J249" s="89"/>
      <c r="K249" s="17"/>
      <c r="L249" s="88" t="s">
        <v>47</v>
      </c>
      <c r="M249" s="88"/>
      <c r="N249" s="89">
        <v>380.16</v>
      </c>
      <c r="O249" s="89"/>
    </row>
    <row r="250" spans="1:20" s="1" customFormat="1" ht="13.35" customHeight="1" x14ac:dyDescent="0.25">
      <c r="A250" s="87"/>
      <c r="B250" s="87"/>
      <c r="C250" s="87"/>
      <c r="D250" s="87"/>
      <c r="E250" s="87"/>
      <c r="F250" s="87"/>
      <c r="G250" s="17"/>
      <c r="H250" s="6" t="s">
        <v>48</v>
      </c>
      <c r="I250" s="89">
        <v>0.09</v>
      </c>
      <c r="J250" s="89"/>
      <c r="K250" s="17"/>
      <c r="L250" s="88" t="s">
        <v>49</v>
      </c>
      <c r="M250" s="88"/>
      <c r="N250" s="89">
        <v>97.25</v>
      </c>
      <c r="O250" s="89"/>
    </row>
    <row r="251" spans="1:20" s="1" customFormat="1" ht="13.35" customHeight="1" x14ac:dyDescent="0.25">
      <c r="A251" s="87"/>
      <c r="B251" s="87"/>
      <c r="C251" s="87"/>
      <c r="D251" s="87"/>
      <c r="E251" s="87"/>
      <c r="F251" s="87"/>
      <c r="G251" s="17"/>
      <c r="H251" s="17"/>
      <c r="I251" s="87"/>
      <c r="J251" s="87"/>
      <c r="K251" s="17"/>
      <c r="L251" s="88" t="s">
        <v>50</v>
      </c>
      <c r="M251" s="88"/>
      <c r="N251" s="89">
        <v>0.4</v>
      </c>
      <c r="O251" s="89"/>
    </row>
    <row r="252" spans="1:20" s="1" customFormat="1" ht="13.35" customHeight="1" x14ac:dyDescent="0.25">
      <c r="A252" s="87"/>
      <c r="B252" s="87"/>
      <c r="C252" s="87"/>
      <c r="D252" s="87"/>
      <c r="E252" s="87"/>
      <c r="F252" s="87"/>
      <c r="G252" s="17"/>
      <c r="H252" s="17"/>
      <c r="I252" s="87"/>
      <c r="J252" s="87"/>
      <c r="K252" s="17"/>
      <c r="L252" s="88" t="s">
        <v>51</v>
      </c>
      <c r="M252" s="88"/>
      <c r="N252" s="89">
        <v>0.01</v>
      </c>
      <c r="O252" s="89"/>
    </row>
    <row r="253" spans="1:20" s="1" customFormat="1" ht="14.1" customHeight="1" x14ac:dyDescent="0.25">
      <c r="A253" s="86"/>
      <c r="B253" s="86"/>
      <c r="C253" s="86"/>
      <c r="D253" s="86"/>
      <c r="E253" s="86"/>
      <c r="F253" s="86"/>
      <c r="G253" s="86"/>
      <c r="H253" s="86"/>
      <c r="I253" s="86"/>
      <c r="J253" s="86"/>
      <c r="K253" s="86"/>
      <c r="L253" s="86"/>
      <c r="M253" s="86"/>
      <c r="N253" s="86"/>
      <c r="O253" s="86"/>
      <c r="P253" s="86"/>
      <c r="Q253" s="86"/>
      <c r="R253" s="86"/>
      <c r="S253" s="86"/>
    </row>
    <row r="254" spans="1:20" s="1" customFormat="1" ht="14.1" customHeight="1" x14ac:dyDescent="0.25">
      <c r="A254" s="84" t="s">
        <v>52</v>
      </c>
      <c r="B254" s="84"/>
      <c r="C254" s="84"/>
      <c r="D254" s="84"/>
      <c r="E254" s="84"/>
      <c r="F254" s="84"/>
      <c r="G254" s="84"/>
      <c r="H254" s="84"/>
      <c r="I254" s="84"/>
      <c r="J254" s="84"/>
      <c r="K254" s="84"/>
      <c r="L254" s="84"/>
      <c r="M254" s="84"/>
      <c r="N254" s="84"/>
      <c r="O254" s="84"/>
      <c r="P254" s="84"/>
      <c r="Q254" s="84"/>
      <c r="R254" s="84"/>
      <c r="S254" s="84"/>
    </row>
    <row r="255" spans="1:20" s="1" customFormat="1" ht="150.44999999999999" customHeight="1" x14ac:dyDescent="0.25">
      <c r="A255" s="85" t="s">
        <v>606</v>
      </c>
      <c r="B255" s="85"/>
      <c r="C255" s="85"/>
      <c r="D255" s="85"/>
      <c r="E255" s="85"/>
      <c r="F255" s="85"/>
      <c r="G255" s="85"/>
      <c r="H255" s="85"/>
      <c r="I255" s="85"/>
      <c r="J255" s="85"/>
      <c r="K255" s="85"/>
      <c r="L255" s="85"/>
      <c r="M255" s="85"/>
      <c r="N255" s="85"/>
      <c r="O255" s="85"/>
      <c r="P255" s="85"/>
      <c r="Q255" s="85"/>
      <c r="R255" s="85"/>
      <c r="S255" s="85"/>
    </row>
    <row r="256" spans="1:20" s="1" customFormat="1" ht="14.1" customHeight="1" x14ac:dyDescent="0.25">
      <c r="A256" s="84" t="s">
        <v>54</v>
      </c>
      <c r="B256" s="84"/>
      <c r="C256" s="84"/>
      <c r="D256" s="84"/>
      <c r="E256" s="84"/>
      <c r="F256" s="84"/>
      <c r="G256" s="84"/>
      <c r="H256" s="84"/>
      <c r="I256" s="84"/>
      <c r="J256" s="84"/>
      <c r="K256" s="84"/>
      <c r="L256" s="84"/>
      <c r="M256" s="84"/>
      <c r="N256" s="84"/>
      <c r="O256" s="84"/>
      <c r="P256" s="84"/>
      <c r="Q256" s="84"/>
      <c r="R256" s="84"/>
      <c r="S256" s="84"/>
    </row>
    <row r="257" spans="1:20" s="1" customFormat="1" ht="12.15" customHeight="1" x14ac:dyDescent="0.25">
      <c r="A257" s="85" t="s">
        <v>601</v>
      </c>
      <c r="B257" s="85"/>
      <c r="C257" s="85"/>
      <c r="D257" s="85"/>
      <c r="E257" s="85"/>
      <c r="F257" s="85"/>
      <c r="G257" s="85"/>
      <c r="H257" s="85"/>
      <c r="I257" s="85"/>
      <c r="J257" s="85"/>
      <c r="K257" s="85"/>
      <c r="L257" s="85"/>
      <c r="M257" s="85"/>
      <c r="N257" s="85"/>
      <c r="O257" s="85"/>
      <c r="P257" s="85"/>
      <c r="Q257" s="85"/>
      <c r="R257" s="85"/>
      <c r="S257" s="85"/>
    </row>
    <row r="258" spans="1:20" s="1" customFormat="1" ht="14.1" customHeight="1" x14ac:dyDescent="0.25">
      <c r="A258" s="86"/>
      <c r="B258" s="86"/>
      <c r="C258" s="86"/>
      <c r="D258" s="86"/>
      <c r="E258" s="86"/>
      <c r="F258" s="86"/>
      <c r="G258" s="86"/>
      <c r="H258" s="86"/>
      <c r="I258" s="86"/>
      <c r="J258" s="86"/>
      <c r="K258" s="86"/>
      <c r="L258" s="86"/>
      <c r="M258" s="86"/>
      <c r="N258" s="86"/>
      <c r="O258" s="86"/>
      <c r="P258" s="86"/>
      <c r="Q258" s="86"/>
      <c r="R258" s="86"/>
      <c r="S258" s="86"/>
    </row>
    <row r="259" spans="1:20" s="1" customFormat="1" ht="14.1" customHeight="1" x14ac:dyDescent="0.25">
      <c r="A259" s="84" t="s">
        <v>56</v>
      </c>
      <c r="B259" s="84"/>
      <c r="C259" s="84"/>
      <c r="D259" s="84"/>
      <c r="E259" s="84"/>
      <c r="F259" s="84"/>
      <c r="G259" s="84"/>
      <c r="H259" s="84"/>
      <c r="I259" s="84"/>
      <c r="J259" s="84"/>
      <c r="K259" s="84"/>
      <c r="L259" s="84"/>
      <c r="M259" s="84"/>
      <c r="N259" s="84"/>
      <c r="O259" s="84"/>
      <c r="P259" s="84"/>
      <c r="Q259" s="84"/>
      <c r="R259" s="84"/>
      <c r="S259" s="84"/>
    </row>
    <row r="260" spans="1:20" s="1" customFormat="1" ht="49.2" customHeight="1" x14ac:dyDescent="0.25">
      <c r="A260" s="85" t="s">
        <v>607</v>
      </c>
      <c r="B260" s="85"/>
      <c r="C260" s="85"/>
      <c r="D260" s="85"/>
      <c r="E260" s="85"/>
      <c r="F260" s="85"/>
      <c r="G260" s="85"/>
      <c r="H260" s="85"/>
      <c r="I260" s="85"/>
      <c r="J260" s="85"/>
      <c r="K260" s="85"/>
      <c r="L260" s="85"/>
      <c r="M260" s="85"/>
      <c r="N260" s="85"/>
      <c r="O260" s="85"/>
      <c r="P260" s="85"/>
      <c r="Q260" s="85"/>
      <c r="R260" s="85"/>
      <c r="S260" s="85"/>
    </row>
    <row r="264" spans="1:20" s="1" customFormat="1" ht="72.45" customHeight="1" x14ac:dyDescent="0.25">
      <c r="J264" s="100" t="s">
        <v>0</v>
      </c>
      <c r="K264" s="100"/>
      <c r="L264" s="100"/>
      <c r="M264" s="100"/>
      <c r="N264" s="100"/>
      <c r="O264" s="100"/>
      <c r="P264" s="100"/>
      <c r="Q264" s="100"/>
      <c r="R264" s="100"/>
      <c r="S264" s="100"/>
      <c r="T264" s="100"/>
    </row>
    <row r="265" spans="1:20" ht="7.05" customHeight="1" x14ac:dyDescent="0.2"/>
    <row r="266" spans="1:20" ht="14.1" customHeight="1" x14ac:dyDescent="0.2">
      <c r="B266" s="105" t="s">
        <v>950</v>
      </c>
      <c r="C266" s="105"/>
      <c r="D266" s="105"/>
      <c r="E266" s="105"/>
      <c r="F266" s="105"/>
      <c r="G266" s="105"/>
      <c r="H266" s="105"/>
      <c r="I266" s="105"/>
      <c r="J266" s="105"/>
      <c r="K266" s="105"/>
      <c r="L266" s="105"/>
      <c r="M266" s="105"/>
      <c r="N266" s="105"/>
      <c r="O266" s="105"/>
      <c r="P266" s="105"/>
      <c r="Q266" s="105"/>
      <c r="R266" s="105"/>
    </row>
    <row r="267" spans="1:20" ht="14.1" customHeight="1" x14ac:dyDescent="0.2"/>
    <row r="268" spans="1:20" ht="14.1" customHeight="1" x14ac:dyDescent="0.2">
      <c r="A268" s="106" t="s">
        <v>2</v>
      </c>
      <c r="B268" s="106"/>
      <c r="C268" s="106"/>
      <c r="D268" s="107" t="s">
        <v>951</v>
      </c>
      <c r="E268" s="107"/>
      <c r="F268" s="107"/>
      <c r="G268" s="107"/>
      <c r="H268" s="107"/>
      <c r="I268" s="107"/>
      <c r="J268" s="107"/>
      <c r="K268" s="107"/>
      <c r="L268" s="107"/>
      <c r="M268" s="107"/>
      <c r="N268" s="107"/>
      <c r="O268" s="107"/>
      <c r="P268" s="107"/>
      <c r="Q268" s="107"/>
      <c r="R268" s="107"/>
      <c r="S268" s="107"/>
      <c r="T268" s="107"/>
    </row>
    <row r="269" spans="1:20" ht="14.1" customHeight="1" x14ac:dyDescent="0.2">
      <c r="A269" s="106" t="s">
        <v>4</v>
      </c>
      <c r="B269" s="106"/>
      <c r="C269" s="107" t="s">
        <v>952</v>
      </c>
      <c r="D269" s="107"/>
      <c r="E269" s="107"/>
      <c r="F269" s="107"/>
      <c r="G269" s="107"/>
      <c r="H269" s="107"/>
      <c r="I269" s="107"/>
      <c r="J269" s="107"/>
      <c r="K269" s="107"/>
      <c r="L269" s="107"/>
      <c r="M269" s="107"/>
      <c r="N269" s="107"/>
      <c r="O269" s="107"/>
      <c r="P269" s="107"/>
      <c r="Q269" s="107"/>
      <c r="R269" s="107"/>
      <c r="S269" s="107"/>
      <c r="T269" s="107"/>
    </row>
    <row r="270" spans="1:20" ht="14.1" customHeight="1" x14ac:dyDescent="0.2">
      <c r="A270" s="106" t="s">
        <v>6</v>
      </c>
      <c r="B270" s="106"/>
      <c r="C270" s="106"/>
      <c r="D270" s="106"/>
      <c r="E270" s="106"/>
      <c r="F270" s="107" t="s">
        <v>248</v>
      </c>
      <c r="G270" s="107"/>
      <c r="H270" s="107"/>
      <c r="I270" s="107"/>
      <c r="J270" s="107"/>
      <c r="K270" s="107"/>
      <c r="L270" s="107"/>
      <c r="M270" s="107"/>
      <c r="N270" s="107"/>
      <c r="O270" s="107"/>
      <c r="P270" s="107"/>
      <c r="Q270" s="107"/>
      <c r="R270" s="107"/>
      <c r="S270" s="107"/>
      <c r="T270" s="107"/>
    </row>
    <row r="271" spans="1:20" ht="22.35" customHeight="1" x14ac:dyDescent="0.2">
      <c r="F271" s="107"/>
      <c r="G271" s="107"/>
      <c r="H271" s="107"/>
      <c r="I271" s="107"/>
      <c r="J271" s="107"/>
      <c r="K271" s="107"/>
      <c r="L271" s="107"/>
      <c r="M271" s="107"/>
      <c r="N271" s="107"/>
      <c r="O271" s="107"/>
      <c r="P271" s="107"/>
      <c r="Q271" s="107"/>
      <c r="R271" s="107"/>
      <c r="S271" s="107"/>
      <c r="T271" s="107"/>
    </row>
    <row r="272" spans="1:20" ht="7.05" customHeight="1" x14ac:dyDescent="0.2">
      <c r="A272" s="106"/>
      <c r="B272" s="106"/>
      <c r="C272" s="106"/>
      <c r="D272" s="106"/>
      <c r="E272" s="106"/>
      <c r="F272" s="106"/>
      <c r="G272" s="106"/>
      <c r="H272" s="106"/>
      <c r="I272" s="106"/>
      <c r="J272" s="106"/>
      <c r="K272" s="106"/>
      <c r="L272" s="106"/>
      <c r="M272" s="106"/>
      <c r="N272" s="106"/>
      <c r="O272" s="106"/>
      <c r="P272" s="106"/>
      <c r="Q272" s="66"/>
      <c r="R272" s="106"/>
      <c r="S272" s="106"/>
      <c r="T272" s="106"/>
    </row>
    <row r="273" spans="1:20" ht="16.95" customHeight="1" x14ac:dyDescent="0.2">
      <c r="A273" s="108" t="s">
        <v>8</v>
      </c>
      <c r="B273" s="108"/>
      <c r="C273" s="108"/>
      <c r="D273" s="108"/>
      <c r="E273" s="108"/>
      <c r="F273" s="108"/>
      <c r="G273" s="108"/>
      <c r="H273" s="108"/>
      <c r="I273" s="108"/>
      <c r="J273" s="108"/>
      <c r="K273" s="108"/>
      <c r="L273" s="108"/>
      <c r="M273" s="108" t="s">
        <v>9</v>
      </c>
      <c r="N273" s="108"/>
      <c r="O273" s="108"/>
      <c r="P273" s="108"/>
      <c r="Q273" s="108"/>
      <c r="R273" s="108"/>
      <c r="S273" s="108"/>
      <c r="T273" s="108"/>
    </row>
    <row r="274" spans="1:20" ht="16.95" customHeight="1" x14ac:dyDescent="0.2">
      <c r="A274" s="108"/>
      <c r="B274" s="108"/>
      <c r="C274" s="108"/>
      <c r="D274" s="108"/>
      <c r="E274" s="108"/>
      <c r="F274" s="108"/>
      <c r="G274" s="108"/>
      <c r="H274" s="108"/>
      <c r="I274" s="108"/>
      <c r="J274" s="108"/>
      <c r="K274" s="108"/>
      <c r="L274" s="108"/>
      <c r="M274" s="108" t="s">
        <v>10</v>
      </c>
      <c r="N274" s="108"/>
      <c r="O274" s="108"/>
      <c r="P274" s="108"/>
      <c r="Q274" s="108" t="s">
        <v>11</v>
      </c>
      <c r="R274" s="108"/>
      <c r="S274" s="108"/>
      <c r="T274" s="108"/>
    </row>
    <row r="275" spans="1:20" ht="16.95" customHeight="1" x14ac:dyDescent="0.2">
      <c r="A275" s="108"/>
      <c r="B275" s="108"/>
      <c r="C275" s="108"/>
      <c r="D275" s="108"/>
      <c r="E275" s="108"/>
      <c r="F275" s="108"/>
      <c r="G275" s="108"/>
      <c r="H275" s="108"/>
      <c r="I275" s="108"/>
      <c r="J275" s="108"/>
      <c r="K275" s="108"/>
      <c r="L275" s="108"/>
      <c r="M275" s="108" t="s">
        <v>12</v>
      </c>
      <c r="N275" s="108"/>
      <c r="O275" s="108" t="s">
        <v>13</v>
      </c>
      <c r="P275" s="108"/>
      <c r="Q275" s="69" t="s">
        <v>14</v>
      </c>
      <c r="R275" s="108" t="s">
        <v>15</v>
      </c>
      <c r="S275" s="108"/>
      <c r="T275" s="108"/>
    </row>
    <row r="276" spans="1:20" ht="13.35" customHeight="1" x14ac:dyDescent="0.2">
      <c r="A276" s="109" t="s">
        <v>61</v>
      </c>
      <c r="B276" s="109"/>
      <c r="C276" s="109"/>
      <c r="D276" s="109"/>
      <c r="E276" s="109"/>
      <c r="F276" s="109"/>
      <c r="G276" s="109"/>
      <c r="H276" s="109"/>
      <c r="I276" s="109"/>
      <c r="J276" s="109"/>
      <c r="K276" s="109"/>
      <c r="L276" s="109"/>
      <c r="M276" s="109" t="s">
        <v>93</v>
      </c>
      <c r="N276" s="109"/>
      <c r="O276" s="109" t="s">
        <v>93</v>
      </c>
      <c r="P276" s="109"/>
      <c r="Q276" s="68" t="s">
        <v>416</v>
      </c>
      <c r="R276" s="109" t="s">
        <v>416</v>
      </c>
      <c r="S276" s="109"/>
      <c r="T276" s="109"/>
    </row>
    <row r="277" spans="1:20" ht="13.35" customHeight="1" x14ac:dyDescent="0.2">
      <c r="A277" s="109" t="s">
        <v>64</v>
      </c>
      <c r="B277" s="109"/>
      <c r="C277" s="109"/>
      <c r="D277" s="109"/>
      <c r="E277" s="109"/>
      <c r="F277" s="109"/>
      <c r="G277" s="109"/>
      <c r="H277" s="109"/>
      <c r="I277" s="109"/>
      <c r="J277" s="109"/>
      <c r="K277" s="109"/>
      <c r="L277" s="109"/>
      <c r="M277" s="109" t="s">
        <v>953</v>
      </c>
      <c r="N277" s="109"/>
      <c r="O277" s="109" t="s">
        <v>954</v>
      </c>
      <c r="P277" s="109"/>
      <c r="Q277" s="68" t="s">
        <v>955</v>
      </c>
      <c r="R277" s="109" t="s">
        <v>956</v>
      </c>
      <c r="S277" s="109"/>
      <c r="T277" s="109"/>
    </row>
    <row r="278" spans="1:20" ht="13.35" customHeight="1" x14ac:dyDescent="0.2">
      <c r="A278" s="109" t="s">
        <v>66</v>
      </c>
      <c r="B278" s="109"/>
      <c r="C278" s="109"/>
      <c r="D278" s="109"/>
      <c r="E278" s="109"/>
      <c r="F278" s="109"/>
      <c r="G278" s="109"/>
      <c r="H278" s="109"/>
      <c r="I278" s="109"/>
      <c r="J278" s="109"/>
      <c r="K278" s="109"/>
      <c r="L278" s="109"/>
      <c r="M278" s="109" t="s">
        <v>957</v>
      </c>
      <c r="N278" s="109"/>
      <c r="O278" s="109" t="s">
        <v>957</v>
      </c>
      <c r="P278" s="109"/>
      <c r="Q278" s="68" t="s">
        <v>958</v>
      </c>
      <c r="R278" s="109" t="s">
        <v>958</v>
      </c>
      <c r="S278" s="109"/>
      <c r="T278" s="109"/>
    </row>
    <row r="279" spans="1:20" ht="13.35" customHeight="1" x14ac:dyDescent="0.2">
      <c r="A279" s="109" t="s">
        <v>21</v>
      </c>
      <c r="B279" s="109"/>
      <c r="C279" s="109"/>
      <c r="D279" s="109"/>
      <c r="E279" s="109"/>
      <c r="F279" s="109"/>
      <c r="G279" s="109"/>
      <c r="H279" s="109"/>
      <c r="I279" s="109"/>
      <c r="J279" s="109"/>
      <c r="K279" s="109"/>
      <c r="L279" s="109"/>
      <c r="M279" s="109" t="s">
        <v>959</v>
      </c>
      <c r="N279" s="109"/>
      <c r="O279" s="109" t="s">
        <v>85</v>
      </c>
      <c r="P279" s="109"/>
      <c r="Q279" s="68" t="s">
        <v>960</v>
      </c>
      <c r="R279" s="109" t="s">
        <v>77</v>
      </c>
      <c r="S279" s="109"/>
      <c r="T279" s="109"/>
    </row>
    <row r="280" spans="1:20" ht="13.35" customHeight="1" x14ac:dyDescent="0.2">
      <c r="A280" s="109" t="s">
        <v>70</v>
      </c>
      <c r="B280" s="109"/>
      <c r="C280" s="109"/>
      <c r="D280" s="109"/>
      <c r="E280" s="109"/>
      <c r="F280" s="109"/>
      <c r="G280" s="109"/>
      <c r="H280" s="109"/>
      <c r="I280" s="109"/>
      <c r="J280" s="109"/>
      <c r="K280" s="109"/>
      <c r="L280" s="109"/>
      <c r="M280" s="109" t="s">
        <v>454</v>
      </c>
      <c r="N280" s="109"/>
      <c r="O280" s="109" t="s">
        <v>454</v>
      </c>
      <c r="P280" s="109"/>
      <c r="Q280" s="68" t="s">
        <v>455</v>
      </c>
      <c r="R280" s="109" t="s">
        <v>455</v>
      </c>
      <c r="S280" s="109"/>
      <c r="T280" s="109"/>
    </row>
    <row r="281" spans="1:20" ht="13.35" customHeight="1" x14ac:dyDescent="0.2">
      <c r="A281" s="109" t="s">
        <v>18</v>
      </c>
      <c r="B281" s="109"/>
      <c r="C281" s="109"/>
      <c r="D281" s="109"/>
      <c r="E281" s="109"/>
      <c r="F281" s="109"/>
      <c r="G281" s="109"/>
      <c r="H281" s="109"/>
      <c r="I281" s="109"/>
      <c r="J281" s="109"/>
      <c r="K281" s="109"/>
      <c r="L281" s="109"/>
      <c r="M281" s="109" t="s">
        <v>93</v>
      </c>
      <c r="N281" s="109"/>
      <c r="O281" s="109" t="s">
        <v>93</v>
      </c>
      <c r="P281" s="109"/>
      <c r="Q281" s="68" t="s">
        <v>416</v>
      </c>
      <c r="R281" s="109" t="s">
        <v>416</v>
      </c>
      <c r="S281" s="109"/>
      <c r="T281" s="109"/>
    </row>
    <row r="282" spans="1:20" ht="14.1" customHeight="1" x14ac:dyDescent="0.2">
      <c r="A282" s="110" t="s">
        <v>134</v>
      </c>
      <c r="B282" s="110"/>
      <c r="C282" s="110"/>
      <c r="D282" s="110"/>
      <c r="E282" s="110"/>
      <c r="F282" s="110"/>
      <c r="G282" s="110"/>
      <c r="H282" s="110"/>
      <c r="I282" s="110"/>
      <c r="J282" s="110"/>
      <c r="K282" s="110"/>
      <c r="L282" s="110"/>
      <c r="M282" s="110"/>
      <c r="N282" s="110"/>
      <c r="O282" s="110"/>
      <c r="P282" s="110"/>
      <c r="Q282" s="110"/>
      <c r="R282" s="110"/>
      <c r="S282" s="110"/>
      <c r="T282" s="110"/>
    </row>
    <row r="283" spans="1:20" ht="14.1" customHeight="1" x14ac:dyDescent="0.2"/>
    <row r="284" spans="1:20" ht="14.1" customHeight="1" x14ac:dyDescent="0.2">
      <c r="A284" s="111" t="s">
        <v>33</v>
      </c>
      <c r="B284" s="111"/>
      <c r="C284" s="111"/>
      <c r="D284" s="111"/>
      <c r="E284" s="111"/>
      <c r="F284" s="111"/>
      <c r="G284" s="111"/>
      <c r="H284" s="111"/>
      <c r="I284" s="111"/>
      <c r="J284" s="111"/>
      <c r="K284" s="111"/>
      <c r="L284" s="111"/>
      <c r="M284" s="111"/>
      <c r="N284" s="111"/>
    </row>
    <row r="285" spans="1:20" ht="13.35" customHeight="1" x14ac:dyDescent="0.2">
      <c r="A285" s="109" t="s">
        <v>34</v>
      </c>
      <c r="B285" s="109"/>
      <c r="C285" s="109"/>
      <c r="D285" s="109"/>
      <c r="E285" s="112">
        <v>13.97</v>
      </c>
      <c r="F285" s="112"/>
      <c r="G285" s="67"/>
      <c r="H285" s="68" t="s">
        <v>35</v>
      </c>
      <c r="I285" s="112">
        <v>0.09</v>
      </c>
      <c r="J285" s="112"/>
      <c r="K285" s="67"/>
      <c r="L285" s="109" t="s">
        <v>36</v>
      </c>
      <c r="M285" s="109"/>
      <c r="N285" s="112">
        <v>78.540000000000006</v>
      </c>
      <c r="O285" s="112"/>
    </row>
    <row r="286" spans="1:20" ht="13.35" customHeight="1" x14ac:dyDescent="0.2">
      <c r="A286" s="109" t="s">
        <v>37</v>
      </c>
      <c r="B286" s="109"/>
      <c r="C286" s="109"/>
      <c r="D286" s="109"/>
      <c r="E286" s="112">
        <v>10.76</v>
      </c>
      <c r="F286" s="112"/>
      <c r="G286" s="67"/>
      <c r="H286" s="68" t="s">
        <v>38</v>
      </c>
      <c r="I286" s="112">
        <v>1.1299999999999999</v>
      </c>
      <c r="J286" s="112"/>
      <c r="K286" s="67"/>
      <c r="L286" s="109" t="s">
        <v>39</v>
      </c>
      <c r="M286" s="109"/>
      <c r="N286" s="112">
        <v>47.7</v>
      </c>
      <c r="O286" s="112"/>
    </row>
    <row r="287" spans="1:20" ht="13.35" customHeight="1" x14ac:dyDescent="0.2">
      <c r="A287" s="109" t="s">
        <v>40</v>
      </c>
      <c r="B287" s="109"/>
      <c r="C287" s="109"/>
      <c r="D287" s="109"/>
      <c r="E287" s="112">
        <v>14.16</v>
      </c>
      <c r="F287" s="112"/>
      <c r="G287" s="67"/>
      <c r="H287" s="68" t="s">
        <v>41</v>
      </c>
      <c r="I287" s="112">
        <v>0.03</v>
      </c>
      <c r="J287" s="112"/>
      <c r="K287" s="67"/>
      <c r="L287" s="109" t="s">
        <v>42</v>
      </c>
      <c r="M287" s="109"/>
      <c r="N287" s="112">
        <v>215.24</v>
      </c>
      <c r="O287" s="112"/>
    </row>
    <row r="288" spans="1:20" ht="13.35" customHeight="1" x14ac:dyDescent="0.2">
      <c r="A288" s="109" t="s">
        <v>43</v>
      </c>
      <c r="B288" s="109"/>
      <c r="C288" s="109"/>
      <c r="D288" s="109"/>
      <c r="E288" s="112">
        <v>197.03</v>
      </c>
      <c r="F288" s="112"/>
      <c r="G288" s="67"/>
      <c r="H288" s="68" t="s">
        <v>44</v>
      </c>
      <c r="I288" s="112">
        <v>1.36</v>
      </c>
      <c r="J288" s="112"/>
      <c r="K288" s="67"/>
      <c r="L288" s="109" t="s">
        <v>45</v>
      </c>
      <c r="M288" s="109"/>
      <c r="N288" s="112">
        <v>0.87</v>
      </c>
      <c r="O288" s="112"/>
    </row>
    <row r="289" spans="1:19" ht="13.35" customHeight="1" x14ac:dyDescent="0.2">
      <c r="A289" s="113"/>
      <c r="B289" s="113"/>
      <c r="C289" s="113"/>
      <c r="D289" s="113"/>
      <c r="E289" s="113"/>
      <c r="F289" s="113"/>
      <c r="G289" s="67"/>
      <c r="H289" s="68" t="s">
        <v>46</v>
      </c>
      <c r="I289" s="112">
        <v>0.04</v>
      </c>
      <c r="J289" s="112"/>
      <c r="K289" s="67"/>
      <c r="L289" s="109" t="s">
        <v>47</v>
      </c>
      <c r="M289" s="109"/>
      <c r="N289" s="112">
        <v>431.45</v>
      </c>
      <c r="O289" s="112"/>
    </row>
    <row r="290" spans="1:19" ht="13.35" customHeight="1" x14ac:dyDescent="0.2">
      <c r="A290" s="113"/>
      <c r="B290" s="113"/>
      <c r="C290" s="113"/>
      <c r="D290" s="113"/>
      <c r="E290" s="113"/>
      <c r="F290" s="113"/>
      <c r="G290" s="67"/>
      <c r="H290" s="68" t="s">
        <v>48</v>
      </c>
      <c r="I290" s="112">
        <v>0.12</v>
      </c>
      <c r="J290" s="112"/>
      <c r="K290" s="67"/>
      <c r="L290" s="109" t="s">
        <v>49</v>
      </c>
      <c r="M290" s="109"/>
      <c r="N290" s="112">
        <v>127.59</v>
      </c>
      <c r="O290" s="112"/>
    </row>
    <row r="291" spans="1:19" ht="13.35" customHeight="1" x14ac:dyDescent="0.2">
      <c r="A291" s="113"/>
      <c r="B291" s="113"/>
      <c r="C291" s="113"/>
      <c r="D291" s="113"/>
      <c r="E291" s="113"/>
      <c r="F291" s="113"/>
      <c r="G291" s="67"/>
      <c r="H291" s="67"/>
      <c r="I291" s="113"/>
      <c r="J291" s="113"/>
      <c r="K291" s="67"/>
      <c r="L291" s="109" t="s">
        <v>50</v>
      </c>
      <c r="M291" s="109"/>
      <c r="N291" s="112">
        <v>0.53</v>
      </c>
      <c r="O291" s="112"/>
    </row>
    <row r="292" spans="1:19" ht="13.35" customHeight="1" x14ac:dyDescent="0.2">
      <c r="A292" s="113"/>
      <c r="B292" s="113"/>
      <c r="C292" s="113"/>
      <c r="D292" s="113"/>
      <c r="E292" s="113"/>
      <c r="F292" s="113"/>
      <c r="G292" s="67"/>
      <c r="H292" s="67"/>
      <c r="I292" s="113"/>
      <c r="J292" s="113"/>
      <c r="K292" s="67"/>
      <c r="L292" s="109" t="s">
        <v>51</v>
      </c>
      <c r="M292" s="109"/>
      <c r="N292" s="112">
        <v>0.01</v>
      </c>
      <c r="O292" s="112"/>
    </row>
    <row r="293" spans="1:19" ht="14.1" customHeight="1" x14ac:dyDescent="0.2">
      <c r="A293" s="106"/>
      <c r="B293" s="106"/>
      <c r="C293" s="106"/>
      <c r="D293" s="106"/>
      <c r="E293" s="106"/>
      <c r="F293" s="106"/>
      <c r="G293" s="106"/>
      <c r="H293" s="106"/>
      <c r="I293" s="106"/>
      <c r="J293" s="106"/>
      <c r="K293" s="106"/>
      <c r="L293" s="106"/>
      <c r="M293" s="106"/>
      <c r="N293" s="106"/>
      <c r="O293" s="106"/>
      <c r="P293" s="106"/>
      <c r="Q293" s="106"/>
      <c r="R293" s="106"/>
      <c r="S293" s="106"/>
    </row>
    <row r="294" spans="1:19" ht="14.1" customHeight="1" x14ac:dyDescent="0.2">
      <c r="A294" s="111" t="s">
        <v>52</v>
      </c>
      <c r="B294" s="111"/>
      <c r="C294" s="111"/>
      <c r="D294" s="111"/>
      <c r="E294" s="111"/>
      <c r="F294" s="111"/>
      <c r="G294" s="111"/>
      <c r="H294" s="111"/>
      <c r="I294" s="111"/>
      <c r="J294" s="111"/>
      <c r="K294" s="111"/>
      <c r="L294" s="111"/>
      <c r="M294" s="111"/>
      <c r="N294" s="111"/>
      <c r="O294" s="111"/>
      <c r="P294" s="111"/>
      <c r="Q294" s="111"/>
      <c r="R294" s="111"/>
      <c r="S294" s="111"/>
    </row>
    <row r="295" spans="1:19" ht="122.85" customHeight="1" x14ac:dyDescent="0.2">
      <c r="A295" s="114" t="s">
        <v>961</v>
      </c>
      <c r="B295" s="114"/>
      <c r="C295" s="114"/>
      <c r="D295" s="114"/>
      <c r="E295" s="114"/>
      <c r="F295" s="114"/>
      <c r="G295" s="114"/>
      <c r="H295" s="114"/>
      <c r="I295" s="114"/>
      <c r="J295" s="114"/>
      <c r="K295" s="114"/>
      <c r="L295" s="114"/>
      <c r="M295" s="114"/>
      <c r="N295" s="114"/>
      <c r="O295" s="114"/>
      <c r="P295" s="114"/>
      <c r="Q295" s="114"/>
      <c r="R295" s="114"/>
      <c r="S295" s="114"/>
    </row>
    <row r="296" spans="1:19" ht="14.1" customHeight="1" x14ac:dyDescent="0.2">
      <c r="A296" s="106"/>
      <c r="B296" s="106"/>
      <c r="C296" s="106"/>
      <c r="D296" s="106"/>
      <c r="E296" s="106"/>
      <c r="F296" s="106"/>
      <c r="G296" s="106"/>
      <c r="H296" s="106"/>
      <c r="I296" s="106"/>
      <c r="J296" s="106"/>
      <c r="K296" s="106"/>
      <c r="L296" s="106"/>
      <c r="M296" s="106"/>
      <c r="N296" s="106"/>
      <c r="O296" s="106"/>
      <c r="P296" s="106"/>
      <c r="Q296" s="106"/>
      <c r="R296" s="106"/>
      <c r="S296" s="106"/>
    </row>
    <row r="297" spans="1:19" ht="14.1" customHeight="1" x14ac:dyDescent="0.2">
      <c r="A297" s="111" t="s">
        <v>54</v>
      </c>
      <c r="B297" s="111"/>
      <c r="C297" s="111"/>
      <c r="D297" s="111"/>
      <c r="E297" s="111"/>
      <c r="F297" s="111"/>
      <c r="G297" s="111"/>
      <c r="H297" s="111"/>
      <c r="I297" s="111"/>
      <c r="J297" s="111"/>
      <c r="K297" s="111"/>
      <c r="L297" s="111"/>
      <c r="M297" s="111"/>
      <c r="N297" s="111"/>
      <c r="O297" s="111"/>
      <c r="P297" s="111"/>
      <c r="Q297" s="111"/>
      <c r="R297" s="111"/>
      <c r="S297" s="111"/>
    </row>
    <row r="298" spans="1:19" ht="12.15" customHeight="1" x14ac:dyDescent="0.2">
      <c r="A298" s="114" t="s">
        <v>962</v>
      </c>
      <c r="B298" s="114"/>
      <c r="C298" s="114"/>
      <c r="D298" s="114"/>
      <c r="E298" s="114"/>
      <c r="F298" s="114"/>
      <c r="G298" s="114"/>
      <c r="H298" s="114"/>
      <c r="I298" s="114"/>
      <c r="J298" s="114"/>
      <c r="K298" s="114"/>
      <c r="L298" s="114"/>
      <c r="M298" s="114"/>
      <c r="N298" s="114"/>
      <c r="O298" s="114"/>
      <c r="P298" s="114"/>
      <c r="Q298" s="114"/>
      <c r="R298" s="114"/>
      <c r="S298" s="114"/>
    </row>
    <row r="299" spans="1:19" ht="14.1" customHeight="1" x14ac:dyDescent="0.2">
      <c r="A299" s="106"/>
      <c r="B299" s="106"/>
      <c r="C299" s="106"/>
      <c r="D299" s="106"/>
      <c r="E299" s="106"/>
      <c r="F299" s="106"/>
      <c r="G299" s="106"/>
      <c r="H299" s="106"/>
      <c r="I299" s="106"/>
      <c r="J299" s="106"/>
      <c r="K299" s="106"/>
      <c r="L299" s="106"/>
      <c r="M299" s="106"/>
      <c r="N299" s="106"/>
      <c r="O299" s="106"/>
      <c r="P299" s="106"/>
      <c r="Q299" s="106"/>
      <c r="R299" s="106"/>
      <c r="S299" s="106"/>
    </row>
    <row r="300" spans="1:19" ht="14.1" customHeight="1" x14ac:dyDescent="0.2">
      <c r="A300" s="111" t="s">
        <v>56</v>
      </c>
      <c r="B300" s="111"/>
      <c r="C300" s="111"/>
      <c r="D300" s="111"/>
      <c r="E300" s="111"/>
      <c r="F300" s="111"/>
      <c r="G300" s="111"/>
      <c r="H300" s="111"/>
      <c r="I300" s="111"/>
      <c r="J300" s="111"/>
      <c r="K300" s="111"/>
      <c r="L300" s="111"/>
      <c r="M300" s="111"/>
      <c r="N300" s="111"/>
      <c r="O300" s="111"/>
      <c r="P300" s="111"/>
      <c r="Q300" s="111"/>
      <c r="R300" s="111"/>
      <c r="S300" s="111"/>
    </row>
    <row r="301" spans="1:19" ht="49.2" customHeight="1" x14ac:dyDescent="0.2">
      <c r="A301" s="114" t="s">
        <v>963</v>
      </c>
      <c r="B301" s="114"/>
      <c r="C301" s="114"/>
      <c r="D301" s="114"/>
      <c r="E301" s="114"/>
      <c r="F301" s="114"/>
      <c r="G301" s="114"/>
      <c r="H301" s="114"/>
      <c r="I301" s="114"/>
      <c r="J301" s="114"/>
      <c r="K301" s="114"/>
      <c r="L301" s="114"/>
      <c r="M301" s="114"/>
      <c r="N301" s="114"/>
      <c r="O301" s="114"/>
      <c r="P301" s="114"/>
      <c r="Q301" s="114"/>
      <c r="R301" s="114"/>
      <c r="S301" s="114"/>
    </row>
  </sheetData>
  <mergeCells count="765">
    <mergeCell ref="A293:S293"/>
    <mergeCell ref="A294:S294"/>
    <mergeCell ref="A295:S295"/>
    <mergeCell ref="A296:S296"/>
    <mergeCell ref="A297:S297"/>
    <mergeCell ref="A298:S298"/>
    <mergeCell ref="A299:S299"/>
    <mergeCell ref="A300:S300"/>
    <mergeCell ref="A301:S301"/>
    <mergeCell ref="A291:D291"/>
    <mergeCell ref="E291:F291"/>
    <mergeCell ref="I291:J291"/>
    <mergeCell ref="L291:M291"/>
    <mergeCell ref="N291:O291"/>
    <mergeCell ref="A292:D292"/>
    <mergeCell ref="E292:F292"/>
    <mergeCell ref="I292:J292"/>
    <mergeCell ref="L292:M292"/>
    <mergeCell ref="N292:O292"/>
    <mergeCell ref="A289:D289"/>
    <mergeCell ref="E289:F289"/>
    <mergeCell ref="I289:J289"/>
    <mergeCell ref="L289:M289"/>
    <mergeCell ref="N289:O289"/>
    <mergeCell ref="A290:D290"/>
    <mergeCell ref="E290:F290"/>
    <mergeCell ref="I290:J290"/>
    <mergeCell ref="L290:M290"/>
    <mergeCell ref="N290:O290"/>
    <mergeCell ref="A287:D287"/>
    <mergeCell ref="E287:F287"/>
    <mergeCell ref="I287:J287"/>
    <mergeCell ref="L287:M287"/>
    <mergeCell ref="N287:O287"/>
    <mergeCell ref="A288:D288"/>
    <mergeCell ref="E288:F288"/>
    <mergeCell ref="I288:J288"/>
    <mergeCell ref="L288:M288"/>
    <mergeCell ref="N288:O288"/>
    <mergeCell ref="A284:N284"/>
    <mergeCell ref="A285:D285"/>
    <mergeCell ref="E285:F285"/>
    <mergeCell ref="I285:J285"/>
    <mergeCell ref="L285:M285"/>
    <mergeCell ref="N285:O285"/>
    <mergeCell ref="A286:D286"/>
    <mergeCell ref="E286:F286"/>
    <mergeCell ref="I286:J286"/>
    <mergeCell ref="L286:M286"/>
    <mergeCell ref="N286:O286"/>
    <mergeCell ref="A280:L280"/>
    <mergeCell ref="M280:N280"/>
    <mergeCell ref="O280:P280"/>
    <mergeCell ref="R280:T280"/>
    <mergeCell ref="A281:L281"/>
    <mergeCell ref="M281:N281"/>
    <mergeCell ref="O281:P281"/>
    <mergeCell ref="R281:T281"/>
    <mergeCell ref="A282:T282"/>
    <mergeCell ref="A277:L277"/>
    <mergeCell ref="M277:N277"/>
    <mergeCell ref="O277:P277"/>
    <mergeCell ref="R277:T277"/>
    <mergeCell ref="A278:L278"/>
    <mergeCell ref="M278:N278"/>
    <mergeCell ref="O278:P278"/>
    <mergeCell ref="R278:T278"/>
    <mergeCell ref="A279:L279"/>
    <mergeCell ref="M279:N279"/>
    <mergeCell ref="O279:P279"/>
    <mergeCell ref="R279:T279"/>
    <mergeCell ref="A273:L275"/>
    <mergeCell ref="M273:T273"/>
    <mergeCell ref="M274:P274"/>
    <mergeCell ref="Q274:T274"/>
    <mergeCell ref="M275:N275"/>
    <mergeCell ref="O275:P275"/>
    <mergeCell ref="R275:T275"/>
    <mergeCell ref="A276:L276"/>
    <mergeCell ref="M276:N276"/>
    <mergeCell ref="O276:P276"/>
    <mergeCell ref="R276:T276"/>
    <mergeCell ref="J264:T264"/>
    <mergeCell ref="B266:R266"/>
    <mergeCell ref="A268:C268"/>
    <mergeCell ref="D268:T268"/>
    <mergeCell ref="A269:B269"/>
    <mergeCell ref="C269:T269"/>
    <mergeCell ref="A270:E270"/>
    <mergeCell ref="F270:T271"/>
    <mergeCell ref="A272:L272"/>
    <mergeCell ref="M272:N272"/>
    <mergeCell ref="O272:P272"/>
    <mergeCell ref="R272:T272"/>
    <mergeCell ref="A260:S260"/>
    <mergeCell ref="A254:S254"/>
    <mergeCell ref="A255:S255"/>
    <mergeCell ref="A256:S256"/>
    <mergeCell ref="A257:S257"/>
    <mergeCell ref="A258:S258"/>
    <mergeCell ref="A259:S259"/>
    <mergeCell ref="A252:D252"/>
    <mergeCell ref="E252:F252"/>
    <mergeCell ref="I252:J252"/>
    <mergeCell ref="L252:M252"/>
    <mergeCell ref="N252:O252"/>
    <mergeCell ref="A253:S253"/>
    <mergeCell ref="A250:D250"/>
    <mergeCell ref="E250:F250"/>
    <mergeCell ref="I250:J250"/>
    <mergeCell ref="L250:M250"/>
    <mergeCell ref="N250:O250"/>
    <mergeCell ref="A251:D251"/>
    <mergeCell ref="E251:F251"/>
    <mergeCell ref="I251:J251"/>
    <mergeCell ref="L251:M251"/>
    <mergeCell ref="N251:O251"/>
    <mergeCell ref="A248:D248"/>
    <mergeCell ref="E248:F248"/>
    <mergeCell ref="I248:J248"/>
    <mergeCell ref="L248:M248"/>
    <mergeCell ref="N248:O248"/>
    <mergeCell ref="A249:D249"/>
    <mergeCell ref="E249:F249"/>
    <mergeCell ref="I249:J249"/>
    <mergeCell ref="L249:M249"/>
    <mergeCell ref="N249:O249"/>
    <mergeCell ref="A246:D246"/>
    <mergeCell ref="E246:F246"/>
    <mergeCell ref="I246:J246"/>
    <mergeCell ref="L246:M246"/>
    <mergeCell ref="N246:O246"/>
    <mergeCell ref="A247:D247"/>
    <mergeCell ref="E247:F247"/>
    <mergeCell ref="I247:J247"/>
    <mergeCell ref="L247:M247"/>
    <mergeCell ref="N247:O247"/>
    <mergeCell ref="A242:T242"/>
    <mergeCell ref="A244:N244"/>
    <mergeCell ref="A245:D245"/>
    <mergeCell ref="E245:F245"/>
    <mergeCell ref="I245:J245"/>
    <mergeCell ref="L245:M245"/>
    <mergeCell ref="N245:O245"/>
    <mergeCell ref="A240:L240"/>
    <mergeCell ref="M240:N240"/>
    <mergeCell ref="O240:P240"/>
    <mergeCell ref="R240:T240"/>
    <mergeCell ref="A241:L241"/>
    <mergeCell ref="M241:N241"/>
    <mergeCell ref="O241:P241"/>
    <mergeCell ref="R241:T241"/>
    <mergeCell ref="A238:L238"/>
    <mergeCell ref="M238:N238"/>
    <mergeCell ref="O238:P238"/>
    <mergeCell ref="R238:T238"/>
    <mergeCell ref="A239:L239"/>
    <mergeCell ref="M239:N239"/>
    <mergeCell ref="O239:P239"/>
    <mergeCell ref="R239:T239"/>
    <mergeCell ref="A236:L236"/>
    <mergeCell ref="M236:N236"/>
    <mergeCell ref="O236:P236"/>
    <mergeCell ref="R236:T236"/>
    <mergeCell ref="A237:L237"/>
    <mergeCell ref="M237:N237"/>
    <mergeCell ref="O237:P237"/>
    <mergeCell ref="R237:T237"/>
    <mergeCell ref="A234:L234"/>
    <mergeCell ref="M234:N234"/>
    <mergeCell ref="O234:P234"/>
    <mergeCell ref="R234:T234"/>
    <mergeCell ref="A235:L235"/>
    <mergeCell ref="M235:N235"/>
    <mergeCell ref="O235:P235"/>
    <mergeCell ref="R235:T235"/>
    <mergeCell ref="A232:L232"/>
    <mergeCell ref="M232:N232"/>
    <mergeCell ref="O232:P232"/>
    <mergeCell ref="R232:T232"/>
    <mergeCell ref="A233:L233"/>
    <mergeCell ref="M233:N233"/>
    <mergeCell ref="O233:P233"/>
    <mergeCell ref="R233:T233"/>
    <mergeCell ref="A230:L230"/>
    <mergeCell ref="M230:N230"/>
    <mergeCell ref="O230:P230"/>
    <mergeCell ref="R230:T230"/>
    <mergeCell ref="A231:L231"/>
    <mergeCell ref="M231:N231"/>
    <mergeCell ref="O231:P231"/>
    <mergeCell ref="R231:T231"/>
    <mergeCell ref="A228:L228"/>
    <mergeCell ref="M228:N228"/>
    <mergeCell ref="O228:P228"/>
    <mergeCell ref="R228:T228"/>
    <mergeCell ref="A229:L229"/>
    <mergeCell ref="M229:N229"/>
    <mergeCell ref="O229:P229"/>
    <mergeCell ref="R229:T229"/>
    <mergeCell ref="A226:L226"/>
    <mergeCell ref="M226:N226"/>
    <mergeCell ref="O226:P226"/>
    <mergeCell ref="R226:T226"/>
    <mergeCell ref="A227:L227"/>
    <mergeCell ref="M227:N227"/>
    <mergeCell ref="O227:P227"/>
    <mergeCell ref="R227:T227"/>
    <mergeCell ref="A224:L224"/>
    <mergeCell ref="M224:N224"/>
    <mergeCell ref="O224:P224"/>
    <mergeCell ref="R224:T224"/>
    <mergeCell ref="A225:L225"/>
    <mergeCell ref="M225:N225"/>
    <mergeCell ref="O225:P225"/>
    <mergeCell ref="R225:T225"/>
    <mergeCell ref="A221:L223"/>
    <mergeCell ref="M221:T221"/>
    <mergeCell ref="M222:P222"/>
    <mergeCell ref="Q222:T222"/>
    <mergeCell ref="M223:N223"/>
    <mergeCell ref="O223:P223"/>
    <mergeCell ref="R223:T223"/>
    <mergeCell ref="A217:B217"/>
    <mergeCell ref="C217:T217"/>
    <mergeCell ref="A218:E218"/>
    <mergeCell ref="F218:T219"/>
    <mergeCell ref="A220:L220"/>
    <mergeCell ref="M220:N220"/>
    <mergeCell ref="O220:P220"/>
    <mergeCell ref="R220:T220"/>
    <mergeCell ref="A208:S208"/>
    <mergeCell ref="A209:S209"/>
    <mergeCell ref="J212:T212"/>
    <mergeCell ref="B214:R214"/>
    <mergeCell ref="A216:C216"/>
    <mergeCell ref="D216:T216"/>
    <mergeCell ref="A202:S202"/>
    <mergeCell ref="A203:S203"/>
    <mergeCell ref="A204:S204"/>
    <mergeCell ref="A205:S205"/>
    <mergeCell ref="A206:S206"/>
    <mergeCell ref="A207:S207"/>
    <mergeCell ref="A200:D200"/>
    <mergeCell ref="E200:F200"/>
    <mergeCell ref="I200:J200"/>
    <mergeCell ref="L200:M200"/>
    <mergeCell ref="N200:O200"/>
    <mergeCell ref="A201:S201"/>
    <mergeCell ref="A198:D198"/>
    <mergeCell ref="E198:F198"/>
    <mergeCell ref="I198:J198"/>
    <mergeCell ref="L198:M198"/>
    <mergeCell ref="N198:O198"/>
    <mergeCell ref="A199:D199"/>
    <mergeCell ref="E199:F199"/>
    <mergeCell ref="I199:J199"/>
    <mergeCell ref="L199:M199"/>
    <mergeCell ref="N199:O199"/>
    <mergeCell ref="A196:D196"/>
    <mergeCell ref="E196:F196"/>
    <mergeCell ref="I196:J196"/>
    <mergeCell ref="L196:M196"/>
    <mergeCell ref="N196:O196"/>
    <mergeCell ref="A197:D197"/>
    <mergeCell ref="E197:F197"/>
    <mergeCell ref="I197:J197"/>
    <mergeCell ref="L197:M197"/>
    <mergeCell ref="N197:O197"/>
    <mergeCell ref="A194:D194"/>
    <mergeCell ref="E194:F194"/>
    <mergeCell ref="I194:J194"/>
    <mergeCell ref="L194:M194"/>
    <mergeCell ref="N194:O194"/>
    <mergeCell ref="A195:D195"/>
    <mergeCell ref="E195:F195"/>
    <mergeCell ref="I195:J195"/>
    <mergeCell ref="L195:M195"/>
    <mergeCell ref="N195:O195"/>
    <mergeCell ref="A190:T190"/>
    <mergeCell ref="A192:N192"/>
    <mergeCell ref="A193:D193"/>
    <mergeCell ref="E193:F193"/>
    <mergeCell ref="I193:J193"/>
    <mergeCell ref="L193:M193"/>
    <mergeCell ref="N193:O193"/>
    <mergeCell ref="A188:L188"/>
    <mergeCell ref="M188:N188"/>
    <mergeCell ref="O188:P188"/>
    <mergeCell ref="R188:T188"/>
    <mergeCell ref="A189:L189"/>
    <mergeCell ref="M189:N189"/>
    <mergeCell ref="O189:P189"/>
    <mergeCell ref="R189:T189"/>
    <mergeCell ref="A186:L186"/>
    <mergeCell ref="M186:N186"/>
    <mergeCell ref="O186:P186"/>
    <mergeCell ref="R186:T186"/>
    <mergeCell ref="A187:L187"/>
    <mergeCell ref="M187:N187"/>
    <mergeCell ref="O187:P187"/>
    <mergeCell ref="R187:T187"/>
    <mergeCell ref="A184:L184"/>
    <mergeCell ref="M184:N184"/>
    <mergeCell ref="O184:P184"/>
    <mergeCell ref="R184:T184"/>
    <mergeCell ref="A185:L185"/>
    <mergeCell ref="M185:N185"/>
    <mergeCell ref="O185:P185"/>
    <mergeCell ref="R185:T185"/>
    <mergeCell ref="A182:L182"/>
    <mergeCell ref="M182:N182"/>
    <mergeCell ref="O182:P182"/>
    <mergeCell ref="R182:T182"/>
    <mergeCell ref="A183:L183"/>
    <mergeCell ref="M183:N183"/>
    <mergeCell ref="O183:P183"/>
    <mergeCell ref="R183:T183"/>
    <mergeCell ref="A180:L180"/>
    <mergeCell ref="M180:N180"/>
    <mergeCell ref="O180:P180"/>
    <mergeCell ref="R180:T180"/>
    <mergeCell ref="A181:L181"/>
    <mergeCell ref="M181:N181"/>
    <mergeCell ref="O181:P181"/>
    <mergeCell ref="R181:T181"/>
    <mergeCell ref="A178:L178"/>
    <mergeCell ref="M178:N178"/>
    <mergeCell ref="O178:P178"/>
    <mergeCell ref="R178:T178"/>
    <mergeCell ref="A179:L179"/>
    <mergeCell ref="M179:N179"/>
    <mergeCell ref="O179:P179"/>
    <mergeCell ref="R179:T179"/>
    <mergeCell ref="A175:L177"/>
    <mergeCell ref="M175:T175"/>
    <mergeCell ref="M176:P176"/>
    <mergeCell ref="Q176:T176"/>
    <mergeCell ref="M177:N177"/>
    <mergeCell ref="O177:P177"/>
    <mergeCell ref="R177:T177"/>
    <mergeCell ref="A171:B171"/>
    <mergeCell ref="C171:T171"/>
    <mergeCell ref="A172:E172"/>
    <mergeCell ref="F172:T173"/>
    <mergeCell ref="A174:L174"/>
    <mergeCell ref="M174:N174"/>
    <mergeCell ref="O174:P174"/>
    <mergeCell ref="R174:T174"/>
    <mergeCell ref="A162:S162"/>
    <mergeCell ref="A163:S163"/>
    <mergeCell ref="A164:S164"/>
    <mergeCell ref="J166:T166"/>
    <mergeCell ref="B168:R168"/>
    <mergeCell ref="A170:C170"/>
    <mergeCell ref="D170:T170"/>
    <mergeCell ref="A156:S156"/>
    <mergeCell ref="A157:S157"/>
    <mergeCell ref="A158:S158"/>
    <mergeCell ref="A159:S159"/>
    <mergeCell ref="A160:S160"/>
    <mergeCell ref="A161:S161"/>
    <mergeCell ref="A154:D154"/>
    <mergeCell ref="E154:F154"/>
    <mergeCell ref="I154:J154"/>
    <mergeCell ref="L154:M154"/>
    <mergeCell ref="N154:O154"/>
    <mergeCell ref="A155:D155"/>
    <mergeCell ref="E155:F155"/>
    <mergeCell ref="I155:J155"/>
    <mergeCell ref="L155:M155"/>
    <mergeCell ref="N155:O155"/>
    <mergeCell ref="A152:D152"/>
    <mergeCell ref="E152:F152"/>
    <mergeCell ref="I152:J152"/>
    <mergeCell ref="L152:M152"/>
    <mergeCell ref="N152:O152"/>
    <mergeCell ref="A153:D153"/>
    <mergeCell ref="E153:F153"/>
    <mergeCell ref="I153:J153"/>
    <mergeCell ref="L153:M153"/>
    <mergeCell ref="N153:O153"/>
    <mergeCell ref="A150:D150"/>
    <mergeCell ref="E150:F150"/>
    <mergeCell ref="I150:J150"/>
    <mergeCell ref="L150:M150"/>
    <mergeCell ref="N150:O150"/>
    <mergeCell ref="A151:D151"/>
    <mergeCell ref="E151:F151"/>
    <mergeCell ref="I151:J151"/>
    <mergeCell ref="L151:M151"/>
    <mergeCell ref="N151:O151"/>
    <mergeCell ref="A148:D148"/>
    <mergeCell ref="E148:F148"/>
    <mergeCell ref="I148:J148"/>
    <mergeCell ref="L148:M148"/>
    <mergeCell ref="N148:O148"/>
    <mergeCell ref="A149:D149"/>
    <mergeCell ref="E149:F149"/>
    <mergeCell ref="I149:J149"/>
    <mergeCell ref="L149:M149"/>
    <mergeCell ref="N149:O149"/>
    <mergeCell ref="A144:L144"/>
    <mergeCell ref="M144:N144"/>
    <mergeCell ref="O144:P144"/>
    <mergeCell ref="R144:T144"/>
    <mergeCell ref="A145:T145"/>
    <mergeCell ref="A147:N147"/>
    <mergeCell ref="A142:L142"/>
    <mergeCell ref="M142:N142"/>
    <mergeCell ref="O142:P142"/>
    <mergeCell ref="R142:T142"/>
    <mergeCell ref="A143:L143"/>
    <mergeCell ref="M143:N143"/>
    <mergeCell ref="O143:P143"/>
    <mergeCell ref="R143:T143"/>
    <mergeCell ref="A140:L140"/>
    <mergeCell ref="M140:N140"/>
    <mergeCell ref="O140:P140"/>
    <mergeCell ref="R140:T140"/>
    <mergeCell ref="A141:L141"/>
    <mergeCell ref="M141:N141"/>
    <mergeCell ref="O141:P141"/>
    <mergeCell ref="R141:T141"/>
    <mergeCell ref="A138:L138"/>
    <mergeCell ref="M138:N138"/>
    <mergeCell ref="O138:P138"/>
    <mergeCell ref="R138:T138"/>
    <mergeCell ref="A139:L139"/>
    <mergeCell ref="M139:N139"/>
    <mergeCell ref="O139:P139"/>
    <mergeCell ref="R139:T139"/>
    <mergeCell ref="A135:L137"/>
    <mergeCell ref="M135:T135"/>
    <mergeCell ref="M136:P136"/>
    <mergeCell ref="Q136:T136"/>
    <mergeCell ref="M137:N137"/>
    <mergeCell ref="O137:P137"/>
    <mergeCell ref="R137:T137"/>
    <mergeCell ref="A131:B131"/>
    <mergeCell ref="C131:T131"/>
    <mergeCell ref="A132:E132"/>
    <mergeCell ref="F132:T133"/>
    <mergeCell ref="A134:L134"/>
    <mergeCell ref="M134:N134"/>
    <mergeCell ref="O134:P134"/>
    <mergeCell ref="R134:T134"/>
    <mergeCell ref="A123:S123"/>
    <mergeCell ref="A124:S124"/>
    <mergeCell ref="A125:S125"/>
    <mergeCell ref="J126:T126"/>
    <mergeCell ref="B128:R128"/>
    <mergeCell ref="A130:C130"/>
    <mergeCell ref="D130:T130"/>
    <mergeCell ref="A117:S117"/>
    <mergeCell ref="A118:S118"/>
    <mergeCell ref="A119:S119"/>
    <mergeCell ref="A120:S120"/>
    <mergeCell ref="A121:S121"/>
    <mergeCell ref="A122:S122"/>
    <mergeCell ref="A115:D115"/>
    <mergeCell ref="E115:F115"/>
    <mergeCell ref="I115:J115"/>
    <mergeCell ref="L115:M115"/>
    <mergeCell ref="N115:O115"/>
    <mergeCell ref="A116:D116"/>
    <mergeCell ref="E116:F116"/>
    <mergeCell ref="I116:J116"/>
    <mergeCell ref="L116:M116"/>
    <mergeCell ref="N116:O116"/>
    <mergeCell ref="A113:D113"/>
    <mergeCell ref="E113:F113"/>
    <mergeCell ref="I113:J113"/>
    <mergeCell ref="L113:M113"/>
    <mergeCell ref="N113:O113"/>
    <mergeCell ref="A114:D114"/>
    <mergeCell ref="E114:F114"/>
    <mergeCell ref="I114:J114"/>
    <mergeCell ref="L114:M114"/>
    <mergeCell ref="N114:O114"/>
    <mergeCell ref="A111:D111"/>
    <mergeCell ref="E111:F111"/>
    <mergeCell ref="I111:J111"/>
    <mergeCell ref="L111:M111"/>
    <mergeCell ref="N111:O111"/>
    <mergeCell ref="A112:D112"/>
    <mergeCell ref="E112:F112"/>
    <mergeCell ref="I112:J112"/>
    <mergeCell ref="L112:M112"/>
    <mergeCell ref="N112:O112"/>
    <mergeCell ref="A109:D109"/>
    <mergeCell ref="E109:F109"/>
    <mergeCell ref="I109:J109"/>
    <mergeCell ref="L109:M109"/>
    <mergeCell ref="N109:O109"/>
    <mergeCell ref="A110:D110"/>
    <mergeCell ref="E110:F110"/>
    <mergeCell ref="I110:J110"/>
    <mergeCell ref="L110:M110"/>
    <mergeCell ref="N110:O110"/>
    <mergeCell ref="A106:T106"/>
    <mergeCell ref="A108:N108"/>
    <mergeCell ref="A103:L103"/>
    <mergeCell ref="M103:N103"/>
    <mergeCell ref="O103:P103"/>
    <mergeCell ref="R103:T103"/>
    <mergeCell ref="A104:L104"/>
    <mergeCell ref="M104:N104"/>
    <mergeCell ref="O104:P104"/>
    <mergeCell ref="R104:T104"/>
    <mergeCell ref="A101:L101"/>
    <mergeCell ref="M101:N101"/>
    <mergeCell ref="O101:P101"/>
    <mergeCell ref="R101:T101"/>
    <mergeCell ref="A102:L102"/>
    <mergeCell ref="M102:N102"/>
    <mergeCell ref="O102:P102"/>
    <mergeCell ref="R102:T102"/>
    <mergeCell ref="A105:L105"/>
    <mergeCell ref="M105:N105"/>
    <mergeCell ref="O105:P105"/>
    <mergeCell ref="R105:T105"/>
    <mergeCell ref="A99:L99"/>
    <mergeCell ref="M99:N99"/>
    <mergeCell ref="O99:P99"/>
    <mergeCell ref="R99:T99"/>
    <mergeCell ref="A100:L100"/>
    <mergeCell ref="M100:N100"/>
    <mergeCell ref="O100:P100"/>
    <mergeCell ref="R100:T100"/>
    <mergeCell ref="A96:L98"/>
    <mergeCell ref="M96:T96"/>
    <mergeCell ref="M97:P97"/>
    <mergeCell ref="Q97:T97"/>
    <mergeCell ref="M98:N98"/>
    <mergeCell ref="O98:P98"/>
    <mergeCell ref="R98:T98"/>
    <mergeCell ref="A92:B92"/>
    <mergeCell ref="C92:T92"/>
    <mergeCell ref="A93:E93"/>
    <mergeCell ref="F93:T94"/>
    <mergeCell ref="A95:L95"/>
    <mergeCell ref="M95:N95"/>
    <mergeCell ref="O95:P95"/>
    <mergeCell ref="R95:T95"/>
    <mergeCell ref="A83:S83"/>
    <mergeCell ref="A84:S84"/>
    <mergeCell ref="A85:S85"/>
    <mergeCell ref="J87:T87"/>
    <mergeCell ref="B89:R89"/>
    <mergeCell ref="A91:C91"/>
    <mergeCell ref="D91:T91"/>
    <mergeCell ref="A77:S77"/>
    <mergeCell ref="A78:S78"/>
    <mergeCell ref="A79:S79"/>
    <mergeCell ref="A80:S80"/>
    <mergeCell ref="A81:S81"/>
    <mergeCell ref="A82:S82"/>
    <mergeCell ref="A75:D75"/>
    <mergeCell ref="E75:F75"/>
    <mergeCell ref="I75:J75"/>
    <mergeCell ref="L75:M75"/>
    <mergeCell ref="N75:O75"/>
    <mergeCell ref="A76:D76"/>
    <mergeCell ref="E76:F76"/>
    <mergeCell ref="I76:J76"/>
    <mergeCell ref="L76:M76"/>
    <mergeCell ref="N76:O76"/>
    <mergeCell ref="A73:D73"/>
    <mergeCell ref="E73:F73"/>
    <mergeCell ref="I73:J73"/>
    <mergeCell ref="L73:M73"/>
    <mergeCell ref="N73:O73"/>
    <mergeCell ref="A74:D74"/>
    <mergeCell ref="E74:F74"/>
    <mergeCell ref="I74:J74"/>
    <mergeCell ref="L74:M74"/>
    <mergeCell ref="N74:O74"/>
    <mergeCell ref="A71:D71"/>
    <mergeCell ref="E71:F71"/>
    <mergeCell ref="I71:J71"/>
    <mergeCell ref="L71:M71"/>
    <mergeCell ref="N71:O71"/>
    <mergeCell ref="A72:D72"/>
    <mergeCell ref="E72:F72"/>
    <mergeCell ref="I72:J72"/>
    <mergeCell ref="L72:M72"/>
    <mergeCell ref="N72:O72"/>
    <mergeCell ref="A69:D69"/>
    <mergeCell ref="E69:F69"/>
    <mergeCell ref="I69:J69"/>
    <mergeCell ref="L69:M69"/>
    <mergeCell ref="N69:O69"/>
    <mergeCell ref="A70:D70"/>
    <mergeCell ref="E70:F70"/>
    <mergeCell ref="I70:J70"/>
    <mergeCell ref="L70:M70"/>
    <mergeCell ref="N70:O70"/>
    <mergeCell ref="A65:L65"/>
    <mergeCell ref="M65:N65"/>
    <mergeCell ref="O65:P65"/>
    <mergeCell ref="R65:T65"/>
    <mergeCell ref="A66:T66"/>
    <mergeCell ref="A68:N68"/>
    <mergeCell ref="A63:L63"/>
    <mergeCell ref="M63:N63"/>
    <mergeCell ref="O63:P63"/>
    <mergeCell ref="R63:T63"/>
    <mergeCell ref="A64:L64"/>
    <mergeCell ref="M64:N64"/>
    <mergeCell ref="O64:P64"/>
    <mergeCell ref="R64:T64"/>
    <mergeCell ref="A61:L61"/>
    <mergeCell ref="M61:N61"/>
    <mergeCell ref="O61:P61"/>
    <mergeCell ref="R61:T61"/>
    <mergeCell ref="A62:L62"/>
    <mergeCell ref="M62:N62"/>
    <mergeCell ref="O62:P62"/>
    <mergeCell ref="R62:T62"/>
    <mergeCell ref="A59:L59"/>
    <mergeCell ref="M59:N59"/>
    <mergeCell ref="O59:P59"/>
    <mergeCell ref="R59:T59"/>
    <mergeCell ref="A60:L60"/>
    <mergeCell ref="M60:N60"/>
    <mergeCell ref="O60:P60"/>
    <mergeCell ref="R60:T60"/>
    <mergeCell ref="A57:L57"/>
    <mergeCell ref="M57:N57"/>
    <mergeCell ref="O57:P57"/>
    <mergeCell ref="R57:T57"/>
    <mergeCell ref="A58:L58"/>
    <mergeCell ref="M58:N58"/>
    <mergeCell ref="O58:P58"/>
    <mergeCell ref="R58:T58"/>
    <mergeCell ref="A55:L55"/>
    <mergeCell ref="M55:N55"/>
    <mergeCell ref="O55:P55"/>
    <mergeCell ref="R55:T55"/>
    <mergeCell ref="A56:L56"/>
    <mergeCell ref="M56:N56"/>
    <mergeCell ref="O56:P56"/>
    <mergeCell ref="R56:T56"/>
    <mergeCell ref="A53:L53"/>
    <mergeCell ref="M53:N53"/>
    <mergeCell ref="O53:P53"/>
    <mergeCell ref="R53:T53"/>
    <mergeCell ref="A54:L54"/>
    <mergeCell ref="M54:N54"/>
    <mergeCell ref="O54:P54"/>
    <mergeCell ref="R54:T54"/>
    <mergeCell ref="A50:L52"/>
    <mergeCell ref="M50:T50"/>
    <mergeCell ref="M51:P51"/>
    <mergeCell ref="Q51:T51"/>
    <mergeCell ref="M52:N52"/>
    <mergeCell ref="O52:P52"/>
    <mergeCell ref="R52:T52"/>
    <mergeCell ref="A46:B46"/>
    <mergeCell ref="C46:T46"/>
    <mergeCell ref="A47:E47"/>
    <mergeCell ref="F47:T48"/>
    <mergeCell ref="A49:L49"/>
    <mergeCell ref="M49:N49"/>
    <mergeCell ref="O49:P49"/>
    <mergeCell ref="R49:T49"/>
    <mergeCell ref="A36:S36"/>
    <mergeCell ref="A37:S37"/>
    <mergeCell ref="A38:S38"/>
    <mergeCell ref="J41:T41"/>
    <mergeCell ref="B43:R43"/>
    <mergeCell ref="A45:C45"/>
    <mergeCell ref="D45:T45"/>
    <mergeCell ref="A30:S30"/>
    <mergeCell ref="A31:S31"/>
    <mergeCell ref="A32:S32"/>
    <mergeCell ref="A33:S33"/>
    <mergeCell ref="A34:S34"/>
    <mergeCell ref="A35:S35"/>
    <mergeCell ref="A28:D28"/>
    <mergeCell ref="E28:F28"/>
    <mergeCell ref="I28:J28"/>
    <mergeCell ref="L28:M28"/>
    <mergeCell ref="N28:O28"/>
    <mergeCell ref="A29:D29"/>
    <mergeCell ref="E29:F29"/>
    <mergeCell ref="I29:J29"/>
    <mergeCell ref="L29:M29"/>
    <mergeCell ref="N29:O29"/>
    <mergeCell ref="A26:D26"/>
    <mergeCell ref="E26:F26"/>
    <mergeCell ref="I26:J26"/>
    <mergeCell ref="L26:M26"/>
    <mergeCell ref="N26:O26"/>
    <mergeCell ref="A27:D27"/>
    <mergeCell ref="E27:F27"/>
    <mergeCell ref="I27:J27"/>
    <mergeCell ref="L27:M27"/>
    <mergeCell ref="N27:O27"/>
    <mergeCell ref="A24:D24"/>
    <mergeCell ref="E24:F24"/>
    <mergeCell ref="I24:J24"/>
    <mergeCell ref="L24:M24"/>
    <mergeCell ref="N24:O24"/>
    <mergeCell ref="A25:D25"/>
    <mergeCell ref="E25:F25"/>
    <mergeCell ref="I25:J25"/>
    <mergeCell ref="L25:M25"/>
    <mergeCell ref="N25:O25"/>
    <mergeCell ref="A22:D22"/>
    <mergeCell ref="E22:F22"/>
    <mergeCell ref="I22:J22"/>
    <mergeCell ref="L22:M22"/>
    <mergeCell ref="N22:O22"/>
    <mergeCell ref="A23:D23"/>
    <mergeCell ref="E23:F23"/>
    <mergeCell ref="I23:J23"/>
    <mergeCell ref="L23:M23"/>
    <mergeCell ref="N23:O23"/>
    <mergeCell ref="A19:T19"/>
    <mergeCell ref="A21:N21"/>
    <mergeCell ref="A17:L17"/>
    <mergeCell ref="M17:N17"/>
    <mergeCell ref="O17:P17"/>
    <mergeCell ref="R17:T17"/>
    <mergeCell ref="A18:L18"/>
    <mergeCell ref="M18:N18"/>
    <mergeCell ref="O18:P18"/>
    <mergeCell ref="R18:T18"/>
    <mergeCell ref="A15:L15"/>
    <mergeCell ref="M15:N15"/>
    <mergeCell ref="O15:P15"/>
    <mergeCell ref="R15:T15"/>
    <mergeCell ref="A16:L16"/>
    <mergeCell ref="M16:N16"/>
    <mergeCell ref="O16:P16"/>
    <mergeCell ref="R16:T16"/>
    <mergeCell ref="A13:L13"/>
    <mergeCell ref="M13:N13"/>
    <mergeCell ref="O13:P13"/>
    <mergeCell ref="R13:T13"/>
    <mergeCell ref="A14:L14"/>
    <mergeCell ref="M14:N14"/>
    <mergeCell ref="O14:P14"/>
    <mergeCell ref="R14:T14"/>
    <mergeCell ref="J1:T1"/>
    <mergeCell ref="B3:R3"/>
    <mergeCell ref="A5:C5"/>
    <mergeCell ref="D5:T5"/>
    <mergeCell ref="A6:B6"/>
    <mergeCell ref="C6:T6"/>
    <mergeCell ref="A10:L12"/>
    <mergeCell ref="M10:T10"/>
    <mergeCell ref="M11:P11"/>
    <mergeCell ref="Q11:T11"/>
    <mergeCell ref="M12:N12"/>
    <mergeCell ref="O12:P12"/>
    <mergeCell ref="R12:T12"/>
    <mergeCell ref="A7:E7"/>
    <mergeCell ref="F7:T8"/>
    <mergeCell ref="A9:L9"/>
    <mergeCell ref="M9:N9"/>
    <mergeCell ref="O9:P9"/>
    <mergeCell ref="R9:T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8"/>
  <sheetViews>
    <sheetView workbookViewId="0">
      <selection activeCell="E110" sqref="E110:F110"/>
    </sheetView>
  </sheetViews>
  <sheetFormatPr defaultRowHeight="10.199999999999999" x14ac:dyDescent="0.2"/>
  <sheetData>
    <row r="1" spans="1:20" s="1" customFormat="1" ht="72.45" customHeight="1" x14ac:dyDescent="0.25">
      <c r="J1" s="100" t="s">
        <v>0</v>
      </c>
      <c r="K1" s="100"/>
      <c r="L1" s="100"/>
      <c r="M1" s="100"/>
      <c r="N1" s="100"/>
      <c r="O1" s="100"/>
      <c r="P1" s="100"/>
      <c r="Q1" s="100"/>
      <c r="R1" s="100"/>
      <c r="S1" s="100"/>
      <c r="T1" s="100"/>
    </row>
    <row r="2" spans="1:20" s="1" customFormat="1" ht="7.05" customHeight="1" x14ac:dyDescent="0.25"/>
    <row r="3" spans="1:20" s="1" customFormat="1" ht="14.1" customHeight="1" x14ac:dyDescent="0.25">
      <c r="B3" s="101" t="s">
        <v>1</v>
      </c>
      <c r="C3" s="101"/>
      <c r="D3" s="101"/>
      <c r="E3" s="101"/>
      <c r="F3" s="101"/>
      <c r="G3" s="101"/>
      <c r="H3" s="101"/>
      <c r="I3" s="101"/>
      <c r="J3" s="101"/>
      <c r="K3" s="101"/>
      <c r="L3" s="101"/>
      <c r="M3" s="101"/>
      <c r="N3" s="101"/>
      <c r="O3" s="101"/>
      <c r="P3" s="101"/>
      <c r="Q3" s="101"/>
      <c r="R3" s="101"/>
    </row>
    <row r="4" spans="1:20" s="1" customFormat="1" ht="14.1" customHeight="1" x14ac:dyDescent="0.25"/>
    <row r="5" spans="1:20" s="1" customFormat="1" ht="14.1" customHeight="1" x14ac:dyDescent="0.25">
      <c r="A5" s="102" t="s">
        <v>2</v>
      </c>
      <c r="B5" s="102"/>
      <c r="C5" s="102"/>
      <c r="D5" s="103" t="s">
        <v>3</v>
      </c>
      <c r="E5" s="103"/>
      <c r="F5" s="103"/>
      <c r="G5" s="103"/>
      <c r="H5" s="103"/>
      <c r="I5" s="103"/>
      <c r="J5" s="103"/>
      <c r="K5" s="103"/>
      <c r="L5" s="103"/>
      <c r="M5" s="103"/>
      <c r="N5" s="103"/>
      <c r="O5" s="103"/>
      <c r="P5" s="103"/>
      <c r="Q5" s="103"/>
      <c r="R5" s="103"/>
      <c r="S5" s="103"/>
      <c r="T5" s="103"/>
    </row>
    <row r="6" spans="1:20" s="1" customFormat="1" ht="14.1" customHeight="1" x14ac:dyDescent="0.25">
      <c r="A6" s="102" t="s">
        <v>4</v>
      </c>
      <c r="B6" s="102"/>
      <c r="C6" s="103" t="s">
        <v>5</v>
      </c>
      <c r="D6" s="103"/>
      <c r="E6" s="103"/>
      <c r="F6" s="103"/>
      <c r="G6" s="103"/>
      <c r="H6" s="103"/>
      <c r="I6" s="103"/>
      <c r="J6" s="103"/>
      <c r="K6" s="103"/>
      <c r="L6" s="103"/>
      <c r="M6" s="103"/>
      <c r="N6" s="103"/>
      <c r="O6" s="103"/>
      <c r="P6" s="103"/>
      <c r="Q6" s="103"/>
      <c r="R6" s="103"/>
      <c r="S6" s="103"/>
      <c r="T6" s="103"/>
    </row>
    <row r="7" spans="1:20" s="1" customFormat="1" ht="14.1" customHeight="1" x14ac:dyDescent="0.25">
      <c r="A7" s="102" t="s">
        <v>6</v>
      </c>
      <c r="B7" s="102"/>
      <c r="C7" s="102"/>
      <c r="D7" s="102"/>
      <c r="E7" s="102"/>
      <c r="F7" s="103" t="s">
        <v>7</v>
      </c>
      <c r="G7" s="103"/>
      <c r="H7" s="103"/>
      <c r="I7" s="103"/>
      <c r="J7" s="103"/>
      <c r="K7" s="103"/>
      <c r="L7" s="103"/>
      <c r="M7" s="103"/>
      <c r="N7" s="103"/>
      <c r="O7" s="103"/>
      <c r="P7" s="103"/>
      <c r="Q7" s="103"/>
      <c r="R7" s="103"/>
      <c r="S7" s="103"/>
      <c r="T7" s="103"/>
    </row>
    <row r="8" spans="1:20" s="1" customFormat="1" ht="22.35" customHeight="1" x14ac:dyDescent="0.25">
      <c r="F8" s="103"/>
      <c r="G8" s="103"/>
      <c r="H8" s="103"/>
      <c r="I8" s="103"/>
      <c r="J8" s="103"/>
      <c r="K8" s="103"/>
      <c r="L8" s="103"/>
      <c r="M8" s="103"/>
      <c r="N8" s="103"/>
      <c r="O8" s="103"/>
      <c r="P8" s="103"/>
      <c r="Q8" s="103"/>
      <c r="R8" s="103"/>
      <c r="S8" s="103"/>
      <c r="T8" s="103"/>
    </row>
    <row r="9" spans="1:20" s="1" customFormat="1" ht="7.05" customHeight="1" x14ac:dyDescent="0.25">
      <c r="A9" s="86"/>
      <c r="B9" s="86"/>
      <c r="C9" s="86"/>
      <c r="D9" s="86"/>
      <c r="E9" s="86"/>
      <c r="F9" s="86"/>
      <c r="G9" s="86"/>
      <c r="H9" s="86"/>
      <c r="I9" s="86"/>
      <c r="J9" s="86"/>
      <c r="K9" s="86"/>
      <c r="L9" s="86"/>
      <c r="M9" s="86"/>
      <c r="N9" s="86"/>
      <c r="O9" s="86"/>
      <c r="P9" s="86"/>
      <c r="Q9" s="16"/>
      <c r="R9" s="86"/>
      <c r="S9" s="86"/>
      <c r="T9" s="86"/>
    </row>
    <row r="10" spans="1:20" s="1" customFormat="1" ht="16.95" customHeight="1" x14ac:dyDescent="0.25">
      <c r="A10" s="94" t="s">
        <v>8</v>
      </c>
      <c r="B10" s="94"/>
      <c r="C10" s="94"/>
      <c r="D10" s="94"/>
      <c r="E10" s="94"/>
      <c r="F10" s="94"/>
      <c r="G10" s="94"/>
      <c r="H10" s="94"/>
      <c r="I10" s="94"/>
      <c r="J10" s="94"/>
      <c r="K10" s="94"/>
      <c r="L10" s="94"/>
      <c r="M10" s="95" t="s">
        <v>9</v>
      </c>
      <c r="N10" s="95"/>
      <c r="O10" s="95"/>
      <c r="P10" s="95"/>
      <c r="Q10" s="95"/>
      <c r="R10" s="95"/>
      <c r="S10" s="95"/>
      <c r="T10" s="95"/>
    </row>
    <row r="11" spans="1:20" s="1" customFormat="1" ht="16.95" customHeight="1" x14ac:dyDescent="0.25">
      <c r="A11" s="94"/>
      <c r="B11" s="94"/>
      <c r="C11" s="94"/>
      <c r="D11" s="94"/>
      <c r="E11" s="94"/>
      <c r="F11" s="94"/>
      <c r="G11" s="94"/>
      <c r="H11" s="94"/>
      <c r="I11" s="94"/>
      <c r="J11" s="94"/>
      <c r="K11" s="94"/>
      <c r="L11" s="94"/>
      <c r="M11" s="96" t="s">
        <v>10</v>
      </c>
      <c r="N11" s="96"/>
      <c r="O11" s="96"/>
      <c r="P11" s="96"/>
      <c r="Q11" s="97" t="s">
        <v>11</v>
      </c>
      <c r="R11" s="97"/>
      <c r="S11" s="97"/>
      <c r="T11" s="97"/>
    </row>
    <row r="12" spans="1:20" s="1" customFormat="1" ht="16.95" customHeight="1" x14ac:dyDescent="0.25">
      <c r="A12" s="94"/>
      <c r="B12" s="94"/>
      <c r="C12" s="94"/>
      <c r="D12" s="94"/>
      <c r="E12" s="94"/>
      <c r="F12" s="94"/>
      <c r="G12" s="94"/>
      <c r="H12" s="94"/>
      <c r="I12" s="94"/>
      <c r="J12" s="94"/>
      <c r="K12" s="94"/>
      <c r="L12" s="94"/>
      <c r="M12" s="98" t="s">
        <v>12</v>
      </c>
      <c r="N12" s="98"/>
      <c r="O12" s="98" t="s">
        <v>13</v>
      </c>
      <c r="P12" s="98"/>
      <c r="Q12" s="13" t="s">
        <v>14</v>
      </c>
      <c r="R12" s="99" t="s">
        <v>15</v>
      </c>
      <c r="S12" s="99"/>
      <c r="T12" s="99"/>
    </row>
    <row r="13" spans="1:20" s="1" customFormat="1" ht="13.35" customHeight="1" x14ac:dyDescent="0.25">
      <c r="A13" s="88" t="s">
        <v>16</v>
      </c>
      <c r="B13" s="88"/>
      <c r="C13" s="88"/>
      <c r="D13" s="88"/>
      <c r="E13" s="88"/>
      <c r="F13" s="88"/>
      <c r="G13" s="88"/>
      <c r="H13" s="88"/>
      <c r="I13" s="88"/>
      <c r="J13" s="88"/>
      <c r="K13" s="88"/>
      <c r="L13" s="88"/>
      <c r="M13" s="88">
        <v>102.63</v>
      </c>
      <c r="N13" s="88"/>
      <c r="O13" s="88">
        <v>101.2</v>
      </c>
      <c r="P13" s="88"/>
      <c r="Q13" s="6">
        <v>8.56</v>
      </c>
      <c r="R13" s="88">
        <v>8.4</v>
      </c>
      <c r="S13" s="88"/>
      <c r="T13" s="88"/>
    </row>
    <row r="14" spans="1:20" s="1" customFormat="1" ht="13.35" customHeight="1" x14ac:dyDescent="0.25">
      <c r="A14" s="88" t="s">
        <v>18</v>
      </c>
      <c r="B14" s="88"/>
      <c r="C14" s="88"/>
      <c r="D14" s="88"/>
      <c r="E14" s="88"/>
      <c r="F14" s="88"/>
      <c r="G14" s="88"/>
      <c r="H14" s="88"/>
      <c r="I14" s="88"/>
      <c r="J14" s="88"/>
      <c r="K14" s="88"/>
      <c r="L14" s="88"/>
      <c r="M14" s="88">
        <f>6*200/150</f>
        <v>8</v>
      </c>
      <c r="N14" s="88"/>
      <c r="O14" s="88">
        <v>8</v>
      </c>
      <c r="P14" s="88"/>
      <c r="Q14" s="6">
        <v>0.8</v>
      </c>
      <c r="R14" s="88">
        <v>0.8</v>
      </c>
      <c r="S14" s="88"/>
      <c r="T14" s="88"/>
    </row>
    <row r="15" spans="1:20" s="1" customFormat="1" ht="13.35" customHeight="1" x14ac:dyDescent="0.25">
      <c r="A15" s="88" t="s">
        <v>21</v>
      </c>
      <c r="B15" s="88"/>
      <c r="C15" s="88"/>
      <c r="D15" s="88"/>
      <c r="E15" s="88"/>
      <c r="F15" s="88"/>
      <c r="G15" s="88"/>
      <c r="H15" s="88"/>
      <c r="I15" s="88"/>
      <c r="J15" s="88"/>
      <c r="K15" s="88"/>
      <c r="L15" s="88"/>
      <c r="M15" s="88">
        <f>10.5*200/150</f>
        <v>14</v>
      </c>
      <c r="N15" s="88"/>
      <c r="O15" s="88">
        <f>9*200/150</f>
        <v>12</v>
      </c>
      <c r="P15" s="88"/>
      <c r="Q15" s="6">
        <v>1.4</v>
      </c>
      <c r="R15" s="88">
        <v>1.2</v>
      </c>
      <c r="S15" s="88"/>
      <c r="T15" s="88"/>
    </row>
    <row r="16" spans="1:20" s="1" customFormat="1" ht="13.35" customHeight="1" x14ac:dyDescent="0.25">
      <c r="A16" s="88" t="s">
        <v>25</v>
      </c>
      <c r="B16" s="88"/>
      <c r="C16" s="88"/>
      <c r="D16" s="88"/>
      <c r="E16" s="88"/>
      <c r="F16" s="88"/>
      <c r="G16" s="88"/>
      <c r="H16" s="88"/>
      <c r="I16" s="88"/>
      <c r="J16" s="88"/>
      <c r="K16" s="88"/>
      <c r="L16" s="88"/>
      <c r="M16" s="88">
        <v>2.33</v>
      </c>
      <c r="N16" s="88"/>
      <c r="O16" s="88">
        <v>2.33</v>
      </c>
      <c r="P16" s="88"/>
      <c r="Q16" s="6">
        <v>0.23300000000000001</v>
      </c>
      <c r="R16" s="88">
        <v>0.23300000000000001</v>
      </c>
      <c r="S16" s="88"/>
      <c r="T16" s="88"/>
    </row>
    <row r="17" spans="1:20" s="1" customFormat="1" ht="13.35" customHeight="1" x14ac:dyDescent="0.25">
      <c r="A17" s="88" t="s">
        <v>28</v>
      </c>
      <c r="B17" s="88"/>
      <c r="C17" s="88"/>
      <c r="D17" s="88"/>
      <c r="E17" s="88"/>
      <c r="F17" s="88"/>
      <c r="G17" s="88"/>
      <c r="H17" s="88"/>
      <c r="I17" s="88"/>
      <c r="J17" s="88"/>
      <c r="K17" s="88"/>
      <c r="L17" s="88"/>
      <c r="M17" s="88">
        <v>4.5</v>
      </c>
      <c r="N17" s="88"/>
      <c r="O17" s="88">
        <v>4.5</v>
      </c>
      <c r="P17" s="88"/>
      <c r="Q17" s="6">
        <v>0.45</v>
      </c>
      <c r="R17" s="88">
        <v>0.45</v>
      </c>
      <c r="S17" s="88"/>
      <c r="T17" s="88"/>
    </row>
    <row r="18" spans="1:20" s="1" customFormat="1" ht="13.35" customHeight="1" x14ac:dyDescent="0.25">
      <c r="A18" s="88" t="s">
        <v>29</v>
      </c>
      <c r="B18" s="88"/>
      <c r="C18" s="88"/>
      <c r="D18" s="88"/>
      <c r="E18" s="88"/>
      <c r="F18" s="88"/>
      <c r="G18" s="88"/>
      <c r="H18" s="88"/>
      <c r="I18" s="88"/>
      <c r="J18" s="88"/>
      <c r="K18" s="88"/>
      <c r="L18" s="88"/>
      <c r="M18" s="88">
        <f>9.9*200/150</f>
        <v>13.2</v>
      </c>
      <c r="N18" s="88"/>
      <c r="O18" s="88">
        <f>9*200/150</f>
        <v>12</v>
      </c>
      <c r="P18" s="88"/>
      <c r="Q18" s="6">
        <v>1.32</v>
      </c>
      <c r="R18" s="88">
        <v>1.2</v>
      </c>
      <c r="S18" s="88"/>
      <c r="T18" s="88"/>
    </row>
    <row r="19" spans="1:20" s="1" customFormat="1" ht="13.35" customHeight="1" x14ac:dyDescent="0.25">
      <c r="A19" s="88" t="s">
        <v>31</v>
      </c>
      <c r="B19" s="88"/>
      <c r="C19" s="88"/>
      <c r="D19" s="88"/>
      <c r="E19" s="88"/>
      <c r="F19" s="88"/>
      <c r="G19" s="88"/>
      <c r="H19" s="88"/>
      <c r="I19" s="88"/>
      <c r="J19" s="88"/>
      <c r="K19" s="88"/>
      <c r="L19" s="88"/>
      <c r="M19" s="88">
        <v>152.9</v>
      </c>
      <c r="N19" s="88"/>
      <c r="O19" s="88">
        <v>114.65</v>
      </c>
      <c r="P19" s="88"/>
      <c r="Q19" s="30">
        <v>15.2</v>
      </c>
      <c r="R19" s="88">
        <v>11.46</v>
      </c>
      <c r="S19" s="88"/>
      <c r="T19" s="88"/>
    </row>
    <row r="20" spans="1:20" s="1" customFormat="1" ht="14.1" customHeight="1" x14ac:dyDescent="0.25">
      <c r="A20" s="90" t="s">
        <v>886</v>
      </c>
      <c r="B20" s="90"/>
      <c r="C20" s="90"/>
      <c r="D20" s="90"/>
      <c r="E20" s="90"/>
      <c r="F20" s="90"/>
      <c r="G20" s="90"/>
      <c r="H20" s="90"/>
      <c r="I20" s="90"/>
      <c r="J20" s="90"/>
      <c r="K20" s="90"/>
      <c r="L20" s="90"/>
      <c r="M20" s="90"/>
      <c r="N20" s="90"/>
      <c r="O20" s="90"/>
      <c r="P20" s="90"/>
      <c r="Q20" s="90"/>
      <c r="R20" s="90"/>
      <c r="S20" s="90"/>
      <c r="T20" s="90"/>
    </row>
    <row r="21" spans="1:20" s="1" customFormat="1" ht="21.3" customHeight="1" x14ac:dyDescent="0.25"/>
    <row r="22" spans="1:20" s="1" customFormat="1" ht="14.1" customHeight="1" x14ac:dyDescent="0.25">
      <c r="A22" s="91" t="s">
        <v>33</v>
      </c>
      <c r="B22" s="91"/>
      <c r="C22" s="91"/>
      <c r="D22" s="91"/>
      <c r="E22" s="91"/>
      <c r="F22" s="91"/>
      <c r="G22" s="91"/>
      <c r="H22" s="91"/>
      <c r="I22" s="91"/>
      <c r="J22" s="91"/>
      <c r="K22" s="91"/>
      <c r="L22" s="91"/>
      <c r="M22" s="91"/>
      <c r="N22" s="91"/>
    </row>
    <row r="23" spans="1:20" s="1" customFormat="1" ht="13.35" customHeight="1" x14ac:dyDescent="0.25">
      <c r="A23" s="88" t="s">
        <v>34</v>
      </c>
      <c r="B23" s="88"/>
      <c r="C23" s="88"/>
      <c r="D23" s="88"/>
      <c r="E23" s="89">
        <v>16.23</v>
      </c>
      <c r="F23" s="89"/>
      <c r="G23" s="17"/>
      <c r="H23" s="6" t="s">
        <v>35</v>
      </c>
      <c r="I23" s="89">
        <v>0.28999999999999998</v>
      </c>
      <c r="J23" s="89"/>
      <c r="K23" s="17"/>
      <c r="L23" s="88" t="s">
        <v>36</v>
      </c>
      <c r="M23" s="88"/>
      <c r="N23" s="89">
        <v>16.48</v>
      </c>
      <c r="O23" s="89"/>
    </row>
    <row r="24" spans="1:20" s="1" customFormat="1" ht="13.35" customHeight="1" x14ac:dyDescent="0.25">
      <c r="A24" s="88" t="s">
        <v>37</v>
      </c>
      <c r="B24" s="88"/>
      <c r="C24" s="88"/>
      <c r="D24" s="88"/>
      <c r="E24" s="89">
        <v>19.32</v>
      </c>
      <c r="F24" s="89"/>
      <c r="G24" s="17"/>
      <c r="H24" s="6" t="s">
        <v>38</v>
      </c>
      <c r="I24" s="89">
        <v>7.8</v>
      </c>
      <c r="J24" s="89"/>
      <c r="K24" s="17"/>
      <c r="L24" s="88" t="s">
        <v>39</v>
      </c>
      <c r="M24" s="88"/>
      <c r="N24" s="89">
        <v>33.33</v>
      </c>
      <c r="O24" s="89"/>
    </row>
    <row r="25" spans="1:20" s="1" customFormat="1" ht="13.35" customHeight="1" x14ac:dyDescent="0.25">
      <c r="A25" s="88" t="s">
        <v>40</v>
      </c>
      <c r="B25" s="88"/>
      <c r="C25" s="88"/>
      <c r="D25" s="88"/>
      <c r="E25" s="89">
        <v>18.96</v>
      </c>
      <c r="F25" s="89"/>
      <c r="G25" s="17"/>
      <c r="H25" s="6" t="s">
        <v>41</v>
      </c>
      <c r="I25" s="89">
        <v>0.01</v>
      </c>
      <c r="J25" s="89"/>
      <c r="K25" s="17"/>
      <c r="L25" s="88" t="s">
        <v>42</v>
      </c>
      <c r="M25" s="88"/>
      <c r="N25" s="89">
        <v>136.75</v>
      </c>
      <c r="O25" s="89"/>
    </row>
    <row r="26" spans="1:20" s="1" customFormat="1" ht="13.35" customHeight="1" x14ac:dyDescent="0.25">
      <c r="A26" s="88" t="s">
        <v>43</v>
      </c>
      <c r="B26" s="88"/>
      <c r="C26" s="88"/>
      <c r="D26" s="88"/>
      <c r="E26" s="89">
        <v>337.15</v>
      </c>
      <c r="F26" s="89"/>
      <c r="G26" s="17"/>
      <c r="H26" s="6" t="s">
        <v>44</v>
      </c>
      <c r="I26" s="89">
        <v>2.65</v>
      </c>
      <c r="J26" s="89"/>
      <c r="K26" s="17"/>
      <c r="L26" s="88" t="s">
        <v>45</v>
      </c>
      <c r="M26" s="88"/>
      <c r="N26" s="89">
        <v>1.83</v>
      </c>
      <c r="O26" s="89"/>
    </row>
    <row r="27" spans="1:20" s="1" customFormat="1" ht="13.35" customHeight="1" x14ac:dyDescent="0.25">
      <c r="A27" s="87"/>
      <c r="B27" s="87"/>
      <c r="C27" s="87"/>
      <c r="D27" s="87"/>
      <c r="E27" s="87"/>
      <c r="F27" s="87"/>
      <c r="G27" s="17"/>
      <c r="H27" s="6" t="s">
        <v>46</v>
      </c>
      <c r="I27" s="89">
        <v>0</v>
      </c>
      <c r="J27" s="89"/>
      <c r="K27" s="17"/>
      <c r="L27" s="88" t="s">
        <v>47</v>
      </c>
      <c r="M27" s="88"/>
      <c r="N27" s="89">
        <v>716.68</v>
      </c>
      <c r="O27" s="89"/>
    </row>
    <row r="28" spans="1:20" s="1" customFormat="1" ht="13.35" customHeight="1" x14ac:dyDescent="0.25">
      <c r="A28" s="87"/>
      <c r="B28" s="87"/>
      <c r="C28" s="87"/>
      <c r="D28" s="87"/>
      <c r="E28" s="87"/>
      <c r="F28" s="87"/>
      <c r="G28" s="17"/>
      <c r="H28" s="6" t="s">
        <v>48</v>
      </c>
      <c r="I28" s="89">
        <v>0.11</v>
      </c>
      <c r="J28" s="89"/>
      <c r="K28" s="17"/>
      <c r="L28" s="88" t="s">
        <v>49</v>
      </c>
      <c r="M28" s="88"/>
      <c r="N28" s="89">
        <v>8.94</v>
      </c>
      <c r="O28" s="89"/>
    </row>
    <row r="29" spans="1:20" s="1" customFormat="1" ht="13.35" customHeight="1" x14ac:dyDescent="0.25">
      <c r="A29" s="87"/>
      <c r="B29" s="87"/>
      <c r="C29" s="87"/>
      <c r="D29" s="87"/>
      <c r="E29" s="87"/>
      <c r="F29" s="87"/>
      <c r="G29" s="17"/>
      <c r="H29" s="17"/>
      <c r="I29" s="87"/>
      <c r="J29" s="87"/>
      <c r="K29" s="17"/>
      <c r="L29" s="88" t="s">
        <v>50</v>
      </c>
      <c r="M29" s="88"/>
      <c r="N29" s="89">
        <v>7.0000000000000007E-2</v>
      </c>
      <c r="O29" s="89"/>
    </row>
    <row r="30" spans="1:20" s="1" customFormat="1" ht="13.35" customHeight="1" x14ac:dyDescent="0.25">
      <c r="A30" s="87"/>
      <c r="B30" s="87"/>
      <c r="C30" s="87"/>
      <c r="D30" s="87"/>
      <c r="E30" s="87"/>
      <c r="F30" s="87"/>
      <c r="G30" s="17"/>
      <c r="H30" s="17"/>
      <c r="I30" s="87"/>
      <c r="J30" s="87"/>
      <c r="K30" s="17"/>
      <c r="L30" s="88" t="s">
        <v>51</v>
      </c>
      <c r="M30" s="88"/>
      <c r="N30" s="89">
        <v>0</v>
      </c>
      <c r="O30" s="89"/>
    </row>
    <row r="31" spans="1:20" s="1" customFormat="1" ht="14.1" customHeight="1" x14ac:dyDescent="0.25">
      <c r="A31" s="86"/>
      <c r="B31" s="86"/>
      <c r="C31" s="86"/>
      <c r="D31" s="86"/>
      <c r="E31" s="86"/>
      <c r="F31" s="86"/>
      <c r="G31" s="86"/>
      <c r="H31" s="86"/>
      <c r="I31" s="86"/>
      <c r="J31" s="86"/>
      <c r="K31" s="86"/>
      <c r="L31" s="86"/>
      <c r="M31" s="86"/>
      <c r="N31" s="86"/>
      <c r="O31" s="86"/>
      <c r="P31" s="86"/>
      <c r="Q31" s="86"/>
      <c r="R31" s="86"/>
      <c r="S31" s="86"/>
    </row>
    <row r="32" spans="1:20" s="1" customFormat="1" ht="14.1" customHeight="1" x14ac:dyDescent="0.25">
      <c r="A32" s="84" t="s">
        <v>52</v>
      </c>
      <c r="B32" s="84"/>
      <c r="C32" s="84"/>
      <c r="D32" s="84"/>
      <c r="E32" s="84"/>
      <c r="F32" s="84"/>
      <c r="G32" s="84"/>
      <c r="H32" s="84"/>
      <c r="I32" s="84"/>
      <c r="J32" s="84"/>
      <c r="K32" s="84"/>
      <c r="L32" s="84"/>
      <c r="M32" s="84"/>
      <c r="N32" s="84"/>
      <c r="O32" s="84"/>
      <c r="P32" s="84"/>
      <c r="Q32" s="84"/>
      <c r="R32" s="84"/>
      <c r="S32" s="84"/>
    </row>
    <row r="33" spans="1:20" s="1" customFormat="1" ht="49.2" customHeight="1" x14ac:dyDescent="0.25">
      <c r="A33" s="85" t="s">
        <v>53</v>
      </c>
      <c r="B33" s="85"/>
      <c r="C33" s="85"/>
      <c r="D33" s="85"/>
      <c r="E33" s="85"/>
      <c r="F33" s="85"/>
      <c r="G33" s="85"/>
      <c r="H33" s="85"/>
      <c r="I33" s="85"/>
      <c r="J33" s="85"/>
      <c r="K33" s="85"/>
      <c r="L33" s="85"/>
      <c r="M33" s="85"/>
      <c r="N33" s="85"/>
      <c r="O33" s="85"/>
      <c r="P33" s="85"/>
      <c r="Q33" s="85"/>
      <c r="R33" s="85"/>
      <c r="S33" s="85"/>
    </row>
    <row r="34" spans="1:20" s="1" customFormat="1" ht="14.1" customHeight="1" x14ac:dyDescent="0.25">
      <c r="A34" s="86"/>
      <c r="B34" s="86"/>
      <c r="C34" s="86"/>
      <c r="D34" s="86"/>
      <c r="E34" s="86"/>
      <c r="F34" s="86"/>
      <c r="G34" s="86"/>
      <c r="H34" s="86"/>
      <c r="I34" s="86"/>
      <c r="J34" s="86"/>
      <c r="K34" s="86"/>
      <c r="L34" s="86"/>
      <c r="M34" s="86"/>
      <c r="N34" s="86"/>
      <c r="O34" s="86"/>
      <c r="P34" s="86"/>
      <c r="Q34" s="86"/>
      <c r="R34" s="86"/>
      <c r="S34" s="86"/>
    </row>
    <row r="35" spans="1:20" s="1" customFormat="1" ht="14.1" customHeight="1" x14ac:dyDescent="0.25">
      <c r="A35" s="84" t="s">
        <v>54</v>
      </c>
      <c r="B35" s="84"/>
      <c r="C35" s="84"/>
      <c r="D35" s="84"/>
      <c r="E35" s="84"/>
      <c r="F35" s="84"/>
      <c r="G35" s="84"/>
      <c r="H35" s="84"/>
      <c r="I35" s="84"/>
      <c r="J35" s="84"/>
      <c r="K35" s="84"/>
      <c r="L35" s="84"/>
      <c r="M35" s="84"/>
      <c r="N35" s="84"/>
      <c r="O35" s="84"/>
      <c r="P35" s="84"/>
      <c r="Q35" s="84"/>
      <c r="R35" s="84"/>
      <c r="S35" s="84"/>
    </row>
    <row r="36" spans="1:20" s="1" customFormat="1" ht="21.6" customHeight="1" x14ac:dyDescent="0.25">
      <c r="A36" s="168" t="s">
        <v>55</v>
      </c>
      <c r="B36" s="168"/>
      <c r="C36" s="168"/>
      <c r="D36" s="168"/>
      <c r="E36" s="168"/>
      <c r="F36" s="168"/>
      <c r="G36" s="168"/>
      <c r="H36" s="168"/>
      <c r="I36" s="168"/>
      <c r="J36" s="168"/>
      <c r="K36" s="168"/>
      <c r="L36" s="168"/>
      <c r="M36" s="168"/>
      <c r="N36" s="168"/>
      <c r="O36" s="168"/>
      <c r="P36" s="168"/>
      <c r="Q36" s="168"/>
      <c r="R36" s="168"/>
      <c r="S36" s="168"/>
    </row>
    <row r="37" spans="1:20" s="1" customFormat="1" ht="14.1" customHeight="1" x14ac:dyDescent="0.25">
      <c r="A37" s="86"/>
      <c r="B37" s="86"/>
      <c r="C37" s="86"/>
      <c r="D37" s="86"/>
      <c r="E37" s="86"/>
      <c r="F37" s="86"/>
      <c r="G37" s="86"/>
      <c r="H37" s="86"/>
      <c r="I37" s="86"/>
      <c r="J37" s="86"/>
      <c r="K37" s="86"/>
      <c r="L37" s="86"/>
      <c r="M37" s="86"/>
      <c r="N37" s="86"/>
      <c r="O37" s="86"/>
      <c r="P37" s="86"/>
      <c r="Q37" s="86"/>
      <c r="R37" s="86"/>
      <c r="S37" s="86"/>
    </row>
    <row r="38" spans="1:20" s="1" customFormat="1" ht="14.1" customHeight="1" x14ac:dyDescent="0.25">
      <c r="A38" s="84" t="s">
        <v>56</v>
      </c>
      <c r="B38" s="84"/>
      <c r="C38" s="84"/>
      <c r="D38" s="84"/>
      <c r="E38" s="84"/>
      <c r="F38" s="84"/>
      <c r="G38" s="84"/>
      <c r="H38" s="84"/>
      <c r="I38" s="84"/>
      <c r="J38" s="84"/>
      <c r="K38" s="84"/>
      <c r="L38" s="84"/>
      <c r="M38" s="84"/>
      <c r="N38" s="84"/>
      <c r="O38" s="84"/>
      <c r="P38" s="84"/>
      <c r="Q38" s="84"/>
      <c r="R38" s="84"/>
      <c r="S38" s="84"/>
    </row>
    <row r="39" spans="1:20" s="1" customFormat="1" ht="40.049999999999997" customHeight="1" x14ac:dyDescent="0.25">
      <c r="A39" s="85" t="s">
        <v>57</v>
      </c>
      <c r="B39" s="85"/>
      <c r="C39" s="85"/>
      <c r="D39" s="85"/>
      <c r="E39" s="85"/>
      <c r="F39" s="85"/>
      <c r="G39" s="85"/>
      <c r="H39" s="85"/>
      <c r="I39" s="85"/>
      <c r="J39" s="85"/>
      <c r="K39" s="85"/>
      <c r="L39" s="85"/>
      <c r="M39" s="85"/>
      <c r="N39" s="85"/>
      <c r="O39" s="85"/>
      <c r="P39" s="85"/>
      <c r="Q39" s="85"/>
      <c r="R39" s="85"/>
      <c r="S39" s="85"/>
    </row>
    <row r="41" spans="1:20" ht="72.45" customHeight="1" x14ac:dyDescent="0.2">
      <c r="J41" s="151" t="s">
        <v>0</v>
      </c>
      <c r="K41" s="151"/>
      <c r="L41" s="151"/>
      <c r="M41" s="151"/>
      <c r="N41" s="151"/>
      <c r="O41" s="151"/>
      <c r="P41" s="151"/>
      <c r="Q41" s="151"/>
      <c r="R41" s="151"/>
      <c r="S41" s="151"/>
      <c r="T41" s="151"/>
    </row>
    <row r="42" spans="1:20" ht="7.05" customHeight="1" x14ac:dyDescent="0.2"/>
    <row r="43" spans="1:20" ht="14.1" customHeight="1" x14ac:dyDescent="0.2">
      <c r="B43" s="130" t="s">
        <v>890</v>
      </c>
      <c r="C43" s="130"/>
      <c r="D43" s="130"/>
      <c r="E43" s="130"/>
      <c r="F43" s="130"/>
      <c r="G43" s="130"/>
      <c r="H43" s="130"/>
      <c r="I43" s="130"/>
      <c r="J43" s="130"/>
      <c r="K43" s="130"/>
      <c r="L43" s="130"/>
      <c r="M43" s="130"/>
      <c r="N43" s="130"/>
      <c r="O43" s="130"/>
      <c r="P43" s="130"/>
      <c r="Q43" s="130"/>
      <c r="R43" s="130"/>
    </row>
    <row r="44" spans="1:20" ht="14.1" customHeight="1" x14ac:dyDescent="0.2"/>
    <row r="45" spans="1:20" ht="14.1" customHeight="1" x14ac:dyDescent="0.2">
      <c r="A45" s="120" t="s">
        <v>2</v>
      </c>
      <c r="B45" s="120"/>
      <c r="C45" s="120"/>
      <c r="D45" s="129" t="s">
        <v>891</v>
      </c>
      <c r="E45" s="129"/>
      <c r="F45" s="129"/>
      <c r="G45" s="129"/>
      <c r="H45" s="129"/>
      <c r="I45" s="129"/>
      <c r="J45" s="129"/>
      <c r="K45" s="129"/>
      <c r="L45" s="129"/>
      <c r="M45" s="129"/>
      <c r="N45" s="129"/>
      <c r="O45" s="129"/>
      <c r="P45" s="129"/>
      <c r="Q45" s="129"/>
      <c r="R45" s="129"/>
      <c r="S45" s="129"/>
      <c r="T45" s="129"/>
    </row>
    <row r="46" spans="1:20" ht="14.1" customHeight="1" x14ac:dyDescent="0.2">
      <c r="A46" s="120" t="s">
        <v>4</v>
      </c>
      <c r="B46" s="120"/>
      <c r="C46" s="129" t="s">
        <v>892</v>
      </c>
      <c r="D46" s="129"/>
      <c r="E46" s="129"/>
      <c r="F46" s="129"/>
      <c r="G46" s="129"/>
      <c r="H46" s="129"/>
      <c r="I46" s="129"/>
      <c r="J46" s="129"/>
      <c r="K46" s="129"/>
      <c r="L46" s="129"/>
      <c r="M46" s="129"/>
      <c r="N46" s="129"/>
      <c r="O46" s="129"/>
      <c r="P46" s="129"/>
      <c r="Q46" s="129"/>
      <c r="R46" s="129"/>
      <c r="S46" s="129"/>
      <c r="T46" s="129"/>
    </row>
    <row r="47" spans="1:20" ht="14.1" customHeight="1" x14ac:dyDescent="0.2">
      <c r="A47" s="120" t="s">
        <v>6</v>
      </c>
      <c r="B47" s="120"/>
      <c r="C47" s="120"/>
      <c r="D47" s="120"/>
      <c r="E47" s="120"/>
      <c r="F47" s="129" t="s">
        <v>75</v>
      </c>
      <c r="G47" s="129"/>
      <c r="H47" s="129"/>
      <c r="I47" s="129"/>
      <c r="J47" s="129"/>
      <c r="K47" s="129"/>
      <c r="L47" s="129"/>
      <c r="M47" s="129"/>
      <c r="N47" s="129"/>
      <c r="O47" s="129"/>
      <c r="P47" s="129"/>
      <c r="Q47" s="129"/>
      <c r="R47" s="129"/>
      <c r="S47" s="129"/>
      <c r="T47" s="129"/>
    </row>
    <row r="48" spans="1:20" ht="1.35" customHeight="1" x14ac:dyDescent="0.2"/>
    <row r="49" spans="1:20" s="43" customFormat="1" ht="13.2" x14ac:dyDescent="0.25">
      <c r="A49" s="134" t="s">
        <v>704</v>
      </c>
      <c r="B49" s="169"/>
      <c r="C49" s="169"/>
      <c r="D49" s="169"/>
      <c r="E49" s="169"/>
      <c r="F49" s="169"/>
      <c r="G49" s="169"/>
      <c r="H49" s="169"/>
      <c r="I49" s="169"/>
      <c r="J49" s="169"/>
      <c r="K49" s="169"/>
      <c r="L49" s="169"/>
      <c r="M49" s="169"/>
      <c r="N49" s="169"/>
      <c r="O49" s="169"/>
      <c r="P49" s="169"/>
      <c r="Q49" s="169"/>
      <c r="R49" s="169"/>
      <c r="S49" s="169"/>
    </row>
    <row r="50" spans="1:20" s="43" customFormat="1" ht="34.950000000000003" customHeight="1" x14ac:dyDescent="0.25">
      <c r="A50" s="134" t="s">
        <v>893</v>
      </c>
      <c r="B50" s="170"/>
      <c r="C50" s="170"/>
      <c r="D50" s="170"/>
      <c r="E50" s="170"/>
      <c r="F50" s="170"/>
      <c r="G50" s="170"/>
      <c r="H50" s="170"/>
      <c r="I50" s="170"/>
      <c r="J50" s="170"/>
      <c r="K50" s="170"/>
      <c r="L50" s="170"/>
      <c r="M50" s="170"/>
      <c r="N50" s="170"/>
      <c r="O50" s="170"/>
      <c r="P50" s="170"/>
      <c r="Q50" s="170"/>
      <c r="R50" s="170"/>
      <c r="S50" s="170"/>
    </row>
    <row r="51" spans="1:20" ht="7.05" customHeight="1" x14ac:dyDescent="0.2">
      <c r="A51" s="120"/>
      <c r="B51" s="120"/>
      <c r="C51" s="120"/>
      <c r="D51" s="120"/>
      <c r="E51" s="120"/>
      <c r="F51" s="120"/>
      <c r="G51" s="120"/>
      <c r="H51" s="120"/>
      <c r="I51" s="120"/>
      <c r="J51" s="120"/>
      <c r="K51" s="120"/>
      <c r="L51" s="120"/>
      <c r="M51" s="120"/>
      <c r="N51" s="120"/>
      <c r="O51" s="120"/>
      <c r="P51" s="120"/>
      <c r="Q51" s="44"/>
      <c r="R51" s="120"/>
      <c r="S51" s="120"/>
      <c r="T51" s="120"/>
    </row>
    <row r="52" spans="1:20" ht="16.95" customHeight="1" x14ac:dyDescent="0.2">
      <c r="A52" s="128" t="s">
        <v>8</v>
      </c>
      <c r="B52" s="128"/>
      <c r="C52" s="128"/>
      <c r="D52" s="128"/>
      <c r="E52" s="128"/>
      <c r="F52" s="128"/>
      <c r="G52" s="128"/>
      <c r="H52" s="128"/>
      <c r="I52" s="128"/>
      <c r="J52" s="128"/>
      <c r="K52" s="128"/>
      <c r="L52" s="128"/>
      <c r="M52" s="128" t="s">
        <v>9</v>
      </c>
      <c r="N52" s="128"/>
      <c r="O52" s="128"/>
      <c r="P52" s="128"/>
      <c r="Q52" s="128"/>
      <c r="R52" s="128"/>
      <c r="S52" s="128"/>
      <c r="T52" s="128"/>
    </row>
    <row r="53" spans="1:20" ht="16.95" customHeight="1" x14ac:dyDescent="0.2">
      <c r="A53" s="128"/>
      <c r="B53" s="128"/>
      <c r="C53" s="128"/>
      <c r="D53" s="128"/>
      <c r="E53" s="128"/>
      <c r="F53" s="128"/>
      <c r="G53" s="128"/>
      <c r="H53" s="128"/>
      <c r="I53" s="128"/>
      <c r="J53" s="128"/>
      <c r="K53" s="128"/>
      <c r="L53" s="128"/>
      <c r="M53" s="128" t="s">
        <v>10</v>
      </c>
      <c r="N53" s="128"/>
      <c r="O53" s="128"/>
      <c r="P53" s="128"/>
      <c r="Q53" s="128" t="s">
        <v>11</v>
      </c>
      <c r="R53" s="128"/>
      <c r="S53" s="128"/>
      <c r="T53" s="128"/>
    </row>
    <row r="54" spans="1:20" ht="16.95" customHeight="1" x14ac:dyDescent="0.2">
      <c r="A54" s="128"/>
      <c r="B54" s="128"/>
      <c r="C54" s="128"/>
      <c r="D54" s="128"/>
      <c r="E54" s="128"/>
      <c r="F54" s="128"/>
      <c r="G54" s="128"/>
      <c r="H54" s="128"/>
      <c r="I54" s="128"/>
      <c r="J54" s="128"/>
      <c r="K54" s="128"/>
      <c r="L54" s="128"/>
      <c r="M54" s="128" t="s">
        <v>12</v>
      </c>
      <c r="N54" s="128"/>
      <c r="O54" s="128" t="s">
        <v>13</v>
      </c>
      <c r="P54" s="128"/>
      <c r="Q54" s="45" t="s">
        <v>14</v>
      </c>
      <c r="R54" s="128" t="s">
        <v>15</v>
      </c>
      <c r="S54" s="128"/>
      <c r="T54" s="128"/>
    </row>
    <row r="55" spans="1:20" ht="13.35" customHeight="1" x14ac:dyDescent="0.2">
      <c r="A55" s="124" t="s">
        <v>894</v>
      </c>
      <c r="B55" s="124"/>
      <c r="C55" s="124"/>
      <c r="D55" s="124"/>
      <c r="E55" s="124"/>
      <c r="F55" s="124"/>
      <c r="G55" s="124"/>
      <c r="H55" s="124"/>
      <c r="I55" s="124"/>
      <c r="J55" s="124"/>
      <c r="K55" s="124"/>
      <c r="L55" s="124"/>
      <c r="M55" s="124">
        <v>70.2</v>
      </c>
      <c r="N55" s="124"/>
      <c r="O55" s="124">
        <f>48*200/150</f>
        <v>64</v>
      </c>
      <c r="P55" s="124"/>
      <c r="Q55" s="46">
        <v>7.02</v>
      </c>
      <c r="R55" s="124">
        <v>6.4</v>
      </c>
      <c r="S55" s="124"/>
      <c r="T55" s="124"/>
    </row>
    <row r="56" spans="1:20" ht="13.35" customHeight="1" x14ac:dyDescent="0.2">
      <c r="A56" s="124" t="s">
        <v>31</v>
      </c>
      <c r="B56" s="124"/>
      <c r="C56" s="124"/>
      <c r="D56" s="124"/>
      <c r="E56" s="124"/>
      <c r="F56" s="124"/>
      <c r="G56" s="124"/>
      <c r="H56" s="124"/>
      <c r="I56" s="124"/>
      <c r="J56" s="124"/>
      <c r="K56" s="124"/>
      <c r="L56" s="124"/>
      <c r="M56" s="124">
        <v>131.4</v>
      </c>
      <c r="N56" s="124"/>
      <c r="O56" s="124">
        <f>69*200/150</f>
        <v>92</v>
      </c>
      <c r="P56" s="124"/>
      <c r="Q56" s="46">
        <v>13.14</v>
      </c>
      <c r="R56" s="124">
        <v>9.1999999999999993</v>
      </c>
      <c r="S56" s="124"/>
      <c r="T56" s="124"/>
    </row>
    <row r="57" spans="1:20" ht="13.35" customHeight="1" x14ac:dyDescent="0.2">
      <c r="A57" s="124" t="s">
        <v>100</v>
      </c>
      <c r="B57" s="124"/>
      <c r="C57" s="124"/>
      <c r="D57" s="124"/>
      <c r="E57" s="124"/>
      <c r="F57" s="124"/>
      <c r="G57" s="124"/>
      <c r="H57" s="124"/>
      <c r="I57" s="124"/>
      <c r="J57" s="124"/>
      <c r="K57" s="124"/>
      <c r="L57" s="124"/>
      <c r="M57" s="124">
        <v>37.5</v>
      </c>
      <c r="N57" s="124"/>
      <c r="O57" s="124">
        <f>22.5*200/150</f>
        <v>30</v>
      </c>
      <c r="P57" s="124"/>
      <c r="Q57" s="46" t="s">
        <v>895</v>
      </c>
      <c r="R57" s="124" t="s">
        <v>270</v>
      </c>
      <c r="S57" s="124"/>
      <c r="T57" s="124"/>
    </row>
    <row r="58" spans="1:20" ht="13.35" customHeight="1" x14ac:dyDescent="0.2">
      <c r="A58" s="124" t="s">
        <v>21</v>
      </c>
      <c r="B58" s="124"/>
      <c r="C58" s="124"/>
      <c r="D58" s="124"/>
      <c r="E58" s="124"/>
      <c r="F58" s="124"/>
      <c r="G58" s="124"/>
      <c r="H58" s="124"/>
      <c r="I58" s="124"/>
      <c r="J58" s="124"/>
      <c r="K58" s="124"/>
      <c r="L58" s="124"/>
      <c r="M58" s="124">
        <f>30*200/150</f>
        <v>40</v>
      </c>
      <c r="N58" s="124"/>
      <c r="O58" s="124">
        <f>25.2*200/150</f>
        <v>33.6</v>
      </c>
      <c r="P58" s="124"/>
      <c r="Q58" s="46">
        <v>4</v>
      </c>
      <c r="R58" s="124">
        <v>3.36</v>
      </c>
      <c r="S58" s="124"/>
      <c r="T58" s="124"/>
    </row>
    <row r="59" spans="1:20" ht="13.35" customHeight="1" x14ac:dyDescent="0.2">
      <c r="A59" s="124" t="s">
        <v>84</v>
      </c>
      <c r="B59" s="124"/>
      <c r="C59" s="124"/>
      <c r="D59" s="124"/>
      <c r="E59" s="124"/>
      <c r="F59" s="124"/>
      <c r="G59" s="124"/>
      <c r="H59" s="124"/>
      <c r="I59" s="124"/>
      <c r="J59" s="124"/>
      <c r="K59" s="124"/>
      <c r="L59" s="124"/>
      <c r="M59" s="124" t="s">
        <v>896</v>
      </c>
      <c r="N59" s="124"/>
      <c r="O59" s="124" t="s">
        <v>480</v>
      </c>
      <c r="P59" s="124"/>
      <c r="Q59" s="46" t="s">
        <v>897</v>
      </c>
      <c r="R59" s="124" t="s">
        <v>198</v>
      </c>
      <c r="S59" s="124"/>
      <c r="T59" s="124"/>
    </row>
    <row r="60" spans="1:20" ht="13.35" customHeight="1" x14ac:dyDescent="0.2">
      <c r="A60" s="124" t="s">
        <v>18</v>
      </c>
      <c r="B60" s="124"/>
      <c r="C60" s="124"/>
      <c r="D60" s="124"/>
      <c r="E60" s="124"/>
      <c r="F60" s="124"/>
      <c r="G60" s="124"/>
      <c r="H60" s="124"/>
      <c r="I60" s="124"/>
      <c r="J60" s="124"/>
      <c r="K60" s="124"/>
      <c r="L60" s="124"/>
      <c r="M60" s="124">
        <f>2.4*200/150</f>
        <v>3.2</v>
      </c>
      <c r="N60" s="124"/>
      <c r="O60" s="124">
        <v>3.2</v>
      </c>
      <c r="P60" s="124"/>
      <c r="Q60" s="46">
        <v>0.32</v>
      </c>
      <c r="R60" s="124">
        <v>0.32</v>
      </c>
      <c r="S60" s="124"/>
      <c r="T60" s="124"/>
    </row>
    <row r="61" spans="1:20" ht="13.35" customHeight="1" x14ac:dyDescent="0.2">
      <c r="A61" s="124" t="s">
        <v>61</v>
      </c>
      <c r="B61" s="124"/>
      <c r="C61" s="124"/>
      <c r="D61" s="124"/>
      <c r="E61" s="124"/>
      <c r="F61" s="124"/>
      <c r="G61" s="124"/>
      <c r="H61" s="124"/>
      <c r="I61" s="124"/>
      <c r="J61" s="124"/>
      <c r="K61" s="124"/>
      <c r="L61" s="124"/>
      <c r="M61" s="124">
        <v>6.9</v>
      </c>
      <c r="N61" s="124"/>
      <c r="O61" s="124">
        <v>6.9</v>
      </c>
      <c r="P61" s="124"/>
      <c r="Q61" s="46">
        <v>0.69</v>
      </c>
      <c r="R61" s="124">
        <v>0.69</v>
      </c>
      <c r="S61" s="124"/>
      <c r="T61" s="124"/>
    </row>
    <row r="62" spans="1:20" ht="13.35" customHeight="1" x14ac:dyDescent="0.2">
      <c r="A62" s="124" t="s">
        <v>67</v>
      </c>
      <c r="B62" s="124"/>
      <c r="C62" s="124"/>
      <c r="D62" s="124"/>
      <c r="E62" s="124"/>
      <c r="F62" s="124"/>
      <c r="G62" s="124"/>
      <c r="H62" s="124"/>
      <c r="I62" s="124"/>
      <c r="J62" s="124"/>
      <c r="K62" s="124"/>
      <c r="L62" s="124"/>
      <c r="M62" s="124">
        <f>3.6*200/150</f>
        <v>4.8</v>
      </c>
      <c r="N62" s="124"/>
      <c r="O62" s="124">
        <v>4.8</v>
      </c>
      <c r="P62" s="124"/>
      <c r="Q62" s="46">
        <v>0.48</v>
      </c>
      <c r="R62" s="124">
        <v>0.48</v>
      </c>
      <c r="S62" s="124"/>
      <c r="T62" s="124"/>
    </row>
    <row r="63" spans="1:20" ht="14.1" customHeight="1" x14ac:dyDescent="0.2">
      <c r="A63" s="126" t="s">
        <v>116</v>
      </c>
      <c r="B63" s="126"/>
      <c r="C63" s="126"/>
      <c r="D63" s="126"/>
      <c r="E63" s="126"/>
      <c r="F63" s="126"/>
      <c r="G63" s="126"/>
      <c r="H63" s="126"/>
      <c r="I63" s="126"/>
      <c r="J63" s="126"/>
      <c r="K63" s="126"/>
      <c r="L63" s="126"/>
      <c r="M63" s="126"/>
      <c r="N63" s="126"/>
      <c r="O63" s="126"/>
      <c r="P63" s="126"/>
      <c r="Q63" s="126"/>
      <c r="R63" s="126"/>
      <c r="S63" s="126"/>
      <c r="T63" s="126"/>
    </row>
    <row r="64" spans="1:20" ht="14.1" customHeight="1" x14ac:dyDescent="0.2"/>
    <row r="65" spans="1:19" ht="14.1" customHeight="1" x14ac:dyDescent="0.2">
      <c r="A65" s="121" t="s">
        <v>33</v>
      </c>
      <c r="B65" s="121"/>
      <c r="C65" s="121"/>
      <c r="D65" s="121"/>
      <c r="E65" s="121"/>
      <c r="F65" s="121"/>
      <c r="G65" s="121"/>
      <c r="H65" s="121"/>
      <c r="I65" s="121"/>
      <c r="J65" s="121"/>
      <c r="K65" s="121"/>
      <c r="L65" s="121"/>
      <c r="M65" s="121"/>
      <c r="N65" s="121"/>
    </row>
    <row r="66" spans="1:19" ht="13.35" customHeight="1" x14ac:dyDescent="0.2">
      <c r="A66" s="124" t="s">
        <v>34</v>
      </c>
      <c r="B66" s="124"/>
      <c r="C66" s="124"/>
      <c r="D66" s="124"/>
      <c r="E66" s="125">
        <v>9.11</v>
      </c>
      <c r="F66" s="125"/>
      <c r="G66" s="47"/>
      <c r="H66" s="46" t="s">
        <v>35</v>
      </c>
      <c r="I66" s="125">
        <v>0.12</v>
      </c>
      <c r="J66" s="125"/>
      <c r="K66" s="47"/>
      <c r="L66" s="124" t="s">
        <v>36</v>
      </c>
      <c r="M66" s="124"/>
      <c r="N66" s="125">
        <v>42.07</v>
      </c>
      <c r="O66" s="125"/>
    </row>
    <row r="67" spans="1:19" ht="13.35" customHeight="1" x14ac:dyDescent="0.2">
      <c r="A67" s="124" t="s">
        <v>37</v>
      </c>
      <c r="B67" s="124"/>
      <c r="C67" s="124"/>
      <c r="D67" s="124"/>
      <c r="E67" s="125">
        <v>12.31</v>
      </c>
      <c r="F67" s="125"/>
      <c r="G67" s="47"/>
      <c r="H67" s="46" t="s">
        <v>38</v>
      </c>
      <c r="I67" s="125">
        <v>11.28</v>
      </c>
      <c r="J67" s="125"/>
      <c r="K67" s="47"/>
      <c r="L67" s="124" t="s">
        <v>39</v>
      </c>
      <c r="M67" s="124"/>
      <c r="N67" s="125">
        <v>39.409999999999997</v>
      </c>
      <c r="O67" s="125"/>
    </row>
    <row r="68" spans="1:19" ht="13.35" customHeight="1" x14ac:dyDescent="0.2">
      <c r="A68" s="124" t="s">
        <v>40</v>
      </c>
      <c r="B68" s="124"/>
      <c r="C68" s="124"/>
      <c r="D68" s="124"/>
      <c r="E68" s="125">
        <f>18.6*200/150</f>
        <v>24.800000000000004</v>
      </c>
      <c r="F68" s="125"/>
      <c r="G68" s="47"/>
      <c r="H68" s="46" t="s">
        <v>41</v>
      </c>
      <c r="I68" s="125">
        <v>0.5</v>
      </c>
      <c r="J68" s="125"/>
      <c r="K68" s="47"/>
      <c r="L68" s="124" t="s">
        <v>42</v>
      </c>
      <c r="M68" s="124"/>
      <c r="N68" s="125">
        <v>150.08000000000001</v>
      </c>
      <c r="O68" s="125"/>
    </row>
    <row r="69" spans="1:19" ht="13.35" customHeight="1" x14ac:dyDescent="0.2">
      <c r="A69" s="124" t="s">
        <v>43</v>
      </c>
      <c r="B69" s="124"/>
      <c r="C69" s="124"/>
      <c r="D69" s="124"/>
      <c r="E69" s="125">
        <f>215.09*200/150</f>
        <v>286.78666666666669</v>
      </c>
      <c r="F69" s="125"/>
      <c r="G69" s="47"/>
      <c r="H69" s="46" t="s">
        <v>44</v>
      </c>
      <c r="I69" s="125">
        <v>1.49</v>
      </c>
      <c r="J69" s="125"/>
      <c r="K69" s="47"/>
      <c r="L69" s="124" t="s">
        <v>45</v>
      </c>
      <c r="M69" s="124"/>
      <c r="N69" s="125">
        <v>2.2200000000000002</v>
      </c>
      <c r="O69" s="125"/>
    </row>
    <row r="70" spans="1:19" ht="13.35" customHeight="1" x14ac:dyDescent="0.2">
      <c r="A70" s="123"/>
      <c r="B70" s="123"/>
      <c r="C70" s="123"/>
      <c r="D70" s="123"/>
      <c r="E70" s="123"/>
      <c r="F70" s="123"/>
      <c r="G70" s="47"/>
      <c r="H70" s="46" t="s">
        <v>46</v>
      </c>
      <c r="I70" s="125">
        <v>0.08</v>
      </c>
      <c r="J70" s="125"/>
      <c r="K70" s="47"/>
      <c r="L70" s="124" t="s">
        <v>47</v>
      </c>
      <c r="M70" s="124"/>
      <c r="N70" s="125">
        <v>627.5</v>
      </c>
      <c r="O70" s="125"/>
    </row>
    <row r="71" spans="1:19" ht="13.35" customHeight="1" x14ac:dyDescent="0.2">
      <c r="A71" s="123"/>
      <c r="B71" s="123"/>
      <c r="C71" s="123"/>
      <c r="D71" s="123"/>
      <c r="E71" s="123"/>
      <c r="F71" s="123"/>
      <c r="G71" s="47"/>
      <c r="H71" s="46" t="s">
        <v>48</v>
      </c>
      <c r="I71" s="125">
        <v>0.16</v>
      </c>
      <c r="J71" s="125"/>
      <c r="K71" s="47"/>
      <c r="L71" s="124" t="s">
        <v>49</v>
      </c>
      <c r="M71" s="124"/>
      <c r="N71" s="125">
        <v>8.8800000000000008</v>
      </c>
      <c r="O71" s="125"/>
    </row>
    <row r="72" spans="1:19" ht="13.35" customHeight="1" x14ac:dyDescent="0.2">
      <c r="A72" s="123"/>
      <c r="B72" s="123"/>
      <c r="C72" s="123"/>
      <c r="D72" s="123"/>
      <c r="E72" s="123"/>
      <c r="F72" s="123"/>
      <c r="G72" s="47"/>
      <c r="H72" s="47"/>
      <c r="I72" s="123"/>
      <c r="J72" s="123"/>
      <c r="K72" s="47"/>
      <c r="L72" s="124" t="s">
        <v>50</v>
      </c>
      <c r="M72" s="124"/>
      <c r="N72" s="125">
        <v>0.09</v>
      </c>
      <c r="O72" s="125"/>
    </row>
    <row r="73" spans="1:19" ht="13.35" customHeight="1" x14ac:dyDescent="0.2">
      <c r="A73" s="123"/>
      <c r="B73" s="123"/>
      <c r="C73" s="123"/>
      <c r="D73" s="123"/>
      <c r="E73" s="123"/>
      <c r="F73" s="123"/>
      <c r="G73" s="47"/>
      <c r="H73" s="47"/>
      <c r="I73" s="123"/>
      <c r="J73" s="123"/>
      <c r="K73" s="47"/>
      <c r="L73" s="124" t="s">
        <v>51</v>
      </c>
      <c r="M73" s="124"/>
      <c r="N73" s="125">
        <v>0.01</v>
      </c>
      <c r="O73" s="125"/>
    </row>
    <row r="74" spans="1:19" ht="14.1" customHeight="1" x14ac:dyDescent="0.2">
      <c r="A74" s="120"/>
      <c r="B74" s="120"/>
      <c r="C74" s="120"/>
      <c r="D74" s="120"/>
      <c r="E74" s="120"/>
      <c r="F74" s="120"/>
      <c r="G74" s="120"/>
      <c r="H74" s="120"/>
      <c r="I74" s="120"/>
      <c r="J74" s="120"/>
      <c r="K74" s="120"/>
      <c r="L74" s="120"/>
      <c r="M74" s="120"/>
      <c r="N74" s="120"/>
      <c r="O74" s="120"/>
      <c r="P74" s="120"/>
      <c r="Q74" s="120"/>
      <c r="R74" s="120"/>
      <c r="S74" s="120"/>
    </row>
    <row r="75" spans="1:19" ht="14.1" customHeight="1" x14ac:dyDescent="0.2">
      <c r="A75" s="121" t="s">
        <v>52</v>
      </c>
      <c r="B75" s="121"/>
      <c r="C75" s="121"/>
      <c r="D75" s="121"/>
      <c r="E75" s="121"/>
      <c r="F75" s="121"/>
      <c r="G75" s="121"/>
      <c r="H75" s="121"/>
      <c r="I75" s="121"/>
      <c r="J75" s="121"/>
      <c r="K75" s="121"/>
      <c r="L75" s="121"/>
      <c r="M75" s="121"/>
      <c r="N75" s="121"/>
      <c r="O75" s="121"/>
      <c r="P75" s="121"/>
      <c r="Q75" s="121"/>
      <c r="R75" s="121"/>
      <c r="S75" s="121"/>
    </row>
    <row r="76" spans="1:19" ht="40.049999999999997" customHeight="1" x14ac:dyDescent="0.2">
      <c r="A76" s="122" t="s">
        <v>898</v>
      </c>
      <c r="B76" s="122"/>
      <c r="C76" s="122"/>
      <c r="D76" s="122"/>
      <c r="E76" s="122"/>
      <c r="F76" s="122"/>
      <c r="G76" s="122"/>
      <c r="H76" s="122"/>
      <c r="I76" s="122"/>
      <c r="J76" s="122"/>
      <c r="K76" s="122"/>
      <c r="L76" s="122"/>
      <c r="M76" s="122"/>
      <c r="N76" s="122"/>
      <c r="O76" s="122"/>
      <c r="P76" s="122"/>
      <c r="Q76" s="122"/>
      <c r="R76" s="122"/>
      <c r="S76" s="122"/>
    </row>
    <row r="77" spans="1:19" ht="14.1" customHeight="1" x14ac:dyDescent="0.2">
      <c r="A77" s="120"/>
      <c r="B77" s="120"/>
      <c r="C77" s="120"/>
      <c r="D77" s="120"/>
      <c r="E77" s="120"/>
      <c r="F77" s="120"/>
      <c r="G77" s="120"/>
      <c r="H77" s="120"/>
      <c r="I77" s="120"/>
      <c r="J77" s="120"/>
      <c r="K77" s="120"/>
      <c r="L77" s="120"/>
      <c r="M77" s="120"/>
      <c r="N77" s="120"/>
      <c r="O77" s="120"/>
      <c r="P77" s="120"/>
      <c r="Q77" s="120"/>
      <c r="R77" s="120"/>
      <c r="S77" s="120"/>
    </row>
    <row r="78" spans="1:19" ht="14.1" customHeight="1" x14ac:dyDescent="0.2">
      <c r="A78" s="121" t="s">
        <v>54</v>
      </c>
      <c r="B78" s="121"/>
      <c r="C78" s="121"/>
      <c r="D78" s="121"/>
      <c r="E78" s="121"/>
      <c r="F78" s="121"/>
      <c r="G78" s="121"/>
      <c r="H78" s="121"/>
      <c r="I78" s="121"/>
      <c r="J78" s="121"/>
      <c r="K78" s="121"/>
      <c r="L78" s="121"/>
      <c r="M78" s="121"/>
      <c r="N78" s="121"/>
      <c r="O78" s="121"/>
      <c r="P78" s="121"/>
      <c r="Q78" s="121"/>
      <c r="R78" s="121"/>
      <c r="S78" s="121"/>
    </row>
    <row r="79" spans="1:19" ht="12.15" customHeight="1" x14ac:dyDescent="0.2">
      <c r="A79" s="122" t="s">
        <v>899</v>
      </c>
      <c r="B79" s="122"/>
      <c r="C79" s="122"/>
      <c r="D79" s="122"/>
      <c r="E79" s="122"/>
      <c r="F79" s="122"/>
      <c r="G79" s="122"/>
      <c r="H79" s="122"/>
      <c r="I79" s="122"/>
      <c r="J79" s="122"/>
      <c r="K79" s="122"/>
      <c r="L79" s="122"/>
      <c r="M79" s="122"/>
      <c r="N79" s="122"/>
      <c r="O79" s="122"/>
      <c r="P79" s="122"/>
      <c r="Q79" s="122"/>
      <c r="R79" s="122"/>
      <c r="S79" s="122"/>
    </row>
    <row r="80" spans="1:19" ht="14.1" customHeight="1" x14ac:dyDescent="0.2">
      <c r="A80" s="120"/>
      <c r="B80" s="120"/>
      <c r="C80" s="120"/>
      <c r="D80" s="120"/>
      <c r="E80" s="120"/>
      <c r="F80" s="120"/>
      <c r="G80" s="120"/>
      <c r="H80" s="120"/>
      <c r="I80" s="120"/>
      <c r="J80" s="120"/>
      <c r="K80" s="120"/>
      <c r="L80" s="120"/>
      <c r="M80" s="120"/>
      <c r="N80" s="120"/>
      <c r="O80" s="120"/>
      <c r="P80" s="120"/>
      <c r="Q80" s="120"/>
      <c r="R80" s="120"/>
      <c r="S80" s="120"/>
    </row>
    <row r="81" spans="1:20" ht="14.1" customHeight="1" x14ac:dyDescent="0.2">
      <c r="A81" s="121" t="s">
        <v>56</v>
      </c>
      <c r="B81" s="121"/>
      <c r="C81" s="121"/>
      <c r="D81" s="121"/>
      <c r="E81" s="121"/>
      <c r="F81" s="121"/>
      <c r="G81" s="121"/>
      <c r="H81" s="121"/>
      <c r="I81" s="121"/>
      <c r="J81" s="121"/>
      <c r="K81" s="121"/>
      <c r="L81" s="121"/>
      <c r="M81" s="121"/>
      <c r="N81" s="121"/>
      <c r="O81" s="121"/>
      <c r="P81" s="121"/>
      <c r="Q81" s="121"/>
      <c r="R81" s="121"/>
      <c r="S81" s="121"/>
    </row>
    <row r="82" spans="1:20" ht="58.5" customHeight="1" x14ac:dyDescent="0.2">
      <c r="A82" s="122" t="s">
        <v>900</v>
      </c>
      <c r="B82" s="122"/>
      <c r="C82" s="122"/>
      <c r="D82" s="122"/>
      <c r="E82" s="122"/>
      <c r="F82" s="122"/>
      <c r="G82" s="122"/>
      <c r="H82" s="122"/>
      <c r="I82" s="122"/>
      <c r="J82" s="122"/>
      <c r="K82" s="122"/>
      <c r="L82" s="122"/>
      <c r="M82" s="122"/>
      <c r="N82" s="122"/>
      <c r="O82" s="122"/>
      <c r="P82" s="122"/>
      <c r="Q82" s="122"/>
      <c r="R82" s="122"/>
      <c r="S82" s="122"/>
    </row>
    <row r="84" spans="1:20" s="1" customFormat="1" ht="72.45" customHeight="1" x14ac:dyDescent="0.25">
      <c r="J84" s="100" t="s">
        <v>0</v>
      </c>
      <c r="K84" s="100"/>
      <c r="L84" s="100"/>
      <c r="M84" s="100"/>
      <c r="N84" s="100"/>
      <c r="O84" s="100"/>
      <c r="P84" s="100"/>
      <c r="Q84" s="100"/>
      <c r="R84" s="100"/>
      <c r="S84" s="100"/>
      <c r="T84" s="100"/>
    </row>
    <row r="85" spans="1:20" s="1" customFormat="1" ht="7.05" customHeight="1" x14ac:dyDescent="0.25"/>
    <row r="86" spans="1:20" s="1" customFormat="1" ht="14.1" customHeight="1" x14ac:dyDescent="0.25">
      <c r="B86" s="101" t="s">
        <v>173</v>
      </c>
      <c r="C86" s="101"/>
      <c r="D86" s="101"/>
      <c r="E86" s="101"/>
      <c r="F86" s="101"/>
      <c r="G86" s="101"/>
      <c r="H86" s="101"/>
      <c r="I86" s="101"/>
      <c r="J86" s="101"/>
      <c r="K86" s="101"/>
      <c r="L86" s="101"/>
      <c r="M86" s="101"/>
      <c r="N86" s="101"/>
      <c r="O86" s="101"/>
      <c r="P86" s="101"/>
      <c r="Q86" s="101"/>
      <c r="R86" s="101"/>
    </row>
    <row r="87" spans="1:20" s="1" customFormat="1" ht="14.1" customHeight="1" x14ac:dyDescent="0.25"/>
    <row r="88" spans="1:20" s="1" customFormat="1" ht="14.1" customHeight="1" x14ac:dyDescent="0.25">
      <c r="A88" s="102" t="s">
        <v>2</v>
      </c>
      <c r="B88" s="102"/>
      <c r="C88" s="102"/>
      <c r="D88" s="103" t="s">
        <v>174</v>
      </c>
      <c r="E88" s="103"/>
      <c r="F88" s="103"/>
      <c r="G88" s="103"/>
      <c r="H88" s="103"/>
      <c r="I88" s="103"/>
      <c r="J88" s="103"/>
      <c r="K88" s="103"/>
      <c r="L88" s="103"/>
      <c r="M88" s="103"/>
      <c r="N88" s="103"/>
      <c r="O88" s="103"/>
      <c r="P88" s="103"/>
      <c r="Q88" s="103"/>
      <c r="R88" s="103"/>
      <c r="S88" s="103"/>
      <c r="T88" s="103"/>
    </row>
    <row r="89" spans="1:20" s="1" customFormat="1" ht="14.1" customHeight="1" x14ac:dyDescent="0.25">
      <c r="A89" s="102" t="s">
        <v>4</v>
      </c>
      <c r="B89" s="102"/>
      <c r="C89" s="103" t="s">
        <v>175</v>
      </c>
      <c r="D89" s="103"/>
      <c r="E89" s="103"/>
      <c r="F89" s="103"/>
      <c r="G89" s="103"/>
      <c r="H89" s="103"/>
      <c r="I89" s="103"/>
      <c r="J89" s="103"/>
      <c r="K89" s="103"/>
      <c r="L89" s="103"/>
      <c r="M89" s="103"/>
      <c r="N89" s="103"/>
      <c r="O89" s="103"/>
      <c r="P89" s="103"/>
      <c r="Q89" s="103"/>
      <c r="R89" s="103"/>
      <c r="S89" s="103"/>
      <c r="T89" s="103"/>
    </row>
    <row r="90" spans="1:20" s="1" customFormat="1" ht="14.1" customHeight="1" x14ac:dyDescent="0.25">
      <c r="A90" s="102" t="s">
        <v>6</v>
      </c>
      <c r="B90" s="102"/>
      <c r="C90" s="102"/>
      <c r="D90" s="102"/>
      <c r="E90" s="102"/>
      <c r="F90" s="103" t="s">
        <v>60</v>
      </c>
      <c r="G90" s="103"/>
      <c r="H90" s="103"/>
      <c r="I90" s="103"/>
      <c r="J90" s="103"/>
      <c r="K90" s="103"/>
      <c r="L90" s="103"/>
      <c r="M90" s="103"/>
      <c r="N90" s="103"/>
      <c r="O90" s="103"/>
      <c r="P90" s="103"/>
      <c r="Q90" s="103"/>
      <c r="R90" s="103"/>
      <c r="S90" s="103"/>
      <c r="T90" s="103"/>
    </row>
    <row r="91" spans="1:20" s="1" customFormat="1" ht="22.35" customHeight="1" x14ac:dyDescent="0.25">
      <c r="F91" s="103"/>
      <c r="G91" s="103"/>
      <c r="H91" s="103"/>
      <c r="I91" s="103"/>
      <c r="J91" s="103"/>
      <c r="K91" s="103"/>
      <c r="L91" s="103"/>
      <c r="M91" s="103"/>
      <c r="N91" s="103"/>
      <c r="O91" s="103"/>
      <c r="P91" s="103"/>
      <c r="Q91" s="103"/>
      <c r="R91" s="103"/>
      <c r="S91" s="103"/>
      <c r="T91" s="103"/>
    </row>
    <row r="92" spans="1:20" s="1" customFormat="1" ht="7.05" customHeight="1" x14ac:dyDescent="0.25">
      <c r="A92" s="86"/>
      <c r="B92" s="86"/>
      <c r="C92" s="86"/>
      <c r="D92" s="86"/>
      <c r="E92" s="86"/>
      <c r="F92" s="86"/>
      <c r="G92" s="86"/>
      <c r="H92" s="86"/>
      <c r="I92" s="86"/>
      <c r="J92" s="86"/>
      <c r="K92" s="86"/>
      <c r="L92" s="86"/>
      <c r="M92" s="86"/>
      <c r="N92" s="86"/>
      <c r="O92" s="86"/>
      <c r="P92" s="86"/>
      <c r="Q92" s="16"/>
      <c r="R92" s="86"/>
      <c r="S92" s="86"/>
      <c r="T92" s="86"/>
    </row>
    <row r="93" spans="1:20" s="1" customFormat="1" ht="16.95" customHeight="1" x14ac:dyDescent="0.25">
      <c r="A93" s="94" t="s">
        <v>8</v>
      </c>
      <c r="B93" s="94"/>
      <c r="C93" s="94"/>
      <c r="D93" s="94"/>
      <c r="E93" s="94"/>
      <c r="F93" s="94"/>
      <c r="G93" s="94"/>
      <c r="H93" s="94"/>
      <c r="I93" s="94"/>
      <c r="J93" s="94"/>
      <c r="K93" s="94"/>
      <c r="L93" s="94"/>
      <c r="M93" s="95" t="s">
        <v>9</v>
      </c>
      <c r="N93" s="95"/>
      <c r="O93" s="95"/>
      <c r="P93" s="95"/>
      <c r="Q93" s="95"/>
      <c r="R93" s="95"/>
      <c r="S93" s="95"/>
      <c r="T93" s="95"/>
    </row>
    <row r="94" spans="1:20" s="1" customFormat="1" ht="16.95" customHeight="1" x14ac:dyDescent="0.25">
      <c r="A94" s="94"/>
      <c r="B94" s="94"/>
      <c r="C94" s="94"/>
      <c r="D94" s="94"/>
      <c r="E94" s="94"/>
      <c r="F94" s="94"/>
      <c r="G94" s="94"/>
      <c r="H94" s="94"/>
      <c r="I94" s="94"/>
      <c r="J94" s="94"/>
      <c r="K94" s="94"/>
      <c r="L94" s="94"/>
      <c r="M94" s="96" t="s">
        <v>10</v>
      </c>
      <c r="N94" s="96"/>
      <c r="O94" s="96"/>
      <c r="P94" s="96"/>
      <c r="Q94" s="97" t="s">
        <v>11</v>
      </c>
      <c r="R94" s="97"/>
      <c r="S94" s="97"/>
      <c r="T94" s="97"/>
    </row>
    <row r="95" spans="1:20" s="1" customFormat="1" ht="16.95" customHeight="1" x14ac:dyDescent="0.25">
      <c r="A95" s="94"/>
      <c r="B95" s="94"/>
      <c r="C95" s="94"/>
      <c r="D95" s="94"/>
      <c r="E95" s="94"/>
      <c r="F95" s="94"/>
      <c r="G95" s="94"/>
      <c r="H95" s="94"/>
      <c r="I95" s="94"/>
      <c r="J95" s="94"/>
      <c r="K95" s="94"/>
      <c r="L95" s="94"/>
      <c r="M95" s="98" t="s">
        <v>12</v>
      </c>
      <c r="N95" s="98"/>
      <c r="O95" s="98" t="s">
        <v>13</v>
      </c>
      <c r="P95" s="98"/>
      <c r="Q95" s="13" t="s">
        <v>14</v>
      </c>
      <c r="R95" s="99" t="s">
        <v>15</v>
      </c>
      <c r="S95" s="99"/>
      <c r="T95" s="99"/>
    </row>
    <row r="96" spans="1:20" s="1" customFormat="1" ht="13.35" customHeight="1" x14ac:dyDescent="0.25">
      <c r="A96" s="88" t="s">
        <v>16</v>
      </c>
      <c r="B96" s="88"/>
      <c r="C96" s="88"/>
      <c r="D96" s="88"/>
      <c r="E96" s="88"/>
      <c r="F96" s="88"/>
      <c r="G96" s="88"/>
      <c r="H96" s="88"/>
      <c r="I96" s="88"/>
      <c r="J96" s="88"/>
      <c r="K96" s="88"/>
      <c r="L96" s="88"/>
      <c r="M96" s="88">
        <v>139.19</v>
      </c>
      <c r="N96" s="88"/>
      <c r="O96" s="88">
        <v>118.39</v>
      </c>
      <c r="P96" s="88"/>
      <c r="Q96" s="6">
        <v>13.91</v>
      </c>
      <c r="R96" s="88">
        <v>11.84</v>
      </c>
      <c r="S96" s="88"/>
      <c r="T96" s="88"/>
    </row>
    <row r="97" spans="1:20" s="1" customFormat="1" ht="13.35" customHeight="1" x14ac:dyDescent="0.25">
      <c r="A97" s="88" t="s">
        <v>61</v>
      </c>
      <c r="B97" s="88"/>
      <c r="C97" s="88"/>
      <c r="D97" s="88"/>
      <c r="E97" s="88"/>
      <c r="F97" s="88"/>
      <c r="G97" s="88"/>
      <c r="H97" s="88"/>
      <c r="I97" s="88"/>
      <c r="J97" s="88"/>
      <c r="K97" s="88"/>
      <c r="L97" s="88"/>
      <c r="M97" s="88">
        <v>3.29</v>
      </c>
      <c r="N97" s="88"/>
      <c r="O97" s="88">
        <v>3.29</v>
      </c>
      <c r="P97" s="88"/>
      <c r="Q97" s="6">
        <v>0.32900000000000001</v>
      </c>
      <c r="R97" s="88">
        <v>0.32900000000000001</v>
      </c>
      <c r="S97" s="88"/>
      <c r="T97" s="88"/>
    </row>
    <row r="98" spans="1:20" s="1" customFormat="1" ht="13.35" customHeight="1" x14ac:dyDescent="0.25">
      <c r="A98" s="88" t="s">
        <v>31</v>
      </c>
      <c r="B98" s="88"/>
      <c r="C98" s="88"/>
      <c r="D98" s="88"/>
      <c r="E98" s="88"/>
      <c r="F98" s="88"/>
      <c r="G98" s="88"/>
      <c r="H98" s="88"/>
      <c r="I98" s="88"/>
      <c r="J98" s="88"/>
      <c r="K98" s="88"/>
      <c r="L98" s="88"/>
      <c r="M98" s="88">
        <f>129.2*200/170</f>
        <v>151.99999999999997</v>
      </c>
      <c r="N98" s="88"/>
      <c r="O98" s="88">
        <v>114.28</v>
      </c>
      <c r="P98" s="88"/>
      <c r="Q98" s="23">
        <v>15.2</v>
      </c>
      <c r="R98" s="88">
        <v>11.43</v>
      </c>
      <c r="S98" s="88"/>
      <c r="T98" s="88"/>
    </row>
    <row r="99" spans="1:20" s="1" customFormat="1" ht="13.35" customHeight="1" x14ac:dyDescent="0.25">
      <c r="A99" s="88" t="s">
        <v>21</v>
      </c>
      <c r="B99" s="88"/>
      <c r="C99" s="88"/>
      <c r="D99" s="88"/>
      <c r="E99" s="88"/>
      <c r="F99" s="88"/>
      <c r="G99" s="88"/>
      <c r="H99" s="88"/>
      <c r="I99" s="88"/>
      <c r="J99" s="88"/>
      <c r="K99" s="88"/>
      <c r="L99" s="88"/>
      <c r="M99" s="88">
        <v>13.72</v>
      </c>
      <c r="N99" s="88"/>
      <c r="O99" s="88">
        <v>11.42</v>
      </c>
      <c r="P99" s="88"/>
      <c r="Q99" s="6">
        <v>1.37</v>
      </c>
      <c r="R99" s="88">
        <v>1.1399999999999999</v>
      </c>
      <c r="S99" s="88"/>
      <c r="T99" s="88"/>
    </row>
    <row r="100" spans="1:20" s="1" customFormat="1" ht="13.35" customHeight="1" x14ac:dyDescent="0.25">
      <c r="A100" s="88" t="s">
        <v>126</v>
      </c>
      <c r="B100" s="88"/>
      <c r="C100" s="88"/>
      <c r="D100" s="88"/>
      <c r="E100" s="88"/>
      <c r="F100" s="88"/>
      <c r="G100" s="88"/>
      <c r="H100" s="88"/>
      <c r="I100" s="88"/>
      <c r="J100" s="88"/>
      <c r="K100" s="88"/>
      <c r="L100" s="88"/>
      <c r="M100" s="88">
        <v>6.8</v>
      </c>
      <c r="N100" s="88"/>
      <c r="O100" s="88">
        <v>6.8</v>
      </c>
      <c r="P100" s="88"/>
      <c r="Q100" s="6">
        <v>0.68</v>
      </c>
      <c r="R100" s="88">
        <v>0.68</v>
      </c>
      <c r="S100" s="88"/>
      <c r="T100" s="88"/>
    </row>
    <row r="101" spans="1:20" s="1" customFormat="1" ht="13.35" customHeight="1" x14ac:dyDescent="0.25">
      <c r="A101" s="88" t="s">
        <v>70</v>
      </c>
      <c r="B101" s="88"/>
      <c r="C101" s="88"/>
      <c r="D101" s="88"/>
      <c r="E101" s="88"/>
      <c r="F101" s="88"/>
      <c r="G101" s="88"/>
      <c r="H101" s="88"/>
      <c r="I101" s="88"/>
      <c r="J101" s="88"/>
      <c r="K101" s="88"/>
      <c r="L101" s="88"/>
      <c r="M101" s="88">
        <v>1.8</v>
      </c>
      <c r="N101" s="88"/>
      <c r="O101" s="88">
        <v>1.8</v>
      </c>
      <c r="P101" s="88"/>
      <c r="Q101" s="6">
        <v>0.18</v>
      </c>
      <c r="R101" s="88">
        <v>0.18</v>
      </c>
      <c r="S101" s="88"/>
      <c r="T101" s="88"/>
    </row>
    <row r="102" spans="1:20" s="1" customFormat="1" ht="13.35" customHeight="1" x14ac:dyDescent="0.25">
      <c r="A102" s="88" t="s">
        <v>18</v>
      </c>
      <c r="B102" s="88"/>
      <c r="C102" s="88"/>
      <c r="D102" s="88"/>
      <c r="E102" s="88"/>
      <c r="F102" s="88"/>
      <c r="G102" s="88"/>
      <c r="H102" s="88"/>
      <c r="I102" s="88"/>
      <c r="J102" s="88"/>
      <c r="K102" s="88"/>
      <c r="L102" s="88"/>
      <c r="M102" s="88">
        <v>3.5</v>
      </c>
      <c r="N102" s="88"/>
      <c r="O102" s="88">
        <v>3.5</v>
      </c>
      <c r="P102" s="88"/>
      <c r="Q102" s="6">
        <v>0.35</v>
      </c>
      <c r="R102" s="88">
        <v>0.35</v>
      </c>
      <c r="S102" s="88"/>
      <c r="T102" s="88"/>
    </row>
    <row r="103" spans="1:20" s="1" customFormat="1" ht="14.1" customHeight="1" x14ac:dyDescent="0.25">
      <c r="A103" s="90" t="s">
        <v>815</v>
      </c>
      <c r="B103" s="90"/>
      <c r="C103" s="90"/>
      <c r="D103" s="90"/>
      <c r="E103" s="90"/>
      <c r="F103" s="90"/>
      <c r="G103" s="90"/>
      <c r="H103" s="90"/>
      <c r="I103" s="90"/>
      <c r="J103" s="90"/>
      <c r="K103" s="90"/>
      <c r="L103" s="90"/>
      <c r="M103" s="90"/>
      <c r="N103" s="90"/>
      <c r="O103" s="90"/>
      <c r="P103" s="90"/>
      <c r="Q103" s="90"/>
      <c r="R103" s="90"/>
      <c r="S103" s="90"/>
      <c r="T103" s="90"/>
    </row>
    <row r="104" spans="1:20" s="1" customFormat="1" ht="21.3" customHeight="1" x14ac:dyDescent="0.25"/>
    <row r="105" spans="1:20" s="1" customFormat="1" ht="14.1" customHeight="1" x14ac:dyDescent="0.25">
      <c r="A105" s="91" t="s">
        <v>33</v>
      </c>
      <c r="B105" s="91"/>
      <c r="C105" s="91"/>
      <c r="D105" s="91"/>
      <c r="E105" s="91"/>
      <c r="F105" s="91"/>
      <c r="G105" s="91"/>
      <c r="H105" s="91"/>
      <c r="I105" s="91"/>
      <c r="J105" s="91"/>
      <c r="K105" s="91"/>
      <c r="L105" s="91"/>
      <c r="M105" s="91"/>
      <c r="N105" s="91"/>
    </row>
    <row r="106" spans="1:20" s="1" customFormat="1" ht="13.35" customHeight="1" x14ac:dyDescent="0.25">
      <c r="A106" s="88" t="s">
        <v>34</v>
      </c>
      <c r="B106" s="88"/>
      <c r="C106" s="88"/>
      <c r="D106" s="88"/>
      <c r="E106" s="89">
        <f>11.95*200/170</f>
        <v>14.058823529411764</v>
      </c>
      <c r="F106" s="89"/>
      <c r="G106" s="17"/>
      <c r="H106" s="6" t="s">
        <v>35</v>
      </c>
      <c r="I106" s="89">
        <v>0.35</v>
      </c>
      <c r="J106" s="89"/>
      <c r="K106" s="17"/>
      <c r="L106" s="88" t="s">
        <v>36</v>
      </c>
      <c r="M106" s="88"/>
      <c r="N106" s="89">
        <v>25.94</v>
      </c>
      <c r="O106" s="89"/>
    </row>
    <row r="107" spans="1:20" s="1" customFormat="1" ht="13.35" customHeight="1" x14ac:dyDescent="0.25">
      <c r="A107" s="88" t="s">
        <v>37</v>
      </c>
      <c r="B107" s="88"/>
      <c r="C107" s="88"/>
      <c r="D107" s="88"/>
      <c r="E107" s="89">
        <v>19.86</v>
      </c>
      <c r="F107" s="89"/>
      <c r="G107" s="17"/>
      <c r="H107" s="6" t="s">
        <v>38</v>
      </c>
      <c r="I107" s="89">
        <v>7.19</v>
      </c>
      <c r="J107" s="89"/>
      <c r="K107" s="17"/>
      <c r="L107" s="88" t="s">
        <v>39</v>
      </c>
      <c r="M107" s="88"/>
      <c r="N107" s="89">
        <v>36.19</v>
      </c>
      <c r="O107" s="89"/>
    </row>
    <row r="108" spans="1:20" s="1" customFormat="1" ht="13.35" customHeight="1" x14ac:dyDescent="0.25">
      <c r="A108" s="88" t="s">
        <v>40</v>
      </c>
      <c r="B108" s="88"/>
      <c r="C108" s="88"/>
      <c r="D108" s="88"/>
      <c r="E108" s="89">
        <f>16.11*200/170</f>
        <v>18.952941176470588</v>
      </c>
      <c r="F108" s="89"/>
      <c r="G108" s="17"/>
      <c r="H108" s="6" t="s">
        <v>41</v>
      </c>
      <c r="I108" s="89">
        <v>0.02</v>
      </c>
      <c r="J108" s="89"/>
      <c r="K108" s="17"/>
      <c r="L108" s="88" t="s">
        <v>42</v>
      </c>
      <c r="M108" s="88"/>
      <c r="N108" s="89">
        <v>160.53</v>
      </c>
      <c r="O108" s="89"/>
    </row>
    <row r="109" spans="1:20" s="1" customFormat="1" ht="13.35" customHeight="1" x14ac:dyDescent="0.25">
      <c r="A109" s="88" t="s">
        <v>43</v>
      </c>
      <c r="B109" s="88"/>
      <c r="C109" s="88"/>
      <c r="D109" s="88"/>
      <c r="E109" s="89">
        <v>269.14</v>
      </c>
      <c r="F109" s="89"/>
      <c r="G109" s="17"/>
      <c r="H109" s="6" t="s">
        <v>44</v>
      </c>
      <c r="I109" s="89">
        <v>1.43</v>
      </c>
      <c r="J109" s="89"/>
      <c r="K109" s="17"/>
      <c r="L109" s="88" t="s">
        <v>45</v>
      </c>
      <c r="M109" s="88"/>
      <c r="N109" s="89">
        <v>2.12</v>
      </c>
      <c r="O109" s="89"/>
    </row>
    <row r="110" spans="1:20" s="1" customFormat="1" ht="13.35" customHeight="1" x14ac:dyDescent="0.25">
      <c r="A110" s="87"/>
      <c r="B110" s="87"/>
      <c r="C110" s="87"/>
      <c r="D110" s="87"/>
      <c r="E110" s="87"/>
      <c r="F110" s="87"/>
      <c r="G110" s="17"/>
      <c r="H110" s="6" t="s">
        <v>46</v>
      </c>
      <c r="I110" s="89">
        <v>0.05</v>
      </c>
      <c r="J110" s="89"/>
      <c r="K110" s="17"/>
      <c r="L110" s="88" t="s">
        <v>47</v>
      </c>
      <c r="M110" s="88"/>
      <c r="N110" s="89">
        <v>733.2</v>
      </c>
      <c r="O110" s="89"/>
    </row>
    <row r="111" spans="1:20" s="1" customFormat="1" ht="13.35" customHeight="1" x14ac:dyDescent="0.25">
      <c r="A111" s="87"/>
      <c r="B111" s="87"/>
      <c r="C111" s="87"/>
      <c r="D111" s="87"/>
      <c r="E111" s="87"/>
      <c r="F111" s="87"/>
      <c r="G111" s="17"/>
      <c r="H111" s="6" t="s">
        <v>48</v>
      </c>
      <c r="I111" s="89">
        <v>0.12</v>
      </c>
      <c r="J111" s="89"/>
      <c r="K111" s="17"/>
      <c r="L111" s="88" t="s">
        <v>49</v>
      </c>
      <c r="M111" s="88"/>
      <c r="N111" s="89">
        <v>9.64</v>
      </c>
      <c r="O111" s="89"/>
    </row>
    <row r="112" spans="1:20" s="1" customFormat="1" ht="13.35" customHeight="1" x14ac:dyDescent="0.25">
      <c r="A112" s="87"/>
      <c r="B112" s="87"/>
      <c r="C112" s="87"/>
      <c r="D112" s="87"/>
      <c r="E112" s="87"/>
      <c r="F112" s="87"/>
      <c r="G112" s="17"/>
      <c r="H112" s="17"/>
      <c r="I112" s="87"/>
      <c r="J112" s="87"/>
      <c r="K112" s="17"/>
      <c r="L112" s="88" t="s">
        <v>50</v>
      </c>
      <c r="M112" s="88"/>
      <c r="N112" s="89">
        <v>7.0000000000000007E-2</v>
      </c>
      <c r="O112" s="89"/>
    </row>
    <row r="113" spans="1:20" s="1" customFormat="1" ht="13.35" customHeight="1" x14ac:dyDescent="0.25">
      <c r="A113" s="87"/>
      <c r="B113" s="87"/>
      <c r="C113" s="87"/>
      <c r="D113" s="87"/>
      <c r="E113" s="87"/>
      <c r="F113" s="87"/>
      <c r="G113" s="17"/>
      <c r="H113" s="17"/>
      <c r="I113" s="87"/>
      <c r="J113" s="87"/>
      <c r="K113" s="17"/>
      <c r="L113" s="88" t="s">
        <v>51</v>
      </c>
      <c r="M113" s="88"/>
      <c r="N113" s="89">
        <v>0</v>
      </c>
      <c r="O113" s="89"/>
    </row>
    <row r="114" spans="1:20" s="1" customFormat="1" ht="14.1" customHeight="1" x14ac:dyDescent="0.25">
      <c r="A114" s="86"/>
      <c r="B114" s="86"/>
      <c r="C114" s="86"/>
      <c r="D114" s="86"/>
      <c r="E114" s="86"/>
      <c r="F114" s="86"/>
      <c r="G114" s="86"/>
      <c r="H114" s="86"/>
      <c r="I114" s="86"/>
      <c r="J114" s="86"/>
      <c r="K114" s="86"/>
      <c r="L114" s="86"/>
      <c r="M114" s="86"/>
      <c r="N114" s="86"/>
      <c r="O114" s="86"/>
      <c r="P114" s="86"/>
      <c r="Q114" s="86"/>
      <c r="R114" s="86"/>
      <c r="S114" s="86"/>
    </row>
    <row r="115" spans="1:20" s="1" customFormat="1" ht="14.1" customHeight="1" x14ac:dyDescent="0.25">
      <c r="A115" s="84" t="s">
        <v>52</v>
      </c>
      <c r="B115" s="84"/>
      <c r="C115" s="84"/>
      <c r="D115" s="84"/>
      <c r="E115" s="84"/>
      <c r="F115" s="84"/>
      <c r="G115" s="84"/>
      <c r="H115" s="84"/>
      <c r="I115" s="84"/>
      <c r="J115" s="84"/>
      <c r="K115" s="84"/>
      <c r="L115" s="84"/>
      <c r="M115" s="84"/>
      <c r="N115" s="84"/>
      <c r="O115" s="84"/>
      <c r="P115" s="84"/>
      <c r="Q115" s="84"/>
      <c r="R115" s="84"/>
      <c r="S115" s="84"/>
    </row>
    <row r="116" spans="1:20" s="1" customFormat="1" ht="113.7" customHeight="1" x14ac:dyDescent="0.25">
      <c r="A116" s="85" t="s">
        <v>180</v>
      </c>
      <c r="B116" s="85"/>
      <c r="C116" s="85"/>
      <c r="D116" s="85"/>
      <c r="E116" s="85"/>
      <c r="F116" s="85"/>
      <c r="G116" s="85"/>
      <c r="H116" s="85"/>
      <c r="I116" s="85"/>
      <c r="J116" s="85"/>
      <c r="K116" s="85"/>
      <c r="L116" s="85"/>
      <c r="M116" s="85"/>
      <c r="N116" s="85"/>
      <c r="O116" s="85"/>
      <c r="P116" s="85"/>
      <c r="Q116" s="85"/>
      <c r="R116" s="85"/>
      <c r="S116" s="85"/>
    </row>
    <row r="117" spans="1:20" s="1" customFormat="1" ht="14.1" customHeight="1" x14ac:dyDescent="0.25">
      <c r="A117" s="84" t="s">
        <v>54</v>
      </c>
      <c r="B117" s="84"/>
      <c r="C117" s="84"/>
      <c r="D117" s="84"/>
      <c r="E117" s="84"/>
      <c r="F117" s="84"/>
      <c r="G117" s="84"/>
      <c r="H117" s="84"/>
      <c r="I117" s="84"/>
      <c r="J117" s="84"/>
      <c r="K117" s="84"/>
      <c r="L117" s="84"/>
      <c r="M117" s="84"/>
      <c r="N117" s="84"/>
      <c r="O117" s="84"/>
      <c r="P117" s="84"/>
      <c r="Q117" s="84"/>
      <c r="R117" s="84"/>
      <c r="S117" s="84"/>
    </row>
    <row r="118" spans="1:20" s="1" customFormat="1" ht="12.45" customHeight="1" x14ac:dyDescent="0.25">
      <c r="A118" s="85" t="s">
        <v>729</v>
      </c>
      <c r="B118" s="85"/>
      <c r="C118" s="85"/>
      <c r="D118" s="85"/>
      <c r="E118" s="85"/>
      <c r="F118" s="85"/>
      <c r="G118" s="85"/>
      <c r="H118" s="85"/>
      <c r="I118" s="85"/>
      <c r="J118" s="85"/>
      <c r="K118" s="85"/>
      <c r="L118" s="85"/>
      <c r="M118" s="85"/>
      <c r="N118" s="85"/>
      <c r="O118" s="85"/>
      <c r="P118" s="85"/>
      <c r="Q118" s="85"/>
      <c r="R118" s="85"/>
      <c r="S118" s="85"/>
    </row>
    <row r="119" spans="1:20" s="1" customFormat="1" ht="14.1" customHeight="1" x14ac:dyDescent="0.25">
      <c r="A119" s="86"/>
      <c r="B119" s="86"/>
      <c r="C119" s="86"/>
      <c r="D119" s="86"/>
      <c r="E119" s="86"/>
      <c r="F119" s="86"/>
      <c r="G119" s="86"/>
      <c r="H119" s="86"/>
      <c r="I119" s="86"/>
      <c r="J119" s="86"/>
      <c r="K119" s="86"/>
      <c r="L119" s="86"/>
      <c r="M119" s="86"/>
      <c r="N119" s="86"/>
      <c r="O119" s="86"/>
      <c r="P119" s="86"/>
      <c r="Q119" s="86"/>
      <c r="R119" s="86"/>
      <c r="S119" s="86"/>
    </row>
    <row r="120" spans="1:20" s="1" customFormat="1" ht="14.1" customHeight="1" x14ac:dyDescent="0.25">
      <c r="A120" s="84" t="s">
        <v>56</v>
      </c>
      <c r="B120" s="84"/>
      <c r="C120" s="84"/>
      <c r="D120" s="84"/>
      <c r="E120" s="84"/>
      <c r="F120" s="84"/>
      <c r="G120" s="84"/>
      <c r="H120" s="84"/>
      <c r="I120" s="84"/>
      <c r="J120" s="84"/>
      <c r="K120" s="84"/>
      <c r="L120" s="84"/>
      <c r="M120" s="84"/>
      <c r="N120" s="84"/>
      <c r="O120" s="84"/>
      <c r="P120" s="84"/>
      <c r="Q120" s="84"/>
      <c r="R120" s="84"/>
      <c r="S120" s="84"/>
    </row>
    <row r="121" spans="1:20" s="1" customFormat="1" ht="49.2" customHeight="1" x14ac:dyDescent="0.25">
      <c r="A121" s="85" t="s">
        <v>181</v>
      </c>
      <c r="B121" s="85"/>
      <c r="C121" s="85"/>
      <c r="D121" s="85"/>
      <c r="E121" s="85"/>
      <c r="F121" s="85"/>
      <c r="G121" s="85"/>
      <c r="H121" s="85"/>
      <c r="I121" s="85"/>
      <c r="J121" s="85"/>
      <c r="K121" s="85"/>
      <c r="L121" s="85"/>
      <c r="M121" s="85"/>
      <c r="N121" s="85"/>
      <c r="O121" s="85"/>
      <c r="P121" s="85"/>
      <c r="Q121" s="85"/>
      <c r="R121" s="85"/>
      <c r="S121" s="85"/>
    </row>
    <row r="123" spans="1:20" s="1" customFormat="1" ht="72.45" customHeight="1" x14ac:dyDescent="0.25">
      <c r="J123" s="100" t="s">
        <v>0</v>
      </c>
      <c r="K123" s="100"/>
      <c r="L123" s="100"/>
      <c r="M123" s="100"/>
      <c r="N123" s="100"/>
      <c r="O123" s="100"/>
      <c r="P123" s="100"/>
      <c r="Q123" s="100"/>
      <c r="R123" s="100"/>
      <c r="S123" s="100"/>
      <c r="T123" s="100"/>
    </row>
    <row r="124" spans="1:20" s="1" customFormat="1" ht="7.05" customHeight="1" x14ac:dyDescent="0.25"/>
    <row r="125" spans="1:20" s="1" customFormat="1" ht="14.1" customHeight="1" x14ac:dyDescent="0.25">
      <c r="B125" s="101" t="s">
        <v>737</v>
      </c>
      <c r="C125" s="101"/>
      <c r="D125" s="101"/>
      <c r="E125" s="101"/>
      <c r="F125" s="101"/>
      <c r="G125" s="101"/>
      <c r="H125" s="101"/>
      <c r="I125" s="101"/>
      <c r="J125" s="101"/>
      <c r="K125" s="101"/>
      <c r="L125" s="101"/>
      <c r="M125" s="101"/>
      <c r="N125" s="101"/>
      <c r="O125" s="101"/>
      <c r="P125" s="101"/>
      <c r="Q125" s="101"/>
      <c r="R125" s="101"/>
    </row>
    <row r="126" spans="1:20" s="1" customFormat="1" ht="14.1" customHeight="1" x14ac:dyDescent="0.25"/>
    <row r="127" spans="1:20" s="1" customFormat="1" ht="14.1" customHeight="1" x14ac:dyDescent="0.25">
      <c r="A127" s="102" t="s">
        <v>2</v>
      </c>
      <c r="B127" s="102"/>
      <c r="C127" s="102"/>
      <c r="D127" s="103" t="s">
        <v>386</v>
      </c>
      <c r="E127" s="103"/>
      <c r="F127" s="103"/>
      <c r="G127" s="103"/>
      <c r="H127" s="103"/>
      <c r="I127" s="103"/>
      <c r="J127" s="103"/>
      <c r="K127" s="103"/>
      <c r="L127" s="103"/>
      <c r="M127" s="103"/>
      <c r="N127" s="103"/>
      <c r="O127" s="103"/>
      <c r="P127" s="103"/>
      <c r="Q127" s="103"/>
      <c r="R127" s="103"/>
      <c r="S127" s="103"/>
      <c r="T127" s="103"/>
    </row>
    <row r="128" spans="1:20" s="1" customFormat="1" ht="14.1" customHeight="1" x14ac:dyDescent="0.25">
      <c r="A128" s="102" t="s">
        <v>4</v>
      </c>
      <c r="B128" s="102"/>
      <c r="C128" s="103">
        <v>16</v>
      </c>
      <c r="D128" s="103"/>
      <c r="E128" s="103"/>
      <c r="F128" s="103"/>
      <c r="G128" s="103"/>
      <c r="H128" s="103"/>
      <c r="I128" s="103"/>
      <c r="J128" s="103"/>
      <c r="K128" s="103"/>
      <c r="L128" s="103"/>
      <c r="M128" s="103"/>
      <c r="N128" s="103"/>
      <c r="O128" s="103"/>
      <c r="P128" s="103"/>
      <c r="Q128" s="103"/>
      <c r="R128" s="103"/>
      <c r="S128" s="103"/>
      <c r="T128" s="103"/>
    </row>
    <row r="129" spans="1:20" s="1" customFormat="1" ht="14.1" customHeight="1" x14ac:dyDescent="0.25">
      <c r="A129" s="102" t="s">
        <v>6</v>
      </c>
      <c r="B129" s="102"/>
      <c r="C129" s="102"/>
      <c r="D129" s="102"/>
      <c r="E129" s="102"/>
      <c r="F129" s="103" t="s">
        <v>75</v>
      </c>
      <c r="G129" s="103"/>
      <c r="H129" s="103"/>
      <c r="I129" s="103"/>
      <c r="J129" s="103"/>
      <c r="K129" s="103"/>
      <c r="L129" s="103"/>
      <c r="M129" s="103"/>
      <c r="N129" s="103"/>
      <c r="O129" s="103"/>
      <c r="P129" s="103"/>
      <c r="Q129" s="103"/>
      <c r="R129" s="103"/>
      <c r="S129" s="103"/>
      <c r="T129" s="103"/>
    </row>
    <row r="130" spans="1:20" s="1" customFormat="1" ht="1.35" customHeight="1" x14ac:dyDescent="0.25"/>
    <row r="131" spans="1:20" s="1" customFormat="1" ht="13.2" x14ac:dyDescent="0.25">
      <c r="A131" s="145" t="s">
        <v>686</v>
      </c>
      <c r="B131" s="93"/>
      <c r="C131" s="93"/>
      <c r="D131" s="93"/>
      <c r="E131" s="93"/>
      <c r="F131" s="93"/>
      <c r="G131" s="93"/>
      <c r="H131" s="93"/>
      <c r="I131" s="93"/>
      <c r="J131" s="93"/>
      <c r="K131" s="93"/>
      <c r="L131" s="93"/>
      <c r="M131" s="93"/>
      <c r="N131" s="93"/>
      <c r="O131" s="93"/>
      <c r="P131" s="93"/>
      <c r="Q131" s="93"/>
      <c r="R131" s="93"/>
      <c r="S131" s="93"/>
    </row>
    <row r="132" spans="1:20" s="1" customFormat="1" ht="49.95" customHeight="1" x14ac:dyDescent="0.25">
      <c r="A132" s="171" t="s">
        <v>736</v>
      </c>
      <c r="B132" s="172"/>
      <c r="C132" s="172"/>
      <c r="D132" s="172"/>
      <c r="E132" s="172"/>
      <c r="F132" s="172"/>
      <c r="G132" s="172"/>
      <c r="H132" s="172"/>
      <c r="I132" s="172"/>
      <c r="J132" s="172"/>
      <c r="K132" s="172"/>
      <c r="L132" s="172"/>
      <c r="M132" s="172"/>
      <c r="N132" s="172"/>
      <c r="O132" s="172"/>
      <c r="P132" s="172"/>
      <c r="Q132" s="172"/>
      <c r="R132" s="172"/>
      <c r="S132" s="172"/>
    </row>
    <row r="133" spans="1:20" s="1" customFormat="1" ht="16.95" customHeight="1" x14ac:dyDescent="0.25">
      <c r="A133" s="94" t="s">
        <v>8</v>
      </c>
      <c r="B133" s="94"/>
      <c r="C133" s="94"/>
      <c r="D133" s="94"/>
      <c r="E133" s="94"/>
      <c r="F133" s="94"/>
      <c r="G133" s="94"/>
      <c r="H133" s="94"/>
      <c r="I133" s="94"/>
      <c r="J133" s="94"/>
      <c r="K133" s="94"/>
      <c r="L133" s="94"/>
      <c r="M133" s="95" t="s">
        <v>9</v>
      </c>
      <c r="N133" s="95"/>
      <c r="O133" s="95"/>
      <c r="P133" s="95"/>
      <c r="Q133" s="95"/>
      <c r="R133" s="95"/>
      <c r="S133" s="95"/>
      <c r="T133" s="95"/>
    </row>
    <row r="134" spans="1:20" s="1" customFormat="1" ht="16.95" customHeight="1" x14ac:dyDescent="0.25">
      <c r="A134" s="94"/>
      <c r="B134" s="94"/>
      <c r="C134" s="94"/>
      <c r="D134" s="94"/>
      <c r="E134" s="94"/>
      <c r="F134" s="94"/>
      <c r="G134" s="94"/>
      <c r="H134" s="94"/>
      <c r="I134" s="94"/>
      <c r="J134" s="94"/>
      <c r="K134" s="94"/>
      <c r="L134" s="94"/>
      <c r="M134" s="96" t="s">
        <v>10</v>
      </c>
      <c r="N134" s="96"/>
      <c r="O134" s="96"/>
      <c r="P134" s="96"/>
      <c r="Q134" s="97" t="s">
        <v>11</v>
      </c>
      <c r="R134" s="97"/>
      <c r="S134" s="97"/>
      <c r="T134" s="97"/>
    </row>
    <row r="135" spans="1:20" s="1" customFormat="1" ht="16.95" customHeight="1" x14ac:dyDescent="0.25">
      <c r="A135" s="94"/>
      <c r="B135" s="94"/>
      <c r="C135" s="94"/>
      <c r="D135" s="94"/>
      <c r="E135" s="94"/>
      <c r="F135" s="94"/>
      <c r="G135" s="94"/>
      <c r="H135" s="94"/>
      <c r="I135" s="94"/>
      <c r="J135" s="94"/>
      <c r="K135" s="94"/>
      <c r="L135" s="94"/>
      <c r="M135" s="98" t="s">
        <v>12</v>
      </c>
      <c r="N135" s="98"/>
      <c r="O135" s="98" t="s">
        <v>13</v>
      </c>
      <c r="P135" s="98"/>
      <c r="Q135" s="13" t="s">
        <v>14</v>
      </c>
      <c r="R135" s="99" t="s">
        <v>15</v>
      </c>
      <c r="S135" s="99"/>
      <c r="T135" s="99"/>
    </row>
    <row r="136" spans="1:20" s="1" customFormat="1" ht="13.35" customHeight="1" x14ac:dyDescent="0.25">
      <c r="A136" s="88" t="s">
        <v>756</v>
      </c>
      <c r="B136" s="88"/>
      <c r="C136" s="88"/>
      <c r="D136" s="88"/>
      <c r="E136" s="88"/>
      <c r="F136" s="88"/>
      <c r="G136" s="88"/>
      <c r="H136" s="88"/>
      <c r="I136" s="88"/>
      <c r="J136" s="88"/>
      <c r="K136" s="88"/>
      <c r="L136" s="88"/>
      <c r="M136" s="88">
        <v>61.1</v>
      </c>
      <c r="N136" s="88"/>
      <c r="O136" s="88">
        <v>58.6</v>
      </c>
      <c r="P136" s="88"/>
      <c r="Q136" s="6">
        <v>6.11</v>
      </c>
      <c r="R136" s="88">
        <v>5.86</v>
      </c>
      <c r="S136" s="88"/>
      <c r="T136" s="88"/>
    </row>
    <row r="137" spans="1:20" s="1" customFormat="1" ht="13.35" customHeight="1" x14ac:dyDescent="0.25">
      <c r="A137" s="88" t="s">
        <v>21</v>
      </c>
      <c r="B137" s="88"/>
      <c r="C137" s="88"/>
      <c r="D137" s="88"/>
      <c r="E137" s="88"/>
      <c r="F137" s="88"/>
      <c r="G137" s="88"/>
      <c r="H137" s="88"/>
      <c r="I137" s="88"/>
      <c r="J137" s="88"/>
      <c r="K137" s="88"/>
      <c r="L137" s="88"/>
      <c r="M137" s="88">
        <v>11.11</v>
      </c>
      <c r="N137" s="88"/>
      <c r="O137" s="88">
        <v>9.33</v>
      </c>
      <c r="P137" s="88"/>
      <c r="Q137" s="6">
        <v>1.1100000000000001</v>
      </c>
      <c r="R137" s="88">
        <v>0.93</v>
      </c>
      <c r="S137" s="88"/>
      <c r="T137" s="88"/>
    </row>
    <row r="138" spans="1:20" s="1" customFormat="1" ht="13.35" customHeight="1" x14ac:dyDescent="0.25">
      <c r="A138" s="88" t="s">
        <v>84</v>
      </c>
      <c r="B138" s="88"/>
      <c r="C138" s="88"/>
      <c r="D138" s="88"/>
      <c r="E138" s="88"/>
      <c r="F138" s="88"/>
      <c r="G138" s="88"/>
      <c r="H138" s="88"/>
      <c r="I138" s="88"/>
      <c r="J138" s="88"/>
      <c r="K138" s="88"/>
      <c r="L138" s="88"/>
      <c r="M138" s="88">
        <v>16.670000000000002</v>
      </c>
      <c r="N138" s="88"/>
      <c r="O138" s="88">
        <v>13.33</v>
      </c>
      <c r="P138" s="88"/>
      <c r="Q138" s="6">
        <v>1.66</v>
      </c>
      <c r="R138" s="88">
        <v>1.33</v>
      </c>
      <c r="S138" s="88"/>
      <c r="T138" s="88"/>
    </row>
    <row r="139" spans="1:20" s="1" customFormat="1" ht="13.35" customHeight="1" x14ac:dyDescent="0.25">
      <c r="A139" s="88" t="s">
        <v>76</v>
      </c>
      <c r="B139" s="88"/>
      <c r="C139" s="88"/>
      <c r="D139" s="88"/>
      <c r="E139" s="88"/>
      <c r="F139" s="88"/>
      <c r="G139" s="88"/>
      <c r="H139" s="88"/>
      <c r="I139" s="88"/>
      <c r="J139" s="88"/>
      <c r="K139" s="88"/>
      <c r="L139" s="88"/>
      <c r="M139" s="88">
        <v>2.2200000000000002</v>
      </c>
      <c r="N139" s="88"/>
      <c r="O139" s="88">
        <v>1.89</v>
      </c>
      <c r="P139" s="88"/>
      <c r="Q139" s="6">
        <v>0.22</v>
      </c>
      <c r="R139" s="88">
        <v>0.19</v>
      </c>
      <c r="S139" s="88"/>
      <c r="T139" s="88"/>
    </row>
    <row r="140" spans="1:20" s="1" customFormat="1" ht="13.35" customHeight="1" x14ac:dyDescent="0.25">
      <c r="A140" s="88" t="s">
        <v>65</v>
      </c>
      <c r="B140" s="88"/>
      <c r="C140" s="88"/>
      <c r="D140" s="88"/>
      <c r="E140" s="88"/>
      <c r="F140" s="88"/>
      <c r="G140" s="88"/>
      <c r="H140" s="88"/>
      <c r="I140" s="88"/>
      <c r="J140" s="88"/>
      <c r="K140" s="88"/>
      <c r="L140" s="88"/>
      <c r="M140" s="88">
        <v>11.11</v>
      </c>
      <c r="N140" s="88"/>
      <c r="O140" s="88">
        <v>11.11</v>
      </c>
      <c r="P140" s="88"/>
      <c r="Q140" s="6">
        <v>1.1100000000000001</v>
      </c>
      <c r="R140" s="88">
        <v>1.1100000000000001</v>
      </c>
      <c r="S140" s="88"/>
      <c r="T140" s="88"/>
    </row>
    <row r="141" spans="1:20" s="1" customFormat="1" ht="13.35" customHeight="1" x14ac:dyDescent="0.25">
      <c r="A141" s="88" t="s">
        <v>941</v>
      </c>
      <c r="B141" s="88"/>
      <c r="C141" s="88"/>
      <c r="D141" s="88"/>
      <c r="E141" s="88"/>
      <c r="F141" s="88"/>
      <c r="G141" s="88"/>
      <c r="H141" s="88"/>
      <c r="I141" s="88"/>
      <c r="J141" s="88"/>
      <c r="K141" s="88"/>
      <c r="L141" s="88"/>
      <c r="M141" s="88">
        <v>16.66</v>
      </c>
      <c r="N141" s="88"/>
      <c r="O141" s="88">
        <v>16.66</v>
      </c>
      <c r="P141" s="88"/>
      <c r="Q141" s="6">
        <v>1.66</v>
      </c>
      <c r="R141" s="88">
        <v>1.66</v>
      </c>
      <c r="S141" s="88"/>
      <c r="T141" s="88"/>
    </row>
    <row r="142" spans="1:20" s="1" customFormat="1" ht="13.35" customHeight="1" x14ac:dyDescent="0.25">
      <c r="A142" s="88" t="s">
        <v>67</v>
      </c>
      <c r="B142" s="88"/>
      <c r="C142" s="88"/>
      <c r="D142" s="88"/>
      <c r="E142" s="88"/>
      <c r="F142" s="88"/>
      <c r="G142" s="88"/>
      <c r="H142" s="88"/>
      <c r="I142" s="88"/>
      <c r="J142" s="88"/>
      <c r="K142" s="88"/>
      <c r="L142" s="88"/>
      <c r="M142" s="88">
        <f>9*100/90</f>
        <v>10</v>
      </c>
      <c r="N142" s="88"/>
      <c r="O142" s="88">
        <v>10</v>
      </c>
      <c r="P142" s="88"/>
      <c r="Q142" s="6">
        <v>1</v>
      </c>
      <c r="R142" s="88">
        <v>1</v>
      </c>
      <c r="S142" s="88"/>
      <c r="T142" s="88"/>
    </row>
    <row r="143" spans="1:20" s="1" customFormat="1" ht="13.35" customHeight="1" x14ac:dyDescent="0.25">
      <c r="A143" s="88" t="s">
        <v>61</v>
      </c>
      <c r="B143" s="88"/>
      <c r="C143" s="88"/>
      <c r="D143" s="88"/>
      <c r="E143" s="88"/>
      <c r="F143" s="88"/>
      <c r="G143" s="88"/>
      <c r="H143" s="88"/>
      <c r="I143" s="88"/>
      <c r="J143" s="88"/>
      <c r="K143" s="88"/>
      <c r="L143" s="88"/>
      <c r="M143" s="88">
        <v>3.33</v>
      </c>
      <c r="N143" s="88"/>
      <c r="O143" s="88">
        <v>3.33</v>
      </c>
      <c r="P143" s="88"/>
      <c r="Q143" s="6">
        <v>0.33</v>
      </c>
      <c r="R143" s="88">
        <v>0.33</v>
      </c>
      <c r="S143" s="88"/>
      <c r="T143" s="88"/>
    </row>
    <row r="144" spans="1:20" s="1" customFormat="1" ht="13.35" customHeight="1" x14ac:dyDescent="0.25">
      <c r="A144" s="88" t="s">
        <v>18</v>
      </c>
      <c r="B144" s="88"/>
      <c r="C144" s="88"/>
      <c r="D144" s="88"/>
      <c r="E144" s="88"/>
      <c r="F144" s="88"/>
      <c r="G144" s="88"/>
      <c r="H144" s="88"/>
      <c r="I144" s="88"/>
      <c r="J144" s="88"/>
      <c r="K144" s="88"/>
      <c r="L144" s="88"/>
      <c r="M144" s="88">
        <v>3.5</v>
      </c>
      <c r="N144" s="88"/>
      <c r="O144" s="88">
        <v>3.5</v>
      </c>
      <c r="P144" s="88"/>
      <c r="Q144" s="6">
        <v>0.35</v>
      </c>
      <c r="R144" s="88">
        <v>0.35</v>
      </c>
      <c r="S144" s="88"/>
      <c r="T144" s="88"/>
    </row>
    <row r="145" spans="1:20" s="1" customFormat="1" ht="13.35" customHeight="1" x14ac:dyDescent="0.25">
      <c r="A145" s="88" t="s">
        <v>722</v>
      </c>
      <c r="B145" s="88"/>
      <c r="C145" s="88"/>
      <c r="D145" s="88"/>
      <c r="E145" s="88"/>
      <c r="F145" s="88"/>
      <c r="G145" s="88"/>
      <c r="H145" s="88"/>
      <c r="I145" s="88"/>
      <c r="J145" s="88"/>
      <c r="K145" s="88"/>
      <c r="L145" s="88"/>
      <c r="M145" s="88">
        <v>2.2999999999999998</v>
      </c>
      <c r="N145" s="88"/>
      <c r="O145" s="88">
        <v>2.2999999999999998</v>
      </c>
      <c r="P145" s="88"/>
      <c r="Q145" s="6">
        <v>0.23</v>
      </c>
      <c r="R145" s="88">
        <v>0.23</v>
      </c>
      <c r="S145" s="88"/>
      <c r="T145" s="88"/>
    </row>
    <row r="146" spans="1:20" s="1" customFormat="1" ht="13.35" customHeight="1" x14ac:dyDescent="0.25">
      <c r="A146" s="88" t="s">
        <v>70</v>
      </c>
      <c r="B146" s="88"/>
      <c r="C146" s="88"/>
      <c r="D146" s="88"/>
      <c r="E146" s="88"/>
      <c r="F146" s="88"/>
      <c r="G146" s="88"/>
      <c r="H146" s="88"/>
      <c r="I146" s="88"/>
      <c r="J146" s="88"/>
      <c r="K146" s="88"/>
      <c r="L146" s="88"/>
      <c r="M146" s="88" t="s">
        <v>89</v>
      </c>
      <c r="N146" s="88"/>
      <c r="O146" s="88" t="s">
        <v>89</v>
      </c>
      <c r="P146" s="88"/>
      <c r="Q146" s="6" t="s">
        <v>327</v>
      </c>
      <c r="R146" s="88" t="s">
        <v>327</v>
      </c>
      <c r="S146" s="88"/>
      <c r="T146" s="88"/>
    </row>
    <row r="147" spans="1:20" s="1" customFormat="1" ht="13.35" customHeight="1" x14ac:dyDescent="0.25">
      <c r="A147" s="88" t="s">
        <v>183</v>
      </c>
      <c r="B147" s="88"/>
      <c r="C147" s="88"/>
      <c r="D147" s="88"/>
      <c r="E147" s="88"/>
      <c r="F147" s="88"/>
      <c r="G147" s="88"/>
      <c r="H147" s="88"/>
      <c r="I147" s="88"/>
      <c r="J147" s="88"/>
      <c r="K147" s="88"/>
      <c r="L147" s="88"/>
      <c r="M147" s="88" t="s">
        <v>820</v>
      </c>
      <c r="N147" s="88"/>
      <c r="O147" s="88">
        <f>0.416*45</f>
        <v>18.72</v>
      </c>
      <c r="P147" s="88"/>
      <c r="Q147" s="6" t="s">
        <v>821</v>
      </c>
      <c r="R147" s="88">
        <v>1.87</v>
      </c>
      <c r="S147" s="88"/>
      <c r="T147" s="88"/>
    </row>
    <row r="148" spans="1:20" s="1" customFormat="1" ht="14.1" customHeight="1" x14ac:dyDescent="0.25">
      <c r="A148" s="90" t="s">
        <v>793</v>
      </c>
      <c r="B148" s="90"/>
      <c r="C148" s="90"/>
      <c r="D148" s="90"/>
      <c r="E148" s="90"/>
      <c r="F148" s="90"/>
      <c r="G148" s="90"/>
      <c r="H148" s="90"/>
      <c r="I148" s="90"/>
      <c r="J148" s="90"/>
      <c r="K148" s="90"/>
      <c r="L148" s="90"/>
      <c r="M148" s="90"/>
      <c r="N148" s="90"/>
      <c r="O148" s="90"/>
      <c r="P148" s="90"/>
      <c r="Q148" s="90"/>
      <c r="R148" s="90"/>
      <c r="S148" s="90"/>
      <c r="T148" s="90"/>
    </row>
    <row r="149" spans="1:20" s="1" customFormat="1" ht="21.3" customHeight="1" x14ac:dyDescent="0.25"/>
    <row r="150" spans="1:20" s="1" customFormat="1" ht="14.1" customHeight="1" x14ac:dyDescent="0.25">
      <c r="A150" s="91" t="s">
        <v>33</v>
      </c>
      <c r="B150" s="91"/>
      <c r="C150" s="91"/>
      <c r="D150" s="91"/>
      <c r="E150" s="91"/>
      <c r="F150" s="91"/>
      <c r="G150" s="91"/>
      <c r="H150" s="91"/>
      <c r="I150" s="91"/>
      <c r="J150" s="91"/>
      <c r="K150" s="91"/>
      <c r="L150" s="91"/>
      <c r="M150" s="91"/>
      <c r="N150" s="91"/>
    </row>
    <row r="151" spans="1:20" s="1" customFormat="1" ht="13.35" customHeight="1" x14ac:dyDescent="0.25">
      <c r="A151" s="88" t="s">
        <v>34</v>
      </c>
      <c r="B151" s="88"/>
      <c r="C151" s="88"/>
      <c r="D151" s="88"/>
      <c r="E151" s="89">
        <f>9.5*100/90</f>
        <v>10.555555555555555</v>
      </c>
      <c r="F151" s="89"/>
      <c r="G151" s="17"/>
      <c r="H151" s="6" t="s">
        <v>35</v>
      </c>
      <c r="I151" s="89">
        <v>0.08</v>
      </c>
      <c r="J151" s="89"/>
      <c r="K151" s="17"/>
      <c r="L151" s="88" t="s">
        <v>36</v>
      </c>
      <c r="M151" s="88"/>
      <c r="N151" s="89">
        <v>36.53</v>
      </c>
      <c r="O151" s="89"/>
    </row>
    <row r="152" spans="1:20" s="1" customFormat="1" ht="13.35" customHeight="1" x14ac:dyDescent="0.25">
      <c r="A152" s="88" t="s">
        <v>37</v>
      </c>
      <c r="B152" s="88"/>
      <c r="C152" s="88"/>
      <c r="D152" s="88"/>
      <c r="E152" s="89">
        <f>10.2*100/90</f>
        <v>11.333333333333332</v>
      </c>
      <c r="F152" s="89"/>
      <c r="G152" s="17"/>
      <c r="H152" s="6" t="s">
        <v>38</v>
      </c>
      <c r="I152" s="89">
        <v>2.95</v>
      </c>
      <c r="J152" s="89"/>
      <c r="K152" s="17"/>
      <c r="L152" s="88" t="s">
        <v>39</v>
      </c>
      <c r="M152" s="88"/>
      <c r="N152" s="89">
        <v>25.06</v>
      </c>
      <c r="O152" s="89"/>
    </row>
    <row r="153" spans="1:20" s="1" customFormat="1" ht="13.35" customHeight="1" x14ac:dyDescent="0.25">
      <c r="A153" s="88" t="s">
        <v>40</v>
      </c>
      <c r="B153" s="88"/>
      <c r="C153" s="88"/>
      <c r="D153" s="88"/>
      <c r="E153" s="89">
        <f>12*100/90</f>
        <v>13.333333333333334</v>
      </c>
      <c r="F153" s="89"/>
      <c r="G153" s="17"/>
      <c r="H153" s="6" t="s">
        <v>41</v>
      </c>
      <c r="I153" s="89">
        <v>0.09</v>
      </c>
      <c r="J153" s="89"/>
      <c r="K153" s="17"/>
      <c r="L153" s="88" t="s">
        <v>42</v>
      </c>
      <c r="M153" s="88"/>
      <c r="N153" s="89">
        <v>151.44999999999999</v>
      </c>
      <c r="O153" s="89"/>
    </row>
    <row r="154" spans="1:20" s="1" customFormat="1" ht="13.35" customHeight="1" x14ac:dyDescent="0.25">
      <c r="A154" s="88" t="s">
        <v>43</v>
      </c>
      <c r="B154" s="88"/>
      <c r="C154" s="88"/>
      <c r="D154" s="88"/>
      <c r="E154" s="89">
        <f>190.1</f>
        <v>190.1</v>
      </c>
      <c r="F154" s="89"/>
      <c r="G154" s="17"/>
      <c r="H154" s="6" t="s">
        <v>44</v>
      </c>
      <c r="I154" s="89">
        <v>2.0499999999999998</v>
      </c>
      <c r="J154" s="89"/>
      <c r="K154" s="17"/>
      <c r="L154" s="88" t="s">
        <v>45</v>
      </c>
      <c r="M154" s="88"/>
      <c r="N154" s="89">
        <v>2.19</v>
      </c>
      <c r="O154" s="89"/>
    </row>
    <row r="155" spans="1:20" s="1" customFormat="1" ht="13.35" customHeight="1" x14ac:dyDescent="0.25">
      <c r="A155" s="87"/>
      <c r="B155" s="87"/>
      <c r="C155" s="87"/>
      <c r="D155" s="87"/>
      <c r="E155" s="87"/>
      <c r="F155" s="87"/>
      <c r="G155" s="17"/>
      <c r="H155" s="6" t="s">
        <v>46</v>
      </c>
      <c r="I155" s="89">
        <v>0.38</v>
      </c>
      <c r="J155" s="89"/>
      <c r="K155" s="17"/>
      <c r="L155" s="88" t="s">
        <v>47</v>
      </c>
      <c r="M155" s="88"/>
      <c r="N155" s="89">
        <v>208.1</v>
      </c>
      <c r="O155" s="89"/>
    </row>
    <row r="156" spans="1:20" s="1" customFormat="1" ht="13.35" customHeight="1" x14ac:dyDescent="0.25">
      <c r="A156" s="87"/>
      <c r="B156" s="87"/>
      <c r="C156" s="87"/>
      <c r="D156" s="87"/>
      <c r="E156" s="87"/>
      <c r="F156" s="87"/>
      <c r="G156" s="17"/>
      <c r="H156" s="6" t="s">
        <v>48</v>
      </c>
      <c r="I156" s="89">
        <v>0.15</v>
      </c>
      <c r="J156" s="89"/>
      <c r="K156" s="17"/>
      <c r="L156" s="88" t="s">
        <v>49</v>
      </c>
      <c r="M156" s="88"/>
      <c r="N156" s="89">
        <v>6.8</v>
      </c>
      <c r="O156" s="89"/>
    </row>
    <row r="157" spans="1:20" s="1" customFormat="1" ht="13.35" customHeight="1" x14ac:dyDescent="0.25">
      <c r="A157" s="87"/>
      <c r="B157" s="87"/>
      <c r="C157" s="87"/>
      <c r="D157" s="87"/>
      <c r="E157" s="87"/>
      <c r="F157" s="87"/>
      <c r="G157" s="17"/>
      <c r="H157" s="17"/>
      <c r="I157" s="87"/>
      <c r="J157" s="87"/>
      <c r="K157" s="17"/>
      <c r="L157" s="88" t="s">
        <v>50</v>
      </c>
      <c r="M157" s="88"/>
      <c r="N157" s="89">
        <v>7.0000000000000007E-2</v>
      </c>
      <c r="O157" s="89"/>
    </row>
    <row r="158" spans="1:20" s="1" customFormat="1" ht="13.35" customHeight="1" x14ac:dyDescent="0.25">
      <c r="A158" s="87"/>
      <c r="B158" s="87"/>
      <c r="C158" s="87"/>
      <c r="D158" s="87"/>
      <c r="E158" s="87"/>
      <c r="F158" s="87"/>
      <c r="G158" s="17"/>
      <c r="H158" s="17"/>
      <c r="I158" s="87"/>
      <c r="J158" s="87"/>
      <c r="K158" s="17"/>
      <c r="L158" s="88" t="s">
        <v>51</v>
      </c>
      <c r="M158" s="88"/>
      <c r="N158" s="89">
        <v>0.01</v>
      </c>
      <c r="O158" s="89"/>
    </row>
    <row r="159" spans="1:20" s="1" customFormat="1" ht="14.1" customHeight="1" x14ac:dyDescent="0.25">
      <c r="A159" s="86"/>
      <c r="B159" s="86"/>
      <c r="C159" s="86"/>
      <c r="D159" s="86"/>
      <c r="E159" s="86"/>
      <c r="F159" s="86"/>
      <c r="G159" s="86"/>
      <c r="H159" s="86"/>
      <c r="I159" s="86"/>
      <c r="J159" s="86"/>
      <c r="K159" s="86"/>
      <c r="L159" s="86"/>
      <c r="M159" s="86"/>
      <c r="N159" s="86"/>
      <c r="O159" s="86"/>
      <c r="P159" s="86"/>
      <c r="Q159" s="86"/>
      <c r="R159" s="86"/>
      <c r="S159" s="86"/>
    </row>
    <row r="160" spans="1:20" s="1" customFormat="1" ht="14.1" customHeight="1" x14ac:dyDescent="0.25">
      <c r="A160" s="84" t="s">
        <v>52</v>
      </c>
      <c r="B160" s="84"/>
      <c r="C160" s="84"/>
      <c r="D160" s="84"/>
      <c r="E160" s="84"/>
      <c r="F160" s="84"/>
      <c r="G160" s="84"/>
      <c r="H160" s="84"/>
      <c r="I160" s="84"/>
      <c r="J160" s="84"/>
      <c r="K160" s="84"/>
      <c r="L160" s="84"/>
      <c r="M160" s="84"/>
      <c r="N160" s="84"/>
      <c r="O160" s="84"/>
      <c r="P160" s="84"/>
      <c r="Q160" s="84"/>
      <c r="R160" s="84"/>
      <c r="S160" s="84"/>
    </row>
    <row r="161" spans="1:20" s="1" customFormat="1" ht="40.049999999999997" customHeight="1" x14ac:dyDescent="0.25">
      <c r="A161" s="85" t="s">
        <v>387</v>
      </c>
      <c r="B161" s="85"/>
      <c r="C161" s="85"/>
      <c r="D161" s="85"/>
      <c r="E161" s="85"/>
      <c r="F161" s="85"/>
      <c r="G161" s="85"/>
      <c r="H161" s="85"/>
      <c r="I161" s="85"/>
      <c r="J161" s="85"/>
      <c r="K161" s="85"/>
      <c r="L161" s="85"/>
      <c r="M161" s="85"/>
      <c r="N161" s="85"/>
      <c r="O161" s="85"/>
      <c r="P161" s="85"/>
      <c r="Q161" s="85"/>
      <c r="R161" s="85"/>
      <c r="S161" s="85"/>
    </row>
    <row r="162" spans="1:20" s="1" customFormat="1" ht="14.1" customHeight="1" x14ac:dyDescent="0.25">
      <c r="A162" s="86"/>
      <c r="B162" s="86"/>
      <c r="C162" s="86"/>
      <c r="D162" s="86"/>
      <c r="E162" s="86"/>
      <c r="F162" s="86"/>
      <c r="G162" s="86"/>
      <c r="H162" s="86"/>
      <c r="I162" s="86"/>
      <c r="J162" s="86"/>
      <c r="K162" s="86"/>
      <c r="L162" s="86"/>
      <c r="M162" s="86"/>
      <c r="N162" s="86"/>
      <c r="O162" s="86"/>
      <c r="P162" s="86"/>
      <c r="Q162" s="86"/>
      <c r="R162" s="86"/>
      <c r="S162" s="86"/>
    </row>
    <row r="163" spans="1:20" s="1" customFormat="1" ht="14.1" customHeight="1" x14ac:dyDescent="0.25">
      <c r="A163" s="84" t="s">
        <v>54</v>
      </c>
      <c r="B163" s="84"/>
      <c r="C163" s="84"/>
      <c r="D163" s="84"/>
      <c r="E163" s="84"/>
      <c r="F163" s="84"/>
      <c r="G163" s="84"/>
      <c r="H163" s="84"/>
      <c r="I163" s="84"/>
      <c r="J163" s="84"/>
      <c r="K163" s="84"/>
      <c r="L163" s="84"/>
      <c r="M163" s="84"/>
      <c r="N163" s="84"/>
      <c r="O163" s="84"/>
      <c r="P163" s="84"/>
      <c r="Q163" s="84"/>
      <c r="R163" s="84"/>
      <c r="S163" s="84"/>
    </row>
    <row r="164" spans="1:20" s="1" customFormat="1" ht="12.15" customHeight="1" x14ac:dyDescent="0.25">
      <c r="A164" s="85" t="s">
        <v>281</v>
      </c>
      <c r="B164" s="85"/>
      <c r="C164" s="85"/>
      <c r="D164" s="85"/>
      <c r="E164" s="85"/>
      <c r="F164" s="85"/>
      <c r="G164" s="85"/>
      <c r="H164" s="85"/>
      <c r="I164" s="85"/>
      <c r="J164" s="85"/>
      <c r="K164" s="85"/>
      <c r="L164" s="85"/>
      <c r="M164" s="85"/>
      <c r="N164" s="85"/>
      <c r="O164" s="85"/>
      <c r="P164" s="85"/>
      <c r="Q164" s="85"/>
      <c r="R164" s="85"/>
      <c r="S164" s="85"/>
    </row>
    <row r="165" spans="1:20" s="1" customFormat="1" ht="14.1" customHeight="1" x14ac:dyDescent="0.25">
      <c r="A165" s="86"/>
      <c r="B165" s="86"/>
      <c r="C165" s="86"/>
      <c r="D165" s="86"/>
      <c r="E165" s="86"/>
      <c r="F165" s="86"/>
      <c r="G165" s="86"/>
      <c r="H165" s="86"/>
      <c r="I165" s="86"/>
      <c r="J165" s="86"/>
      <c r="K165" s="86"/>
      <c r="L165" s="86"/>
      <c r="M165" s="86"/>
      <c r="N165" s="86"/>
      <c r="O165" s="86"/>
      <c r="P165" s="86"/>
      <c r="Q165" s="86"/>
      <c r="R165" s="86"/>
      <c r="S165" s="86"/>
    </row>
    <row r="166" spans="1:20" s="1" customFormat="1" ht="14.1" customHeight="1" x14ac:dyDescent="0.25">
      <c r="A166" s="84" t="s">
        <v>56</v>
      </c>
      <c r="B166" s="84"/>
      <c r="C166" s="84"/>
      <c r="D166" s="84"/>
      <c r="E166" s="84"/>
      <c r="F166" s="84"/>
      <c r="G166" s="84"/>
      <c r="H166" s="84"/>
      <c r="I166" s="84"/>
      <c r="J166" s="84"/>
      <c r="K166" s="84"/>
      <c r="L166" s="84"/>
      <c r="M166" s="84"/>
      <c r="N166" s="84"/>
      <c r="O166" s="84"/>
      <c r="P166" s="84"/>
      <c r="Q166" s="84"/>
      <c r="R166" s="84"/>
      <c r="S166" s="84"/>
    </row>
    <row r="167" spans="1:20" s="1" customFormat="1" ht="49.2" customHeight="1" x14ac:dyDescent="0.25">
      <c r="A167" s="85" t="s">
        <v>388</v>
      </c>
      <c r="B167" s="85"/>
      <c r="C167" s="85"/>
      <c r="D167" s="85"/>
      <c r="E167" s="85"/>
      <c r="F167" s="85"/>
      <c r="G167" s="85"/>
      <c r="H167" s="85"/>
      <c r="I167" s="85"/>
      <c r="J167" s="85"/>
      <c r="K167" s="85"/>
      <c r="L167" s="85"/>
      <c r="M167" s="85"/>
      <c r="N167" s="85"/>
      <c r="O167" s="85"/>
      <c r="P167" s="85"/>
      <c r="Q167" s="85"/>
      <c r="R167" s="85"/>
      <c r="S167" s="85"/>
    </row>
    <row r="169" spans="1:20" s="1" customFormat="1" ht="72.45" customHeight="1" x14ac:dyDescent="0.25">
      <c r="J169" s="100" t="s">
        <v>0</v>
      </c>
      <c r="K169" s="100"/>
      <c r="L169" s="100"/>
      <c r="M169" s="100"/>
      <c r="N169" s="100"/>
      <c r="O169" s="100"/>
      <c r="P169" s="100"/>
      <c r="Q169" s="100"/>
      <c r="R169" s="100"/>
      <c r="S169" s="100"/>
      <c r="T169" s="100"/>
    </row>
    <row r="170" spans="1:20" s="1" customFormat="1" ht="7.05" customHeight="1" x14ac:dyDescent="0.25"/>
    <row r="171" spans="1:20" s="1" customFormat="1" ht="14.1" customHeight="1" x14ac:dyDescent="0.25">
      <c r="B171" s="101" t="s">
        <v>396</v>
      </c>
      <c r="C171" s="101"/>
      <c r="D171" s="101"/>
      <c r="E171" s="101"/>
      <c r="F171" s="101"/>
      <c r="G171" s="101"/>
      <c r="H171" s="101"/>
      <c r="I171" s="101"/>
      <c r="J171" s="101"/>
      <c r="K171" s="101"/>
      <c r="L171" s="101"/>
      <c r="M171" s="101"/>
      <c r="N171" s="101"/>
      <c r="O171" s="101"/>
      <c r="P171" s="101"/>
      <c r="Q171" s="101"/>
      <c r="R171" s="101"/>
    </row>
    <row r="172" spans="1:20" s="1" customFormat="1" ht="14.1" customHeight="1" x14ac:dyDescent="0.25"/>
    <row r="173" spans="1:20" s="1" customFormat="1" ht="14.1" customHeight="1" x14ac:dyDescent="0.25">
      <c r="A173" s="102" t="s">
        <v>2</v>
      </c>
      <c r="B173" s="102"/>
      <c r="C173" s="102"/>
      <c r="D173" s="103" t="s">
        <v>794</v>
      </c>
      <c r="E173" s="103"/>
      <c r="F173" s="103"/>
      <c r="G173" s="103"/>
      <c r="H173" s="103"/>
      <c r="I173" s="103"/>
      <c r="J173" s="103"/>
      <c r="K173" s="103"/>
      <c r="L173" s="103"/>
      <c r="M173" s="103"/>
      <c r="N173" s="103"/>
      <c r="O173" s="103"/>
      <c r="P173" s="103"/>
      <c r="Q173" s="103"/>
      <c r="R173" s="103"/>
      <c r="S173" s="103"/>
      <c r="T173" s="103"/>
    </row>
    <row r="174" spans="1:20" s="1" customFormat="1" ht="14.1" customHeight="1" x14ac:dyDescent="0.25">
      <c r="A174" s="102" t="s">
        <v>4</v>
      </c>
      <c r="B174" s="102"/>
      <c r="C174" s="103" t="s">
        <v>397</v>
      </c>
      <c r="D174" s="103"/>
      <c r="E174" s="103"/>
      <c r="F174" s="103"/>
      <c r="G174" s="103"/>
      <c r="H174" s="103"/>
      <c r="I174" s="103"/>
      <c r="J174" s="103"/>
      <c r="K174" s="103"/>
      <c r="L174" s="103"/>
      <c r="M174" s="103"/>
      <c r="N174" s="103"/>
      <c r="O174" s="103"/>
      <c r="P174" s="103"/>
      <c r="Q174" s="103"/>
      <c r="R174" s="103"/>
      <c r="S174" s="103"/>
      <c r="T174" s="103"/>
    </row>
    <row r="175" spans="1:20" s="1" customFormat="1" ht="14.1" customHeight="1" x14ac:dyDescent="0.25">
      <c r="A175" s="102" t="s">
        <v>6</v>
      </c>
      <c r="B175" s="102"/>
      <c r="C175" s="102"/>
      <c r="D175" s="102"/>
      <c r="E175" s="102"/>
      <c r="F175" s="103" t="s">
        <v>398</v>
      </c>
      <c r="G175" s="103"/>
      <c r="H175" s="103"/>
      <c r="I175" s="103"/>
      <c r="J175" s="103"/>
      <c r="K175" s="103"/>
      <c r="L175" s="103"/>
      <c r="M175" s="103"/>
      <c r="N175" s="103"/>
      <c r="O175" s="103"/>
      <c r="P175" s="103"/>
      <c r="Q175" s="103"/>
      <c r="R175" s="103"/>
      <c r="S175" s="103"/>
      <c r="T175" s="103"/>
    </row>
    <row r="176" spans="1:20" s="1" customFormat="1" ht="22.35" customHeight="1" x14ac:dyDescent="0.25">
      <c r="F176" s="103"/>
      <c r="G176" s="103"/>
      <c r="H176" s="103"/>
      <c r="I176" s="103"/>
      <c r="J176" s="103"/>
      <c r="K176" s="103"/>
      <c r="L176" s="103"/>
      <c r="M176" s="103"/>
      <c r="N176" s="103"/>
      <c r="O176" s="103"/>
      <c r="P176" s="103"/>
      <c r="Q176" s="103"/>
      <c r="R176" s="103"/>
      <c r="S176" s="103"/>
      <c r="T176" s="103"/>
    </row>
    <row r="177" spans="1:20" s="1" customFormat="1" ht="7.05" customHeight="1" x14ac:dyDescent="0.25">
      <c r="A177" s="86"/>
      <c r="B177" s="86"/>
      <c r="C177" s="86"/>
      <c r="D177" s="86"/>
      <c r="E177" s="86"/>
      <c r="F177" s="86"/>
      <c r="G177" s="86"/>
      <c r="H177" s="86"/>
      <c r="I177" s="86"/>
      <c r="J177" s="86"/>
      <c r="K177" s="86"/>
      <c r="L177" s="86"/>
      <c r="M177" s="86"/>
      <c r="N177" s="86"/>
      <c r="O177" s="86"/>
      <c r="P177" s="86"/>
      <c r="Q177" s="16"/>
      <c r="R177" s="86"/>
      <c r="S177" s="86"/>
      <c r="T177" s="86"/>
    </row>
    <row r="178" spans="1:20" s="1" customFormat="1" ht="16.95" customHeight="1" x14ac:dyDescent="0.25">
      <c r="A178" s="94" t="s">
        <v>8</v>
      </c>
      <c r="B178" s="94"/>
      <c r="C178" s="94"/>
      <c r="D178" s="94"/>
      <c r="E178" s="94"/>
      <c r="F178" s="94"/>
      <c r="G178" s="94"/>
      <c r="H178" s="94"/>
      <c r="I178" s="94"/>
      <c r="J178" s="94"/>
      <c r="K178" s="94"/>
      <c r="L178" s="94"/>
      <c r="M178" s="95" t="s">
        <v>9</v>
      </c>
      <c r="N178" s="95"/>
      <c r="O178" s="95"/>
      <c r="P178" s="95"/>
      <c r="Q178" s="95"/>
      <c r="R178" s="95"/>
      <c r="S178" s="95"/>
      <c r="T178" s="95"/>
    </row>
    <row r="179" spans="1:20" s="1" customFormat="1" ht="16.95" customHeight="1" x14ac:dyDescent="0.25">
      <c r="A179" s="94"/>
      <c r="B179" s="94"/>
      <c r="C179" s="94"/>
      <c r="D179" s="94"/>
      <c r="E179" s="94"/>
      <c r="F179" s="94"/>
      <c r="G179" s="94"/>
      <c r="H179" s="94"/>
      <c r="I179" s="94"/>
      <c r="J179" s="94"/>
      <c r="K179" s="94"/>
      <c r="L179" s="94"/>
      <c r="M179" s="96" t="s">
        <v>10</v>
      </c>
      <c r="N179" s="96"/>
      <c r="O179" s="96"/>
      <c r="P179" s="96"/>
      <c r="Q179" s="97" t="s">
        <v>11</v>
      </c>
      <c r="R179" s="97"/>
      <c r="S179" s="97"/>
      <c r="T179" s="97"/>
    </row>
    <row r="180" spans="1:20" s="1" customFormat="1" ht="16.95" customHeight="1" x14ac:dyDescent="0.25">
      <c r="A180" s="94"/>
      <c r="B180" s="94"/>
      <c r="C180" s="94"/>
      <c r="D180" s="94"/>
      <c r="E180" s="94"/>
      <c r="F180" s="94"/>
      <c r="G180" s="94"/>
      <c r="H180" s="94"/>
      <c r="I180" s="94"/>
      <c r="J180" s="94"/>
      <c r="K180" s="94"/>
      <c r="L180" s="94"/>
      <c r="M180" s="98" t="s">
        <v>12</v>
      </c>
      <c r="N180" s="98"/>
      <c r="O180" s="98" t="s">
        <v>13</v>
      </c>
      <c r="P180" s="98"/>
      <c r="Q180" s="13" t="s">
        <v>14</v>
      </c>
      <c r="R180" s="99" t="s">
        <v>15</v>
      </c>
      <c r="S180" s="99"/>
      <c r="T180" s="99"/>
    </row>
    <row r="181" spans="1:20" s="1" customFormat="1" ht="13.35" customHeight="1" x14ac:dyDescent="0.25">
      <c r="A181" s="88" t="s">
        <v>399</v>
      </c>
      <c r="B181" s="88"/>
      <c r="C181" s="88"/>
      <c r="D181" s="88"/>
      <c r="E181" s="88"/>
      <c r="F181" s="88"/>
      <c r="G181" s="88"/>
      <c r="H181" s="88"/>
      <c r="I181" s="88"/>
      <c r="J181" s="88"/>
      <c r="K181" s="88"/>
      <c r="L181" s="88"/>
      <c r="M181" s="88">
        <v>29.27</v>
      </c>
      <c r="N181" s="88"/>
      <c r="O181" s="88">
        <v>28.71</v>
      </c>
      <c r="P181" s="88"/>
      <c r="Q181" s="6">
        <v>2.92</v>
      </c>
      <c r="R181" s="88">
        <v>2.87</v>
      </c>
      <c r="S181" s="88"/>
      <c r="T181" s="88"/>
    </row>
    <row r="182" spans="1:20" s="1" customFormat="1" ht="13.35" customHeight="1" x14ac:dyDescent="0.25">
      <c r="A182" s="88" t="s">
        <v>16</v>
      </c>
      <c r="B182" s="88"/>
      <c r="C182" s="88"/>
      <c r="D182" s="88"/>
      <c r="E182" s="88"/>
      <c r="F182" s="88"/>
      <c r="G182" s="88"/>
      <c r="H182" s="88"/>
      <c r="I182" s="88"/>
      <c r="J182" s="88"/>
      <c r="K182" s="88"/>
      <c r="L182" s="88"/>
      <c r="M182" s="88">
        <v>58.53</v>
      </c>
      <c r="N182" s="88"/>
      <c r="O182" s="88">
        <v>57.42</v>
      </c>
      <c r="P182" s="88"/>
      <c r="Q182" s="6">
        <v>5.85</v>
      </c>
      <c r="R182" s="88">
        <v>5.74</v>
      </c>
      <c r="S182" s="88"/>
      <c r="T182" s="88"/>
    </row>
    <row r="183" spans="1:20" s="1" customFormat="1" ht="13.35" customHeight="1" x14ac:dyDescent="0.25">
      <c r="A183" s="88" t="s">
        <v>21</v>
      </c>
      <c r="B183" s="88"/>
      <c r="C183" s="88"/>
      <c r="D183" s="88"/>
      <c r="E183" s="88"/>
      <c r="F183" s="88"/>
      <c r="G183" s="88"/>
      <c r="H183" s="88"/>
      <c r="I183" s="88"/>
      <c r="J183" s="88"/>
      <c r="K183" s="88"/>
      <c r="L183" s="88"/>
      <c r="M183" s="88">
        <v>2.92</v>
      </c>
      <c r="N183" s="88"/>
      <c r="O183" s="88">
        <v>2.4500000000000002</v>
      </c>
      <c r="P183" s="88"/>
      <c r="Q183" s="6">
        <v>0.28999999999999998</v>
      </c>
      <c r="R183" s="88">
        <v>0.245</v>
      </c>
      <c r="S183" s="88"/>
      <c r="T183" s="88"/>
    </row>
    <row r="184" spans="1:20" s="1" customFormat="1" ht="13.35" customHeight="1" x14ac:dyDescent="0.25">
      <c r="A184" s="88" t="s">
        <v>67</v>
      </c>
      <c r="B184" s="88"/>
      <c r="C184" s="88"/>
      <c r="D184" s="88"/>
      <c r="E184" s="88"/>
      <c r="F184" s="88"/>
      <c r="G184" s="88"/>
      <c r="H184" s="88"/>
      <c r="I184" s="88"/>
      <c r="J184" s="88"/>
      <c r="K184" s="88"/>
      <c r="L184" s="88"/>
      <c r="M184" s="88">
        <v>4.8499999999999996</v>
      </c>
      <c r="N184" s="88"/>
      <c r="O184" s="88">
        <v>4.8499999999999996</v>
      </c>
      <c r="P184" s="88"/>
      <c r="Q184" s="6">
        <v>0.48</v>
      </c>
      <c r="R184" s="88">
        <v>0.48</v>
      </c>
      <c r="S184" s="88"/>
      <c r="T184" s="88"/>
    </row>
    <row r="185" spans="1:20" s="1" customFormat="1" ht="13.35" customHeight="1" x14ac:dyDescent="0.25">
      <c r="A185" s="88" t="s">
        <v>183</v>
      </c>
      <c r="B185" s="88"/>
      <c r="C185" s="88"/>
      <c r="D185" s="88"/>
      <c r="E185" s="88"/>
      <c r="F185" s="88"/>
      <c r="G185" s="88"/>
      <c r="H185" s="88"/>
      <c r="I185" s="88"/>
      <c r="J185" s="88"/>
      <c r="K185" s="88"/>
      <c r="L185" s="88"/>
      <c r="M185" s="88">
        <v>2.1999999999999999E-2</v>
      </c>
      <c r="N185" s="88"/>
      <c r="O185" s="88">
        <f>0.022*45</f>
        <v>0.99</v>
      </c>
      <c r="P185" s="88"/>
      <c r="Q185" s="6" t="s">
        <v>400</v>
      </c>
      <c r="R185" s="88">
        <v>0.09</v>
      </c>
      <c r="S185" s="88"/>
      <c r="T185" s="88"/>
    </row>
    <row r="186" spans="1:20" s="1" customFormat="1" ht="13.35" customHeight="1" x14ac:dyDescent="0.25">
      <c r="A186" s="88" t="s">
        <v>65</v>
      </c>
      <c r="B186" s="88"/>
      <c r="C186" s="88"/>
      <c r="D186" s="88"/>
      <c r="E186" s="88"/>
      <c r="F186" s="88"/>
      <c r="G186" s="88"/>
      <c r="H186" s="88"/>
      <c r="I186" s="88"/>
      <c r="J186" s="88"/>
      <c r="K186" s="88"/>
      <c r="L186" s="88"/>
      <c r="M186" s="88">
        <v>15.86</v>
      </c>
      <c r="N186" s="88"/>
      <c r="O186" s="88">
        <v>15.86</v>
      </c>
      <c r="P186" s="88"/>
      <c r="Q186" s="6">
        <v>1.58</v>
      </c>
      <c r="R186" s="88">
        <v>1.58</v>
      </c>
      <c r="S186" s="88"/>
      <c r="T186" s="88"/>
    </row>
    <row r="187" spans="1:20" s="1" customFormat="1" ht="13.35" customHeight="1" x14ac:dyDescent="0.25">
      <c r="A187" s="88" t="s">
        <v>114</v>
      </c>
      <c r="B187" s="88"/>
      <c r="C187" s="88"/>
      <c r="D187" s="88"/>
      <c r="E187" s="88"/>
      <c r="F187" s="88"/>
      <c r="G187" s="88"/>
      <c r="H187" s="88"/>
      <c r="I187" s="88"/>
      <c r="J187" s="88"/>
      <c r="K187" s="88"/>
      <c r="L187" s="88"/>
      <c r="M187" s="88">
        <v>24.39</v>
      </c>
      <c r="N187" s="88"/>
      <c r="O187" s="88">
        <v>24.39</v>
      </c>
      <c r="P187" s="88"/>
      <c r="Q187" s="6">
        <v>2.4300000000000002</v>
      </c>
      <c r="R187" s="88">
        <v>2.4300000000000002</v>
      </c>
      <c r="S187" s="88"/>
      <c r="T187" s="88"/>
    </row>
    <row r="188" spans="1:20" s="1" customFormat="1" ht="13.35" customHeight="1" x14ac:dyDescent="0.25">
      <c r="A188" s="88" t="s">
        <v>70</v>
      </c>
      <c r="B188" s="88"/>
      <c r="C188" s="88"/>
      <c r="D188" s="88"/>
      <c r="E188" s="88"/>
      <c r="F188" s="88"/>
      <c r="G188" s="88"/>
      <c r="H188" s="88"/>
      <c r="I188" s="88"/>
      <c r="J188" s="88"/>
      <c r="K188" s="88"/>
      <c r="L188" s="88"/>
      <c r="M188" s="88">
        <v>1.55</v>
      </c>
      <c r="N188" s="88"/>
      <c r="O188" s="88">
        <v>1.55</v>
      </c>
      <c r="P188" s="88"/>
      <c r="Q188" s="6">
        <v>0.15</v>
      </c>
      <c r="R188" s="88">
        <v>0.15</v>
      </c>
      <c r="S188" s="88"/>
      <c r="T188" s="88"/>
    </row>
    <row r="189" spans="1:20" s="1" customFormat="1" ht="13.35" customHeight="1" x14ac:dyDescent="0.25">
      <c r="A189" s="88" t="s">
        <v>18</v>
      </c>
      <c r="B189" s="88"/>
      <c r="C189" s="88"/>
      <c r="D189" s="88"/>
      <c r="E189" s="88"/>
      <c r="F189" s="88"/>
      <c r="G189" s="88"/>
      <c r="H189" s="88"/>
      <c r="I189" s="88"/>
      <c r="J189" s="88"/>
      <c r="K189" s="88"/>
      <c r="L189" s="88"/>
      <c r="M189" s="88">
        <v>3.33</v>
      </c>
      <c r="N189" s="88"/>
      <c r="O189" s="88">
        <v>3.33</v>
      </c>
      <c r="P189" s="88"/>
      <c r="Q189" s="6">
        <v>0.3</v>
      </c>
      <c r="R189" s="88">
        <v>0.3</v>
      </c>
      <c r="S189" s="88"/>
      <c r="T189" s="88"/>
    </row>
    <row r="190" spans="1:20" s="1" customFormat="1" ht="13.35" customHeight="1" x14ac:dyDescent="0.25">
      <c r="A190" s="88" t="s">
        <v>755</v>
      </c>
      <c r="B190" s="88"/>
      <c r="C190" s="88"/>
      <c r="D190" s="88"/>
      <c r="E190" s="88"/>
      <c r="F190" s="88"/>
      <c r="G190" s="88"/>
      <c r="H190" s="88"/>
      <c r="I190" s="88"/>
      <c r="J190" s="88"/>
      <c r="K190" s="88"/>
      <c r="L190" s="88"/>
      <c r="M190" s="88" t="s">
        <v>62</v>
      </c>
      <c r="N190" s="88"/>
      <c r="O190" s="88" t="s">
        <v>62</v>
      </c>
      <c r="P190" s="88"/>
      <c r="Q190" s="6">
        <v>0.5</v>
      </c>
      <c r="R190" s="88">
        <v>0.5</v>
      </c>
      <c r="S190" s="88"/>
      <c r="T190" s="88"/>
    </row>
    <row r="191" spans="1:20" s="1" customFormat="1" ht="14.1" customHeight="1" x14ac:dyDescent="0.25">
      <c r="A191" s="90" t="s">
        <v>605</v>
      </c>
      <c r="B191" s="90"/>
      <c r="C191" s="90"/>
      <c r="D191" s="90"/>
      <c r="E191" s="90"/>
      <c r="F191" s="90"/>
      <c r="G191" s="90"/>
      <c r="H191" s="90"/>
      <c r="I191" s="90"/>
      <c r="J191" s="90"/>
      <c r="K191" s="90"/>
      <c r="L191" s="90"/>
      <c r="M191" s="90"/>
      <c r="N191" s="90"/>
      <c r="O191" s="90"/>
      <c r="P191" s="90"/>
      <c r="Q191" s="90"/>
      <c r="R191" s="90"/>
      <c r="S191" s="90"/>
      <c r="T191" s="90"/>
    </row>
    <row r="192" spans="1:20" s="1" customFormat="1" ht="21.3" customHeight="1" x14ac:dyDescent="0.25"/>
    <row r="193" spans="1:19" s="1" customFormat="1" ht="14.1" customHeight="1" x14ac:dyDescent="0.25">
      <c r="A193" s="91" t="s">
        <v>33</v>
      </c>
      <c r="B193" s="91"/>
      <c r="C193" s="91"/>
      <c r="D193" s="91"/>
      <c r="E193" s="91"/>
      <c r="F193" s="91"/>
      <c r="G193" s="91"/>
      <c r="H193" s="91"/>
      <c r="I193" s="91"/>
      <c r="J193" s="91"/>
      <c r="K193" s="91"/>
      <c r="L193" s="91"/>
      <c r="M193" s="91"/>
      <c r="N193" s="91"/>
    </row>
    <row r="194" spans="1:19" s="1" customFormat="1" ht="13.35" customHeight="1" x14ac:dyDescent="0.25">
      <c r="A194" s="88" t="s">
        <v>34</v>
      </c>
      <c r="B194" s="88"/>
      <c r="C194" s="88"/>
      <c r="D194" s="88"/>
      <c r="E194" s="89">
        <f>9.48*105/95</f>
        <v>10.477894736842106</v>
      </c>
      <c r="F194" s="89"/>
      <c r="G194" s="17"/>
      <c r="H194" s="6" t="s">
        <v>35</v>
      </c>
      <c r="I194" s="89">
        <v>0.22</v>
      </c>
      <c r="J194" s="89"/>
      <c r="K194" s="17"/>
      <c r="L194" s="88" t="s">
        <v>36</v>
      </c>
      <c r="M194" s="88"/>
      <c r="N194" s="89">
        <v>16.46</v>
      </c>
      <c r="O194" s="89"/>
    </row>
    <row r="195" spans="1:19" s="1" customFormat="1" ht="13.35" customHeight="1" x14ac:dyDescent="0.25">
      <c r="A195" s="88" t="s">
        <v>37</v>
      </c>
      <c r="B195" s="88"/>
      <c r="C195" s="88"/>
      <c r="D195" s="88"/>
      <c r="E195" s="89">
        <f>15.86*105/95</f>
        <v>17.529473684210526</v>
      </c>
      <c r="F195" s="89"/>
      <c r="G195" s="17"/>
      <c r="H195" s="6" t="s">
        <v>38</v>
      </c>
      <c r="I195" s="89">
        <v>0.09</v>
      </c>
      <c r="J195" s="89"/>
      <c r="K195" s="17"/>
      <c r="L195" s="88" t="s">
        <v>39</v>
      </c>
      <c r="M195" s="88"/>
      <c r="N195" s="89">
        <v>23.56</v>
      </c>
      <c r="O195" s="89"/>
    </row>
    <row r="196" spans="1:19" s="1" customFormat="1" ht="13.35" customHeight="1" x14ac:dyDescent="0.25">
      <c r="A196" s="88" t="s">
        <v>40</v>
      </c>
      <c r="B196" s="88"/>
      <c r="C196" s="88"/>
      <c r="D196" s="88"/>
      <c r="E196" s="89">
        <f>8.69*105/95</f>
        <v>9.6047368421052628</v>
      </c>
      <c r="F196" s="89"/>
      <c r="G196" s="17"/>
      <c r="H196" s="6" t="s">
        <v>41</v>
      </c>
      <c r="I196" s="89">
        <v>0</v>
      </c>
      <c r="J196" s="89"/>
      <c r="K196" s="17"/>
      <c r="L196" s="88" t="s">
        <v>42</v>
      </c>
      <c r="M196" s="88"/>
      <c r="N196" s="89">
        <v>135.01</v>
      </c>
      <c r="O196" s="89"/>
    </row>
    <row r="197" spans="1:19" s="1" customFormat="1" ht="13.35" customHeight="1" x14ac:dyDescent="0.25">
      <c r="A197" s="88" t="s">
        <v>43</v>
      </c>
      <c r="B197" s="88"/>
      <c r="C197" s="88"/>
      <c r="D197" s="88"/>
      <c r="E197" s="89">
        <f>216.85*105/95</f>
        <v>239.67631578947368</v>
      </c>
      <c r="F197" s="89"/>
      <c r="G197" s="17"/>
      <c r="H197" s="6" t="s">
        <v>44</v>
      </c>
      <c r="I197" s="89">
        <v>2.5499999999999998</v>
      </c>
      <c r="J197" s="89"/>
      <c r="K197" s="17"/>
      <c r="L197" s="88" t="s">
        <v>45</v>
      </c>
      <c r="M197" s="88"/>
      <c r="N197" s="89">
        <v>1.92</v>
      </c>
      <c r="O197" s="89"/>
    </row>
    <row r="198" spans="1:19" s="1" customFormat="1" ht="13.35" customHeight="1" x14ac:dyDescent="0.25">
      <c r="A198" s="87"/>
      <c r="B198" s="87"/>
      <c r="C198" s="87"/>
      <c r="D198" s="87"/>
      <c r="E198" s="87"/>
      <c r="F198" s="87"/>
      <c r="G198" s="17"/>
      <c r="H198" s="6" t="s">
        <v>46</v>
      </c>
      <c r="I198" s="89">
        <v>0.02</v>
      </c>
      <c r="J198" s="89"/>
      <c r="K198" s="17"/>
      <c r="L198" s="88" t="s">
        <v>47</v>
      </c>
      <c r="M198" s="88"/>
      <c r="N198" s="89">
        <v>269.56</v>
      </c>
      <c r="O198" s="89"/>
    </row>
    <row r="199" spans="1:19" s="1" customFormat="1" ht="13.35" customHeight="1" x14ac:dyDescent="0.25">
      <c r="A199" s="87"/>
      <c r="B199" s="87"/>
      <c r="C199" s="87"/>
      <c r="D199" s="87"/>
      <c r="E199" s="87"/>
      <c r="F199" s="87"/>
      <c r="G199" s="17"/>
      <c r="H199" s="6" t="s">
        <v>48</v>
      </c>
      <c r="I199" s="89">
        <v>0.1</v>
      </c>
      <c r="J199" s="89"/>
      <c r="K199" s="17"/>
      <c r="L199" s="88" t="s">
        <v>49</v>
      </c>
      <c r="M199" s="88"/>
      <c r="N199" s="89">
        <v>5.5</v>
      </c>
      <c r="O199" s="89"/>
    </row>
    <row r="200" spans="1:19" s="1" customFormat="1" ht="13.35" customHeight="1" x14ac:dyDescent="0.25">
      <c r="A200" s="87"/>
      <c r="B200" s="87"/>
      <c r="C200" s="87"/>
      <c r="D200" s="87"/>
      <c r="E200" s="87"/>
      <c r="F200" s="87"/>
      <c r="G200" s="17"/>
      <c r="H200" s="17"/>
      <c r="I200" s="87"/>
      <c r="J200" s="87"/>
      <c r="K200" s="17"/>
      <c r="L200" s="88" t="s">
        <v>50</v>
      </c>
      <c r="M200" s="88"/>
      <c r="N200" s="89">
        <v>0.05</v>
      </c>
      <c r="O200" s="89"/>
    </row>
    <row r="201" spans="1:19" s="1" customFormat="1" ht="13.35" customHeight="1" x14ac:dyDescent="0.25">
      <c r="A201" s="87"/>
      <c r="B201" s="87"/>
      <c r="C201" s="87"/>
      <c r="D201" s="87"/>
      <c r="E201" s="87"/>
      <c r="F201" s="87"/>
      <c r="G201" s="17"/>
      <c r="H201" s="17"/>
      <c r="I201" s="87"/>
      <c r="J201" s="87"/>
      <c r="K201" s="17"/>
      <c r="L201" s="88" t="s">
        <v>51</v>
      </c>
      <c r="M201" s="88"/>
      <c r="N201" s="89">
        <v>0</v>
      </c>
      <c r="O201" s="89"/>
    </row>
    <row r="202" spans="1:19" s="1" customFormat="1" ht="14.1" customHeight="1" x14ac:dyDescent="0.25">
      <c r="A202" s="86"/>
      <c r="B202" s="86"/>
      <c r="C202" s="86"/>
      <c r="D202" s="86"/>
      <c r="E202" s="86"/>
      <c r="F202" s="86"/>
      <c r="G202" s="86"/>
      <c r="H202" s="86"/>
      <c r="I202" s="86"/>
      <c r="J202" s="86"/>
      <c r="K202" s="86"/>
      <c r="L202" s="86"/>
      <c r="M202" s="86"/>
      <c r="N202" s="86"/>
      <c r="O202" s="86"/>
      <c r="P202" s="86"/>
      <c r="Q202" s="86"/>
      <c r="R202" s="86"/>
      <c r="S202" s="86"/>
    </row>
    <row r="203" spans="1:19" s="1" customFormat="1" ht="14.1" customHeight="1" x14ac:dyDescent="0.25">
      <c r="A203" s="84" t="s">
        <v>52</v>
      </c>
      <c r="B203" s="84"/>
      <c r="C203" s="84"/>
      <c r="D203" s="84"/>
      <c r="E203" s="84"/>
      <c r="F203" s="84"/>
      <c r="G203" s="84"/>
      <c r="H203" s="84"/>
      <c r="I203" s="84"/>
      <c r="J203" s="84"/>
      <c r="K203" s="84"/>
      <c r="L203" s="84"/>
      <c r="M203" s="84"/>
      <c r="N203" s="84"/>
      <c r="O203" s="84"/>
      <c r="P203" s="84"/>
      <c r="Q203" s="84"/>
      <c r="R203" s="84"/>
      <c r="S203" s="84"/>
    </row>
    <row r="204" spans="1:19" s="1" customFormat="1" ht="49.2" customHeight="1" x14ac:dyDescent="0.25">
      <c r="A204" s="85" t="s">
        <v>401</v>
      </c>
      <c r="B204" s="85"/>
      <c r="C204" s="85"/>
      <c r="D204" s="85"/>
      <c r="E204" s="85"/>
      <c r="F204" s="85"/>
      <c r="G204" s="85"/>
      <c r="H204" s="85"/>
      <c r="I204" s="85"/>
      <c r="J204" s="85"/>
      <c r="K204" s="85"/>
      <c r="L204" s="85"/>
      <c r="M204" s="85"/>
      <c r="N204" s="85"/>
      <c r="O204" s="85"/>
      <c r="P204" s="85"/>
      <c r="Q204" s="85"/>
      <c r="R204" s="85"/>
      <c r="S204" s="85"/>
    </row>
    <row r="205" spans="1:19" s="1" customFormat="1" ht="14.1" customHeight="1" x14ac:dyDescent="0.25">
      <c r="A205" s="84" t="s">
        <v>54</v>
      </c>
      <c r="B205" s="84"/>
      <c r="C205" s="84"/>
      <c r="D205" s="84"/>
      <c r="E205" s="84"/>
      <c r="F205" s="84"/>
      <c r="G205" s="84"/>
      <c r="H205" s="84"/>
      <c r="I205" s="84"/>
      <c r="J205" s="84"/>
      <c r="K205" s="84"/>
      <c r="L205" s="84"/>
      <c r="M205" s="84"/>
      <c r="N205" s="84"/>
      <c r="O205" s="84"/>
      <c r="P205" s="84"/>
      <c r="Q205" s="84"/>
      <c r="R205" s="84"/>
      <c r="S205" s="84"/>
    </row>
    <row r="206" spans="1:19" s="1" customFormat="1" ht="21.6" customHeight="1" x14ac:dyDescent="0.25">
      <c r="A206" s="85" t="s">
        <v>395</v>
      </c>
      <c r="B206" s="85"/>
      <c r="C206" s="85"/>
      <c r="D206" s="85"/>
      <c r="E206" s="85"/>
      <c r="F206" s="85"/>
      <c r="G206" s="85"/>
      <c r="H206" s="85"/>
      <c r="I206" s="85"/>
      <c r="J206" s="85"/>
      <c r="K206" s="85"/>
      <c r="L206" s="85"/>
      <c r="M206" s="85"/>
      <c r="N206" s="85"/>
      <c r="O206" s="85"/>
      <c r="P206" s="85"/>
      <c r="Q206" s="85"/>
      <c r="R206" s="85"/>
      <c r="S206" s="85"/>
    </row>
    <row r="207" spans="1:19" s="1" customFormat="1" ht="14.1" customHeight="1" x14ac:dyDescent="0.25">
      <c r="A207" s="86"/>
      <c r="B207" s="86"/>
      <c r="C207" s="86"/>
      <c r="D207" s="86"/>
      <c r="E207" s="86"/>
      <c r="F207" s="86"/>
      <c r="G207" s="86"/>
      <c r="H207" s="86"/>
      <c r="I207" s="86"/>
      <c r="J207" s="86"/>
      <c r="K207" s="86"/>
      <c r="L207" s="86"/>
      <c r="M207" s="86"/>
      <c r="N207" s="86"/>
      <c r="O207" s="86"/>
      <c r="P207" s="86"/>
      <c r="Q207" s="86"/>
      <c r="R207" s="86"/>
      <c r="S207" s="86"/>
    </row>
    <row r="208" spans="1:19" s="1" customFormat="1" ht="14.1" customHeight="1" x14ac:dyDescent="0.25">
      <c r="A208" s="84" t="s">
        <v>56</v>
      </c>
      <c r="B208" s="84"/>
      <c r="C208" s="84"/>
      <c r="D208" s="84"/>
      <c r="E208" s="84"/>
      <c r="F208" s="84"/>
      <c r="G208" s="84"/>
      <c r="H208" s="84"/>
      <c r="I208" s="84"/>
      <c r="J208" s="84"/>
      <c r="K208" s="84"/>
      <c r="L208" s="84"/>
      <c r="M208" s="84"/>
      <c r="N208" s="84"/>
      <c r="O208" s="84"/>
      <c r="P208" s="84"/>
      <c r="Q208" s="84"/>
      <c r="R208" s="84"/>
      <c r="S208" s="84"/>
    </row>
    <row r="209" spans="1:20" s="1" customFormat="1" ht="49.2" customHeight="1" x14ac:dyDescent="0.25">
      <c r="A209" s="85" t="s">
        <v>402</v>
      </c>
      <c r="B209" s="85"/>
      <c r="C209" s="85"/>
      <c r="D209" s="85"/>
      <c r="E209" s="85"/>
      <c r="F209" s="85"/>
      <c r="G209" s="85"/>
      <c r="H209" s="85"/>
      <c r="I209" s="85"/>
      <c r="J209" s="85"/>
      <c r="K209" s="85"/>
      <c r="L209" s="85"/>
      <c r="M209" s="85"/>
      <c r="N209" s="85"/>
      <c r="O209" s="85"/>
      <c r="P209" s="85"/>
      <c r="Q209" s="85"/>
      <c r="R209" s="85"/>
      <c r="S209" s="85"/>
    </row>
    <row r="211" spans="1:20" s="1" customFormat="1" ht="72.45" customHeight="1" x14ac:dyDescent="0.25">
      <c r="J211" s="100" t="s">
        <v>0</v>
      </c>
      <c r="K211" s="100"/>
      <c r="L211" s="100"/>
      <c r="M211" s="100"/>
      <c r="N211" s="100"/>
      <c r="O211" s="100"/>
      <c r="P211" s="100"/>
      <c r="Q211" s="100"/>
      <c r="R211" s="100"/>
      <c r="S211" s="100"/>
      <c r="T211" s="100"/>
    </row>
    <row r="212" spans="1:20" s="1" customFormat="1" ht="7.05" customHeight="1" x14ac:dyDescent="0.25"/>
    <row r="213" spans="1:20" s="1" customFormat="1" ht="14.1" customHeight="1" x14ac:dyDescent="0.25">
      <c r="B213" s="101" t="s">
        <v>715</v>
      </c>
      <c r="C213" s="101"/>
      <c r="D213" s="101"/>
      <c r="E213" s="101"/>
      <c r="F213" s="101"/>
      <c r="G213" s="101"/>
      <c r="H213" s="101"/>
      <c r="I213" s="101"/>
      <c r="J213" s="101"/>
      <c r="K213" s="101"/>
      <c r="L213" s="101"/>
      <c r="M213" s="101"/>
      <c r="N213" s="101"/>
      <c r="O213" s="101"/>
      <c r="P213" s="101"/>
      <c r="Q213" s="101"/>
      <c r="R213" s="101"/>
    </row>
    <row r="214" spans="1:20" s="1" customFormat="1" ht="14.1" customHeight="1" x14ac:dyDescent="0.25"/>
    <row r="215" spans="1:20" s="1" customFormat="1" ht="14.1" customHeight="1" x14ac:dyDescent="0.25">
      <c r="A215" s="102" t="s">
        <v>2</v>
      </c>
      <c r="B215" s="102"/>
      <c r="C215" s="102"/>
      <c r="D215" s="103" t="s">
        <v>403</v>
      </c>
      <c r="E215" s="103"/>
      <c r="F215" s="103"/>
      <c r="G215" s="103"/>
      <c r="H215" s="103"/>
      <c r="I215" s="103"/>
      <c r="J215" s="103"/>
      <c r="K215" s="103"/>
      <c r="L215" s="103"/>
      <c r="M215" s="103"/>
      <c r="N215" s="103"/>
      <c r="O215" s="103"/>
      <c r="P215" s="103"/>
      <c r="Q215" s="103"/>
      <c r="R215" s="103"/>
      <c r="S215" s="103"/>
      <c r="T215" s="103"/>
    </row>
    <row r="216" spans="1:20" s="1" customFormat="1" ht="14.1" customHeight="1" x14ac:dyDescent="0.25">
      <c r="A216" s="102" t="s">
        <v>4</v>
      </c>
      <c r="B216" s="102"/>
      <c r="C216" s="103">
        <v>294</v>
      </c>
      <c r="D216" s="103"/>
      <c r="E216" s="103"/>
      <c r="F216" s="103"/>
      <c r="G216" s="103"/>
      <c r="H216" s="103"/>
      <c r="I216" s="103"/>
      <c r="J216" s="103"/>
      <c r="K216" s="103"/>
      <c r="L216" s="103"/>
      <c r="M216" s="103"/>
      <c r="N216" s="103"/>
      <c r="O216" s="103"/>
      <c r="P216" s="103"/>
      <c r="Q216" s="103"/>
      <c r="R216" s="103"/>
      <c r="S216" s="103"/>
      <c r="T216" s="103"/>
    </row>
    <row r="217" spans="1:20" s="1" customFormat="1" ht="14.1" customHeight="1" x14ac:dyDescent="0.25">
      <c r="A217" s="102" t="s">
        <v>6</v>
      </c>
      <c r="B217" s="102"/>
      <c r="C217" s="102"/>
      <c r="D217" s="102"/>
      <c r="E217" s="102"/>
      <c r="F217" s="103" t="s">
        <v>60</v>
      </c>
      <c r="G217" s="103"/>
      <c r="H217" s="103"/>
      <c r="I217" s="103"/>
      <c r="J217" s="103"/>
      <c r="K217" s="103"/>
      <c r="L217" s="103"/>
      <c r="M217" s="103"/>
      <c r="N217" s="103"/>
      <c r="O217" s="103"/>
      <c r="P217" s="103"/>
      <c r="Q217" s="103"/>
      <c r="R217" s="103"/>
      <c r="S217" s="103"/>
      <c r="T217" s="103"/>
    </row>
    <row r="218" spans="1:20" s="1" customFormat="1" ht="22.35" customHeight="1" x14ac:dyDescent="0.25">
      <c r="F218" s="103"/>
      <c r="G218" s="103"/>
      <c r="H218" s="103"/>
      <c r="I218" s="103"/>
      <c r="J218" s="103"/>
      <c r="K218" s="103"/>
      <c r="L218" s="103"/>
      <c r="M218" s="103"/>
      <c r="N218" s="103"/>
      <c r="O218" s="103"/>
      <c r="P218" s="103"/>
      <c r="Q218" s="103"/>
      <c r="R218" s="103"/>
      <c r="S218" s="103"/>
      <c r="T218" s="103"/>
    </row>
    <row r="219" spans="1:20" s="1" customFormat="1" ht="7.05" customHeight="1" x14ac:dyDescent="0.25">
      <c r="A219" s="86"/>
      <c r="B219" s="86"/>
      <c r="C219" s="86"/>
      <c r="D219" s="86"/>
      <c r="E219" s="86"/>
      <c r="F219" s="86"/>
      <c r="G219" s="86"/>
      <c r="H219" s="86"/>
      <c r="I219" s="86"/>
      <c r="J219" s="86"/>
      <c r="K219" s="86"/>
      <c r="L219" s="86"/>
      <c r="M219" s="86"/>
      <c r="N219" s="86"/>
      <c r="O219" s="86"/>
      <c r="P219" s="86"/>
      <c r="Q219" s="16"/>
      <c r="R219" s="86"/>
      <c r="S219" s="86"/>
      <c r="T219" s="86"/>
    </row>
    <row r="220" spans="1:20" s="1" customFormat="1" ht="16.95" customHeight="1" x14ac:dyDescent="0.25">
      <c r="A220" s="94" t="s">
        <v>8</v>
      </c>
      <c r="B220" s="94"/>
      <c r="C220" s="94"/>
      <c r="D220" s="94"/>
      <c r="E220" s="94"/>
      <c r="F220" s="94"/>
      <c r="G220" s="94"/>
      <c r="H220" s="94"/>
      <c r="I220" s="94"/>
      <c r="J220" s="94"/>
      <c r="K220" s="94"/>
      <c r="L220" s="94"/>
      <c r="M220" s="95" t="s">
        <v>9</v>
      </c>
      <c r="N220" s="95"/>
      <c r="O220" s="95"/>
      <c r="P220" s="95"/>
      <c r="Q220" s="95"/>
      <c r="R220" s="95"/>
      <c r="S220" s="95"/>
      <c r="T220" s="95"/>
    </row>
    <row r="221" spans="1:20" s="1" customFormat="1" ht="16.95" customHeight="1" x14ac:dyDescent="0.25">
      <c r="A221" s="94"/>
      <c r="B221" s="94"/>
      <c r="C221" s="94"/>
      <c r="D221" s="94"/>
      <c r="E221" s="94"/>
      <c r="F221" s="94"/>
      <c r="G221" s="94"/>
      <c r="H221" s="94"/>
      <c r="I221" s="94"/>
      <c r="J221" s="94"/>
      <c r="K221" s="94"/>
      <c r="L221" s="94"/>
      <c r="M221" s="96" t="s">
        <v>10</v>
      </c>
      <c r="N221" s="96"/>
      <c r="O221" s="96"/>
      <c r="P221" s="96"/>
      <c r="Q221" s="97" t="s">
        <v>11</v>
      </c>
      <c r="R221" s="97"/>
      <c r="S221" s="97"/>
      <c r="T221" s="97"/>
    </row>
    <row r="222" spans="1:20" s="1" customFormat="1" ht="16.95" customHeight="1" x14ac:dyDescent="0.25">
      <c r="A222" s="94"/>
      <c r="B222" s="94"/>
      <c r="C222" s="94"/>
      <c r="D222" s="94"/>
      <c r="E222" s="94"/>
      <c r="F222" s="94"/>
      <c r="G222" s="94"/>
      <c r="H222" s="94"/>
      <c r="I222" s="94"/>
      <c r="J222" s="94"/>
      <c r="K222" s="94"/>
      <c r="L222" s="94"/>
      <c r="M222" s="98" t="s">
        <v>12</v>
      </c>
      <c r="N222" s="98"/>
      <c r="O222" s="98" t="s">
        <v>13</v>
      </c>
      <c r="P222" s="98"/>
      <c r="Q222" s="13" t="s">
        <v>14</v>
      </c>
      <c r="R222" s="99" t="s">
        <v>15</v>
      </c>
      <c r="S222" s="99"/>
      <c r="T222" s="99"/>
    </row>
    <row r="223" spans="1:20" s="1" customFormat="1" ht="13.35" customHeight="1" x14ac:dyDescent="0.25">
      <c r="A223" s="88" t="s">
        <v>756</v>
      </c>
      <c r="B223" s="88"/>
      <c r="C223" s="88"/>
      <c r="D223" s="88"/>
      <c r="E223" s="88"/>
      <c r="F223" s="88"/>
      <c r="G223" s="88"/>
      <c r="H223" s="88"/>
      <c r="I223" s="88"/>
      <c r="J223" s="88"/>
      <c r="K223" s="88"/>
      <c r="L223" s="88"/>
      <c r="M223" s="88">
        <v>74.22</v>
      </c>
      <c r="N223" s="88"/>
      <c r="O223" s="88">
        <v>70.89</v>
      </c>
      <c r="P223" s="88"/>
      <c r="Q223" s="6">
        <v>7.42</v>
      </c>
      <c r="R223" s="88">
        <v>7.0890000000000004</v>
      </c>
      <c r="S223" s="88"/>
      <c r="T223" s="88"/>
    </row>
    <row r="224" spans="1:20" s="1" customFormat="1" ht="13.35" customHeight="1" x14ac:dyDescent="0.25">
      <c r="A224" s="88" t="s">
        <v>65</v>
      </c>
      <c r="B224" s="88"/>
      <c r="C224" s="88"/>
      <c r="D224" s="88"/>
      <c r="E224" s="88"/>
      <c r="F224" s="88"/>
      <c r="G224" s="88"/>
      <c r="H224" s="88"/>
      <c r="I224" s="88"/>
      <c r="J224" s="88"/>
      <c r="K224" s="88"/>
      <c r="L224" s="88"/>
      <c r="M224" s="88">
        <f>16.2*100/90</f>
        <v>18</v>
      </c>
      <c r="N224" s="88"/>
      <c r="O224" s="88">
        <v>18</v>
      </c>
      <c r="P224" s="88"/>
      <c r="Q224" s="6">
        <v>1.8</v>
      </c>
      <c r="R224" s="88">
        <v>1.8</v>
      </c>
      <c r="S224" s="88"/>
      <c r="T224" s="88"/>
    </row>
    <row r="225" spans="1:20" s="1" customFormat="1" ht="13.35" customHeight="1" x14ac:dyDescent="0.25">
      <c r="A225" s="88" t="s">
        <v>66</v>
      </c>
      <c r="B225" s="88"/>
      <c r="C225" s="88"/>
      <c r="D225" s="88"/>
      <c r="E225" s="88"/>
      <c r="F225" s="88"/>
      <c r="G225" s="88"/>
      <c r="H225" s="88"/>
      <c r="I225" s="88"/>
      <c r="J225" s="88"/>
      <c r="K225" s="88"/>
      <c r="L225" s="88"/>
      <c r="M225" s="88">
        <f>23.4*100/90</f>
        <v>26</v>
      </c>
      <c r="N225" s="88"/>
      <c r="O225" s="88">
        <v>26</v>
      </c>
      <c r="P225" s="88"/>
      <c r="Q225" s="6">
        <v>2.6</v>
      </c>
      <c r="R225" s="88">
        <v>2.6</v>
      </c>
      <c r="S225" s="88"/>
      <c r="T225" s="88"/>
    </row>
    <row r="226" spans="1:20" s="1" customFormat="1" ht="13.35" customHeight="1" x14ac:dyDescent="0.25">
      <c r="A226" s="88" t="s">
        <v>67</v>
      </c>
      <c r="B226" s="88"/>
      <c r="C226" s="88"/>
      <c r="D226" s="88"/>
      <c r="E226" s="88"/>
      <c r="F226" s="88"/>
      <c r="G226" s="88"/>
      <c r="H226" s="88"/>
      <c r="I226" s="88"/>
      <c r="J226" s="88"/>
      <c r="K226" s="88"/>
      <c r="L226" s="88"/>
      <c r="M226" s="88">
        <f>9*100/90</f>
        <v>10</v>
      </c>
      <c r="N226" s="88"/>
      <c r="O226" s="88">
        <v>10</v>
      </c>
      <c r="P226" s="88"/>
      <c r="Q226" s="6">
        <v>1</v>
      </c>
      <c r="R226" s="88">
        <v>1</v>
      </c>
      <c r="S226" s="88"/>
      <c r="T226" s="88"/>
    </row>
    <row r="227" spans="1:20" s="1" customFormat="1" ht="13.35" customHeight="1" x14ac:dyDescent="0.25">
      <c r="A227" s="88" t="s">
        <v>18</v>
      </c>
      <c r="B227" s="88"/>
      <c r="C227" s="88"/>
      <c r="D227" s="88"/>
      <c r="E227" s="88"/>
      <c r="F227" s="88"/>
      <c r="G227" s="88"/>
      <c r="H227" s="88"/>
      <c r="I227" s="88"/>
      <c r="J227" s="88"/>
      <c r="K227" s="88"/>
      <c r="L227" s="88"/>
      <c r="M227" s="88">
        <f>5.4*100/90</f>
        <v>6</v>
      </c>
      <c r="N227" s="88"/>
      <c r="O227" s="88">
        <v>6</v>
      </c>
      <c r="P227" s="88"/>
      <c r="Q227" s="6">
        <v>0</v>
      </c>
      <c r="R227" s="88">
        <v>0.6</v>
      </c>
      <c r="S227" s="88"/>
      <c r="T227" s="88"/>
    </row>
    <row r="228" spans="1:20" s="1" customFormat="1" ht="13.35" customHeight="1" x14ac:dyDescent="0.25">
      <c r="A228" s="88" t="s">
        <v>70</v>
      </c>
      <c r="B228" s="88"/>
      <c r="C228" s="88"/>
      <c r="D228" s="88"/>
      <c r="E228" s="88"/>
      <c r="F228" s="88"/>
      <c r="G228" s="88"/>
      <c r="H228" s="88"/>
      <c r="I228" s="88"/>
      <c r="J228" s="88"/>
      <c r="K228" s="88"/>
      <c r="L228" s="88"/>
      <c r="M228" s="88">
        <v>1.4</v>
      </c>
      <c r="N228" s="88"/>
      <c r="O228" s="88">
        <v>1.4</v>
      </c>
      <c r="P228" s="88"/>
      <c r="Q228" s="6">
        <v>0.14000000000000001</v>
      </c>
      <c r="R228" s="88">
        <v>0.14000000000000001</v>
      </c>
      <c r="S228" s="88"/>
      <c r="T228" s="88"/>
    </row>
    <row r="229" spans="1:20" s="1" customFormat="1" ht="14.1" customHeight="1" x14ac:dyDescent="0.25">
      <c r="A229" s="90" t="s">
        <v>134</v>
      </c>
      <c r="B229" s="90"/>
      <c r="C229" s="90"/>
      <c r="D229" s="90"/>
      <c r="E229" s="90"/>
      <c r="F229" s="90"/>
      <c r="G229" s="90"/>
      <c r="H229" s="90"/>
      <c r="I229" s="90"/>
      <c r="J229" s="90"/>
      <c r="K229" s="90"/>
      <c r="L229" s="90"/>
      <c r="M229" s="90"/>
      <c r="N229" s="90"/>
      <c r="O229" s="90"/>
      <c r="P229" s="90"/>
      <c r="Q229" s="90"/>
      <c r="R229" s="90"/>
      <c r="S229" s="90"/>
      <c r="T229" s="90"/>
    </row>
    <row r="230" spans="1:20" s="1" customFormat="1" ht="21.3" customHeight="1" x14ac:dyDescent="0.25"/>
    <row r="231" spans="1:20" s="1" customFormat="1" ht="14.1" customHeight="1" x14ac:dyDescent="0.25">
      <c r="A231" s="91" t="s">
        <v>33</v>
      </c>
      <c r="B231" s="91"/>
      <c r="C231" s="91"/>
      <c r="D231" s="91"/>
      <c r="E231" s="91"/>
      <c r="F231" s="91"/>
      <c r="G231" s="91"/>
      <c r="H231" s="91"/>
      <c r="I231" s="91"/>
      <c r="J231" s="91"/>
      <c r="K231" s="91"/>
      <c r="L231" s="91"/>
      <c r="M231" s="91"/>
      <c r="N231" s="91"/>
    </row>
    <row r="232" spans="1:20" s="1" customFormat="1" ht="13.35" customHeight="1" x14ac:dyDescent="0.25">
      <c r="A232" s="88" t="s">
        <v>34</v>
      </c>
      <c r="B232" s="88"/>
      <c r="C232" s="88"/>
      <c r="D232" s="88"/>
      <c r="E232" s="89">
        <f>7.95*100/90</f>
        <v>8.8333333333333339</v>
      </c>
      <c r="F232" s="89"/>
      <c r="G232" s="17"/>
      <c r="H232" s="6" t="s">
        <v>35</v>
      </c>
      <c r="I232" s="89">
        <v>0.09</v>
      </c>
      <c r="J232" s="89"/>
      <c r="K232" s="17"/>
      <c r="L232" s="88" t="s">
        <v>36</v>
      </c>
      <c r="M232" s="88"/>
      <c r="N232" s="89">
        <v>43.57</v>
      </c>
      <c r="O232" s="89"/>
    </row>
    <row r="233" spans="1:20" s="1" customFormat="1" ht="13.35" customHeight="1" x14ac:dyDescent="0.25">
      <c r="A233" s="88" t="s">
        <v>37</v>
      </c>
      <c r="B233" s="88"/>
      <c r="C233" s="88"/>
      <c r="D233" s="88"/>
      <c r="E233" s="89">
        <f>10.96*100/90</f>
        <v>12.177777777777777</v>
      </c>
      <c r="F233" s="89"/>
      <c r="G233" s="17"/>
      <c r="H233" s="6" t="s">
        <v>38</v>
      </c>
      <c r="I233" s="89">
        <v>0.55000000000000004</v>
      </c>
      <c r="J233" s="89"/>
      <c r="K233" s="17"/>
      <c r="L233" s="88" t="s">
        <v>39</v>
      </c>
      <c r="M233" s="88"/>
      <c r="N233" s="89">
        <v>28.45</v>
      </c>
      <c r="O233" s="89"/>
    </row>
    <row r="234" spans="1:20" s="1" customFormat="1" ht="13.35" customHeight="1" x14ac:dyDescent="0.25">
      <c r="A234" s="88" t="s">
        <v>40</v>
      </c>
      <c r="B234" s="88"/>
      <c r="C234" s="88"/>
      <c r="D234" s="88"/>
      <c r="E234" s="89">
        <f>15.92*100/90</f>
        <v>17.68888888888889</v>
      </c>
      <c r="F234" s="89"/>
      <c r="G234" s="17"/>
      <c r="H234" s="6" t="s">
        <v>41</v>
      </c>
      <c r="I234" s="89">
        <v>0.05</v>
      </c>
      <c r="J234" s="89"/>
      <c r="K234" s="17"/>
      <c r="L234" s="88" t="s">
        <v>42</v>
      </c>
      <c r="M234" s="88"/>
      <c r="N234" s="89">
        <v>158.56</v>
      </c>
      <c r="O234" s="89"/>
    </row>
    <row r="235" spans="1:20" s="1" customFormat="1" ht="13.35" customHeight="1" x14ac:dyDescent="0.25">
      <c r="A235" s="88" t="s">
        <v>43</v>
      </c>
      <c r="B235" s="88"/>
      <c r="C235" s="88"/>
      <c r="D235" s="88"/>
      <c r="E235" s="89">
        <f>202.01*100/90</f>
        <v>224.45555555555555</v>
      </c>
      <c r="F235" s="89"/>
      <c r="G235" s="17"/>
      <c r="H235" s="6" t="s">
        <v>44</v>
      </c>
      <c r="I235" s="89">
        <v>2.67</v>
      </c>
      <c r="J235" s="89"/>
      <c r="K235" s="17"/>
      <c r="L235" s="88" t="s">
        <v>45</v>
      </c>
      <c r="M235" s="88"/>
      <c r="N235" s="89">
        <v>2.11</v>
      </c>
      <c r="O235" s="89"/>
    </row>
    <row r="236" spans="1:20" s="1" customFormat="1" ht="13.35" customHeight="1" x14ac:dyDescent="0.25">
      <c r="A236" s="87"/>
      <c r="B236" s="87"/>
      <c r="C236" s="87"/>
      <c r="D236" s="87"/>
      <c r="E236" s="87"/>
      <c r="F236" s="87"/>
      <c r="G236" s="17"/>
      <c r="H236" s="6" t="s">
        <v>46</v>
      </c>
      <c r="I236" s="89">
        <v>0</v>
      </c>
      <c r="J236" s="89"/>
      <c r="K236" s="17"/>
      <c r="L236" s="88" t="s">
        <v>47</v>
      </c>
      <c r="M236" s="88"/>
      <c r="N236" s="89">
        <v>210.55</v>
      </c>
      <c r="O236" s="89"/>
    </row>
    <row r="237" spans="1:20" s="1" customFormat="1" ht="13.35" customHeight="1" x14ac:dyDescent="0.25">
      <c r="A237" s="87"/>
      <c r="B237" s="87"/>
      <c r="C237" s="87"/>
      <c r="D237" s="87"/>
      <c r="E237" s="87"/>
      <c r="F237" s="87"/>
      <c r="G237" s="17"/>
      <c r="H237" s="6" t="s">
        <v>48</v>
      </c>
      <c r="I237" s="89">
        <v>0.13</v>
      </c>
      <c r="J237" s="89"/>
      <c r="K237" s="17"/>
      <c r="L237" s="88" t="s">
        <v>49</v>
      </c>
      <c r="M237" s="88"/>
      <c r="N237" s="89">
        <v>5.61</v>
      </c>
      <c r="O237" s="89"/>
    </row>
    <row r="238" spans="1:20" s="1" customFormat="1" ht="13.35" customHeight="1" x14ac:dyDescent="0.25">
      <c r="A238" s="87"/>
      <c r="B238" s="87"/>
      <c r="C238" s="87"/>
      <c r="D238" s="87"/>
      <c r="E238" s="87"/>
      <c r="F238" s="87"/>
      <c r="G238" s="17"/>
      <c r="H238" s="17"/>
      <c r="I238" s="87"/>
      <c r="J238" s="87"/>
      <c r="K238" s="17"/>
      <c r="L238" s="88" t="s">
        <v>50</v>
      </c>
      <c r="M238" s="88"/>
      <c r="N238" s="89">
        <v>7.0000000000000007E-2</v>
      </c>
      <c r="O238" s="89"/>
    </row>
    <row r="239" spans="1:20" s="1" customFormat="1" ht="13.35" customHeight="1" x14ac:dyDescent="0.25">
      <c r="A239" s="87"/>
      <c r="B239" s="87"/>
      <c r="C239" s="87"/>
      <c r="D239" s="87"/>
      <c r="E239" s="87"/>
      <c r="F239" s="87"/>
      <c r="G239" s="17"/>
      <c r="H239" s="17"/>
      <c r="I239" s="87"/>
      <c r="J239" s="87"/>
      <c r="K239" s="17"/>
      <c r="L239" s="88" t="s">
        <v>51</v>
      </c>
      <c r="M239" s="88"/>
      <c r="N239" s="89">
        <v>0.01</v>
      </c>
      <c r="O239" s="89"/>
    </row>
    <row r="240" spans="1:20" s="1" customFormat="1" ht="14.1" customHeight="1" x14ac:dyDescent="0.25">
      <c r="A240" s="86"/>
      <c r="B240" s="86"/>
      <c r="C240" s="86"/>
      <c r="D240" s="86"/>
      <c r="E240" s="86"/>
      <c r="F240" s="86"/>
      <c r="G240" s="86"/>
      <c r="H240" s="86"/>
      <c r="I240" s="86"/>
      <c r="J240" s="86"/>
      <c r="K240" s="86"/>
      <c r="L240" s="86"/>
      <c r="M240" s="86"/>
      <c r="N240" s="86"/>
      <c r="O240" s="86"/>
      <c r="P240" s="86"/>
      <c r="Q240" s="86"/>
      <c r="R240" s="86"/>
      <c r="S240" s="86"/>
    </row>
    <row r="241" spans="1:20" s="1" customFormat="1" ht="14.1" customHeight="1" x14ac:dyDescent="0.25">
      <c r="A241" s="84" t="s">
        <v>52</v>
      </c>
      <c r="B241" s="84"/>
      <c r="C241" s="84"/>
      <c r="D241" s="84"/>
      <c r="E241" s="84"/>
      <c r="F241" s="84"/>
      <c r="G241" s="84"/>
      <c r="H241" s="84"/>
      <c r="I241" s="84"/>
      <c r="J241" s="84"/>
      <c r="K241" s="84"/>
      <c r="L241" s="84"/>
      <c r="M241" s="84"/>
      <c r="N241" s="84"/>
      <c r="O241" s="84"/>
      <c r="P241" s="84"/>
      <c r="Q241" s="84"/>
      <c r="R241" s="84"/>
      <c r="S241" s="84"/>
    </row>
    <row r="242" spans="1:20" s="1" customFormat="1" ht="49.2" customHeight="1" x14ac:dyDescent="0.25">
      <c r="A242" s="85" t="s">
        <v>407</v>
      </c>
      <c r="B242" s="85"/>
      <c r="C242" s="85"/>
      <c r="D242" s="85"/>
      <c r="E242" s="85"/>
      <c r="F242" s="85"/>
      <c r="G242" s="85"/>
      <c r="H242" s="85"/>
      <c r="I242" s="85"/>
      <c r="J242" s="85"/>
      <c r="K242" s="85"/>
      <c r="L242" s="85"/>
      <c r="M242" s="85"/>
      <c r="N242" s="85"/>
      <c r="O242" s="85"/>
      <c r="P242" s="85"/>
      <c r="Q242" s="85"/>
      <c r="R242" s="85"/>
      <c r="S242" s="85"/>
    </row>
    <row r="243" spans="1:20" s="1" customFormat="1" ht="14.1" customHeight="1" x14ac:dyDescent="0.25">
      <c r="A243" s="86"/>
      <c r="B243" s="86"/>
      <c r="C243" s="86"/>
      <c r="D243" s="86"/>
      <c r="E243" s="86"/>
      <c r="F243" s="86"/>
      <c r="G243" s="86"/>
      <c r="H243" s="86"/>
      <c r="I243" s="86"/>
      <c r="J243" s="86"/>
      <c r="K243" s="86"/>
      <c r="L243" s="86"/>
      <c r="M243" s="86"/>
      <c r="N243" s="86"/>
      <c r="O243" s="86"/>
      <c r="P243" s="86"/>
      <c r="Q243" s="86"/>
      <c r="R243" s="86"/>
      <c r="S243" s="86"/>
    </row>
    <row r="244" spans="1:20" s="1" customFormat="1" ht="14.1" customHeight="1" x14ac:dyDescent="0.25">
      <c r="A244" s="84" t="s">
        <v>54</v>
      </c>
      <c r="B244" s="84"/>
      <c r="C244" s="84"/>
      <c r="D244" s="84"/>
      <c r="E244" s="84"/>
      <c r="F244" s="84"/>
      <c r="G244" s="84"/>
      <c r="H244" s="84"/>
      <c r="I244" s="84"/>
      <c r="J244" s="84"/>
      <c r="K244" s="84"/>
      <c r="L244" s="84"/>
      <c r="M244" s="84"/>
      <c r="N244" s="84"/>
      <c r="O244" s="84"/>
      <c r="P244" s="84"/>
      <c r="Q244" s="84"/>
      <c r="R244" s="84"/>
      <c r="S244" s="84"/>
    </row>
    <row r="245" spans="1:20" s="1" customFormat="1" ht="12.15" customHeight="1" x14ac:dyDescent="0.25">
      <c r="A245" s="85" t="s">
        <v>281</v>
      </c>
      <c r="B245" s="85"/>
      <c r="C245" s="85"/>
      <c r="D245" s="85"/>
      <c r="E245" s="85"/>
      <c r="F245" s="85"/>
      <c r="G245" s="85"/>
      <c r="H245" s="85"/>
      <c r="I245" s="85"/>
      <c r="J245" s="85"/>
      <c r="K245" s="85"/>
      <c r="L245" s="85"/>
      <c r="M245" s="85"/>
      <c r="N245" s="85"/>
      <c r="O245" s="85"/>
      <c r="P245" s="85"/>
      <c r="Q245" s="85"/>
      <c r="R245" s="85"/>
      <c r="S245" s="85"/>
    </row>
    <row r="246" spans="1:20" s="1" customFormat="1" ht="14.1" customHeight="1" x14ac:dyDescent="0.25">
      <c r="A246" s="86"/>
      <c r="B246" s="86"/>
      <c r="C246" s="86"/>
      <c r="D246" s="86"/>
      <c r="E246" s="86"/>
      <c r="F246" s="86"/>
      <c r="G246" s="86"/>
      <c r="H246" s="86"/>
      <c r="I246" s="86"/>
      <c r="J246" s="86"/>
      <c r="K246" s="86"/>
      <c r="L246" s="86"/>
      <c r="M246" s="86"/>
      <c r="N246" s="86"/>
      <c r="O246" s="86"/>
      <c r="P246" s="86"/>
      <c r="Q246" s="86"/>
      <c r="R246" s="86"/>
      <c r="S246" s="86"/>
    </row>
    <row r="247" spans="1:20" s="1" customFormat="1" ht="14.1" customHeight="1" x14ac:dyDescent="0.25">
      <c r="A247" s="84" t="s">
        <v>56</v>
      </c>
      <c r="B247" s="84"/>
      <c r="C247" s="84"/>
      <c r="D247" s="84"/>
      <c r="E247" s="84"/>
      <c r="F247" s="84"/>
      <c r="G247" s="84"/>
      <c r="H247" s="84"/>
      <c r="I247" s="84"/>
      <c r="J247" s="84"/>
      <c r="K247" s="84"/>
      <c r="L247" s="84"/>
      <c r="M247" s="84"/>
      <c r="N247" s="84"/>
      <c r="O247" s="84"/>
      <c r="P247" s="84"/>
      <c r="Q247" s="84"/>
      <c r="R247" s="84"/>
      <c r="S247" s="84"/>
    </row>
    <row r="248" spans="1:20" s="1" customFormat="1" ht="49.2" customHeight="1" x14ac:dyDescent="0.25">
      <c r="A248" s="85" t="s">
        <v>388</v>
      </c>
      <c r="B248" s="85"/>
      <c r="C248" s="85"/>
      <c r="D248" s="85"/>
      <c r="E248" s="85"/>
      <c r="F248" s="85"/>
      <c r="G248" s="85"/>
      <c r="H248" s="85"/>
      <c r="I248" s="85"/>
      <c r="J248" s="85"/>
      <c r="K248" s="85"/>
      <c r="L248" s="85"/>
      <c r="M248" s="85"/>
      <c r="N248" s="85"/>
      <c r="O248" s="85"/>
      <c r="P248" s="85"/>
      <c r="Q248" s="85"/>
      <c r="R248" s="85"/>
      <c r="S248" s="85"/>
    </row>
    <row r="250" spans="1:20" s="1" customFormat="1" ht="72.45" customHeight="1" x14ac:dyDescent="0.25">
      <c r="J250" s="100" t="s">
        <v>0</v>
      </c>
      <c r="K250" s="100"/>
      <c r="L250" s="100"/>
      <c r="M250" s="100"/>
      <c r="N250" s="100"/>
      <c r="O250" s="100"/>
      <c r="P250" s="100"/>
      <c r="Q250" s="100"/>
      <c r="R250" s="100"/>
      <c r="S250" s="100"/>
      <c r="T250" s="100"/>
    </row>
    <row r="251" spans="1:20" s="1" customFormat="1" ht="7.05" customHeight="1" x14ac:dyDescent="0.25"/>
    <row r="252" spans="1:20" s="1" customFormat="1" ht="14.1" customHeight="1" x14ac:dyDescent="0.25">
      <c r="B252" s="101" t="s">
        <v>739</v>
      </c>
      <c r="C252" s="101"/>
      <c r="D252" s="101"/>
      <c r="E252" s="101"/>
      <c r="F252" s="101"/>
      <c r="G252" s="101"/>
      <c r="H252" s="101"/>
      <c r="I252" s="101"/>
      <c r="J252" s="101"/>
      <c r="K252" s="101"/>
      <c r="L252" s="101"/>
      <c r="M252" s="101"/>
      <c r="N252" s="101"/>
      <c r="O252" s="101"/>
      <c r="P252" s="101"/>
      <c r="Q252" s="101"/>
      <c r="R252" s="101"/>
    </row>
    <row r="253" spans="1:20" s="1" customFormat="1" ht="14.1" customHeight="1" x14ac:dyDescent="0.25"/>
    <row r="254" spans="1:20" s="1" customFormat="1" ht="14.1" customHeight="1" x14ac:dyDescent="0.25">
      <c r="A254" s="102" t="s">
        <v>2</v>
      </c>
      <c r="B254" s="102"/>
      <c r="C254" s="102"/>
      <c r="D254" s="103" t="s">
        <v>451</v>
      </c>
      <c r="E254" s="103"/>
      <c r="F254" s="103"/>
      <c r="G254" s="103"/>
      <c r="H254" s="103"/>
      <c r="I254" s="103"/>
      <c r="J254" s="103"/>
      <c r="K254" s="103"/>
      <c r="L254" s="103"/>
      <c r="M254" s="103"/>
      <c r="N254" s="103"/>
      <c r="O254" s="103"/>
      <c r="P254" s="103"/>
      <c r="Q254" s="103"/>
      <c r="R254" s="103"/>
      <c r="S254" s="103"/>
      <c r="T254" s="103"/>
    </row>
    <row r="255" spans="1:20" s="1" customFormat="1" ht="14.1" customHeight="1" x14ac:dyDescent="0.25">
      <c r="A255" s="102" t="s">
        <v>4</v>
      </c>
      <c r="B255" s="102"/>
      <c r="C255" s="103">
        <v>11</v>
      </c>
      <c r="D255" s="103"/>
      <c r="E255" s="103"/>
      <c r="F255" s="103"/>
      <c r="G255" s="103"/>
      <c r="H255" s="103"/>
      <c r="I255" s="103"/>
      <c r="J255" s="103"/>
      <c r="K255" s="103"/>
      <c r="L255" s="103"/>
      <c r="M255" s="103"/>
      <c r="N255" s="103"/>
      <c r="O255" s="103"/>
      <c r="P255" s="103"/>
      <c r="Q255" s="103"/>
      <c r="R255" s="103"/>
      <c r="S255" s="103"/>
      <c r="T255" s="103"/>
    </row>
    <row r="256" spans="1:20" s="1" customFormat="1" ht="14.1" customHeight="1" x14ac:dyDescent="0.25">
      <c r="A256" s="102" t="s">
        <v>6</v>
      </c>
      <c r="B256" s="102"/>
      <c r="C256" s="102"/>
      <c r="D256" s="102"/>
      <c r="E256" s="102"/>
      <c r="F256" s="103" t="s">
        <v>75</v>
      </c>
      <c r="G256" s="103"/>
      <c r="H256" s="103"/>
      <c r="I256" s="103"/>
      <c r="J256" s="103"/>
      <c r="K256" s="103"/>
      <c r="L256" s="103"/>
      <c r="M256" s="103"/>
      <c r="N256" s="103"/>
      <c r="O256" s="103"/>
      <c r="P256" s="103"/>
      <c r="Q256" s="103"/>
      <c r="R256" s="103"/>
      <c r="S256" s="103"/>
      <c r="T256" s="103"/>
    </row>
    <row r="257" spans="1:20" s="1" customFormat="1" ht="22.35" customHeight="1" x14ac:dyDescent="0.25">
      <c r="F257" s="103"/>
      <c r="G257" s="103"/>
      <c r="H257" s="103"/>
      <c r="I257" s="103"/>
      <c r="J257" s="103"/>
      <c r="K257" s="103"/>
      <c r="L257" s="103"/>
      <c r="M257" s="103"/>
      <c r="N257" s="103"/>
      <c r="O257" s="103"/>
      <c r="P257" s="103"/>
      <c r="Q257" s="103"/>
      <c r="R257" s="103"/>
      <c r="S257" s="103"/>
      <c r="T257" s="103"/>
    </row>
    <row r="258" spans="1:20" s="1" customFormat="1" ht="13.2" x14ac:dyDescent="0.25">
      <c r="A258" s="146" t="s">
        <v>754</v>
      </c>
      <c r="B258" s="119"/>
      <c r="C258" s="119"/>
      <c r="D258" s="119"/>
      <c r="E258" s="119"/>
      <c r="F258" s="119"/>
      <c r="G258" s="119"/>
      <c r="H258" s="119"/>
      <c r="I258" s="119"/>
      <c r="J258" s="119"/>
      <c r="K258" s="119"/>
      <c r="L258" s="119"/>
      <c r="M258" s="119"/>
      <c r="N258" s="119"/>
      <c r="O258" s="119"/>
      <c r="P258" s="119"/>
      <c r="Q258" s="119"/>
      <c r="R258" s="119"/>
      <c r="S258" s="119"/>
    </row>
    <row r="259" spans="1:20" s="1" customFormat="1" ht="49.95" customHeight="1" x14ac:dyDescent="0.25">
      <c r="A259" s="92" t="s">
        <v>740</v>
      </c>
      <c r="B259" s="93"/>
      <c r="C259" s="93"/>
      <c r="D259" s="93"/>
      <c r="E259" s="93"/>
      <c r="F259" s="93"/>
      <c r="G259" s="93"/>
      <c r="H259" s="93"/>
      <c r="I259" s="93"/>
      <c r="J259" s="93"/>
      <c r="K259" s="93"/>
      <c r="L259" s="93"/>
      <c r="M259" s="93"/>
      <c r="N259" s="93"/>
      <c r="O259" s="93"/>
      <c r="P259" s="93"/>
      <c r="Q259" s="93"/>
      <c r="R259" s="93"/>
      <c r="S259" s="93"/>
    </row>
    <row r="260" spans="1:20" s="1" customFormat="1" ht="7.05" customHeight="1" x14ac:dyDescent="0.25">
      <c r="A260" s="86"/>
      <c r="B260" s="86"/>
      <c r="C260" s="86"/>
      <c r="D260" s="86"/>
      <c r="E260" s="86"/>
      <c r="F260" s="86"/>
      <c r="G260" s="86"/>
      <c r="H260" s="86"/>
      <c r="I260" s="86"/>
      <c r="J260" s="86"/>
      <c r="K260" s="86"/>
      <c r="L260" s="86"/>
      <c r="M260" s="86"/>
      <c r="N260" s="86"/>
      <c r="O260" s="86"/>
      <c r="P260" s="86"/>
      <c r="Q260" s="16"/>
      <c r="R260" s="86"/>
      <c r="S260" s="86"/>
      <c r="T260" s="86"/>
    </row>
    <row r="261" spans="1:20" s="1" customFormat="1" ht="16.95" customHeight="1" x14ac:dyDescent="0.25">
      <c r="A261" s="94" t="s">
        <v>8</v>
      </c>
      <c r="B261" s="94"/>
      <c r="C261" s="94"/>
      <c r="D261" s="94"/>
      <c r="E261" s="94"/>
      <c r="F261" s="94"/>
      <c r="G261" s="94"/>
      <c r="H261" s="94"/>
      <c r="I261" s="94"/>
      <c r="J261" s="94"/>
      <c r="K261" s="94"/>
      <c r="L261" s="94"/>
      <c r="M261" s="95" t="s">
        <v>9</v>
      </c>
      <c r="N261" s="95"/>
      <c r="O261" s="95"/>
      <c r="P261" s="95"/>
      <c r="Q261" s="95"/>
      <c r="R261" s="95"/>
      <c r="S261" s="95"/>
      <c r="T261" s="95"/>
    </row>
    <row r="262" spans="1:20" s="1" customFormat="1" ht="16.95" customHeight="1" x14ac:dyDescent="0.25">
      <c r="A262" s="94"/>
      <c r="B262" s="94"/>
      <c r="C262" s="94"/>
      <c r="D262" s="94"/>
      <c r="E262" s="94"/>
      <c r="F262" s="94"/>
      <c r="G262" s="94"/>
      <c r="H262" s="94"/>
      <c r="I262" s="94"/>
      <c r="J262" s="94"/>
      <c r="K262" s="94"/>
      <c r="L262" s="94"/>
      <c r="M262" s="96" t="s">
        <v>10</v>
      </c>
      <c r="N262" s="96"/>
      <c r="O262" s="96"/>
      <c r="P262" s="96"/>
      <c r="Q262" s="97" t="s">
        <v>11</v>
      </c>
      <c r="R262" s="97"/>
      <c r="S262" s="97"/>
      <c r="T262" s="97"/>
    </row>
    <row r="263" spans="1:20" s="1" customFormat="1" ht="16.95" customHeight="1" x14ac:dyDescent="0.25">
      <c r="A263" s="94"/>
      <c r="B263" s="94"/>
      <c r="C263" s="94"/>
      <c r="D263" s="94"/>
      <c r="E263" s="94"/>
      <c r="F263" s="94"/>
      <c r="G263" s="94"/>
      <c r="H263" s="94"/>
      <c r="I263" s="94"/>
      <c r="J263" s="94"/>
      <c r="K263" s="94"/>
      <c r="L263" s="94"/>
      <c r="M263" s="98" t="s">
        <v>12</v>
      </c>
      <c r="N263" s="98"/>
      <c r="O263" s="98" t="s">
        <v>13</v>
      </c>
      <c r="P263" s="98"/>
      <c r="Q263" s="13" t="s">
        <v>14</v>
      </c>
      <c r="R263" s="99" t="s">
        <v>15</v>
      </c>
      <c r="S263" s="99"/>
      <c r="T263" s="99"/>
    </row>
    <row r="264" spans="1:20" s="1" customFormat="1" ht="13.35" customHeight="1" x14ac:dyDescent="0.25">
      <c r="A264" s="88" t="s">
        <v>16</v>
      </c>
      <c r="B264" s="88"/>
      <c r="C264" s="88"/>
      <c r="D264" s="88"/>
      <c r="E264" s="88"/>
      <c r="F264" s="88"/>
      <c r="G264" s="88"/>
      <c r="H264" s="88"/>
      <c r="I264" s="88"/>
      <c r="J264" s="88"/>
      <c r="K264" s="88"/>
      <c r="L264" s="88"/>
      <c r="M264" s="88">
        <v>97.33</v>
      </c>
      <c r="N264" s="88"/>
      <c r="O264" s="88">
        <v>93.33</v>
      </c>
      <c r="P264" s="88"/>
      <c r="Q264" s="6">
        <v>9.6999999999999993</v>
      </c>
      <c r="R264" s="88">
        <v>9.3000000000000007</v>
      </c>
      <c r="S264" s="88"/>
      <c r="T264" s="88"/>
    </row>
    <row r="265" spans="1:20" s="1" customFormat="1" ht="13.35" customHeight="1" x14ac:dyDescent="0.25">
      <c r="A265" s="88" t="s">
        <v>100</v>
      </c>
      <c r="B265" s="88"/>
      <c r="C265" s="88"/>
      <c r="D265" s="88"/>
      <c r="E265" s="88"/>
      <c r="F265" s="88"/>
      <c r="G265" s="88"/>
      <c r="H265" s="88"/>
      <c r="I265" s="88"/>
      <c r="J265" s="88"/>
      <c r="K265" s="88"/>
      <c r="L265" s="88"/>
      <c r="M265" s="88">
        <v>31.25</v>
      </c>
      <c r="N265" s="88"/>
      <c r="O265" s="88">
        <f>18.75*200/150</f>
        <v>25</v>
      </c>
      <c r="P265" s="88"/>
      <c r="Q265" s="6">
        <v>3.125</v>
      </c>
      <c r="R265" s="88">
        <v>2.5</v>
      </c>
      <c r="S265" s="88"/>
      <c r="T265" s="88"/>
    </row>
    <row r="266" spans="1:20" s="1" customFormat="1" ht="13.35" customHeight="1" x14ac:dyDescent="0.25">
      <c r="A266" s="88" t="s">
        <v>31</v>
      </c>
      <c r="B266" s="88"/>
      <c r="C266" s="88"/>
      <c r="D266" s="88"/>
      <c r="E266" s="88"/>
      <c r="F266" s="88"/>
      <c r="G266" s="88"/>
      <c r="H266" s="88"/>
      <c r="I266" s="88"/>
      <c r="J266" s="88"/>
      <c r="K266" s="88"/>
      <c r="L266" s="88"/>
      <c r="M266" s="88">
        <v>99.03</v>
      </c>
      <c r="N266" s="88"/>
      <c r="O266" s="88">
        <v>74.27</v>
      </c>
      <c r="P266" s="88"/>
      <c r="Q266" s="6">
        <v>9.9</v>
      </c>
      <c r="R266" s="88">
        <v>7.43</v>
      </c>
      <c r="S266" s="88"/>
      <c r="T266" s="88"/>
    </row>
    <row r="267" spans="1:20" s="1" customFormat="1" ht="13.35" customHeight="1" x14ac:dyDescent="0.25">
      <c r="A267" s="88" t="s">
        <v>452</v>
      </c>
      <c r="B267" s="88"/>
      <c r="C267" s="88"/>
      <c r="D267" s="88"/>
      <c r="E267" s="88"/>
      <c r="F267" s="88"/>
      <c r="G267" s="88"/>
      <c r="H267" s="88"/>
      <c r="I267" s="88"/>
      <c r="J267" s="88"/>
      <c r="K267" s="88"/>
      <c r="L267" s="88"/>
      <c r="M267" s="88">
        <f>6.3*200/150</f>
        <v>8.4</v>
      </c>
      <c r="N267" s="88"/>
      <c r="O267" s="88">
        <v>5.47</v>
      </c>
      <c r="P267" s="88"/>
      <c r="Q267" s="6">
        <v>0.84</v>
      </c>
      <c r="R267" s="88">
        <v>0.55000000000000004</v>
      </c>
      <c r="S267" s="88"/>
      <c r="T267" s="88"/>
    </row>
    <row r="268" spans="1:20" s="1" customFormat="1" ht="13.35" customHeight="1" x14ac:dyDescent="0.25">
      <c r="A268" s="88" t="s">
        <v>25</v>
      </c>
      <c r="B268" s="88"/>
      <c r="C268" s="88"/>
      <c r="D268" s="88"/>
      <c r="E268" s="88"/>
      <c r="F268" s="88"/>
      <c r="G268" s="88"/>
      <c r="H268" s="88"/>
      <c r="I268" s="88"/>
      <c r="J268" s="88"/>
      <c r="K268" s="88"/>
      <c r="L268" s="88"/>
      <c r="M268" s="88">
        <f>2.7*200/150</f>
        <v>3.6</v>
      </c>
      <c r="N268" s="88"/>
      <c r="O268" s="88">
        <v>3.6</v>
      </c>
      <c r="P268" s="88"/>
      <c r="Q268" s="6">
        <v>0</v>
      </c>
      <c r="R268" s="88" t="s">
        <v>455</v>
      </c>
      <c r="S268" s="88"/>
      <c r="T268" s="88"/>
    </row>
    <row r="269" spans="1:20" s="1" customFormat="1" ht="13.35" customHeight="1" x14ac:dyDescent="0.25">
      <c r="A269" s="88" t="s">
        <v>21</v>
      </c>
      <c r="B269" s="88"/>
      <c r="C269" s="88"/>
      <c r="D269" s="88"/>
      <c r="E269" s="88"/>
      <c r="F269" s="88"/>
      <c r="G269" s="88"/>
      <c r="H269" s="88"/>
      <c r="I269" s="88"/>
      <c r="J269" s="88"/>
      <c r="K269" s="88"/>
      <c r="L269" s="88"/>
      <c r="M269" s="88">
        <v>8.6999999999999993</v>
      </c>
      <c r="N269" s="88"/>
      <c r="O269" s="88">
        <v>7.3</v>
      </c>
      <c r="P269" s="88"/>
      <c r="Q269" s="6">
        <v>0.87</v>
      </c>
      <c r="R269" s="88">
        <v>0.73</v>
      </c>
      <c r="S269" s="88"/>
      <c r="T269" s="88"/>
    </row>
    <row r="270" spans="1:20" s="1" customFormat="1" ht="13.35" customHeight="1" x14ac:dyDescent="0.25">
      <c r="A270" s="88" t="s">
        <v>61</v>
      </c>
      <c r="B270" s="88"/>
      <c r="C270" s="88"/>
      <c r="D270" s="88"/>
      <c r="E270" s="88"/>
      <c r="F270" s="88"/>
      <c r="G270" s="88"/>
      <c r="H270" s="88"/>
      <c r="I270" s="88"/>
      <c r="J270" s="88"/>
      <c r="K270" s="88"/>
      <c r="L270" s="88"/>
      <c r="M270" s="88">
        <v>4.5</v>
      </c>
      <c r="N270" s="88"/>
      <c r="O270" s="88">
        <v>4.5</v>
      </c>
      <c r="P270" s="88"/>
      <c r="Q270" s="6">
        <v>0.45</v>
      </c>
      <c r="R270" s="88">
        <v>0.45</v>
      </c>
      <c r="S270" s="88"/>
      <c r="T270" s="88"/>
    </row>
    <row r="271" spans="1:20" s="1" customFormat="1" ht="13.35" customHeight="1" x14ac:dyDescent="0.25">
      <c r="A271" s="88" t="s">
        <v>114</v>
      </c>
      <c r="B271" s="88"/>
      <c r="C271" s="88"/>
      <c r="D271" s="88"/>
      <c r="E271" s="88"/>
      <c r="F271" s="88"/>
      <c r="G271" s="88"/>
      <c r="H271" s="88"/>
      <c r="I271" s="88"/>
      <c r="J271" s="88"/>
      <c r="K271" s="88"/>
      <c r="L271" s="88"/>
      <c r="M271" s="88">
        <v>52</v>
      </c>
      <c r="N271" s="88"/>
      <c r="O271" s="88">
        <v>52</v>
      </c>
      <c r="P271" s="88"/>
      <c r="Q271" s="6">
        <v>5.2</v>
      </c>
      <c r="R271" s="88">
        <v>5.2</v>
      </c>
      <c r="S271" s="88"/>
      <c r="T271" s="88"/>
    </row>
    <row r="272" spans="1:20" s="1" customFormat="1" ht="13.35" customHeight="1" x14ac:dyDescent="0.25">
      <c r="A272" s="88" t="s">
        <v>70</v>
      </c>
      <c r="B272" s="88"/>
      <c r="C272" s="88"/>
      <c r="D272" s="88"/>
      <c r="E272" s="88"/>
      <c r="F272" s="88"/>
      <c r="G272" s="88"/>
      <c r="H272" s="88"/>
      <c r="I272" s="88"/>
      <c r="J272" s="88"/>
      <c r="K272" s="88"/>
      <c r="L272" s="88"/>
      <c r="M272" s="88" t="s">
        <v>77</v>
      </c>
      <c r="N272" s="88"/>
      <c r="O272" s="88" t="s">
        <v>77</v>
      </c>
      <c r="P272" s="88"/>
      <c r="Q272" s="6" t="s">
        <v>79</v>
      </c>
      <c r="R272" s="88" t="s">
        <v>79</v>
      </c>
      <c r="S272" s="88"/>
      <c r="T272" s="88"/>
    </row>
    <row r="273" spans="1:20" s="1" customFormat="1" ht="14.1" customHeight="1" x14ac:dyDescent="0.25">
      <c r="A273" s="90" t="s">
        <v>116</v>
      </c>
      <c r="B273" s="90"/>
      <c r="C273" s="90"/>
      <c r="D273" s="90"/>
      <c r="E273" s="90"/>
      <c r="F273" s="90"/>
      <c r="G273" s="90"/>
      <c r="H273" s="90"/>
      <c r="I273" s="90"/>
      <c r="J273" s="90"/>
      <c r="K273" s="90"/>
      <c r="L273" s="90"/>
      <c r="M273" s="90"/>
      <c r="N273" s="90"/>
      <c r="O273" s="90"/>
      <c r="P273" s="90"/>
      <c r="Q273" s="90"/>
      <c r="R273" s="90"/>
      <c r="S273" s="90"/>
      <c r="T273" s="90"/>
    </row>
    <row r="274" spans="1:20" s="1" customFormat="1" ht="21.3" customHeight="1" x14ac:dyDescent="0.25"/>
    <row r="275" spans="1:20" s="1" customFormat="1" ht="14.1" customHeight="1" x14ac:dyDescent="0.25">
      <c r="A275" s="91" t="s">
        <v>33</v>
      </c>
      <c r="B275" s="91"/>
      <c r="C275" s="91"/>
      <c r="D275" s="91"/>
      <c r="E275" s="91"/>
      <c r="F275" s="91"/>
      <c r="G275" s="91"/>
      <c r="H275" s="91"/>
      <c r="I275" s="91"/>
      <c r="J275" s="91"/>
      <c r="K275" s="91"/>
      <c r="L275" s="91"/>
      <c r="M275" s="91"/>
      <c r="N275" s="91"/>
    </row>
    <row r="276" spans="1:20" s="1" customFormat="1" ht="13.35" customHeight="1" x14ac:dyDescent="0.25">
      <c r="A276" s="88" t="s">
        <v>34</v>
      </c>
      <c r="B276" s="88"/>
      <c r="C276" s="88"/>
      <c r="D276" s="88"/>
      <c r="E276" s="89">
        <f>7.1*200/150</f>
        <v>9.4666666666666668</v>
      </c>
      <c r="F276" s="89"/>
      <c r="G276" s="17"/>
      <c r="H276" s="6" t="s">
        <v>35</v>
      </c>
      <c r="I276" s="89">
        <v>0.28999999999999998</v>
      </c>
      <c r="J276" s="89"/>
      <c r="K276" s="17"/>
      <c r="L276" s="88" t="s">
        <v>36</v>
      </c>
      <c r="M276" s="88"/>
      <c r="N276" s="89">
        <v>29.46</v>
      </c>
      <c r="O276" s="89"/>
    </row>
    <row r="277" spans="1:20" s="1" customFormat="1" ht="13.35" customHeight="1" x14ac:dyDescent="0.25">
      <c r="A277" s="88" t="s">
        <v>37</v>
      </c>
      <c r="B277" s="88"/>
      <c r="C277" s="88"/>
      <c r="D277" s="88"/>
      <c r="E277" s="89">
        <f>9.2*200/150</f>
        <v>12.266666666666666</v>
      </c>
      <c r="F277" s="89"/>
      <c r="G277" s="17"/>
      <c r="H277" s="6" t="s">
        <v>38</v>
      </c>
      <c r="I277" s="89">
        <v>5.71</v>
      </c>
      <c r="J277" s="89"/>
      <c r="K277" s="17"/>
      <c r="L277" s="88" t="s">
        <v>39</v>
      </c>
      <c r="M277" s="88"/>
      <c r="N277" s="89">
        <v>34.950000000000003</v>
      </c>
      <c r="O277" s="89"/>
    </row>
    <row r="278" spans="1:20" s="1" customFormat="1" ht="13.35" customHeight="1" x14ac:dyDescent="0.25">
      <c r="A278" s="88" t="s">
        <v>40</v>
      </c>
      <c r="B278" s="88"/>
      <c r="C278" s="88"/>
      <c r="D278" s="88"/>
      <c r="E278" s="89">
        <f>13.1*200/150</f>
        <v>17.466666666666665</v>
      </c>
      <c r="F278" s="89"/>
      <c r="G278" s="17"/>
      <c r="H278" s="6" t="s">
        <v>41</v>
      </c>
      <c r="I278" s="89">
        <v>0.4</v>
      </c>
      <c r="J278" s="89"/>
      <c r="K278" s="17"/>
      <c r="L278" s="88" t="s">
        <v>42</v>
      </c>
      <c r="M278" s="88"/>
      <c r="N278" s="89">
        <v>139.24</v>
      </c>
      <c r="O278" s="89"/>
    </row>
    <row r="279" spans="1:20" s="1" customFormat="1" ht="13.35" customHeight="1" x14ac:dyDescent="0.25">
      <c r="A279" s="88" t="s">
        <v>43</v>
      </c>
      <c r="B279" s="88"/>
      <c r="C279" s="88"/>
      <c r="D279" s="88"/>
      <c r="E279" s="89">
        <v>208.73</v>
      </c>
      <c r="F279" s="89"/>
      <c r="G279" s="17"/>
      <c r="H279" s="6" t="s">
        <v>44</v>
      </c>
      <c r="I279" s="89">
        <v>0.34</v>
      </c>
      <c r="J279" s="89"/>
      <c r="K279" s="17"/>
      <c r="L279" s="88" t="s">
        <v>45</v>
      </c>
      <c r="M279" s="88"/>
      <c r="N279" s="89">
        <v>1.83</v>
      </c>
      <c r="O279" s="89"/>
    </row>
    <row r="280" spans="1:20" s="1" customFormat="1" ht="13.35" customHeight="1" x14ac:dyDescent="0.25">
      <c r="A280" s="87"/>
      <c r="B280" s="87"/>
      <c r="C280" s="87"/>
      <c r="D280" s="87"/>
      <c r="E280" s="87"/>
      <c r="F280" s="87"/>
      <c r="G280" s="17"/>
      <c r="H280" s="6" t="s">
        <v>46</v>
      </c>
      <c r="I280" s="89">
        <v>0.05</v>
      </c>
      <c r="J280" s="89"/>
      <c r="K280" s="17"/>
      <c r="L280" s="88" t="s">
        <v>47</v>
      </c>
      <c r="M280" s="88"/>
      <c r="N280" s="89">
        <v>591.01</v>
      </c>
      <c r="O280" s="89"/>
    </row>
    <row r="281" spans="1:20" s="1" customFormat="1" ht="13.35" customHeight="1" x14ac:dyDescent="0.25">
      <c r="A281" s="87"/>
      <c r="B281" s="87"/>
      <c r="C281" s="87"/>
      <c r="D281" s="87"/>
      <c r="E281" s="87"/>
      <c r="F281" s="87"/>
      <c r="G281" s="17"/>
      <c r="H281" s="6" t="s">
        <v>48</v>
      </c>
      <c r="I281" s="89">
        <v>0.11</v>
      </c>
      <c r="J281" s="89"/>
      <c r="K281" s="17"/>
      <c r="L281" s="88" t="s">
        <v>49</v>
      </c>
      <c r="M281" s="88"/>
      <c r="N281" s="89">
        <v>8.7100000000000009</v>
      </c>
      <c r="O281" s="89"/>
    </row>
    <row r="282" spans="1:20" s="1" customFormat="1" ht="13.35" customHeight="1" x14ac:dyDescent="0.25">
      <c r="A282" s="87"/>
      <c r="B282" s="87"/>
      <c r="C282" s="87"/>
      <c r="D282" s="87"/>
      <c r="E282" s="87"/>
      <c r="F282" s="87"/>
      <c r="G282" s="17"/>
      <c r="H282" s="17"/>
      <c r="I282" s="87"/>
      <c r="J282" s="87"/>
      <c r="K282" s="17"/>
      <c r="L282" s="88" t="s">
        <v>50</v>
      </c>
      <c r="M282" s="88"/>
      <c r="N282" s="89">
        <v>7.0000000000000007E-2</v>
      </c>
      <c r="O282" s="89"/>
    </row>
    <row r="283" spans="1:20" s="1" customFormat="1" ht="13.35" customHeight="1" x14ac:dyDescent="0.25">
      <c r="A283" s="87"/>
      <c r="B283" s="87"/>
      <c r="C283" s="87"/>
      <c r="D283" s="87"/>
      <c r="E283" s="87"/>
      <c r="F283" s="87"/>
      <c r="G283" s="17"/>
      <c r="H283" s="17"/>
      <c r="I283" s="87"/>
      <c r="J283" s="87"/>
      <c r="K283" s="17"/>
      <c r="L283" s="88" t="s">
        <v>51</v>
      </c>
      <c r="M283" s="88"/>
      <c r="N283" s="89">
        <v>0</v>
      </c>
      <c r="O283" s="89"/>
    </row>
    <row r="284" spans="1:20" s="1" customFormat="1" ht="14.1" customHeight="1" x14ac:dyDescent="0.25">
      <c r="A284" s="86"/>
      <c r="B284" s="86"/>
      <c r="C284" s="86"/>
      <c r="D284" s="86"/>
      <c r="E284" s="86"/>
      <c r="F284" s="86"/>
      <c r="G284" s="86"/>
      <c r="H284" s="86"/>
      <c r="I284" s="86"/>
      <c r="J284" s="86"/>
      <c r="K284" s="86"/>
      <c r="L284" s="86"/>
      <c r="M284" s="86"/>
      <c r="N284" s="86"/>
      <c r="O284" s="86"/>
      <c r="P284" s="86"/>
      <c r="Q284" s="86"/>
      <c r="R284" s="86"/>
      <c r="S284" s="86"/>
    </row>
    <row r="285" spans="1:20" s="1" customFormat="1" ht="14.1" customHeight="1" x14ac:dyDescent="0.25">
      <c r="A285" s="84" t="s">
        <v>52</v>
      </c>
      <c r="B285" s="84"/>
      <c r="C285" s="84"/>
      <c r="D285" s="84"/>
      <c r="E285" s="84"/>
      <c r="F285" s="84"/>
      <c r="G285" s="84"/>
      <c r="H285" s="84"/>
      <c r="I285" s="84"/>
      <c r="J285" s="84"/>
      <c r="K285" s="84"/>
      <c r="L285" s="84"/>
      <c r="M285" s="84"/>
      <c r="N285" s="84"/>
      <c r="O285" s="84"/>
      <c r="P285" s="84"/>
      <c r="Q285" s="84"/>
      <c r="R285" s="84"/>
      <c r="S285" s="84"/>
    </row>
    <row r="286" spans="1:20" s="1" customFormat="1" ht="86.1" customHeight="1" x14ac:dyDescent="0.25">
      <c r="A286" s="85" t="s">
        <v>460</v>
      </c>
      <c r="B286" s="85"/>
      <c r="C286" s="85"/>
      <c r="D286" s="85"/>
      <c r="E286" s="85"/>
      <c r="F286" s="85"/>
      <c r="G286" s="85"/>
      <c r="H286" s="85"/>
      <c r="I286" s="85"/>
      <c r="J286" s="85"/>
      <c r="K286" s="85"/>
      <c r="L286" s="85"/>
      <c r="M286" s="85"/>
      <c r="N286" s="85"/>
      <c r="O286" s="85"/>
      <c r="P286" s="85"/>
      <c r="Q286" s="85"/>
      <c r="R286" s="85"/>
      <c r="S286" s="85"/>
    </row>
    <row r="287" spans="1:20" s="1" customFormat="1" ht="14.1" customHeight="1" x14ac:dyDescent="0.25">
      <c r="A287" s="84" t="s">
        <v>54</v>
      </c>
      <c r="B287" s="84"/>
      <c r="C287" s="84"/>
      <c r="D287" s="84"/>
      <c r="E287" s="84"/>
      <c r="F287" s="84"/>
      <c r="G287" s="84"/>
      <c r="H287" s="84"/>
      <c r="I287" s="84"/>
      <c r="J287" s="84"/>
      <c r="K287" s="84"/>
      <c r="L287" s="84"/>
      <c r="M287" s="84"/>
      <c r="N287" s="84"/>
      <c r="O287" s="84"/>
      <c r="P287" s="84"/>
      <c r="Q287" s="84"/>
      <c r="R287" s="84"/>
      <c r="S287" s="84"/>
    </row>
    <row r="288" spans="1:20" s="1" customFormat="1" ht="12.15" customHeight="1" x14ac:dyDescent="0.25">
      <c r="A288" s="85" t="s">
        <v>741</v>
      </c>
      <c r="B288" s="85"/>
      <c r="C288" s="85"/>
      <c r="D288" s="85"/>
      <c r="E288" s="85"/>
      <c r="F288" s="85"/>
      <c r="G288" s="85"/>
      <c r="H288" s="85"/>
      <c r="I288" s="85"/>
      <c r="J288" s="85"/>
      <c r="K288" s="85"/>
      <c r="L288" s="85"/>
      <c r="M288" s="85"/>
      <c r="N288" s="85"/>
      <c r="O288" s="85"/>
      <c r="P288" s="85"/>
      <c r="Q288" s="85"/>
      <c r="R288" s="85"/>
      <c r="S288" s="85"/>
    </row>
    <row r="289" spans="1:20" s="1" customFormat="1" ht="14.1" customHeight="1" x14ac:dyDescent="0.25">
      <c r="A289" s="86"/>
      <c r="B289" s="86"/>
      <c r="C289" s="86"/>
      <c r="D289" s="86"/>
      <c r="E289" s="86"/>
      <c r="F289" s="86"/>
      <c r="G289" s="86"/>
      <c r="H289" s="86"/>
      <c r="I289" s="86"/>
      <c r="J289" s="86"/>
      <c r="K289" s="86"/>
      <c r="L289" s="86"/>
      <c r="M289" s="86"/>
      <c r="N289" s="86"/>
      <c r="O289" s="86"/>
      <c r="P289" s="86"/>
      <c r="Q289" s="86"/>
      <c r="R289" s="86"/>
      <c r="S289" s="86"/>
    </row>
    <row r="290" spans="1:20" s="1" customFormat="1" ht="14.1" customHeight="1" x14ac:dyDescent="0.25">
      <c r="A290" s="84" t="s">
        <v>56</v>
      </c>
      <c r="B290" s="84"/>
      <c r="C290" s="84"/>
      <c r="D290" s="84"/>
      <c r="E290" s="84"/>
      <c r="F290" s="84"/>
      <c r="G290" s="84"/>
      <c r="H290" s="84"/>
      <c r="I290" s="84"/>
      <c r="J290" s="84"/>
      <c r="K290" s="84"/>
      <c r="L290" s="84"/>
      <c r="M290" s="84"/>
      <c r="N290" s="84"/>
      <c r="O290" s="84"/>
      <c r="P290" s="84"/>
      <c r="Q290" s="84"/>
      <c r="R290" s="84"/>
      <c r="S290" s="84"/>
    </row>
    <row r="291" spans="1:20" s="1" customFormat="1" ht="49.2" customHeight="1" x14ac:dyDescent="0.25">
      <c r="A291" s="85" t="s">
        <v>461</v>
      </c>
      <c r="B291" s="85"/>
      <c r="C291" s="85"/>
      <c r="D291" s="85"/>
      <c r="E291" s="85"/>
      <c r="F291" s="85"/>
      <c r="G291" s="85"/>
      <c r="H291" s="85"/>
      <c r="I291" s="85"/>
      <c r="J291" s="85"/>
      <c r="K291" s="85"/>
      <c r="L291" s="85"/>
      <c r="M291" s="85"/>
      <c r="N291" s="85"/>
      <c r="O291" s="85"/>
      <c r="P291" s="85"/>
      <c r="Q291" s="85"/>
      <c r="R291" s="85"/>
      <c r="S291" s="85"/>
    </row>
    <row r="293" spans="1:20" s="1" customFormat="1" ht="72.45" customHeight="1" x14ac:dyDescent="0.25">
      <c r="J293" s="100" t="s">
        <v>0</v>
      </c>
      <c r="K293" s="100"/>
      <c r="L293" s="100"/>
      <c r="M293" s="100"/>
      <c r="N293" s="100"/>
      <c r="O293" s="100"/>
      <c r="P293" s="100"/>
      <c r="Q293" s="100"/>
      <c r="R293" s="100"/>
      <c r="S293" s="100"/>
      <c r="T293" s="100"/>
    </row>
    <row r="294" spans="1:20" s="1" customFormat="1" ht="7.05" customHeight="1" x14ac:dyDescent="0.25"/>
    <row r="295" spans="1:20" s="1" customFormat="1" ht="14.1" customHeight="1" x14ac:dyDescent="0.25">
      <c r="B295" s="101" t="s">
        <v>717</v>
      </c>
      <c r="C295" s="101"/>
      <c r="D295" s="101"/>
      <c r="E295" s="101"/>
      <c r="F295" s="101"/>
      <c r="G295" s="101"/>
      <c r="H295" s="101"/>
      <c r="I295" s="101"/>
      <c r="J295" s="101"/>
      <c r="K295" s="101"/>
      <c r="L295" s="101"/>
      <c r="M295" s="101"/>
      <c r="N295" s="101"/>
      <c r="O295" s="101"/>
      <c r="P295" s="101"/>
      <c r="Q295" s="101"/>
      <c r="R295" s="101"/>
    </row>
    <row r="296" spans="1:20" s="1" customFormat="1" ht="14.1" customHeight="1" x14ac:dyDescent="0.25"/>
    <row r="297" spans="1:20" s="1" customFormat="1" ht="14.1" customHeight="1" x14ac:dyDescent="0.25">
      <c r="A297" s="102" t="s">
        <v>2</v>
      </c>
      <c r="B297" s="102"/>
      <c r="C297" s="102"/>
      <c r="D297" s="103" t="s">
        <v>887</v>
      </c>
      <c r="E297" s="103"/>
      <c r="F297" s="103"/>
      <c r="G297" s="103"/>
      <c r="H297" s="103"/>
      <c r="I297" s="103"/>
      <c r="J297" s="103"/>
      <c r="K297" s="103"/>
      <c r="L297" s="103"/>
      <c r="M297" s="103"/>
      <c r="N297" s="103"/>
      <c r="O297" s="103"/>
      <c r="P297" s="103"/>
      <c r="Q297" s="103"/>
      <c r="R297" s="103"/>
      <c r="S297" s="103"/>
      <c r="T297" s="103"/>
    </row>
    <row r="298" spans="1:20" s="1" customFormat="1" ht="14.1" customHeight="1" x14ac:dyDescent="0.25">
      <c r="A298" s="102" t="s">
        <v>4</v>
      </c>
      <c r="B298" s="102"/>
      <c r="C298" s="103">
        <v>10</v>
      </c>
      <c r="D298" s="103"/>
      <c r="E298" s="103"/>
      <c r="F298" s="103"/>
      <c r="G298" s="103"/>
      <c r="H298" s="103"/>
      <c r="I298" s="103"/>
      <c r="J298" s="103"/>
      <c r="K298" s="103"/>
      <c r="L298" s="103"/>
      <c r="M298" s="103"/>
      <c r="N298" s="103"/>
      <c r="O298" s="103"/>
      <c r="P298" s="103"/>
      <c r="Q298" s="103"/>
      <c r="R298" s="103"/>
      <c r="S298" s="103"/>
      <c r="T298" s="103"/>
    </row>
    <row r="299" spans="1:20" s="1" customFormat="1" ht="14.1" customHeight="1" x14ac:dyDescent="0.25">
      <c r="A299" s="102" t="s">
        <v>6</v>
      </c>
      <c r="B299" s="102"/>
      <c r="C299" s="102"/>
      <c r="D299" s="102"/>
      <c r="E299" s="102"/>
      <c r="F299" s="103" t="s">
        <v>75</v>
      </c>
      <c r="G299" s="103"/>
      <c r="H299" s="103"/>
      <c r="I299" s="103"/>
      <c r="J299" s="103"/>
      <c r="K299" s="103"/>
      <c r="L299" s="103"/>
      <c r="M299" s="103"/>
      <c r="N299" s="103"/>
      <c r="O299" s="103"/>
      <c r="P299" s="103"/>
      <c r="Q299" s="103"/>
      <c r="R299" s="103"/>
      <c r="S299" s="103"/>
      <c r="T299" s="103"/>
    </row>
    <row r="300" spans="1:20" s="1" customFormat="1" ht="1.35" customHeight="1" x14ac:dyDescent="0.25"/>
    <row r="301" spans="1:20" s="1" customFormat="1" ht="13.2" x14ac:dyDescent="0.25">
      <c r="A301" s="104" t="s">
        <v>754</v>
      </c>
      <c r="B301" s="93"/>
      <c r="C301" s="93"/>
      <c r="D301" s="93"/>
      <c r="E301" s="93"/>
      <c r="F301" s="93"/>
      <c r="G301" s="93"/>
      <c r="H301" s="93"/>
      <c r="I301" s="93"/>
      <c r="J301" s="93"/>
      <c r="K301" s="93"/>
      <c r="L301" s="93"/>
      <c r="M301" s="93"/>
      <c r="N301" s="93"/>
      <c r="O301" s="93"/>
      <c r="P301" s="93"/>
      <c r="Q301" s="93"/>
      <c r="R301" s="93"/>
      <c r="S301" s="93"/>
    </row>
    <row r="302" spans="1:20" s="1" customFormat="1" ht="49.95" customHeight="1" x14ac:dyDescent="0.25">
      <c r="A302" s="92" t="s">
        <v>718</v>
      </c>
      <c r="B302" s="93"/>
      <c r="C302" s="93"/>
      <c r="D302" s="93"/>
      <c r="E302" s="93"/>
      <c r="F302" s="93"/>
      <c r="G302" s="93"/>
      <c r="H302" s="93"/>
      <c r="I302" s="93"/>
      <c r="J302" s="93"/>
      <c r="K302" s="93"/>
      <c r="L302" s="93"/>
      <c r="M302" s="93"/>
      <c r="N302" s="93"/>
      <c r="O302" s="93"/>
      <c r="P302" s="93"/>
      <c r="Q302" s="93"/>
      <c r="R302" s="93"/>
      <c r="S302" s="93"/>
    </row>
    <row r="303" spans="1:20" s="1" customFormat="1" ht="7.05" customHeight="1" x14ac:dyDescent="0.25">
      <c r="A303" s="86"/>
      <c r="B303" s="86"/>
      <c r="C303" s="86"/>
      <c r="D303" s="86"/>
      <c r="E303" s="86"/>
      <c r="F303" s="86"/>
      <c r="G303" s="86"/>
      <c r="H303" s="86"/>
      <c r="I303" s="86"/>
      <c r="J303" s="86"/>
      <c r="K303" s="86"/>
      <c r="L303" s="86"/>
      <c r="M303" s="86"/>
      <c r="N303" s="86"/>
      <c r="O303" s="86"/>
      <c r="P303" s="86"/>
      <c r="Q303" s="16"/>
      <c r="R303" s="86"/>
      <c r="S303" s="86"/>
      <c r="T303" s="86"/>
    </row>
    <row r="304" spans="1:20" s="1" customFormat="1" ht="16.95" customHeight="1" x14ac:dyDescent="0.25">
      <c r="A304" s="94" t="s">
        <v>8</v>
      </c>
      <c r="B304" s="94"/>
      <c r="C304" s="94"/>
      <c r="D304" s="94"/>
      <c r="E304" s="94"/>
      <c r="F304" s="94"/>
      <c r="G304" s="94"/>
      <c r="H304" s="94"/>
      <c r="I304" s="94"/>
      <c r="J304" s="94"/>
      <c r="K304" s="94"/>
      <c r="L304" s="94"/>
      <c r="M304" s="95" t="s">
        <v>9</v>
      </c>
      <c r="N304" s="95"/>
      <c r="O304" s="95"/>
      <c r="P304" s="95"/>
      <c r="Q304" s="95"/>
      <c r="R304" s="95"/>
      <c r="S304" s="95"/>
      <c r="T304" s="95"/>
    </row>
    <row r="305" spans="1:20" s="1" customFormat="1" ht="16.95" customHeight="1" x14ac:dyDescent="0.25">
      <c r="A305" s="94"/>
      <c r="B305" s="94"/>
      <c r="C305" s="94"/>
      <c r="D305" s="94"/>
      <c r="E305" s="94"/>
      <c r="F305" s="94"/>
      <c r="G305" s="94"/>
      <c r="H305" s="94"/>
      <c r="I305" s="94"/>
      <c r="J305" s="94"/>
      <c r="K305" s="94"/>
      <c r="L305" s="94"/>
      <c r="M305" s="96" t="s">
        <v>10</v>
      </c>
      <c r="N305" s="96"/>
      <c r="O305" s="96"/>
      <c r="P305" s="96"/>
      <c r="Q305" s="97" t="s">
        <v>11</v>
      </c>
      <c r="R305" s="97"/>
      <c r="S305" s="97"/>
      <c r="T305" s="97"/>
    </row>
    <row r="306" spans="1:20" s="1" customFormat="1" ht="16.95" customHeight="1" x14ac:dyDescent="0.25">
      <c r="A306" s="94"/>
      <c r="B306" s="94"/>
      <c r="C306" s="94"/>
      <c r="D306" s="94"/>
      <c r="E306" s="94"/>
      <c r="F306" s="94"/>
      <c r="G306" s="94"/>
      <c r="H306" s="94"/>
      <c r="I306" s="94"/>
      <c r="J306" s="94"/>
      <c r="K306" s="94"/>
      <c r="L306" s="94"/>
      <c r="M306" s="98" t="s">
        <v>12</v>
      </c>
      <c r="N306" s="98"/>
      <c r="O306" s="98" t="s">
        <v>13</v>
      </c>
      <c r="P306" s="98"/>
      <c r="Q306" s="13" t="s">
        <v>14</v>
      </c>
      <c r="R306" s="99" t="s">
        <v>15</v>
      </c>
      <c r="S306" s="99"/>
      <c r="T306" s="99"/>
    </row>
    <row r="307" spans="1:20" s="1" customFormat="1" ht="13.35" customHeight="1" x14ac:dyDescent="0.25">
      <c r="A307" s="88" t="s">
        <v>154</v>
      </c>
      <c r="B307" s="88"/>
      <c r="C307" s="88"/>
      <c r="D307" s="88"/>
      <c r="E307" s="88"/>
      <c r="F307" s="88"/>
      <c r="G307" s="88"/>
      <c r="H307" s="88"/>
      <c r="I307" s="88"/>
      <c r="J307" s="88"/>
      <c r="K307" s="88"/>
      <c r="L307" s="88"/>
      <c r="M307" s="88" t="s">
        <v>101</v>
      </c>
      <c r="N307" s="88"/>
      <c r="O307" s="88" t="s">
        <v>107</v>
      </c>
      <c r="P307" s="88"/>
      <c r="Q307" s="6" t="s">
        <v>103</v>
      </c>
      <c r="R307" s="88" t="s">
        <v>108</v>
      </c>
      <c r="S307" s="88"/>
      <c r="T307" s="88"/>
    </row>
    <row r="308" spans="1:20" s="1" customFormat="1" ht="13.35" customHeight="1" x14ac:dyDescent="0.25">
      <c r="A308" s="88" t="s">
        <v>431</v>
      </c>
      <c r="B308" s="88"/>
      <c r="C308" s="88"/>
      <c r="D308" s="88"/>
      <c r="E308" s="88"/>
      <c r="F308" s="88"/>
      <c r="G308" s="88"/>
      <c r="H308" s="88"/>
      <c r="I308" s="88"/>
      <c r="J308" s="88"/>
      <c r="K308" s="88"/>
      <c r="L308" s="88"/>
      <c r="M308" s="88" t="s">
        <v>475</v>
      </c>
      <c r="N308" s="88"/>
      <c r="O308" s="88" t="s">
        <v>475</v>
      </c>
      <c r="P308" s="88"/>
      <c r="Q308" s="6" t="s">
        <v>476</v>
      </c>
      <c r="R308" s="88" t="s">
        <v>476</v>
      </c>
      <c r="S308" s="88"/>
      <c r="T308" s="88"/>
    </row>
    <row r="309" spans="1:20" s="1" customFormat="1" ht="13.35" customHeight="1" x14ac:dyDescent="0.25">
      <c r="A309" s="88" t="s">
        <v>70</v>
      </c>
      <c r="B309" s="88"/>
      <c r="C309" s="88"/>
      <c r="D309" s="88"/>
      <c r="E309" s="88"/>
      <c r="F309" s="88"/>
      <c r="G309" s="88"/>
      <c r="H309" s="88"/>
      <c r="I309" s="88"/>
      <c r="J309" s="88"/>
      <c r="K309" s="88"/>
      <c r="L309" s="88"/>
      <c r="M309" s="88" t="s">
        <v>77</v>
      </c>
      <c r="N309" s="88"/>
      <c r="O309" s="88" t="s">
        <v>77</v>
      </c>
      <c r="P309" s="88"/>
      <c r="Q309" s="6" t="s">
        <v>79</v>
      </c>
      <c r="R309" s="88" t="s">
        <v>79</v>
      </c>
      <c r="S309" s="88"/>
      <c r="T309" s="88"/>
    </row>
    <row r="310" spans="1:20" s="1" customFormat="1" ht="13.35" customHeight="1" x14ac:dyDescent="0.25">
      <c r="A310" s="88" t="s">
        <v>404</v>
      </c>
      <c r="B310" s="88"/>
      <c r="C310" s="88"/>
      <c r="D310" s="88"/>
      <c r="E310" s="88"/>
      <c r="F310" s="88"/>
      <c r="G310" s="88"/>
      <c r="H310" s="88"/>
      <c r="I310" s="88"/>
      <c r="J310" s="88"/>
      <c r="K310" s="88"/>
      <c r="L310" s="88"/>
      <c r="M310" s="88">
        <v>58.5</v>
      </c>
      <c r="N310" s="88"/>
      <c r="O310" s="88">
        <v>57</v>
      </c>
      <c r="P310" s="88"/>
      <c r="Q310" s="6" t="s">
        <v>477</v>
      </c>
      <c r="R310" s="88" t="s">
        <v>478</v>
      </c>
      <c r="S310" s="88"/>
      <c r="T310" s="88"/>
    </row>
    <row r="311" spans="1:20" s="1" customFormat="1" ht="13.35" customHeight="1" x14ac:dyDescent="0.25">
      <c r="A311" s="88" t="s">
        <v>66</v>
      </c>
      <c r="B311" s="88"/>
      <c r="C311" s="88"/>
      <c r="D311" s="88"/>
      <c r="E311" s="88"/>
      <c r="F311" s="88"/>
      <c r="G311" s="88"/>
      <c r="H311" s="88"/>
      <c r="I311" s="88"/>
      <c r="J311" s="88"/>
      <c r="K311" s="88"/>
      <c r="L311" s="88"/>
      <c r="M311" s="88" t="s">
        <v>467</v>
      </c>
      <c r="N311" s="88"/>
      <c r="O311" s="88" t="s">
        <v>467</v>
      </c>
      <c r="P311" s="88"/>
      <c r="Q311" s="6" t="s">
        <v>479</v>
      </c>
      <c r="R311" s="88" t="s">
        <v>479</v>
      </c>
      <c r="S311" s="88"/>
      <c r="T311" s="88"/>
    </row>
    <row r="312" spans="1:20" s="1" customFormat="1" ht="13.35" customHeight="1" x14ac:dyDescent="0.25">
      <c r="A312" s="88" t="s">
        <v>114</v>
      </c>
      <c r="B312" s="88"/>
      <c r="C312" s="88"/>
      <c r="D312" s="88"/>
      <c r="E312" s="88"/>
      <c r="F312" s="88"/>
      <c r="G312" s="88"/>
      <c r="H312" s="88"/>
      <c r="I312" s="88"/>
      <c r="J312" s="88"/>
      <c r="K312" s="88"/>
      <c r="L312" s="88"/>
      <c r="M312" s="88" t="s">
        <v>480</v>
      </c>
      <c r="N312" s="88"/>
      <c r="O312" s="88" t="s">
        <v>480</v>
      </c>
      <c r="P312" s="88"/>
      <c r="Q312" s="6" t="s">
        <v>198</v>
      </c>
      <c r="R312" s="88" t="s">
        <v>198</v>
      </c>
      <c r="S312" s="88"/>
      <c r="T312" s="88"/>
    </row>
    <row r="313" spans="1:20" s="1" customFormat="1" ht="13.35" customHeight="1" x14ac:dyDescent="0.25">
      <c r="A313" s="88" t="s">
        <v>28</v>
      </c>
      <c r="B313" s="88"/>
      <c r="C313" s="88"/>
      <c r="D313" s="88"/>
      <c r="E313" s="88"/>
      <c r="F313" s="88"/>
      <c r="G313" s="88"/>
      <c r="H313" s="88"/>
      <c r="I313" s="88"/>
      <c r="J313" s="88"/>
      <c r="K313" s="88"/>
      <c r="L313" s="88"/>
      <c r="M313" s="88" t="s">
        <v>102</v>
      </c>
      <c r="N313" s="88"/>
      <c r="O313" s="88" t="s">
        <v>102</v>
      </c>
      <c r="P313" s="88"/>
      <c r="Q313" s="6" t="s">
        <v>104</v>
      </c>
      <c r="R313" s="88" t="s">
        <v>104</v>
      </c>
      <c r="S313" s="88"/>
      <c r="T313" s="88"/>
    </row>
    <row r="314" spans="1:20" s="1" customFormat="1" ht="13.35" customHeight="1" x14ac:dyDescent="0.25">
      <c r="A314" s="88" t="s">
        <v>61</v>
      </c>
      <c r="B314" s="88"/>
      <c r="C314" s="88"/>
      <c r="D314" s="88"/>
      <c r="E314" s="88"/>
      <c r="F314" s="88"/>
      <c r="G314" s="88"/>
      <c r="H314" s="88"/>
      <c r="I314" s="88"/>
      <c r="J314" s="88"/>
      <c r="K314" s="88"/>
      <c r="L314" s="88"/>
      <c r="M314" s="88" t="s">
        <v>89</v>
      </c>
      <c r="N314" s="88"/>
      <c r="O314" s="88" t="s">
        <v>89</v>
      </c>
      <c r="P314" s="88"/>
      <c r="Q314" s="6" t="s">
        <v>327</v>
      </c>
      <c r="R314" s="88" t="s">
        <v>327</v>
      </c>
      <c r="S314" s="88"/>
      <c r="T314" s="88"/>
    </row>
    <row r="315" spans="1:20" s="1" customFormat="1" ht="13.35" customHeight="1" x14ac:dyDescent="0.25">
      <c r="A315" s="88" t="s">
        <v>76</v>
      </c>
      <c r="B315" s="88"/>
      <c r="C315" s="88"/>
      <c r="D315" s="88"/>
      <c r="E315" s="88"/>
      <c r="F315" s="88"/>
      <c r="G315" s="88"/>
      <c r="H315" s="88"/>
      <c r="I315" s="88"/>
      <c r="J315" s="88"/>
      <c r="K315" s="88"/>
      <c r="L315" s="88"/>
      <c r="M315" s="88" t="s">
        <v>77</v>
      </c>
      <c r="N315" s="88"/>
      <c r="O315" s="88" t="s">
        <v>78</v>
      </c>
      <c r="P315" s="88"/>
      <c r="Q315" s="6" t="s">
        <v>79</v>
      </c>
      <c r="R315" s="88" t="s">
        <v>80</v>
      </c>
      <c r="S315" s="88"/>
      <c r="T315" s="88"/>
    </row>
    <row r="316" spans="1:20" s="1" customFormat="1" ht="13.35" customHeight="1" x14ac:dyDescent="0.25">
      <c r="A316" s="88" t="s">
        <v>70</v>
      </c>
      <c r="B316" s="88"/>
      <c r="C316" s="88"/>
      <c r="D316" s="88"/>
      <c r="E316" s="88"/>
      <c r="F316" s="88"/>
      <c r="G316" s="88"/>
      <c r="H316" s="88"/>
      <c r="I316" s="88"/>
      <c r="J316" s="88"/>
      <c r="K316" s="88"/>
      <c r="L316" s="88"/>
      <c r="M316" s="88" t="s">
        <v>77</v>
      </c>
      <c r="N316" s="88"/>
      <c r="O316" s="88" t="s">
        <v>77</v>
      </c>
      <c r="P316" s="88"/>
      <c r="Q316" s="6" t="s">
        <v>79</v>
      </c>
      <c r="R316" s="88" t="s">
        <v>79</v>
      </c>
      <c r="S316" s="88"/>
      <c r="T316" s="88"/>
    </row>
    <row r="317" spans="1:20" s="1" customFormat="1" ht="13.35" customHeight="1" x14ac:dyDescent="0.25">
      <c r="A317" s="88" t="s">
        <v>81</v>
      </c>
      <c r="B317" s="88"/>
      <c r="C317" s="88"/>
      <c r="D317" s="88"/>
      <c r="E317" s="88"/>
      <c r="F317" s="88"/>
      <c r="G317" s="88"/>
      <c r="H317" s="88"/>
      <c r="I317" s="88"/>
      <c r="J317" s="88"/>
      <c r="K317" s="88"/>
      <c r="L317" s="88"/>
      <c r="M317" s="88" t="s">
        <v>77</v>
      </c>
      <c r="N317" s="88"/>
      <c r="O317" s="88" t="s">
        <v>481</v>
      </c>
      <c r="P317" s="88"/>
      <c r="Q317" s="6" t="s">
        <v>79</v>
      </c>
      <c r="R317" s="88" t="s">
        <v>482</v>
      </c>
      <c r="S317" s="88"/>
      <c r="T317" s="88"/>
    </row>
    <row r="318" spans="1:20" s="1" customFormat="1" ht="13.35" customHeight="1" x14ac:dyDescent="0.25">
      <c r="A318" s="88" t="s">
        <v>61</v>
      </c>
      <c r="B318" s="88"/>
      <c r="C318" s="88"/>
      <c r="D318" s="88"/>
      <c r="E318" s="88"/>
      <c r="F318" s="88"/>
      <c r="G318" s="88"/>
      <c r="H318" s="88"/>
      <c r="I318" s="88"/>
      <c r="J318" s="88"/>
      <c r="K318" s="88"/>
      <c r="L318" s="88"/>
      <c r="M318" s="88" t="s">
        <v>97</v>
      </c>
      <c r="N318" s="88"/>
      <c r="O318" s="88" t="s">
        <v>97</v>
      </c>
      <c r="P318" s="88"/>
      <c r="Q318" s="6" t="s">
        <v>176</v>
      </c>
      <c r="R318" s="88" t="s">
        <v>176</v>
      </c>
      <c r="S318" s="88"/>
      <c r="T318" s="88"/>
    </row>
    <row r="319" spans="1:20" s="1" customFormat="1" ht="14.1" customHeight="1" x14ac:dyDescent="0.25">
      <c r="A319" s="90" t="s">
        <v>815</v>
      </c>
      <c r="B319" s="90"/>
      <c r="C319" s="90"/>
      <c r="D319" s="90"/>
      <c r="E319" s="90"/>
      <c r="F319" s="90"/>
      <c r="G319" s="90"/>
      <c r="H319" s="90"/>
      <c r="I319" s="90"/>
      <c r="J319" s="90"/>
      <c r="K319" s="90"/>
      <c r="L319" s="90"/>
      <c r="M319" s="90"/>
      <c r="N319" s="90"/>
      <c r="O319" s="90"/>
      <c r="P319" s="90"/>
      <c r="Q319" s="90"/>
      <c r="R319" s="90"/>
      <c r="S319" s="90"/>
      <c r="T319" s="90"/>
    </row>
    <row r="320" spans="1:20" s="1" customFormat="1" ht="21.3" customHeight="1" x14ac:dyDescent="0.25"/>
    <row r="321" spans="1:19" s="1" customFormat="1" ht="14.1" customHeight="1" x14ac:dyDescent="0.25">
      <c r="A321" s="91" t="s">
        <v>33</v>
      </c>
      <c r="B321" s="91"/>
      <c r="C321" s="91"/>
      <c r="D321" s="91"/>
      <c r="E321" s="91"/>
      <c r="F321" s="91"/>
      <c r="G321" s="91"/>
      <c r="H321" s="91"/>
      <c r="I321" s="91"/>
      <c r="J321" s="91"/>
      <c r="K321" s="91"/>
      <c r="L321" s="91"/>
      <c r="M321" s="91"/>
      <c r="N321" s="91"/>
    </row>
    <row r="322" spans="1:19" s="1" customFormat="1" ht="13.35" customHeight="1" x14ac:dyDescent="0.25">
      <c r="A322" s="88" t="s">
        <v>34</v>
      </c>
      <c r="B322" s="88"/>
      <c r="C322" s="88"/>
      <c r="D322" s="88"/>
      <c r="E322" s="89">
        <v>14.1</v>
      </c>
      <c r="F322" s="89"/>
      <c r="G322" s="17"/>
      <c r="H322" s="6" t="s">
        <v>35</v>
      </c>
      <c r="I322" s="89">
        <v>0.1</v>
      </c>
      <c r="J322" s="89"/>
      <c r="K322" s="17"/>
      <c r="L322" s="88" t="s">
        <v>36</v>
      </c>
      <c r="M322" s="88"/>
      <c r="N322" s="89">
        <v>184.75</v>
      </c>
      <c r="O322" s="89"/>
    </row>
    <row r="323" spans="1:19" s="1" customFormat="1" ht="13.35" customHeight="1" x14ac:dyDescent="0.25">
      <c r="A323" s="88" t="s">
        <v>37</v>
      </c>
      <c r="B323" s="88"/>
      <c r="C323" s="88"/>
      <c r="D323" s="88"/>
      <c r="E323" s="89">
        <v>16</v>
      </c>
      <c r="F323" s="89"/>
      <c r="G323" s="17"/>
      <c r="H323" s="6" t="s">
        <v>38</v>
      </c>
      <c r="I323" s="89">
        <v>1.87</v>
      </c>
      <c r="J323" s="89"/>
      <c r="K323" s="17"/>
      <c r="L323" s="88" t="s">
        <v>39</v>
      </c>
      <c r="M323" s="88"/>
      <c r="N323" s="89">
        <v>25.75</v>
      </c>
      <c r="O323" s="89"/>
    </row>
    <row r="324" spans="1:19" s="1" customFormat="1" ht="13.35" customHeight="1" x14ac:dyDescent="0.25">
      <c r="A324" s="88" t="s">
        <v>40</v>
      </c>
      <c r="B324" s="88"/>
      <c r="C324" s="88"/>
      <c r="D324" s="88"/>
      <c r="E324" s="89">
        <v>21.1</v>
      </c>
      <c r="F324" s="89"/>
      <c r="G324" s="17"/>
      <c r="H324" s="6" t="s">
        <v>41</v>
      </c>
      <c r="I324" s="89">
        <v>0.09</v>
      </c>
      <c r="J324" s="89"/>
      <c r="K324" s="17"/>
      <c r="L324" s="88" t="s">
        <v>42</v>
      </c>
      <c r="M324" s="88"/>
      <c r="N324" s="89">
        <v>178.2</v>
      </c>
      <c r="O324" s="89"/>
    </row>
    <row r="325" spans="1:19" s="1" customFormat="1" ht="13.35" customHeight="1" x14ac:dyDescent="0.25">
      <c r="A325" s="88" t="s">
        <v>43</v>
      </c>
      <c r="B325" s="88"/>
      <c r="C325" s="88"/>
      <c r="D325" s="88"/>
      <c r="E325" s="89">
        <v>279.10000000000002</v>
      </c>
      <c r="F325" s="89"/>
      <c r="G325" s="17"/>
      <c r="H325" s="6" t="s">
        <v>44</v>
      </c>
      <c r="I325" s="89">
        <v>1.04</v>
      </c>
      <c r="J325" s="89"/>
      <c r="K325" s="17"/>
      <c r="L325" s="88" t="s">
        <v>45</v>
      </c>
      <c r="M325" s="88"/>
      <c r="N325" s="89">
        <v>1.47</v>
      </c>
      <c r="O325" s="89"/>
    </row>
    <row r="326" spans="1:19" s="1" customFormat="1" ht="13.35" customHeight="1" x14ac:dyDescent="0.25">
      <c r="A326" s="87"/>
      <c r="B326" s="87"/>
      <c r="C326" s="87"/>
      <c r="D326" s="87"/>
      <c r="E326" s="87"/>
      <c r="F326" s="87"/>
      <c r="G326" s="17"/>
      <c r="H326" s="6" t="s">
        <v>46</v>
      </c>
      <c r="I326" s="89">
        <v>7.0000000000000007E-2</v>
      </c>
      <c r="J326" s="89"/>
      <c r="K326" s="17"/>
      <c r="L326" s="88" t="s">
        <v>47</v>
      </c>
      <c r="M326" s="88"/>
      <c r="N326" s="89">
        <v>242.03</v>
      </c>
      <c r="O326" s="89"/>
    </row>
    <row r="327" spans="1:19" s="1" customFormat="1" ht="13.35" customHeight="1" x14ac:dyDescent="0.25">
      <c r="A327" s="87"/>
      <c r="B327" s="87"/>
      <c r="C327" s="87"/>
      <c r="D327" s="87"/>
      <c r="E327" s="87"/>
      <c r="F327" s="87"/>
      <c r="G327" s="17"/>
      <c r="H327" s="6" t="s">
        <v>48</v>
      </c>
      <c r="I327" s="89">
        <v>0.16</v>
      </c>
      <c r="J327" s="89"/>
      <c r="K327" s="17"/>
      <c r="L327" s="88" t="s">
        <v>49</v>
      </c>
      <c r="M327" s="88"/>
      <c r="N327" s="89">
        <v>8.61</v>
      </c>
      <c r="O327" s="89"/>
    </row>
    <row r="328" spans="1:19" s="1" customFormat="1" ht="13.35" customHeight="1" x14ac:dyDescent="0.25">
      <c r="A328" s="87"/>
      <c r="B328" s="87"/>
      <c r="C328" s="87"/>
      <c r="D328" s="87"/>
      <c r="E328" s="87"/>
      <c r="F328" s="87"/>
      <c r="G328" s="17"/>
      <c r="H328" s="17"/>
      <c r="I328" s="87"/>
      <c r="J328" s="87"/>
      <c r="K328" s="17"/>
      <c r="L328" s="88" t="s">
        <v>50</v>
      </c>
      <c r="M328" s="88"/>
      <c r="N328" s="89">
        <v>0.04</v>
      </c>
      <c r="O328" s="89"/>
    </row>
    <row r="329" spans="1:19" s="1" customFormat="1" ht="13.35" customHeight="1" x14ac:dyDescent="0.25">
      <c r="A329" s="87"/>
      <c r="B329" s="87"/>
      <c r="C329" s="87"/>
      <c r="D329" s="87"/>
      <c r="E329" s="87"/>
      <c r="F329" s="87"/>
      <c r="G329" s="17"/>
      <c r="H329" s="17"/>
      <c r="I329" s="87"/>
      <c r="J329" s="87"/>
      <c r="K329" s="17"/>
      <c r="L329" s="88" t="s">
        <v>51</v>
      </c>
      <c r="M329" s="88"/>
      <c r="N329" s="89">
        <v>0.02</v>
      </c>
      <c r="O329" s="89"/>
    </row>
    <row r="330" spans="1:19" s="1" customFormat="1" ht="14.1" customHeight="1" x14ac:dyDescent="0.25">
      <c r="A330" s="86"/>
      <c r="B330" s="86"/>
      <c r="C330" s="86"/>
      <c r="D330" s="86"/>
      <c r="E330" s="86"/>
      <c r="F330" s="86"/>
      <c r="G330" s="86"/>
      <c r="H330" s="86"/>
      <c r="I330" s="86"/>
      <c r="J330" s="86"/>
      <c r="K330" s="86"/>
      <c r="L330" s="86"/>
      <c r="M330" s="86"/>
      <c r="N330" s="86"/>
      <c r="O330" s="86"/>
      <c r="P330" s="86"/>
      <c r="Q330" s="86"/>
      <c r="R330" s="86"/>
      <c r="S330" s="86"/>
    </row>
    <row r="331" spans="1:19" s="1" customFormat="1" ht="14.1" customHeight="1" x14ac:dyDescent="0.25">
      <c r="A331" s="84" t="s">
        <v>52</v>
      </c>
      <c r="B331" s="84"/>
      <c r="C331" s="84"/>
      <c r="D331" s="84"/>
      <c r="E331" s="84"/>
      <c r="F331" s="84"/>
      <c r="G331" s="84"/>
      <c r="H331" s="84"/>
      <c r="I331" s="84"/>
      <c r="J331" s="84"/>
      <c r="K331" s="84"/>
      <c r="L331" s="84"/>
      <c r="M331" s="84"/>
      <c r="N331" s="84"/>
      <c r="O331" s="84"/>
      <c r="P331" s="84"/>
      <c r="Q331" s="84"/>
      <c r="R331" s="84"/>
      <c r="S331" s="84"/>
    </row>
    <row r="332" spans="1:19" s="1" customFormat="1" ht="141.30000000000001" customHeight="1" x14ac:dyDescent="0.25">
      <c r="A332" s="85" t="s">
        <v>483</v>
      </c>
      <c r="B332" s="85"/>
      <c r="C332" s="85"/>
      <c r="D332" s="85"/>
      <c r="E332" s="85"/>
      <c r="F332" s="85"/>
      <c r="G332" s="85"/>
      <c r="H332" s="85"/>
      <c r="I332" s="85"/>
      <c r="J332" s="85"/>
      <c r="K332" s="85"/>
      <c r="L332" s="85"/>
      <c r="M332" s="85"/>
      <c r="N332" s="85"/>
      <c r="O332" s="85"/>
      <c r="P332" s="85"/>
      <c r="Q332" s="85"/>
      <c r="R332" s="85"/>
      <c r="S332" s="85"/>
    </row>
    <row r="333" spans="1:19" s="1" customFormat="1" ht="14.1" customHeight="1" x14ac:dyDescent="0.25">
      <c r="A333" s="84" t="s">
        <v>54</v>
      </c>
      <c r="B333" s="84"/>
      <c r="C333" s="84"/>
      <c r="D333" s="84"/>
      <c r="E333" s="84"/>
      <c r="F333" s="84"/>
      <c r="G333" s="84"/>
      <c r="H333" s="84"/>
      <c r="I333" s="84"/>
      <c r="J333" s="84"/>
      <c r="K333" s="84"/>
      <c r="L333" s="84"/>
      <c r="M333" s="84"/>
      <c r="N333" s="84"/>
      <c r="O333" s="84"/>
      <c r="P333" s="84"/>
      <c r="Q333" s="84"/>
      <c r="R333" s="84"/>
      <c r="S333" s="84"/>
    </row>
    <row r="334" spans="1:19" s="1" customFormat="1" ht="12.15" customHeight="1" x14ac:dyDescent="0.25">
      <c r="A334" s="85" t="s">
        <v>488</v>
      </c>
      <c r="B334" s="85"/>
      <c r="C334" s="85"/>
      <c r="D334" s="85"/>
      <c r="E334" s="85"/>
      <c r="F334" s="85"/>
      <c r="G334" s="85"/>
      <c r="H334" s="85"/>
      <c r="I334" s="85"/>
      <c r="J334" s="85"/>
      <c r="K334" s="85"/>
      <c r="L334" s="85"/>
      <c r="M334" s="85"/>
      <c r="N334" s="85"/>
      <c r="O334" s="85"/>
      <c r="P334" s="85"/>
      <c r="Q334" s="85"/>
      <c r="R334" s="85"/>
      <c r="S334" s="85"/>
    </row>
    <row r="335" spans="1:19" s="1" customFormat="1" ht="14.1" customHeight="1" x14ac:dyDescent="0.25">
      <c r="A335" s="84" t="s">
        <v>56</v>
      </c>
      <c r="B335" s="84"/>
      <c r="C335" s="84"/>
      <c r="D335" s="84"/>
      <c r="E335" s="84"/>
      <c r="F335" s="84"/>
      <c r="G335" s="84"/>
      <c r="H335" s="84"/>
      <c r="I335" s="84"/>
      <c r="J335" s="84"/>
      <c r="K335" s="84"/>
      <c r="L335" s="84"/>
      <c r="M335" s="84"/>
      <c r="N335" s="84"/>
      <c r="O335" s="84"/>
      <c r="P335" s="84"/>
      <c r="Q335" s="84"/>
      <c r="R335" s="84"/>
      <c r="S335" s="84"/>
    </row>
    <row r="336" spans="1:19" s="1" customFormat="1" ht="58.5" customHeight="1" x14ac:dyDescent="0.25">
      <c r="A336" s="85" t="s">
        <v>484</v>
      </c>
      <c r="B336" s="85"/>
      <c r="C336" s="85"/>
      <c r="D336" s="85"/>
      <c r="E336" s="85"/>
      <c r="F336" s="85"/>
      <c r="G336" s="85"/>
      <c r="H336" s="85"/>
      <c r="I336" s="85"/>
      <c r="J336" s="85"/>
      <c r="K336" s="85"/>
      <c r="L336" s="85"/>
      <c r="M336" s="85"/>
      <c r="N336" s="85"/>
      <c r="O336" s="85"/>
      <c r="P336" s="85"/>
      <c r="Q336" s="85"/>
      <c r="R336" s="85"/>
      <c r="S336" s="85"/>
    </row>
    <row r="337" spans="1:20" s="1" customFormat="1" ht="72.45" customHeight="1" x14ac:dyDescent="0.25">
      <c r="J337" s="100" t="s">
        <v>0</v>
      </c>
      <c r="K337" s="100"/>
      <c r="L337" s="100"/>
      <c r="M337" s="100"/>
      <c r="N337" s="100"/>
      <c r="O337" s="100"/>
      <c r="P337" s="100"/>
      <c r="Q337" s="100"/>
      <c r="R337" s="100"/>
      <c r="S337" s="100"/>
      <c r="T337" s="100"/>
    </row>
    <row r="338" spans="1:20" s="1" customFormat="1" ht="7.05" customHeight="1" x14ac:dyDescent="0.25"/>
    <row r="339" spans="1:20" s="1" customFormat="1" ht="14.1" customHeight="1" x14ac:dyDescent="0.25">
      <c r="B339" s="101" t="s">
        <v>485</v>
      </c>
      <c r="C339" s="101"/>
      <c r="D339" s="101"/>
      <c r="E339" s="101"/>
      <c r="F339" s="101"/>
      <c r="G339" s="101"/>
      <c r="H339" s="101"/>
      <c r="I339" s="101"/>
      <c r="J339" s="101"/>
      <c r="K339" s="101"/>
      <c r="L339" s="101"/>
      <c r="M339" s="101"/>
      <c r="N339" s="101"/>
      <c r="O339" s="101"/>
      <c r="P339" s="101"/>
      <c r="Q339" s="101"/>
      <c r="R339" s="101"/>
    </row>
    <row r="340" spans="1:20" s="1" customFormat="1" ht="14.1" customHeight="1" x14ac:dyDescent="0.25"/>
    <row r="341" spans="1:20" s="1" customFormat="1" ht="14.1" customHeight="1" x14ac:dyDescent="0.25">
      <c r="A341" s="102" t="s">
        <v>2</v>
      </c>
      <c r="B341" s="102"/>
      <c r="C341" s="102"/>
      <c r="D341" s="103" t="s">
        <v>764</v>
      </c>
      <c r="E341" s="103"/>
      <c r="F341" s="103"/>
      <c r="G341" s="103"/>
      <c r="H341" s="103"/>
      <c r="I341" s="103"/>
      <c r="J341" s="103"/>
      <c r="K341" s="103"/>
      <c r="L341" s="103"/>
      <c r="M341" s="103"/>
      <c r="N341" s="103"/>
      <c r="O341" s="103"/>
      <c r="P341" s="103"/>
      <c r="Q341" s="103"/>
      <c r="R341" s="103"/>
      <c r="S341" s="103"/>
      <c r="T341" s="103"/>
    </row>
    <row r="342" spans="1:20" s="1" customFormat="1" ht="14.1" customHeight="1" x14ac:dyDescent="0.25">
      <c r="A342" s="102" t="s">
        <v>4</v>
      </c>
      <c r="B342" s="102"/>
      <c r="C342" s="103" t="s">
        <v>486</v>
      </c>
      <c r="D342" s="103"/>
      <c r="E342" s="103"/>
      <c r="F342" s="103"/>
      <c r="G342" s="103"/>
      <c r="H342" s="103"/>
      <c r="I342" s="103"/>
      <c r="J342" s="103"/>
      <c r="K342" s="103"/>
      <c r="L342" s="103"/>
      <c r="M342" s="103"/>
      <c r="N342" s="103"/>
      <c r="O342" s="103"/>
      <c r="P342" s="103"/>
      <c r="Q342" s="103"/>
      <c r="R342" s="103"/>
      <c r="S342" s="103"/>
      <c r="T342" s="103"/>
    </row>
    <row r="343" spans="1:20" s="1" customFormat="1" ht="14.1" customHeight="1" x14ac:dyDescent="0.25">
      <c r="A343" s="102" t="s">
        <v>6</v>
      </c>
      <c r="B343" s="102"/>
      <c r="C343" s="102"/>
      <c r="D343" s="102"/>
      <c r="E343" s="102"/>
      <c r="F343" s="103" t="s">
        <v>248</v>
      </c>
      <c r="G343" s="103"/>
      <c r="H343" s="103"/>
      <c r="I343" s="103"/>
      <c r="J343" s="103"/>
      <c r="K343" s="103"/>
      <c r="L343" s="103"/>
      <c r="M343" s="103"/>
      <c r="N343" s="103"/>
      <c r="O343" s="103"/>
      <c r="P343" s="103"/>
      <c r="Q343" s="103"/>
      <c r="R343" s="103"/>
      <c r="S343" s="103"/>
      <c r="T343" s="103"/>
    </row>
    <row r="344" spans="1:20" s="1" customFormat="1" ht="22.35" customHeight="1" x14ac:dyDescent="0.25">
      <c r="F344" s="103"/>
      <c r="G344" s="103"/>
      <c r="H344" s="103"/>
      <c r="I344" s="103"/>
      <c r="J344" s="103"/>
      <c r="K344" s="103"/>
      <c r="L344" s="103"/>
      <c r="M344" s="103"/>
      <c r="N344" s="103"/>
      <c r="O344" s="103"/>
      <c r="P344" s="103"/>
      <c r="Q344" s="103"/>
      <c r="R344" s="103"/>
      <c r="S344" s="103"/>
      <c r="T344" s="103"/>
    </row>
    <row r="345" spans="1:20" s="1" customFormat="1" ht="7.05" customHeight="1" x14ac:dyDescent="0.25">
      <c r="A345" s="86"/>
      <c r="B345" s="86"/>
      <c r="C345" s="86"/>
      <c r="D345" s="86"/>
      <c r="E345" s="86"/>
      <c r="F345" s="86"/>
      <c r="G345" s="86"/>
      <c r="H345" s="86"/>
      <c r="I345" s="86"/>
      <c r="J345" s="86"/>
      <c r="K345" s="86"/>
      <c r="L345" s="86"/>
      <c r="M345" s="86"/>
      <c r="N345" s="86"/>
      <c r="O345" s="86"/>
      <c r="P345" s="86"/>
      <c r="Q345" s="16"/>
      <c r="R345" s="86"/>
      <c r="S345" s="86"/>
      <c r="T345" s="86"/>
    </row>
    <row r="346" spans="1:20" s="1" customFormat="1" ht="16.95" customHeight="1" x14ac:dyDescent="0.25">
      <c r="A346" s="94" t="s">
        <v>8</v>
      </c>
      <c r="B346" s="94"/>
      <c r="C346" s="94"/>
      <c r="D346" s="94"/>
      <c r="E346" s="94"/>
      <c r="F346" s="94"/>
      <c r="G346" s="94"/>
      <c r="H346" s="94"/>
      <c r="I346" s="94"/>
      <c r="J346" s="94"/>
      <c r="K346" s="94"/>
      <c r="L346" s="94"/>
      <c r="M346" s="95" t="s">
        <v>9</v>
      </c>
      <c r="N346" s="95"/>
      <c r="O346" s="95"/>
      <c r="P346" s="95"/>
      <c r="Q346" s="95"/>
      <c r="R346" s="95"/>
      <c r="S346" s="95"/>
      <c r="T346" s="95"/>
    </row>
    <row r="347" spans="1:20" s="1" customFormat="1" ht="16.95" customHeight="1" x14ac:dyDescent="0.25">
      <c r="A347" s="94"/>
      <c r="B347" s="94"/>
      <c r="C347" s="94"/>
      <c r="D347" s="94"/>
      <c r="E347" s="94"/>
      <c r="F347" s="94"/>
      <c r="G347" s="94"/>
      <c r="H347" s="94"/>
      <c r="I347" s="94"/>
      <c r="J347" s="94"/>
      <c r="K347" s="94"/>
      <c r="L347" s="94"/>
      <c r="M347" s="96" t="s">
        <v>10</v>
      </c>
      <c r="N347" s="96"/>
      <c r="O347" s="96"/>
      <c r="P347" s="96"/>
      <c r="Q347" s="97" t="s">
        <v>11</v>
      </c>
      <c r="R347" s="97"/>
      <c r="S347" s="97"/>
      <c r="T347" s="97"/>
    </row>
    <row r="348" spans="1:20" s="1" customFormat="1" ht="16.95" customHeight="1" x14ac:dyDescent="0.25">
      <c r="A348" s="94"/>
      <c r="B348" s="94"/>
      <c r="C348" s="94"/>
      <c r="D348" s="94"/>
      <c r="E348" s="94"/>
      <c r="F348" s="94"/>
      <c r="G348" s="94"/>
      <c r="H348" s="94"/>
      <c r="I348" s="94"/>
      <c r="J348" s="94"/>
      <c r="K348" s="94"/>
      <c r="L348" s="94"/>
      <c r="M348" s="98" t="s">
        <v>12</v>
      </c>
      <c r="N348" s="98"/>
      <c r="O348" s="98" t="s">
        <v>13</v>
      </c>
      <c r="P348" s="98"/>
      <c r="Q348" s="13" t="s">
        <v>14</v>
      </c>
      <c r="R348" s="99" t="s">
        <v>15</v>
      </c>
      <c r="S348" s="99"/>
      <c r="T348" s="99"/>
    </row>
    <row r="349" spans="1:20" s="1" customFormat="1" ht="13.35" customHeight="1" x14ac:dyDescent="0.25">
      <c r="A349" s="88" t="s">
        <v>765</v>
      </c>
      <c r="B349" s="88"/>
      <c r="C349" s="88"/>
      <c r="D349" s="88"/>
      <c r="E349" s="88"/>
      <c r="F349" s="88"/>
      <c r="G349" s="88"/>
      <c r="H349" s="88"/>
      <c r="I349" s="88"/>
      <c r="J349" s="88"/>
      <c r="K349" s="88"/>
      <c r="L349" s="88"/>
      <c r="M349" s="88">
        <v>90.67</v>
      </c>
      <c r="N349" s="88"/>
      <c r="O349" s="88">
        <f>65.28*200/150</f>
        <v>87.04</v>
      </c>
      <c r="P349" s="88"/>
      <c r="Q349" s="6">
        <v>9.07</v>
      </c>
      <c r="R349" s="88">
        <v>8.6999999999999993</v>
      </c>
      <c r="S349" s="88"/>
      <c r="T349" s="88"/>
    </row>
    <row r="350" spans="1:20" s="1" customFormat="1" ht="13.35" customHeight="1" x14ac:dyDescent="0.25">
      <c r="A350" s="88" t="s">
        <v>18</v>
      </c>
      <c r="B350" s="88"/>
      <c r="C350" s="88"/>
      <c r="D350" s="88"/>
      <c r="E350" s="88"/>
      <c r="F350" s="88"/>
      <c r="G350" s="88"/>
      <c r="H350" s="88"/>
      <c r="I350" s="88"/>
      <c r="J350" s="88"/>
      <c r="K350" s="88"/>
      <c r="L350" s="88"/>
      <c r="M350" s="88">
        <v>5.33</v>
      </c>
      <c r="N350" s="88"/>
      <c r="O350" s="88">
        <v>5.33</v>
      </c>
      <c r="P350" s="88"/>
      <c r="Q350" s="6">
        <v>0.53</v>
      </c>
      <c r="R350" s="88">
        <v>0.53</v>
      </c>
      <c r="S350" s="88"/>
      <c r="T350" s="88"/>
    </row>
    <row r="351" spans="1:20" s="1" customFormat="1" ht="13.35" customHeight="1" x14ac:dyDescent="0.25">
      <c r="A351" s="88" t="s">
        <v>61</v>
      </c>
      <c r="B351" s="88"/>
      <c r="C351" s="88"/>
      <c r="D351" s="88"/>
      <c r="E351" s="88"/>
      <c r="F351" s="88"/>
      <c r="G351" s="88"/>
      <c r="H351" s="88"/>
      <c r="I351" s="88"/>
      <c r="J351" s="88"/>
      <c r="K351" s="88"/>
      <c r="L351" s="88"/>
      <c r="M351" s="88">
        <f>3*200/150</f>
        <v>4</v>
      </c>
      <c r="N351" s="88"/>
      <c r="O351" s="88">
        <v>4</v>
      </c>
      <c r="P351" s="88"/>
      <c r="Q351" s="6">
        <v>0.4</v>
      </c>
      <c r="R351" s="88">
        <v>0.4</v>
      </c>
      <c r="S351" s="88"/>
      <c r="T351" s="88"/>
    </row>
    <row r="352" spans="1:20" s="1" customFormat="1" ht="13.35" customHeight="1" x14ac:dyDescent="0.25">
      <c r="A352" s="88" t="s">
        <v>25</v>
      </c>
      <c r="B352" s="88"/>
      <c r="C352" s="88"/>
      <c r="D352" s="88"/>
      <c r="E352" s="88"/>
      <c r="F352" s="88"/>
      <c r="G352" s="88"/>
      <c r="H352" s="88"/>
      <c r="I352" s="88"/>
      <c r="J352" s="88"/>
      <c r="K352" s="88"/>
      <c r="L352" s="88"/>
      <c r="M352" s="88">
        <v>6.66</v>
      </c>
      <c r="N352" s="88"/>
      <c r="O352" s="88">
        <v>6.66</v>
      </c>
      <c r="P352" s="88"/>
      <c r="Q352" s="6">
        <v>0.66</v>
      </c>
      <c r="R352" s="88">
        <v>0.66</v>
      </c>
      <c r="S352" s="88"/>
      <c r="T352" s="88"/>
    </row>
    <row r="353" spans="1:20" s="1" customFormat="1" ht="13.35" customHeight="1" x14ac:dyDescent="0.25">
      <c r="A353" s="88" t="s">
        <v>21</v>
      </c>
      <c r="B353" s="88"/>
      <c r="C353" s="88"/>
      <c r="D353" s="88"/>
      <c r="E353" s="88"/>
      <c r="F353" s="88"/>
      <c r="G353" s="88"/>
      <c r="H353" s="88"/>
      <c r="I353" s="88"/>
      <c r="J353" s="88"/>
      <c r="K353" s="88"/>
      <c r="L353" s="88"/>
      <c r="M353" s="88">
        <v>10.67</v>
      </c>
      <c r="N353" s="88"/>
      <c r="O353" s="88">
        <v>9.33</v>
      </c>
      <c r="P353" s="88"/>
      <c r="Q353" s="6">
        <v>1.06</v>
      </c>
      <c r="R353" s="88">
        <v>0.93</v>
      </c>
      <c r="S353" s="88"/>
      <c r="T353" s="88"/>
    </row>
    <row r="354" spans="1:20" s="1" customFormat="1" ht="13.35" customHeight="1" x14ac:dyDescent="0.25">
      <c r="A354" s="88" t="s">
        <v>100</v>
      </c>
      <c r="B354" s="88"/>
      <c r="C354" s="88"/>
      <c r="D354" s="88"/>
      <c r="E354" s="88"/>
      <c r="F354" s="88"/>
      <c r="G354" s="88"/>
      <c r="H354" s="88"/>
      <c r="I354" s="88"/>
      <c r="J354" s="88"/>
      <c r="K354" s="88"/>
      <c r="L354" s="88"/>
      <c r="M354" s="88">
        <v>13.33</v>
      </c>
      <c r="N354" s="88"/>
      <c r="O354" s="88">
        <v>10.67</v>
      </c>
      <c r="P354" s="88"/>
      <c r="Q354" s="23">
        <v>1.1299999999999999</v>
      </c>
      <c r="R354" s="88">
        <v>1.06</v>
      </c>
      <c r="S354" s="88"/>
      <c r="T354" s="88"/>
    </row>
    <row r="355" spans="1:20" s="1" customFormat="1" ht="13.35" customHeight="1" x14ac:dyDescent="0.25">
      <c r="A355" s="88" t="s">
        <v>195</v>
      </c>
      <c r="B355" s="88"/>
      <c r="C355" s="88"/>
      <c r="D355" s="88"/>
      <c r="E355" s="88"/>
      <c r="F355" s="88"/>
      <c r="G355" s="88"/>
      <c r="H355" s="88"/>
      <c r="I355" s="88"/>
      <c r="J355" s="88"/>
      <c r="K355" s="88"/>
      <c r="L355" s="88"/>
      <c r="M355" s="88">
        <v>46.66</v>
      </c>
      <c r="N355" s="88"/>
      <c r="O355" s="88">
        <f>34.65*200/150</f>
        <v>46.2</v>
      </c>
      <c r="P355" s="88"/>
      <c r="Q355" s="6">
        <v>4.66</v>
      </c>
      <c r="R355" s="88">
        <v>4.62</v>
      </c>
      <c r="S355" s="88"/>
      <c r="T355" s="88"/>
    </row>
    <row r="356" spans="1:20" s="1" customFormat="1" ht="14.1" customHeight="1" x14ac:dyDescent="0.25">
      <c r="A356" s="90" t="s">
        <v>116</v>
      </c>
      <c r="B356" s="90"/>
      <c r="C356" s="90"/>
      <c r="D356" s="90"/>
      <c r="E356" s="90"/>
      <c r="F356" s="90"/>
      <c r="G356" s="90"/>
      <c r="H356" s="90"/>
      <c r="I356" s="90"/>
      <c r="J356" s="90"/>
      <c r="K356" s="90"/>
      <c r="L356" s="90"/>
      <c r="M356" s="90"/>
      <c r="N356" s="90"/>
      <c r="O356" s="90"/>
      <c r="P356" s="90"/>
      <c r="Q356" s="90"/>
      <c r="R356" s="90"/>
      <c r="S356" s="90"/>
      <c r="T356" s="90"/>
    </row>
    <row r="357" spans="1:20" s="1" customFormat="1" ht="21.3" customHeight="1" x14ac:dyDescent="0.25"/>
    <row r="358" spans="1:20" s="1" customFormat="1" ht="14.1" customHeight="1" x14ac:dyDescent="0.25">
      <c r="A358" s="91" t="s">
        <v>33</v>
      </c>
      <c r="B358" s="91"/>
      <c r="C358" s="91"/>
      <c r="D358" s="91"/>
      <c r="E358" s="91"/>
      <c r="F358" s="91"/>
      <c r="G358" s="91"/>
      <c r="H358" s="91"/>
      <c r="I358" s="91"/>
      <c r="J358" s="91"/>
      <c r="K358" s="91"/>
      <c r="L358" s="91"/>
      <c r="M358" s="91"/>
      <c r="N358" s="91"/>
    </row>
    <row r="359" spans="1:20" s="1" customFormat="1" ht="13.35" customHeight="1" x14ac:dyDescent="0.25">
      <c r="A359" s="88" t="s">
        <v>34</v>
      </c>
      <c r="B359" s="88"/>
      <c r="C359" s="88"/>
      <c r="D359" s="88"/>
      <c r="E359" s="89">
        <f>13.91*200/150</f>
        <v>18.546666666666667</v>
      </c>
      <c r="F359" s="89"/>
      <c r="G359" s="17"/>
      <c r="H359" s="6" t="s">
        <v>35</v>
      </c>
      <c r="I359" s="89">
        <v>7.0000000000000007E-2</v>
      </c>
      <c r="J359" s="89"/>
      <c r="K359" s="17"/>
      <c r="L359" s="88" t="s">
        <v>36</v>
      </c>
      <c r="M359" s="88"/>
      <c r="N359" s="89">
        <v>18.420000000000002</v>
      </c>
      <c r="O359" s="89"/>
    </row>
    <row r="360" spans="1:20" s="1" customFormat="1" ht="13.35" customHeight="1" x14ac:dyDescent="0.25">
      <c r="A360" s="88" t="s">
        <v>37</v>
      </c>
      <c r="B360" s="88"/>
      <c r="C360" s="88"/>
      <c r="D360" s="88"/>
      <c r="E360" s="89">
        <f>8.05*200/150</f>
        <v>10.733333333333334</v>
      </c>
      <c r="F360" s="89"/>
      <c r="G360" s="17"/>
      <c r="H360" s="6" t="s">
        <v>38</v>
      </c>
      <c r="I360" s="89">
        <v>1.79</v>
      </c>
      <c r="J360" s="89"/>
      <c r="K360" s="17"/>
      <c r="L360" s="88" t="s">
        <v>39</v>
      </c>
      <c r="M360" s="88"/>
      <c r="N360" s="89">
        <v>31.85</v>
      </c>
      <c r="O360" s="89"/>
    </row>
    <row r="361" spans="1:20" s="1" customFormat="1" ht="13.35" customHeight="1" x14ac:dyDescent="0.25">
      <c r="A361" s="88" t="s">
        <v>40</v>
      </c>
      <c r="B361" s="88"/>
      <c r="C361" s="88"/>
      <c r="D361" s="88"/>
      <c r="E361" s="89">
        <f>27.34*200/150</f>
        <v>36.453333333333333</v>
      </c>
      <c r="F361" s="89"/>
      <c r="G361" s="17"/>
      <c r="H361" s="6" t="s">
        <v>41</v>
      </c>
      <c r="I361" s="89">
        <v>0.23</v>
      </c>
      <c r="J361" s="89"/>
      <c r="K361" s="17"/>
      <c r="L361" s="88" t="s">
        <v>42</v>
      </c>
      <c r="M361" s="88"/>
      <c r="N361" s="89">
        <v>154.54</v>
      </c>
      <c r="O361" s="89"/>
    </row>
    <row r="362" spans="1:20" s="1" customFormat="1" ht="13.35" customHeight="1" x14ac:dyDescent="0.25">
      <c r="A362" s="88" t="s">
        <v>43</v>
      </c>
      <c r="B362" s="88"/>
      <c r="C362" s="88"/>
      <c r="D362" s="88"/>
      <c r="E362" s="89">
        <f>237*200/150</f>
        <v>316</v>
      </c>
      <c r="F362" s="89"/>
      <c r="G362" s="17"/>
      <c r="H362" s="6" t="s">
        <v>44</v>
      </c>
      <c r="I362" s="89">
        <v>2.15</v>
      </c>
      <c r="J362" s="89"/>
      <c r="K362" s="17"/>
      <c r="L362" s="88" t="s">
        <v>45</v>
      </c>
      <c r="M362" s="88"/>
      <c r="N362" s="89">
        <v>1.51</v>
      </c>
      <c r="O362" s="89"/>
    </row>
    <row r="363" spans="1:20" s="1" customFormat="1" ht="13.35" customHeight="1" x14ac:dyDescent="0.25">
      <c r="A363" s="87"/>
      <c r="B363" s="87"/>
      <c r="C363" s="87"/>
      <c r="D363" s="87"/>
      <c r="E363" s="87"/>
      <c r="F363" s="87"/>
      <c r="G363" s="17"/>
      <c r="H363" s="6" t="s">
        <v>46</v>
      </c>
      <c r="I363" s="89">
        <v>0.05</v>
      </c>
      <c r="J363" s="89"/>
      <c r="K363" s="17"/>
      <c r="L363" s="88" t="s">
        <v>47</v>
      </c>
      <c r="M363" s="88"/>
      <c r="N363" s="89">
        <v>232.25</v>
      </c>
      <c r="O363" s="89"/>
    </row>
    <row r="364" spans="1:20" s="1" customFormat="1" ht="13.35" customHeight="1" x14ac:dyDescent="0.25">
      <c r="A364" s="87"/>
      <c r="B364" s="87"/>
      <c r="C364" s="87"/>
      <c r="D364" s="87"/>
      <c r="E364" s="87"/>
      <c r="F364" s="87"/>
      <c r="G364" s="17"/>
      <c r="H364" s="6" t="s">
        <v>48</v>
      </c>
      <c r="I364" s="89">
        <v>0.12</v>
      </c>
      <c r="J364" s="89"/>
      <c r="K364" s="17"/>
      <c r="L364" s="88" t="s">
        <v>49</v>
      </c>
      <c r="M364" s="88"/>
      <c r="N364" s="89">
        <v>5.44</v>
      </c>
      <c r="O364" s="89"/>
    </row>
    <row r="365" spans="1:20" s="1" customFormat="1" ht="13.35" customHeight="1" x14ac:dyDescent="0.25">
      <c r="A365" s="87"/>
      <c r="B365" s="87"/>
      <c r="C365" s="87"/>
      <c r="D365" s="87"/>
      <c r="E365" s="87"/>
      <c r="F365" s="87"/>
      <c r="G365" s="17"/>
      <c r="H365" s="17"/>
      <c r="I365" s="87"/>
      <c r="J365" s="87"/>
      <c r="K365" s="17"/>
      <c r="L365" s="88" t="s">
        <v>50</v>
      </c>
      <c r="M365" s="88"/>
      <c r="N365" s="89">
        <v>0.09</v>
      </c>
      <c r="O365" s="89"/>
    </row>
    <row r="366" spans="1:20" s="1" customFormat="1" ht="13.35" customHeight="1" x14ac:dyDescent="0.25">
      <c r="A366" s="87"/>
      <c r="B366" s="87"/>
      <c r="C366" s="87"/>
      <c r="D366" s="87"/>
      <c r="E366" s="87"/>
      <c r="F366" s="87"/>
      <c r="G366" s="17"/>
      <c r="H366" s="17"/>
      <c r="I366" s="87"/>
      <c r="J366" s="87"/>
      <c r="K366" s="17"/>
      <c r="L366" s="88" t="s">
        <v>51</v>
      </c>
      <c r="M366" s="88"/>
      <c r="N366" s="89">
        <v>0.02</v>
      </c>
      <c r="O366" s="89"/>
    </row>
    <row r="367" spans="1:20" s="1" customFormat="1" ht="14.1" customHeight="1" x14ac:dyDescent="0.25">
      <c r="A367" s="86"/>
      <c r="B367" s="86"/>
      <c r="C367" s="86"/>
      <c r="D367" s="86"/>
      <c r="E367" s="86"/>
      <c r="F367" s="86"/>
      <c r="G367" s="86"/>
      <c r="H367" s="86"/>
      <c r="I367" s="86"/>
      <c r="J367" s="86"/>
      <c r="K367" s="86"/>
      <c r="L367" s="86"/>
      <c r="M367" s="86"/>
      <c r="N367" s="86"/>
      <c r="O367" s="86"/>
      <c r="P367" s="86"/>
      <c r="Q367" s="86"/>
      <c r="R367" s="86"/>
      <c r="S367" s="86"/>
    </row>
    <row r="368" spans="1:20" s="1" customFormat="1" ht="14.1" customHeight="1" x14ac:dyDescent="0.25">
      <c r="A368" s="84" t="s">
        <v>52</v>
      </c>
      <c r="B368" s="84"/>
      <c r="C368" s="84"/>
      <c r="D368" s="84"/>
      <c r="E368" s="84"/>
      <c r="F368" s="84"/>
      <c r="G368" s="84"/>
      <c r="H368" s="84"/>
      <c r="I368" s="84"/>
      <c r="J368" s="84"/>
      <c r="K368" s="84"/>
      <c r="L368" s="84"/>
      <c r="M368" s="84"/>
      <c r="N368" s="84"/>
      <c r="O368" s="84"/>
      <c r="P368" s="84"/>
      <c r="Q368" s="84"/>
      <c r="R368" s="84"/>
      <c r="S368" s="84"/>
    </row>
    <row r="369" spans="1:20" s="1" customFormat="1" ht="58.5" customHeight="1" x14ac:dyDescent="0.25">
      <c r="A369" s="85" t="s">
        <v>487</v>
      </c>
      <c r="B369" s="85"/>
      <c r="C369" s="85"/>
      <c r="D369" s="85"/>
      <c r="E369" s="85"/>
      <c r="F369" s="85"/>
      <c r="G369" s="85"/>
      <c r="H369" s="85"/>
      <c r="I369" s="85"/>
      <c r="J369" s="85"/>
      <c r="K369" s="85"/>
      <c r="L369" s="85"/>
      <c r="M369" s="85"/>
      <c r="N369" s="85"/>
      <c r="O369" s="85"/>
      <c r="P369" s="85"/>
      <c r="Q369" s="85"/>
      <c r="R369" s="85"/>
      <c r="S369" s="85"/>
    </row>
    <row r="370" spans="1:20" s="1" customFormat="1" ht="14.1" customHeight="1" x14ac:dyDescent="0.25">
      <c r="A370" s="86"/>
      <c r="B370" s="86"/>
      <c r="C370" s="86"/>
      <c r="D370" s="86"/>
      <c r="E370" s="86"/>
      <c r="F370" s="86"/>
      <c r="G370" s="86"/>
      <c r="H370" s="86"/>
      <c r="I370" s="86"/>
      <c r="J370" s="86"/>
      <c r="K370" s="86"/>
      <c r="L370" s="86"/>
      <c r="M370" s="86"/>
      <c r="N370" s="86"/>
      <c r="O370" s="86"/>
      <c r="P370" s="86"/>
      <c r="Q370" s="86"/>
      <c r="R370" s="86"/>
      <c r="S370" s="86"/>
    </row>
    <row r="371" spans="1:20" s="1" customFormat="1" ht="14.1" customHeight="1" x14ac:dyDescent="0.25">
      <c r="A371" s="84" t="s">
        <v>54</v>
      </c>
      <c r="B371" s="84"/>
      <c r="C371" s="84"/>
      <c r="D371" s="84"/>
      <c r="E371" s="84"/>
      <c r="F371" s="84"/>
      <c r="G371" s="84"/>
      <c r="H371" s="84"/>
      <c r="I371" s="84"/>
      <c r="J371" s="84"/>
      <c r="K371" s="84"/>
      <c r="L371" s="84"/>
      <c r="M371" s="84"/>
      <c r="N371" s="84"/>
      <c r="O371" s="84"/>
      <c r="P371" s="84"/>
      <c r="Q371" s="84"/>
      <c r="R371" s="84"/>
      <c r="S371" s="84"/>
    </row>
    <row r="372" spans="1:20" s="1" customFormat="1" ht="12.15" customHeight="1" x14ac:dyDescent="0.25">
      <c r="A372" s="85" t="s">
        <v>488</v>
      </c>
      <c r="B372" s="85"/>
      <c r="C372" s="85"/>
      <c r="D372" s="85"/>
      <c r="E372" s="85"/>
      <c r="F372" s="85"/>
      <c r="G372" s="85"/>
      <c r="H372" s="85"/>
      <c r="I372" s="85"/>
      <c r="J372" s="85"/>
      <c r="K372" s="85"/>
      <c r="L372" s="85"/>
      <c r="M372" s="85"/>
      <c r="N372" s="85"/>
      <c r="O372" s="85"/>
      <c r="P372" s="85"/>
      <c r="Q372" s="85"/>
      <c r="R372" s="85"/>
      <c r="S372" s="85"/>
    </row>
    <row r="373" spans="1:20" s="1" customFormat="1" ht="14.1" customHeight="1" x14ac:dyDescent="0.25">
      <c r="A373" s="86"/>
      <c r="B373" s="86"/>
      <c r="C373" s="86"/>
      <c r="D373" s="86"/>
      <c r="E373" s="86"/>
      <c r="F373" s="86"/>
      <c r="G373" s="86"/>
      <c r="H373" s="86"/>
      <c r="I373" s="86"/>
      <c r="J373" s="86"/>
      <c r="K373" s="86"/>
      <c r="L373" s="86"/>
      <c r="M373" s="86"/>
      <c r="N373" s="86"/>
      <c r="O373" s="86"/>
      <c r="P373" s="86"/>
      <c r="Q373" s="86"/>
      <c r="R373" s="86"/>
      <c r="S373" s="86"/>
    </row>
    <row r="374" spans="1:20" s="1" customFormat="1" ht="14.1" customHeight="1" x14ac:dyDescent="0.25">
      <c r="A374" s="84" t="s">
        <v>56</v>
      </c>
      <c r="B374" s="84"/>
      <c r="C374" s="84"/>
      <c r="D374" s="84"/>
      <c r="E374" s="84"/>
      <c r="F374" s="84"/>
      <c r="G374" s="84"/>
      <c r="H374" s="84"/>
      <c r="I374" s="84"/>
      <c r="J374" s="84"/>
      <c r="K374" s="84"/>
      <c r="L374" s="84"/>
      <c r="M374" s="84"/>
      <c r="N374" s="84"/>
      <c r="O374" s="84"/>
      <c r="P374" s="84"/>
      <c r="Q374" s="84"/>
      <c r="R374" s="84"/>
      <c r="S374" s="84"/>
    </row>
    <row r="375" spans="1:20" s="1" customFormat="1" ht="49.2" customHeight="1" x14ac:dyDescent="0.25">
      <c r="A375" s="85" t="s">
        <v>489</v>
      </c>
      <c r="B375" s="85"/>
      <c r="C375" s="85"/>
      <c r="D375" s="85"/>
      <c r="E375" s="85"/>
      <c r="F375" s="85"/>
      <c r="G375" s="85"/>
      <c r="H375" s="85"/>
      <c r="I375" s="85"/>
      <c r="J375" s="85"/>
      <c r="K375" s="85"/>
      <c r="L375" s="85"/>
      <c r="M375" s="85"/>
      <c r="N375" s="85"/>
      <c r="O375" s="85"/>
      <c r="P375" s="85"/>
      <c r="Q375" s="85"/>
      <c r="R375" s="85"/>
      <c r="S375" s="85"/>
    </row>
    <row r="377" spans="1:20" s="1" customFormat="1" ht="72.45" customHeight="1" x14ac:dyDescent="0.25">
      <c r="J377" s="100" t="s">
        <v>0</v>
      </c>
      <c r="K377" s="100"/>
      <c r="L377" s="100"/>
      <c r="M377" s="100"/>
      <c r="N377" s="100"/>
      <c r="O377" s="100"/>
      <c r="P377" s="100"/>
      <c r="Q377" s="100"/>
      <c r="R377" s="100"/>
      <c r="S377" s="100"/>
      <c r="T377" s="100"/>
    </row>
    <row r="378" spans="1:20" s="1" customFormat="1" ht="7.05" customHeight="1" x14ac:dyDescent="0.25"/>
    <row r="379" spans="1:20" s="1" customFormat="1" ht="14.1" customHeight="1" x14ac:dyDescent="0.25">
      <c r="B379" s="101" t="s">
        <v>590</v>
      </c>
      <c r="C379" s="101"/>
      <c r="D379" s="101"/>
      <c r="E379" s="101"/>
      <c r="F379" s="101"/>
      <c r="G379" s="101"/>
      <c r="H379" s="101"/>
      <c r="I379" s="101"/>
      <c r="J379" s="101"/>
      <c r="K379" s="101"/>
      <c r="L379" s="101"/>
      <c r="M379" s="101"/>
      <c r="N379" s="101"/>
      <c r="O379" s="101"/>
      <c r="P379" s="101"/>
      <c r="Q379" s="101"/>
      <c r="R379" s="101"/>
    </row>
    <row r="380" spans="1:20" s="1" customFormat="1" ht="14.1" customHeight="1" x14ac:dyDescent="0.25"/>
    <row r="381" spans="1:20" s="1" customFormat="1" ht="14.1" customHeight="1" x14ac:dyDescent="0.25">
      <c r="A381" s="102" t="s">
        <v>2</v>
      </c>
      <c r="B381" s="102"/>
      <c r="C381" s="102"/>
      <c r="D381" s="103" t="s">
        <v>591</v>
      </c>
      <c r="E381" s="103"/>
      <c r="F381" s="103"/>
      <c r="G381" s="103"/>
      <c r="H381" s="103"/>
      <c r="I381" s="103"/>
      <c r="J381" s="103"/>
      <c r="K381" s="103"/>
      <c r="L381" s="103"/>
      <c r="M381" s="103"/>
      <c r="N381" s="103"/>
      <c r="O381" s="103"/>
      <c r="P381" s="103"/>
      <c r="Q381" s="103"/>
      <c r="R381" s="103"/>
      <c r="S381" s="103"/>
      <c r="T381" s="103"/>
    </row>
    <row r="382" spans="1:20" s="1" customFormat="1" ht="14.1" customHeight="1" x14ac:dyDescent="0.25">
      <c r="A382" s="102" t="s">
        <v>4</v>
      </c>
      <c r="B382" s="102"/>
      <c r="C382" s="103" t="s">
        <v>592</v>
      </c>
      <c r="D382" s="103"/>
      <c r="E382" s="103"/>
      <c r="F382" s="103"/>
      <c r="G382" s="103"/>
      <c r="H382" s="103"/>
      <c r="I382" s="103"/>
      <c r="J382" s="103"/>
      <c r="K382" s="103"/>
      <c r="L382" s="103"/>
      <c r="M382" s="103"/>
      <c r="N382" s="103"/>
      <c r="O382" s="103"/>
      <c r="P382" s="103"/>
      <c r="Q382" s="103"/>
      <c r="R382" s="103"/>
      <c r="S382" s="103"/>
      <c r="T382" s="103"/>
    </row>
    <row r="383" spans="1:20" s="1" customFormat="1" ht="14.1" customHeight="1" x14ac:dyDescent="0.25">
      <c r="A383" s="102" t="s">
        <v>6</v>
      </c>
      <c r="B383" s="102"/>
      <c r="C383" s="102"/>
      <c r="D383" s="102"/>
      <c r="E383" s="102"/>
      <c r="F383" s="103" t="s">
        <v>60</v>
      </c>
      <c r="G383" s="103"/>
      <c r="H383" s="103"/>
      <c r="I383" s="103"/>
      <c r="J383" s="103"/>
      <c r="K383" s="103"/>
      <c r="L383" s="103"/>
      <c r="M383" s="103"/>
      <c r="N383" s="103"/>
      <c r="O383" s="103"/>
      <c r="P383" s="103"/>
      <c r="Q383" s="103"/>
      <c r="R383" s="103"/>
      <c r="S383" s="103"/>
      <c r="T383" s="103"/>
    </row>
    <row r="384" spans="1:20" s="1" customFormat="1" ht="22.35" customHeight="1" x14ac:dyDescent="0.25">
      <c r="F384" s="103"/>
      <c r="G384" s="103"/>
      <c r="H384" s="103"/>
      <c r="I384" s="103"/>
      <c r="J384" s="103"/>
      <c r="K384" s="103"/>
      <c r="L384" s="103"/>
      <c r="M384" s="103"/>
      <c r="N384" s="103"/>
      <c r="O384" s="103"/>
      <c r="P384" s="103"/>
      <c r="Q384" s="103"/>
      <c r="R384" s="103"/>
      <c r="S384" s="103"/>
      <c r="T384" s="103"/>
    </row>
    <row r="385" spans="1:20" s="1" customFormat="1" ht="7.05" customHeight="1" x14ac:dyDescent="0.25">
      <c r="A385" s="86"/>
      <c r="B385" s="86"/>
      <c r="C385" s="86"/>
      <c r="D385" s="86"/>
      <c r="E385" s="86"/>
      <c r="F385" s="86"/>
      <c r="G385" s="86"/>
      <c r="H385" s="86"/>
      <c r="I385" s="86"/>
      <c r="J385" s="86"/>
      <c r="K385" s="86"/>
      <c r="L385" s="86"/>
      <c r="M385" s="86"/>
      <c r="N385" s="86"/>
      <c r="O385" s="86"/>
      <c r="P385" s="86"/>
      <c r="Q385" s="16"/>
      <c r="R385" s="86"/>
      <c r="S385" s="86"/>
      <c r="T385" s="86"/>
    </row>
    <row r="386" spans="1:20" s="1" customFormat="1" ht="16.95" customHeight="1" x14ac:dyDescent="0.25">
      <c r="A386" s="94" t="s">
        <v>8</v>
      </c>
      <c r="B386" s="94"/>
      <c r="C386" s="94"/>
      <c r="D386" s="94"/>
      <c r="E386" s="94"/>
      <c r="F386" s="94"/>
      <c r="G386" s="94"/>
      <c r="H386" s="94"/>
      <c r="I386" s="94"/>
      <c r="J386" s="94"/>
      <c r="K386" s="94"/>
      <c r="L386" s="94"/>
      <c r="M386" s="95" t="s">
        <v>9</v>
      </c>
      <c r="N386" s="95"/>
      <c r="O386" s="95"/>
      <c r="P386" s="95"/>
      <c r="Q386" s="95"/>
      <c r="R386" s="95"/>
      <c r="S386" s="95"/>
      <c r="T386" s="95"/>
    </row>
    <row r="387" spans="1:20" s="1" customFormat="1" ht="16.95" customHeight="1" x14ac:dyDescent="0.25">
      <c r="A387" s="94"/>
      <c r="B387" s="94"/>
      <c r="C387" s="94"/>
      <c r="D387" s="94"/>
      <c r="E387" s="94"/>
      <c r="F387" s="94"/>
      <c r="G387" s="94"/>
      <c r="H387" s="94"/>
      <c r="I387" s="94"/>
      <c r="J387" s="94"/>
      <c r="K387" s="94"/>
      <c r="L387" s="94"/>
      <c r="M387" s="96" t="s">
        <v>10</v>
      </c>
      <c r="N387" s="96"/>
      <c r="O387" s="96"/>
      <c r="P387" s="96"/>
      <c r="Q387" s="97" t="s">
        <v>11</v>
      </c>
      <c r="R387" s="97"/>
      <c r="S387" s="97"/>
      <c r="T387" s="97"/>
    </row>
    <row r="388" spans="1:20" s="1" customFormat="1" ht="16.95" customHeight="1" x14ac:dyDescent="0.25">
      <c r="A388" s="94"/>
      <c r="B388" s="94"/>
      <c r="C388" s="94"/>
      <c r="D388" s="94"/>
      <c r="E388" s="94"/>
      <c r="F388" s="94"/>
      <c r="G388" s="94"/>
      <c r="H388" s="94"/>
      <c r="I388" s="94"/>
      <c r="J388" s="94"/>
      <c r="K388" s="94"/>
      <c r="L388" s="94"/>
      <c r="M388" s="98" t="s">
        <v>12</v>
      </c>
      <c r="N388" s="98"/>
      <c r="O388" s="98" t="s">
        <v>13</v>
      </c>
      <c r="P388" s="98"/>
      <c r="Q388" s="13" t="s">
        <v>14</v>
      </c>
      <c r="R388" s="99" t="s">
        <v>15</v>
      </c>
      <c r="S388" s="99"/>
      <c r="T388" s="99"/>
    </row>
    <row r="389" spans="1:20" s="1" customFormat="1" ht="13.35" customHeight="1" x14ac:dyDescent="0.25">
      <c r="A389" s="88" t="s">
        <v>16</v>
      </c>
      <c r="B389" s="88"/>
      <c r="C389" s="88"/>
      <c r="D389" s="88"/>
      <c r="E389" s="88"/>
      <c r="F389" s="88"/>
      <c r="G389" s="88"/>
      <c r="H389" s="88"/>
      <c r="I389" s="88"/>
      <c r="J389" s="88"/>
      <c r="K389" s="88"/>
      <c r="L389" s="88"/>
      <c r="M389" s="88">
        <v>82.5</v>
      </c>
      <c r="N389" s="88"/>
      <c r="O389" s="88">
        <v>80.5</v>
      </c>
      <c r="P389" s="88"/>
      <c r="Q389" s="6" t="s">
        <v>593</v>
      </c>
      <c r="R389" s="88" t="s">
        <v>594</v>
      </c>
      <c r="S389" s="88"/>
      <c r="T389" s="88"/>
    </row>
    <row r="390" spans="1:20" s="1" customFormat="1" ht="13.35" customHeight="1" x14ac:dyDescent="0.25">
      <c r="A390" s="88" t="s">
        <v>65</v>
      </c>
      <c r="B390" s="88"/>
      <c r="C390" s="88"/>
      <c r="D390" s="88"/>
      <c r="E390" s="88"/>
      <c r="F390" s="88"/>
      <c r="G390" s="88"/>
      <c r="H390" s="88"/>
      <c r="I390" s="88"/>
      <c r="J390" s="88"/>
      <c r="K390" s="88"/>
      <c r="L390" s="88"/>
      <c r="M390" s="88" t="s">
        <v>493</v>
      </c>
      <c r="N390" s="88"/>
      <c r="O390" s="88" t="s">
        <v>493</v>
      </c>
      <c r="P390" s="88"/>
      <c r="Q390" s="6" t="s">
        <v>595</v>
      </c>
      <c r="R390" s="88" t="s">
        <v>595</v>
      </c>
      <c r="S390" s="88"/>
      <c r="T390" s="88"/>
    </row>
    <row r="391" spans="1:20" s="1" customFormat="1" ht="13.35" customHeight="1" x14ac:dyDescent="0.25">
      <c r="A391" s="88" t="s">
        <v>941</v>
      </c>
      <c r="B391" s="88"/>
      <c r="C391" s="88"/>
      <c r="D391" s="88"/>
      <c r="E391" s="88"/>
      <c r="F391" s="88"/>
      <c r="G391" s="88"/>
      <c r="H391" s="88"/>
      <c r="I391" s="88"/>
      <c r="J391" s="88"/>
      <c r="K391" s="88"/>
      <c r="L391" s="88"/>
      <c r="M391" s="88" t="s">
        <v>480</v>
      </c>
      <c r="N391" s="88"/>
      <c r="O391" s="88" t="s">
        <v>480</v>
      </c>
      <c r="P391" s="88"/>
      <c r="Q391" s="6" t="s">
        <v>198</v>
      </c>
      <c r="R391" s="88" t="s">
        <v>198</v>
      </c>
      <c r="S391" s="88"/>
      <c r="T391" s="88"/>
    </row>
    <row r="392" spans="1:20" s="1" customFormat="1" ht="13.35" customHeight="1" x14ac:dyDescent="0.25">
      <c r="A392" s="88" t="s">
        <v>21</v>
      </c>
      <c r="B392" s="88"/>
      <c r="C392" s="88"/>
      <c r="D392" s="88"/>
      <c r="E392" s="88"/>
      <c r="F392" s="88"/>
      <c r="G392" s="88"/>
      <c r="H392" s="88"/>
      <c r="I392" s="88"/>
      <c r="J392" s="88"/>
      <c r="K392" s="88"/>
      <c r="L392" s="88"/>
      <c r="M392" s="88">
        <v>44</v>
      </c>
      <c r="N392" s="88"/>
      <c r="O392" s="88">
        <v>36.659999999999997</v>
      </c>
      <c r="P392" s="88"/>
      <c r="Q392" s="6">
        <v>4.4000000000000004</v>
      </c>
      <c r="R392" s="88">
        <v>3.66</v>
      </c>
      <c r="S392" s="88"/>
      <c r="T392" s="88"/>
    </row>
    <row r="393" spans="1:20" s="1" customFormat="1" ht="13.35" customHeight="1" x14ac:dyDescent="0.25">
      <c r="A393" s="88" t="s">
        <v>61</v>
      </c>
      <c r="B393" s="88"/>
      <c r="C393" s="88"/>
      <c r="D393" s="88"/>
      <c r="E393" s="88"/>
      <c r="F393" s="88"/>
      <c r="G393" s="88"/>
      <c r="H393" s="88"/>
      <c r="I393" s="88"/>
      <c r="J393" s="88"/>
      <c r="K393" s="88"/>
      <c r="L393" s="88"/>
      <c r="M393" s="88" t="s">
        <v>97</v>
      </c>
      <c r="N393" s="88"/>
      <c r="O393" s="88" t="s">
        <v>97</v>
      </c>
      <c r="P393" s="88"/>
      <c r="Q393" s="6" t="s">
        <v>176</v>
      </c>
      <c r="R393" s="88" t="s">
        <v>176</v>
      </c>
      <c r="S393" s="88"/>
      <c r="T393" s="88"/>
    </row>
    <row r="394" spans="1:20" s="1" customFormat="1" ht="13.35" customHeight="1" x14ac:dyDescent="0.25">
      <c r="A394" s="88" t="s">
        <v>18</v>
      </c>
      <c r="B394" s="88"/>
      <c r="C394" s="88"/>
      <c r="D394" s="88"/>
      <c r="E394" s="88"/>
      <c r="F394" s="88"/>
      <c r="G394" s="88"/>
      <c r="H394" s="88"/>
      <c r="I394" s="88"/>
      <c r="J394" s="88"/>
      <c r="K394" s="88"/>
      <c r="L394" s="88"/>
      <c r="M394" s="88" t="s">
        <v>93</v>
      </c>
      <c r="N394" s="88"/>
      <c r="O394" s="88" t="s">
        <v>93</v>
      </c>
      <c r="P394" s="88"/>
      <c r="Q394" s="6" t="s">
        <v>416</v>
      </c>
      <c r="R394" s="88" t="s">
        <v>416</v>
      </c>
      <c r="S394" s="88"/>
      <c r="T394" s="88"/>
    </row>
    <row r="395" spans="1:20" s="1" customFormat="1" ht="13.35" customHeight="1" x14ac:dyDescent="0.25">
      <c r="A395" s="88" t="s">
        <v>28</v>
      </c>
      <c r="B395" s="88"/>
      <c r="C395" s="88"/>
      <c r="D395" s="88"/>
      <c r="E395" s="88"/>
      <c r="F395" s="88"/>
      <c r="G395" s="88"/>
      <c r="H395" s="88"/>
      <c r="I395" s="88"/>
      <c r="J395" s="88"/>
      <c r="K395" s="88"/>
      <c r="L395" s="88"/>
      <c r="M395" s="88" t="s">
        <v>596</v>
      </c>
      <c r="N395" s="88"/>
      <c r="O395" s="88" t="s">
        <v>596</v>
      </c>
      <c r="P395" s="88"/>
      <c r="Q395" s="6" t="s">
        <v>597</v>
      </c>
      <c r="R395" s="88" t="s">
        <v>597</v>
      </c>
      <c r="S395" s="88"/>
      <c r="T395" s="88"/>
    </row>
    <row r="396" spans="1:20" s="1" customFormat="1" ht="13.35" customHeight="1" x14ac:dyDescent="0.25">
      <c r="A396" s="131" t="s">
        <v>598</v>
      </c>
      <c r="B396" s="131"/>
      <c r="C396" s="131"/>
      <c r="D396" s="131"/>
      <c r="E396" s="131"/>
      <c r="F396" s="131"/>
      <c r="G396" s="131"/>
      <c r="H396" s="131"/>
      <c r="I396" s="131"/>
      <c r="J396" s="131"/>
      <c r="K396" s="131"/>
      <c r="L396" s="131"/>
      <c r="M396" s="131"/>
      <c r="N396" s="131"/>
      <c r="O396" s="131" t="s">
        <v>85</v>
      </c>
      <c r="P396" s="131"/>
      <c r="Q396" s="15"/>
      <c r="R396" s="131" t="s">
        <v>77</v>
      </c>
      <c r="S396" s="131"/>
      <c r="T396" s="131"/>
    </row>
    <row r="397" spans="1:20" s="1" customFormat="1" ht="13.35" customHeight="1" x14ac:dyDescent="0.25">
      <c r="A397" s="88" t="s">
        <v>129</v>
      </c>
      <c r="B397" s="88"/>
      <c r="C397" s="88"/>
      <c r="D397" s="88"/>
      <c r="E397" s="88"/>
      <c r="F397" s="88"/>
      <c r="G397" s="88"/>
      <c r="H397" s="88"/>
      <c r="I397" s="88"/>
      <c r="J397" s="88"/>
      <c r="K397" s="88"/>
      <c r="L397" s="88"/>
      <c r="M397" s="88" t="s">
        <v>62</v>
      </c>
      <c r="N397" s="88"/>
      <c r="O397" s="88" t="s">
        <v>62</v>
      </c>
      <c r="P397" s="88"/>
      <c r="Q397" s="6" t="s">
        <v>63</v>
      </c>
      <c r="R397" s="88" t="s">
        <v>63</v>
      </c>
      <c r="S397" s="88"/>
      <c r="T397" s="88"/>
    </row>
    <row r="398" spans="1:20" s="1" customFormat="1" ht="13.35" customHeight="1" x14ac:dyDescent="0.25">
      <c r="A398" s="88" t="s">
        <v>28</v>
      </c>
      <c r="B398" s="88"/>
      <c r="C398" s="88"/>
      <c r="D398" s="88"/>
      <c r="E398" s="88"/>
      <c r="F398" s="88"/>
      <c r="G398" s="88"/>
      <c r="H398" s="88"/>
      <c r="I398" s="88"/>
      <c r="J398" s="88"/>
      <c r="K398" s="88"/>
      <c r="L398" s="88"/>
      <c r="M398" s="88" t="s">
        <v>241</v>
      </c>
      <c r="N398" s="88"/>
      <c r="O398" s="88" t="s">
        <v>241</v>
      </c>
      <c r="P398" s="88"/>
      <c r="Q398" s="6" t="s">
        <v>263</v>
      </c>
      <c r="R398" s="88" t="s">
        <v>263</v>
      </c>
      <c r="S398" s="88"/>
      <c r="T398" s="88"/>
    </row>
    <row r="399" spans="1:20" s="1" customFormat="1" ht="13.35" customHeight="1" x14ac:dyDescent="0.25">
      <c r="A399" s="88" t="s">
        <v>114</v>
      </c>
      <c r="B399" s="88"/>
      <c r="C399" s="88"/>
      <c r="D399" s="88"/>
      <c r="E399" s="88"/>
      <c r="F399" s="88"/>
      <c r="G399" s="88"/>
      <c r="H399" s="88"/>
      <c r="I399" s="88"/>
      <c r="J399" s="88"/>
      <c r="K399" s="88"/>
      <c r="L399" s="88"/>
      <c r="M399" s="88" t="s">
        <v>240</v>
      </c>
      <c r="N399" s="88"/>
      <c r="O399" s="88" t="s">
        <v>240</v>
      </c>
      <c r="P399" s="88"/>
      <c r="Q399" s="6" t="s">
        <v>241</v>
      </c>
      <c r="R399" s="88" t="s">
        <v>241</v>
      </c>
      <c r="S399" s="88"/>
      <c r="T399" s="88"/>
    </row>
    <row r="400" spans="1:20" s="1" customFormat="1" ht="13.35" customHeight="1" x14ac:dyDescent="0.25">
      <c r="A400" s="88" t="s">
        <v>25</v>
      </c>
      <c r="B400" s="88"/>
      <c r="C400" s="88"/>
      <c r="D400" s="88"/>
      <c r="E400" s="88"/>
      <c r="F400" s="88"/>
      <c r="G400" s="88"/>
      <c r="H400" s="88"/>
      <c r="I400" s="88"/>
      <c r="J400" s="88"/>
      <c r="K400" s="88"/>
      <c r="L400" s="88"/>
      <c r="M400" s="88" t="s">
        <v>77</v>
      </c>
      <c r="N400" s="88"/>
      <c r="O400" s="88" t="s">
        <v>77</v>
      </c>
      <c r="P400" s="88"/>
      <c r="Q400" s="6" t="s">
        <v>79</v>
      </c>
      <c r="R400" s="88" t="s">
        <v>79</v>
      </c>
      <c r="S400" s="88"/>
      <c r="T400" s="88"/>
    </row>
    <row r="401" spans="1:20" s="1" customFormat="1" ht="14.1" customHeight="1" x14ac:dyDescent="0.25">
      <c r="A401" s="90" t="s">
        <v>599</v>
      </c>
      <c r="B401" s="90"/>
      <c r="C401" s="90"/>
      <c r="D401" s="90"/>
      <c r="E401" s="90"/>
      <c r="F401" s="90"/>
      <c r="G401" s="90"/>
      <c r="H401" s="90"/>
      <c r="I401" s="90"/>
      <c r="J401" s="90"/>
      <c r="K401" s="90"/>
      <c r="L401" s="90"/>
      <c r="M401" s="90"/>
      <c r="N401" s="90"/>
      <c r="O401" s="90"/>
      <c r="P401" s="90"/>
      <c r="Q401" s="90"/>
      <c r="R401" s="90"/>
      <c r="S401" s="90"/>
      <c r="T401" s="90"/>
    </row>
    <row r="402" spans="1:20" s="1" customFormat="1" ht="21.3" customHeight="1" x14ac:dyDescent="0.25"/>
    <row r="403" spans="1:20" s="1" customFormat="1" ht="14.1" customHeight="1" x14ac:dyDescent="0.25">
      <c r="A403" s="91" t="s">
        <v>33</v>
      </c>
      <c r="B403" s="91"/>
      <c r="C403" s="91"/>
      <c r="D403" s="91"/>
      <c r="E403" s="91"/>
      <c r="F403" s="91"/>
      <c r="G403" s="91"/>
      <c r="H403" s="91"/>
      <c r="I403" s="91"/>
      <c r="J403" s="91"/>
      <c r="K403" s="91"/>
      <c r="L403" s="91"/>
      <c r="M403" s="91"/>
      <c r="N403" s="91"/>
    </row>
    <row r="404" spans="1:20" s="1" customFormat="1" ht="13.35" customHeight="1" x14ac:dyDescent="0.25">
      <c r="A404" s="88" t="s">
        <v>34</v>
      </c>
      <c r="B404" s="88"/>
      <c r="C404" s="88"/>
      <c r="D404" s="88"/>
      <c r="E404" s="89">
        <v>8.82</v>
      </c>
      <c r="F404" s="89"/>
      <c r="G404" s="17"/>
      <c r="H404" s="6" t="s">
        <v>35</v>
      </c>
      <c r="I404" s="89">
        <v>0.34</v>
      </c>
      <c r="J404" s="89"/>
      <c r="K404" s="17"/>
      <c r="L404" s="88" t="s">
        <v>36</v>
      </c>
      <c r="M404" s="88"/>
      <c r="N404" s="89">
        <v>23.49</v>
      </c>
      <c r="O404" s="89"/>
    </row>
    <row r="405" spans="1:20" s="1" customFormat="1" ht="13.35" customHeight="1" x14ac:dyDescent="0.25">
      <c r="A405" s="88" t="s">
        <v>37</v>
      </c>
      <c r="B405" s="88"/>
      <c r="C405" s="88"/>
      <c r="D405" s="88"/>
      <c r="E405" s="89">
        <v>7.43</v>
      </c>
      <c r="F405" s="89"/>
      <c r="G405" s="17"/>
      <c r="H405" s="6" t="s">
        <v>38</v>
      </c>
      <c r="I405" s="89">
        <v>1.51</v>
      </c>
      <c r="J405" s="89"/>
      <c r="K405" s="17"/>
      <c r="L405" s="88" t="s">
        <v>39</v>
      </c>
      <c r="M405" s="88"/>
      <c r="N405" s="89">
        <v>27.67</v>
      </c>
      <c r="O405" s="89"/>
    </row>
    <row r="406" spans="1:20" s="1" customFormat="1" ht="13.35" customHeight="1" x14ac:dyDescent="0.25">
      <c r="A406" s="88" t="s">
        <v>40</v>
      </c>
      <c r="B406" s="88"/>
      <c r="C406" s="88"/>
      <c r="D406" s="88"/>
      <c r="E406" s="89">
        <v>15.88</v>
      </c>
      <c r="F406" s="89"/>
      <c r="G406" s="17"/>
      <c r="H406" s="6" t="s">
        <v>41</v>
      </c>
      <c r="I406" s="89">
        <v>0.03</v>
      </c>
      <c r="J406" s="89"/>
      <c r="K406" s="17"/>
      <c r="L406" s="88" t="s">
        <v>42</v>
      </c>
      <c r="M406" s="88"/>
      <c r="N406" s="89">
        <v>152.27000000000001</v>
      </c>
      <c r="O406" s="89"/>
    </row>
    <row r="407" spans="1:20" s="1" customFormat="1" ht="13.35" customHeight="1" x14ac:dyDescent="0.25">
      <c r="A407" s="88" t="s">
        <v>43</v>
      </c>
      <c r="B407" s="88"/>
      <c r="C407" s="88"/>
      <c r="D407" s="88"/>
      <c r="E407" s="89">
        <v>167.82</v>
      </c>
      <c r="F407" s="89"/>
      <c r="G407" s="17"/>
      <c r="H407" s="6" t="s">
        <v>44</v>
      </c>
      <c r="I407" s="89">
        <v>1.49</v>
      </c>
      <c r="J407" s="89"/>
      <c r="K407" s="17"/>
      <c r="L407" s="88" t="s">
        <v>45</v>
      </c>
      <c r="M407" s="88"/>
      <c r="N407" s="89">
        <v>1.86</v>
      </c>
      <c r="O407" s="89"/>
    </row>
    <row r="408" spans="1:20" s="1" customFormat="1" ht="13.35" customHeight="1" x14ac:dyDescent="0.25">
      <c r="A408" s="87"/>
      <c r="B408" s="87"/>
      <c r="C408" s="87"/>
      <c r="D408" s="87"/>
      <c r="E408" s="87"/>
      <c r="F408" s="87"/>
      <c r="G408" s="17"/>
      <c r="H408" s="6" t="s">
        <v>46</v>
      </c>
      <c r="I408" s="89">
        <v>0.05</v>
      </c>
      <c r="J408" s="89"/>
      <c r="K408" s="17"/>
      <c r="L408" s="88" t="s">
        <v>47</v>
      </c>
      <c r="M408" s="88"/>
      <c r="N408" s="89">
        <v>353.7</v>
      </c>
      <c r="O408" s="89"/>
    </row>
    <row r="409" spans="1:20" s="1" customFormat="1" ht="13.35" customHeight="1" x14ac:dyDescent="0.25">
      <c r="A409" s="87"/>
      <c r="B409" s="87"/>
      <c r="C409" s="87"/>
      <c r="D409" s="87"/>
      <c r="E409" s="87"/>
      <c r="F409" s="87"/>
      <c r="G409" s="17"/>
      <c r="H409" s="6" t="s">
        <v>48</v>
      </c>
      <c r="I409" s="89">
        <v>0.11</v>
      </c>
      <c r="J409" s="89"/>
      <c r="K409" s="17"/>
      <c r="L409" s="88" t="s">
        <v>49</v>
      </c>
      <c r="M409" s="88"/>
      <c r="N409" s="89">
        <v>7.42</v>
      </c>
      <c r="O409" s="89"/>
    </row>
    <row r="410" spans="1:20" s="1" customFormat="1" ht="13.35" customHeight="1" x14ac:dyDescent="0.25">
      <c r="A410" s="87"/>
      <c r="B410" s="87"/>
      <c r="C410" s="87"/>
      <c r="D410" s="87"/>
      <c r="E410" s="87"/>
      <c r="F410" s="87"/>
      <c r="G410" s="17"/>
      <c r="H410" s="17"/>
      <c r="I410" s="87"/>
      <c r="J410" s="87"/>
      <c r="K410" s="17"/>
      <c r="L410" s="88" t="s">
        <v>50</v>
      </c>
      <c r="M410" s="88"/>
      <c r="N410" s="89">
        <v>7.0000000000000007E-2</v>
      </c>
      <c r="O410" s="89"/>
    </row>
    <row r="411" spans="1:20" s="1" customFormat="1" ht="13.35" customHeight="1" x14ac:dyDescent="0.25">
      <c r="A411" s="87"/>
      <c r="B411" s="87"/>
      <c r="C411" s="87"/>
      <c r="D411" s="87"/>
      <c r="E411" s="87"/>
      <c r="F411" s="87"/>
      <c r="G411" s="17"/>
      <c r="H411" s="17"/>
      <c r="I411" s="87"/>
      <c r="J411" s="87"/>
      <c r="K411" s="17"/>
      <c r="L411" s="88" t="s">
        <v>51</v>
      </c>
      <c r="M411" s="88"/>
      <c r="N411" s="89">
        <v>0</v>
      </c>
      <c r="O411" s="89"/>
    </row>
    <row r="412" spans="1:20" s="1" customFormat="1" ht="14.1" customHeight="1" x14ac:dyDescent="0.25">
      <c r="A412" s="86"/>
      <c r="B412" s="86"/>
      <c r="C412" s="86"/>
      <c r="D412" s="86"/>
      <c r="E412" s="86"/>
      <c r="F412" s="86"/>
      <c r="G412" s="86"/>
      <c r="H412" s="86"/>
      <c r="I412" s="86"/>
      <c r="J412" s="86"/>
      <c r="K412" s="86"/>
      <c r="L412" s="86"/>
      <c r="M412" s="86"/>
      <c r="N412" s="86"/>
      <c r="O412" s="86"/>
      <c r="P412" s="86"/>
      <c r="Q412" s="86"/>
      <c r="R412" s="86"/>
      <c r="S412" s="86"/>
    </row>
    <row r="413" spans="1:20" s="1" customFormat="1" ht="14.1" customHeight="1" x14ac:dyDescent="0.25">
      <c r="A413" s="84" t="s">
        <v>52</v>
      </c>
      <c r="B413" s="84"/>
      <c r="C413" s="84"/>
      <c r="D413" s="84"/>
      <c r="E413" s="84"/>
      <c r="F413" s="84"/>
      <c r="G413" s="84"/>
      <c r="H413" s="84"/>
      <c r="I413" s="84"/>
      <c r="J413" s="84"/>
      <c r="K413" s="84"/>
      <c r="L413" s="84"/>
      <c r="M413" s="84"/>
      <c r="N413" s="84"/>
      <c r="O413" s="84"/>
      <c r="P413" s="84"/>
      <c r="Q413" s="84"/>
      <c r="R413" s="84"/>
      <c r="S413" s="84"/>
    </row>
    <row r="414" spans="1:20" s="1" customFormat="1" ht="159.6" customHeight="1" x14ac:dyDescent="0.25">
      <c r="A414" s="85" t="s">
        <v>600</v>
      </c>
      <c r="B414" s="85"/>
      <c r="C414" s="85"/>
      <c r="D414" s="85"/>
      <c r="E414" s="85"/>
      <c r="F414" s="85"/>
      <c r="G414" s="85"/>
      <c r="H414" s="85"/>
      <c r="I414" s="85"/>
      <c r="J414" s="85"/>
      <c r="K414" s="85"/>
      <c r="L414" s="85"/>
      <c r="M414" s="85"/>
      <c r="N414" s="85"/>
      <c r="O414" s="85"/>
      <c r="P414" s="85"/>
      <c r="Q414" s="85"/>
      <c r="R414" s="85"/>
      <c r="S414" s="85"/>
    </row>
    <row r="415" spans="1:20" s="1" customFormat="1" ht="14.1" customHeight="1" x14ac:dyDescent="0.25">
      <c r="A415" s="86"/>
      <c r="B415" s="86"/>
      <c r="C415" s="86"/>
      <c r="D415" s="86"/>
      <c r="E415" s="86"/>
      <c r="F415" s="86"/>
      <c r="G415" s="86"/>
      <c r="H415" s="86"/>
      <c r="I415" s="86"/>
      <c r="J415" s="86"/>
      <c r="K415" s="86"/>
      <c r="L415" s="86"/>
      <c r="M415" s="86"/>
      <c r="N415" s="86"/>
      <c r="O415" s="86"/>
      <c r="P415" s="86"/>
      <c r="Q415" s="86"/>
      <c r="R415" s="86"/>
      <c r="S415" s="86"/>
    </row>
    <row r="416" spans="1:20" s="1" customFormat="1" ht="14.1" customHeight="1" x14ac:dyDescent="0.25">
      <c r="A416" s="84" t="s">
        <v>54</v>
      </c>
      <c r="B416" s="84"/>
      <c r="C416" s="84"/>
      <c r="D416" s="84"/>
      <c r="E416" s="84"/>
      <c r="F416" s="84"/>
      <c r="G416" s="84"/>
      <c r="H416" s="84"/>
      <c r="I416" s="84"/>
      <c r="J416" s="84"/>
      <c r="K416" s="84"/>
      <c r="L416" s="84"/>
      <c r="M416" s="84"/>
      <c r="N416" s="84"/>
      <c r="O416" s="84"/>
      <c r="P416" s="84"/>
      <c r="Q416" s="84"/>
      <c r="R416" s="84"/>
      <c r="S416" s="84"/>
    </row>
    <row r="417" spans="1:19" s="1" customFormat="1" ht="12.15" customHeight="1" x14ac:dyDescent="0.25">
      <c r="A417" s="85" t="s">
        <v>601</v>
      </c>
      <c r="B417" s="85"/>
      <c r="C417" s="85"/>
      <c r="D417" s="85"/>
      <c r="E417" s="85"/>
      <c r="F417" s="85"/>
      <c r="G417" s="85"/>
      <c r="H417" s="85"/>
      <c r="I417" s="85"/>
      <c r="J417" s="85"/>
      <c r="K417" s="85"/>
      <c r="L417" s="85"/>
      <c r="M417" s="85"/>
      <c r="N417" s="85"/>
      <c r="O417" s="85"/>
      <c r="P417" s="85"/>
      <c r="Q417" s="85"/>
      <c r="R417" s="85"/>
      <c r="S417" s="85"/>
    </row>
    <row r="418" spans="1:19" s="1" customFormat="1" ht="14.1" customHeight="1" x14ac:dyDescent="0.25">
      <c r="A418" s="86"/>
      <c r="B418" s="86"/>
      <c r="C418" s="86"/>
      <c r="D418" s="86"/>
      <c r="E418" s="86"/>
      <c r="F418" s="86"/>
      <c r="G418" s="86"/>
      <c r="H418" s="86"/>
      <c r="I418" s="86"/>
      <c r="J418" s="86"/>
      <c r="K418" s="86"/>
      <c r="L418" s="86"/>
      <c r="M418" s="86"/>
      <c r="N418" s="86"/>
      <c r="O418" s="86"/>
      <c r="P418" s="86"/>
      <c r="Q418" s="86"/>
      <c r="R418" s="86"/>
      <c r="S418" s="86"/>
    </row>
    <row r="419" spans="1:19" s="1" customFormat="1" ht="14.1" customHeight="1" x14ac:dyDescent="0.25">
      <c r="A419" s="84" t="s">
        <v>56</v>
      </c>
      <c r="B419" s="84"/>
      <c r="C419" s="84"/>
      <c r="D419" s="84"/>
      <c r="E419" s="84"/>
      <c r="F419" s="84"/>
      <c r="G419" s="84"/>
      <c r="H419" s="84"/>
      <c r="I419" s="84"/>
      <c r="J419" s="84"/>
      <c r="K419" s="84"/>
      <c r="L419" s="84"/>
      <c r="M419" s="84"/>
      <c r="N419" s="84"/>
      <c r="O419" s="84"/>
      <c r="P419" s="84"/>
      <c r="Q419" s="84"/>
      <c r="R419" s="84"/>
      <c r="S419" s="84"/>
    </row>
    <row r="420" spans="1:19" s="1" customFormat="1" ht="49.2" customHeight="1" x14ac:dyDescent="0.25">
      <c r="A420" s="85" t="s">
        <v>602</v>
      </c>
      <c r="B420" s="85"/>
      <c r="C420" s="85"/>
      <c r="D420" s="85"/>
      <c r="E420" s="85"/>
      <c r="F420" s="85"/>
      <c r="G420" s="85"/>
      <c r="H420" s="85"/>
      <c r="I420" s="85"/>
      <c r="J420" s="85"/>
      <c r="K420" s="85"/>
      <c r="L420" s="85"/>
      <c r="M420" s="85"/>
      <c r="N420" s="85"/>
      <c r="O420" s="85"/>
      <c r="P420" s="85"/>
      <c r="Q420" s="85"/>
      <c r="R420" s="85"/>
      <c r="S420" s="85"/>
    </row>
    <row r="422" spans="1:19" ht="61.05" customHeight="1" x14ac:dyDescent="0.2">
      <c r="G422" s="100" t="s">
        <v>0</v>
      </c>
      <c r="H422" s="100"/>
      <c r="I422" s="100"/>
      <c r="J422" s="100"/>
      <c r="K422" s="100"/>
      <c r="L422" s="100"/>
      <c r="M422" s="100"/>
      <c r="N422" s="100"/>
      <c r="O422" s="100"/>
      <c r="P422" s="100"/>
      <c r="Q422" s="100"/>
    </row>
    <row r="423" spans="1:19" ht="7.05" customHeight="1" x14ac:dyDescent="0.2"/>
    <row r="424" spans="1:19" ht="14.1" customHeight="1" x14ac:dyDescent="0.2">
      <c r="B424" s="165" t="s">
        <v>843</v>
      </c>
      <c r="C424" s="165"/>
      <c r="D424" s="165"/>
      <c r="E424" s="165"/>
      <c r="F424" s="165"/>
      <c r="G424" s="165"/>
      <c r="H424" s="165"/>
      <c r="I424" s="165"/>
      <c r="J424" s="165"/>
      <c r="K424" s="165"/>
      <c r="L424" s="165"/>
      <c r="M424" s="165"/>
      <c r="N424" s="165"/>
      <c r="O424" s="165"/>
    </row>
    <row r="425" spans="1:19" ht="15.6" customHeight="1" x14ac:dyDescent="0.2">
      <c r="B425" s="166" t="s">
        <v>844</v>
      </c>
      <c r="C425" s="166"/>
      <c r="D425" s="166"/>
      <c r="E425" s="166"/>
      <c r="F425" s="166"/>
      <c r="G425" s="166"/>
      <c r="H425" s="166"/>
      <c r="I425" s="166"/>
      <c r="J425" s="166"/>
      <c r="K425" s="166"/>
      <c r="L425" s="166"/>
      <c r="M425" s="166"/>
      <c r="N425" s="166"/>
      <c r="O425" s="166"/>
    </row>
    <row r="426" spans="1:19" ht="14.1" customHeight="1" x14ac:dyDescent="0.2">
      <c r="A426" s="160" t="s">
        <v>845</v>
      </c>
      <c r="B426" s="160"/>
      <c r="C426" s="160"/>
      <c r="D426" s="160"/>
      <c r="E426" s="160"/>
      <c r="F426" s="160"/>
      <c r="G426" s="160"/>
      <c r="H426" s="160"/>
      <c r="I426" s="160"/>
      <c r="J426" s="160"/>
      <c r="K426" s="160"/>
      <c r="L426" s="160"/>
      <c r="M426" s="160"/>
      <c r="N426" s="160"/>
      <c r="O426" s="160"/>
      <c r="P426" s="160"/>
    </row>
    <row r="427" spans="1:19" ht="22.95" customHeight="1" x14ac:dyDescent="0.2">
      <c r="A427" s="158" t="s">
        <v>846</v>
      </c>
      <c r="B427" s="158"/>
      <c r="C427" s="158"/>
      <c r="D427" s="158"/>
      <c r="E427" s="158"/>
      <c r="F427" s="158"/>
      <c r="G427" s="158"/>
      <c r="H427" s="158"/>
      <c r="I427" s="158"/>
      <c r="J427" s="158"/>
      <c r="K427" s="158"/>
      <c r="L427" s="158"/>
      <c r="M427" s="158"/>
      <c r="N427" s="158"/>
      <c r="O427" s="158"/>
      <c r="P427" s="158"/>
    </row>
    <row r="428" spans="1:19" ht="7.8" customHeight="1" x14ac:dyDescent="0.2">
      <c r="A428" s="159"/>
      <c r="B428" s="159"/>
      <c r="C428" s="159"/>
      <c r="D428" s="159"/>
      <c r="E428" s="159"/>
      <c r="F428" s="159"/>
      <c r="G428" s="159"/>
      <c r="H428" s="159"/>
      <c r="I428" s="159"/>
      <c r="J428" s="159"/>
      <c r="K428" s="159"/>
      <c r="L428" s="159"/>
      <c r="M428" s="159"/>
      <c r="N428" s="159"/>
      <c r="O428" s="159"/>
      <c r="P428" s="159"/>
    </row>
    <row r="429" spans="1:19" ht="14.1" customHeight="1" x14ac:dyDescent="0.2">
      <c r="A429" s="160" t="s">
        <v>847</v>
      </c>
      <c r="B429" s="160"/>
      <c r="C429" s="160"/>
      <c r="D429" s="160"/>
      <c r="E429" s="160"/>
      <c r="F429" s="160"/>
      <c r="G429" s="160"/>
      <c r="H429" s="160"/>
      <c r="I429" s="160"/>
      <c r="J429" s="160"/>
      <c r="K429" s="160"/>
      <c r="L429" s="160"/>
      <c r="M429" s="160"/>
      <c r="N429" s="160"/>
      <c r="O429" s="160"/>
      <c r="P429" s="160"/>
    </row>
    <row r="430" spans="1:19" ht="43.65" customHeight="1" x14ac:dyDescent="0.2">
      <c r="A430" s="158" t="s">
        <v>848</v>
      </c>
      <c r="B430" s="158"/>
      <c r="C430" s="158"/>
      <c r="D430" s="158"/>
      <c r="E430" s="158"/>
      <c r="F430" s="158"/>
      <c r="G430" s="158"/>
      <c r="H430" s="158"/>
      <c r="I430" s="158"/>
      <c r="J430" s="158"/>
      <c r="K430" s="158"/>
      <c r="L430" s="158"/>
      <c r="M430" s="158"/>
      <c r="N430" s="158"/>
      <c r="O430" s="158"/>
      <c r="P430" s="158"/>
    </row>
    <row r="431" spans="1:19" ht="14.1" customHeight="1" x14ac:dyDescent="0.25">
      <c r="A431" s="167" t="s">
        <v>849</v>
      </c>
      <c r="B431" s="167"/>
      <c r="C431" s="167"/>
      <c r="D431" s="167"/>
      <c r="E431" s="167"/>
      <c r="F431" s="167"/>
      <c r="G431" s="167"/>
      <c r="H431" s="167"/>
      <c r="I431" s="167"/>
      <c r="J431" s="159"/>
      <c r="K431" s="159"/>
      <c r="L431" s="159"/>
      <c r="M431" s="159"/>
      <c r="N431" s="48"/>
      <c r="O431" s="159"/>
      <c r="P431" s="159"/>
      <c r="Q431" s="159"/>
    </row>
    <row r="432" spans="1:19" ht="41.1" customHeight="1" x14ac:dyDescent="0.2">
      <c r="A432" s="164" t="s">
        <v>850</v>
      </c>
      <c r="B432" s="164"/>
      <c r="C432" s="164"/>
      <c r="D432" s="164"/>
      <c r="E432" s="164"/>
      <c r="F432" s="164"/>
      <c r="G432" s="164"/>
      <c r="H432" s="164"/>
      <c r="I432" s="164"/>
      <c r="J432" s="164" t="s">
        <v>851</v>
      </c>
      <c r="K432" s="164"/>
      <c r="L432" s="164"/>
      <c r="M432" s="164"/>
      <c r="N432" s="164" t="s">
        <v>852</v>
      </c>
      <c r="O432" s="164"/>
      <c r="P432" s="164"/>
      <c r="Q432" s="164"/>
    </row>
    <row r="433" spans="1:17" ht="16.95" customHeight="1" x14ac:dyDescent="0.2">
      <c r="A433" s="164"/>
      <c r="B433" s="164"/>
      <c r="C433" s="164"/>
      <c r="D433" s="164"/>
      <c r="E433" s="164"/>
      <c r="F433" s="164"/>
      <c r="G433" s="164"/>
      <c r="H433" s="164"/>
      <c r="I433" s="164"/>
      <c r="J433" s="164" t="s">
        <v>853</v>
      </c>
      <c r="K433" s="164"/>
      <c r="L433" s="164" t="s">
        <v>854</v>
      </c>
      <c r="M433" s="164"/>
      <c r="N433" s="49" t="s">
        <v>853</v>
      </c>
      <c r="O433" s="164" t="s">
        <v>854</v>
      </c>
      <c r="P433" s="164"/>
      <c r="Q433" s="164"/>
    </row>
    <row r="434" spans="1:17" ht="13.35" customHeight="1" x14ac:dyDescent="0.2">
      <c r="A434" s="156" t="s">
        <v>404</v>
      </c>
      <c r="B434" s="156"/>
      <c r="C434" s="156"/>
      <c r="D434" s="156"/>
      <c r="E434" s="156"/>
      <c r="F434" s="156"/>
      <c r="G434" s="156"/>
      <c r="H434" s="156"/>
      <c r="I434" s="156"/>
      <c r="J434" s="156" t="s">
        <v>855</v>
      </c>
      <c r="K434" s="156"/>
      <c r="L434" s="156" t="s">
        <v>856</v>
      </c>
      <c r="M434" s="156"/>
      <c r="N434" s="50" t="s">
        <v>857</v>
      </c>
      <c r="O434" s="156" t="s">
        <v>858</v>
      </c>
      <c r="P434" s="156"/>
      <c r="Q434" s="156"/>
    </row>
    <row r="435" spans="1:17" ht="13.35" customHeight="1" x14ac:dyDescent="0.2">
      <c r="A435" s="156" t="s">
        <v>65</v>
      </c>
      <c r="B435" s="156"/>
      <c r="C435" s="156"/>
      <c r="D435" s="156"/>
      <c r="E435" s="156"/>
      <c r="F435" s="156"/>
      <c r="G435" s="156"/>
      <c r="H435" s="156"/>
      <c r="I435" s="156"/>
      <c r="J435" s="156" t="s">
        <v>101</v>
      </c>
      <c r="K435" s="156"/>
      <c r="L435" s="156" t="s">
        <v>101</v>
      </c>
      <c r="M435" s="156"/>
      <c r="N435" s="50" t="s">
        <v>103</v>
      </c>
      <c r="O435" s="156" t="s">
        <v>103</v>
      </c>
      <c r="P435" s="156"/>
      <c r="Q435" s="156"/>
    </row>
    <row r="436" spans="1:17" ht="13.35" customHeight="1" x14ac:dyDescent="0.2">
      <c r="A436" s="156" t="s">
        <v>66</v>
      </c>
      <c r="B436" s="156"/>
      <c r="C436" s="156"/>
      <c r="D436" s="156"/>
      <c r="E436" s="156"/>
      <c r="F436" s="156"/>
      <c r="G436" s="156"/>
      <c r="H436" s="156"/>
      <c r="I436" s="156"/>
      <c r="J436" s="156" t="s">
        <v>85</v>
      </c>
      <c r="K436" s="156"/>
      <c r="L436" s="156" t="s">
        <v>85</v>
      </c>
      <c r="M436" s="156"/>
      <c r="N436" s="70" t="s">
        <v>77</v>
      </c>
      <c r="O436" s="156" t="s">
        <v>77</v>
      </c>
      <c r="P436" s="156"/>
      <c r="Q436" s="156"/>
    </row>
    <row r="437" spans="1:17" ht="13.35" customHeight="1" x14ac:dyDescent="0.2">
      <c r="A437" s="156" t="s">
        <v>70</v>
      </c>
      <c r="B437" s="156"/>
      <c r="C437" s="156"/>
      <c r="D437" s="156"/>
      <c r="E437" s="156"/>
      <c r="F437" s="156"/>
      <c r="G437" s="156"/>
      <c r="H437" s="156"/>
      <c r="I437" s="156"/>
      <c r="J437" s="156" t="s">
        <v>77</v>
      </c>
      <c r="K437" s="156"/>
      <c r="L437" s="156" t="s">
        <v>77</v>
      </c>
      <c r="M437" s="156"/>
      <c r="N437" s="50" t="s">
        <v>79</v>
      </c>
      <c r="O437" s="156" t="s">
        <v>79</v>
      </c>
      <c r="P437" s="156"/>
      <c r="Q437" s="156"/>
    </row>
    <row r="438" spans="1:17" ht="13.35" customHeight="1" x14ac:dyDescent="0.2">
      <c r="A438" s="156" t="s">
        <v>183</v>
      </c>
      <c r="B438" s="156"/>
      <c r="C438" s="156"/>
      <c r="D438" s="156"/>
      <c r="E438" s="156"/>
      <c r="F438" s="156"/>
      <c r="G438" s="156"/>
      <c r="H438" s="156"/>
      <c r="I438" s="156"/>
      <c r="J438" s="156" t="s">
        <v>859</v>
      </c>
      <c r="K438" s="156"/>
      <c r="L438" s="156" t="s">
        <v>860</v>
      </c>
      <c r="M438" s="156"/>
      <c r="N438" s="50" t="s">
        <v>861</v>
      </c>
      <c r="O438" s="156" t="s">
        <v>454</v>
      </c>
      <c r="P438" s="156"/>
      <c r="Q438" s="156"/>
    </row>
    <row r="439" spans="1:17" ht="13.35" customHeight="1" x14ac:dyDescent="0.2">
      <c r="A439" s="156" t="s">
        <v>140</v>
      </c>
      <c r="B439" s="156"/>
      <c r="C439" s="156"/>
      <c r="D439" s="156"/>
      <c r="E439" s="156"/>
      <c r="F439" s="156"/>
      <c r="G439" s="156"/>
      <c r="H439" s="156"/>
      <c r="I439" s="156"/>
      <c r="J439" s="156">
        <v>18.5</v>
      </c>
      <c r="K439" s="156"/>
      <c r="L439" s="156">
        <v>17</v>
      </c>
      <c r="M439" s="156"/>
      <c r="N439" s="50">
        <v>1.85</v>
      </c>
      <c r="O439" s="156">
        <v>1.7</v>
      </c>
      <c r="P439" s="156"/>
      <c r="Q439" s="156"/>
    </row>
    <row r="440" spans="1:17" ht="13.35" customHeight="1" x14ac:dyDescent="0.2">
      <c r="A440" s="156" t="s">
        <v>31</v>
      </c>
      <c r="B440" s="156"/>
      <c r="C440" s="156"/>
      <c r="D440" s="156"/>
      <c r="E440" s="156"/>
      <c r="F440" s="156"/>
      <c r="G440" s="156"/>
      <c r="H440" s="156"/>
      <c r="I440" s="156"/>
      <c r="J440" s="156" t="s">
        <v>527</v>
      </c>
      <c r="K440" s="156"/>
      <c r="L440" s="156" t="s">
        <v>98</v>
      </c>
      <c r="M440" s="156"/>
      <c r="N440" s="50" t="s">
        <v>528</v>
      </c>
      <c r="O440" s="156" t="s">
        <v>62</v>
      </c>
      <c r="P440" s="156"/>
      <c r="Q440" s="156"/>
    </row>
    <row r="441" spans="1:17" ht="13.35" customHeight="1" x14ac:dyDescent="0.2">
      <c r="A441" s="156" t="s">
        <v>66</v>
      </c>
      <c r="B441" s="156"/>
      <c r="C441" s="156"/>
      <c r="D441" s="156"/>
      <c r="E441" s="156"/>
      <c r="F441" s="156"/>
      <c r="G441" s="156"/>
      <c r="H441" s="156"/>
      <c r="I441" s="156"/>
      <c r="J441" s="156">
        <v>22</v>
      </c>
      <c r="K441" s="156"/>
      <c r="L441" s="156">
        <v>22</v>
      </c>
      <c r="M441" s="156"/>
      <c r="N441" s="50">
        <v>2.2000000000000002</v>
      </c>
      <c r="O441" s="156">
        <v>2.2000000000000002</v>
      </c>
      <c r="P441" s="156"/>
      <c r="Q441" s="156"/>
    </row>
    <row r="442" spans="1:17" ht="13.35" customHeight="1" x14ac:dyDescent="0.2">
      <c r="A442" s="156" t="s">
        <v>61</v>
      </c>
      <c r="B442" s="156"/>
      <c r="C442" s="156"/>
      <c r="D442" s="156"/>
      <c r="E442" s="156"/>
      <c r="F442" s="156"/>
      <c r="G442" s="156"/>
      <c r="H442" s="156"/>
      <c r="I442" s="156"/>
      <c r="J442" s="156" t="s">
        <v>62</v>
      </c>
      <c r="K442" s="156"/>
      <c r="L442" s="156" t="s">
        <v>62</v>
      </c>
      <c r="M442" s="156"/>
      <c r="N442" s="50" t="s">
        <v>63</v>
      </c>
      <c r="O442" s="156" t="s">
        <v>63</v>
      </c>
      <c r="P442" s="156"/>
      <c r="Q442" s="156"/>
    </row>
    <row r="443" spans="1:17" ht="13.35" customHeight="1" x14ac:dyDescent="0.2">
      <c r="A443" s="156" t="s">
        <v>21</v>
      </c>
      <c r="B443" s="156"/>
      <c r="C443" s="156"/>
      <c r="D443" s="156"/>
      <c r="E443" s="156"/>
      <c r="F443" s="156"/>
      <c r="G443" s="156"/>
      <c r="H443" s="156"/>
      <c r="I443" s="156"/>
      <c r="J443" s="156" t="s">
        <v>862</v>
      </c>
      <c r="K443" s="156"/>
      <c r="L443" s="156" t="s">
        <v>240</v>
      </c>
      <c r="M443" s="156"/>
      <c r="N443" s="50" t="s">
        <v>863</v>
      </c>
      <c r="O443" s="156" t="s">
        <v>241</v>
      </c>
      <c r="P443" s="156"/>
      <c r="Q443" s="156"/>
    </row>
    <row r="444" spans="1:17" ht="13.35" customHeight="1" x14ac:dyDescent="0.2">
      <c r="A444" s="156" t="s">
        <v>67</v>
      </c>
      <c r="B444" s="156"/>
      <c r="C444" s="156"/>
      <c r="D444" s="156"/>
      <c r="E444" s="156"/>
      <c r="F444" s="156"/>
      <c r="G444" s="156"/>
      <c r="H444" s="156"/>
      <c r="I444" s="156"/>
      <c r="J444" s="156" t="s">
        <v>101</v>
      </c>
      <c r="K444" s="156"/>
      <c r="L444" s="156" t="s">
        <v>101</v>
      </c>
      <c r="M444" s="156"/>
      <c r="N444" s="50" t="s">
        <v>103</v>
      </c>
      <c r="O444" s="156" t="s">
        <v>103</v>
      </c>
      <c r="P444" s="156"/>
      <c r="Q444" s="156"/>
    </row>
    <row r="445" spans="1:17" ht="14.1" customHeight="1" x14ac:dyDescent="0.2">
      <c r="A445" s="162" t="s">
        <v>116</v>
      </c>
      <c r="B445" s="162"/>
      <c r="C445" s="162"/>
      <c r="D445" s="162"/>
      <c r="E445" s="162"/>
      <c r="F445" s="162"/>
      <c r="G445" s="162"/>
      <c r="H445" s="162"/>
      <c r="I445" s="162"/>
      <c r="J445" s="162"/>
      <c r="K445" s="162"/>
      <c r="L445" s="162"/>
      <c r="M445" s="162"/>
      <c r="N445" s="162"/>
      <c r="O445" s="162"/>
      <c r="P445" s="162"/>
      <c r="Q445" s="162"/>
    </row>
    <row r="446" spans="1:17" ht="7.05" customHeight="1" x14ac:dyDescent="0.2">
      <c r="A446" s="159"/>
      <c r="B446" s="159"/>
      <c r="C446" s="159"/>
      <c r="D446" s="159"/>
      <c r="E446" s="159"/>
      <c r="F446" s="159"/>
      <c r="G446" s="159"/>
      <c r="H446" s="159"/>
      <c r="I446" s="159"/>
      <c r="J446" s="159"/>
      <c r="K446" s="159"/>
      <c r="L446" s="159"/>
      <c r="M446" s="159"/>
      <c r="N446" s="159"/>
      <c r="O446" s="159"/>
      <c r="P446" s="159"/>
    </row>
    <row r="447" spans="1:17" ht="14.1" customHeight="1" x14ac:dyDescent="0.2">
      <c r="A447" s="160" t="s">
        <v>864</v>
      </c>
      <c r="B447" s="160"/>
      <c r="C447" s="160"/>
      <c r="D447" s="160"/>
      <c r="E447" s="160"/>
      <c r="F447" s="160"/>
      <c r="G447" s="160"/>
      <c r="H447" s="160"/>
      <c r="I447" s="160"/>
      <c r="J447" s="160"/>
      <c r="K447" s="160"/>
      <c r="L447" s="160"/>
      <c r="M447" s="160"/>
      <c r="N447" s="160"/>
      <c r="O447" s="160"/>
      <c r="P447" s="160"/>
    </row>
    <row r="448" spans="1:17" ht="147.15" customHeight="1" x14ac:dyDescent="0.2">
      <c r="A448" s="158" t="s">
        <v>865</v>
      </c>
      <c r="B448" s="158"/>
      <c r="C448" s="158"/>
      <c r="D448" s="158"/>
      <c r="E448" s="158"/>
      <c r="F448" s="158"/>
      <c r="G448" s="158"/>
      <c r="H448" s="158"/>
      <c r="I448" s="158"/>
      <c r="J448" s="158"/>
      <c r="K448" s="158"/>
      <c r="L448" s="158"/>
      <c r="M448" s="158"/>
      <c r="N448" s="158"/>
      <c r="O448" s="158"/>
      <c r="P448" s="158"/>
    </row>
    <row r="449" spans="1:16" ht="7.8" customHeight="1" x14ac:dyDescent="0.2">
      <c r="A449" s="163"/>
      <c r="B449" s="163"/>
      <c r="C449" s="163"/>
      <c r="D449" s="163"/>
      <c r="E449" s="163"/>
      <c r="F449" s="163"/>
      <c r="G449" s="163"/>
      <c r="H449" s="163"/>
      <c r="I449" s="163"/>
      <c r="J449" s="163"/>
      <c r="K449" s="163"/>
      <c r="L449" s="163"/>
      <c r="M449" s="163"/>
      <c r="N449" s="163"/>
      <c r="O449" s="163"/>
      <c r="P449" s="163"/>
    </row>
    <row r="450" spans="1:16" ht="14.1" customHeight="1" x14ac:dyDescent="0.2">
      <c r="A450" s="160" t="s">
        <v>866</v>
      </c>
      <c r="B450" s="160"/>
      <c r="C450" s="160"/>
      <c r="D450" s="160"/>
      <c r="E450" s="160"/>
      <c r="F450" s="160"/>
      <c r="G450" s="160"/>
      <c r="H450" s="160"/>
      <c r="I450" s="160"/>
      <c r="J450" s="160"/>
      <c r="K450" s="160"/>
      <c r="L450" s="160"/>
      <c r="M450" s="160"/>
      <c r="N450" s="160"/>
      <c r="O450" s="160"/>
      <c r="P450" s="160"/>
    </row>
    <row r="451" spans="1:16" ht="33.299999999999997" customHeight="1" x14ac:dyDescent="0.2">
      <c r="A451" s="158" t="s">
        <v>867</v>
      </c>
      <c r="B451" s="158"/>
      <c r="C451" s="158"/>
      <c r="D451" s="158"/>
      <c r="E451" s="158"/>
      <c r="F451" s="158"/>
      <c r="G451" s="158"/>
      <c r="H451" s="158"/>
      <c r="I451" s="158"/>
      <c r="J451" s="158"/>
      <c r="K451" s="158"/>
      <c r="L451" s="158"/>
      <c r="M451" s="158"/>
      <c r="N451" s="158"/>
      <c r="O451" s="158"/>
      <c r="P451" s="158"/>
    </row>
    <row r="452" spans="1:16" ht="7.05" customHeight="1" x14ac:dyDescent="0.2">
      <c r="A452" s="159"/>
      <c r="B452" s="159"/>
      <c r="C452" s="159"/>
      <c r="D452" s="159"/>
      <c r="E452" s="159"/>
      <c r="F452" s="159"/>
      <c r="G452" s="159"/>
      <c r="H452" s="159"/>
      <c r="I452" s="159"/>
      <c r="J452" s="159"/>
      <c r="K452" s="159"/>
      <c r="L452" s="159"/>
      <c r="M452" s="159"/>
      <c r="N452" s="159"/>
      <c r="O452" s="159"/>
      <c r="P452" s="159"/>
    </row>
    <row r="453" spans="1:16" ht="14.1" customHeight="1" x14ac:dyDescent="0.2">
      <c r="A453" s="160" t="s">
        <v>868</v>
      </c>
      <c r="B453" s="160"/>
      <c r="C453" s="160"/>
      <c r="D453" s="160"/>
      <c r="E453" s="160"/>
      <c r="F453" s="160"/>
      <c r="G453" s="160"/>
      <c r="H453" s="160"/>
      <c r="I453" s="160"/>
      <c r="J453" s="160"/>
      <c r="K453" s="160"/>
      <c r="L453" s="160"/>
      <c r="M453" s="160"/>
      <c r="N453" s="160"/>
      <c r="O453" s="160"/>
      <c r="P453" s="160"/>
    </row>
    <row r="454" spans="1:16" ht="12.6" customHeight="1" x14ac:dyDescent="0.2">
      <c r="A454" s="158" t="s">
        <v>869</v>
      </c>
      <c r="B454" s="158"/>
      <c r="C454" s="158"/>
      <c r="D454" s="158"/>
      <c r="E454" s="158"/>
      <c r="F454" s="158"/>
      <c r="G454" s="158"/>
      <c r="H454" s="158"/>
      <c r="I454" s="158"/>
      <c r="J454" s="158"/>
      <c r="K454" s="158"/>
      <c r="L454" s="158"/>
      <c r="M454" s="158"/>
      <c r="N454" s="158"/>
      <c r="O454" s="158"/>
      <c r="P454" s="158"/>
    </row>
    <row r="455" spans="1:16" ht="54" customHeight="1" x14ac:dyDescent="0.2">
      <c r="A455" s="158" t="s">
        <v>870</v>
      </c>
      <c r="B455" s="158"/>
      <c r="C455" s="158"/>
      <c r="D455" s="158"/>
      <c r="E455" s="158"/>
      <c r="F455" s="158"/>
      <c r="G455" s="158"/>
      <c r="H455" s="158"/>
      <c r="I455" s="158"/>
      <c r="J455" s="158"/>
      <c r="K455" s="158"/>
      <c r="L455" s="158"/>
      <c r="M455" s="158"/>
      <c r="N455" s="158"/>
      <c r="O455" s="158"/>
      <c r="P455" s="158"/>
    </row>
    <row r="456" spans="1:16" ht="7.05" customHeight="1" x14ac:dyDescent="0.2">
      <c r="A456" s="159"/>
      <c r="B456" s="159"/>
      <c r="C456" s="159"/>
      <c r="D456" s="159"/>
      <c r="E456" s="159"/>
      <c r="F456" s="159"/>
      <c r="G456" s="159"/>
      <c r="H456" s="159"/>
      <c r="I456" s="159"/>
      <c r="J456" s="159"/>
      <c r="K456" s="159"/>
      <c r="L456" s="159"/>
      <c r="M456" s="159"/>
      <c r="N456" s="159"/>
      <c r="O456" s="159"/>
      <c r="P456" s="159"/>
    </row>
    <row r="457" spans="1:16" ht="43.65" customHeight="1" x14ac:dyDescent="0.2">
      <c r="A457" s="158" t="s">
        <v>871</v>
      </c>
      <c r="B457" s="158"/>
      <c r="C457" s="158"/>
      <c r="D457" s="158"/>
      <c r="E457" s="158"/>
      <c r="F457" s="158"/>
      <c r="G457" s="158"/>
      <c r="H457" s="158"/>
      <c r="I457" s="158"/>
      <c r="J457" s="158"/>
      <c r="K457" s="158"/>
      <c r="L457" s="158"/>
      <c r="M457" s="158"/>
      <c r="N457" s="158"/>
      <c r="O457" s="158"/>
      <c r="P457" s="158"/>
    </row>
    <row r="458" spans="1:16" ht="7.05" customHeight="1" x14ac:dyDescent="0.2">
      <c r="A458" s="159"/>
      <c r="B458" s="159"/>
      <c r="C458" s="159"/>
      <c r="D458" s="159"/>
      <c r="E458" s="159"/>
      <c r="F458" s="159"/>
      <c r="G458" s="159"/>
      <c r="H458" s="159"/>
      <c r="I458" s="159"/>
      <c r="J458" s="159"/>
      <c r="K458" s="159"/>
      <c r="L458" s="159"/>
      <c r="M458" s="159"/>
      <c r="N458" s="159"/>
      <c r="O458" s="159"/>
      <c r="P458" s="159"/>
    </row>
    <row r="459" spans="1:16" ht="14.1" customHeight="1" x14ac:dyDescent="0.2">
      <c r="A459" s="160" t="s">
        <v>872</v>
      </c>
      <c r="B459" s="160"/>
      <c r="C459" s="160"/>
      <c r="D459" s="160"/>
      <c r="E459" s="160"/>
      <c r="F459" s="160"/>
      <c r="G459" s="160"/>
      <c r="H459" s="160"/>
      <c r="I459" s="160"/>
      <c r="J459" s="160"/>
      <c r="K459" s="160"/>
      <c r="L459" s="160"/>
      <c r="M459" s="160"/>
      <c r="N459" s="160"/>
      <c r="O459" s="160"/>
      <c r="P459" s="160"/>
    </row>
    <row r="460" spans="1:16" ht="14.1" customHeight="1" x14ac:dyDescent="0.2">
      <c r="A460" s="161" t="s">
        <v>33</v>
      </c>
      <c r="B460" s="161"/>
      <c r="C460" s="161"/>
      <c r="D460" s="161"/>
      <c r="E460" s="161"/>
      <c r="F460" s="161"/>
      <c r="G460" s="161"/>
      <c r="H460" s="161"/>
      <c r="I460" s="161"/>
      <c r="J460" s="161"/>
      <c r="K460" s="161"/>
    </row>
    <row r="461" spans="1:16" ht="13.35" customHeight="1" x14ac:dyDescent="0.2">
      <c r="A461" s="156" t="s">
        <v>34</v>
      </c>
      <c r="B461" s="156"/>
      <c r="C461" s="51" t="s">
        <v>873</v>
      </c>
      <c r="D461" s="52"/>
      <c r="E461" s="50" t="s">
        <v>35</v>
      </c>
      <c r="F461" s="157" t="s">
        <v>482</v>
      </c>
      <c r="G461" s="157"/>
      <c r="H461" s="52"/>
      <c r="I461" s="156" t="s">
        <v>36</v>
      </c>
      <c r="J461" s="156"/>
      <c r="K461" s="157" t="s">
        <v>874</v>
      </c>
      <c r="L461" s="157"/>
    </row>
    <row r="462" spans="1:16" ht="13.35" customHeight="1" x14ac:dyDescent="0.2">
      <c r="A462" s="156" t="s">
        <v>37</v>
      </c>
      <c r="B462" s="156"/>
      <c r="C462" s="51" t="s">
        <v>875</v>
      </c>
      <c r="D462" s="52"/>
      <c r="E462" s="50" t="s">
        <v>38</v>
      </c>
      <c r="F462" s="157" t="s">
        <v>876</v>
      </c>
      <c r="G462" s="157"/>
      <c r="H462" s="52"/>
      <c r="I462" s="156" t="s">
        <v>39</v>
      </c>
      <c r="J462" s="156"/>
      <c r="K462" s="157" t="s">
        <v>877</v>
      </c>
      <c r="L462" s="157"/>
    </row>
    <row r="463" spans="1:16" ht="13.35" customHeight="1" x14ac:dyDescent="0.2">
      <c r="A463" s="156" t="s">
        <v>40</v>
      </c>
      <c r="B463" s="156"/>
      <c r="C463" s="51" t="s">
        <v>878</v>
      </c>
      <c r="D463" s="52"/>
      <c r="E463" s="50" t="s">
        <v>41</v>
      </c>
      <c r="F463" s="157" t="s">
        <v>482</v>
      </c>
      <c r="G463" s="157"/>
      <c r="H463" s="52"/>
      <c r="I463" s="156" t="s">
        <v>42</v>
      </c>
      <c r="J463" s="156"/>
      <c r="K463" s="157" t="s">
        <v>879</v>
      </c>
      <c r="L463" s="157"/>
    </row>
    <row r="464" spans="1:16" ht="13.35" customHeight="1" x14ac:dyDescent="0.2">
      <c r="A464" s="156" t="s">
        <v>43</v>
      </c>
      <c r="B464" s="156"/>
      <c r="C464" s="51" t="s">
        <v>880</v>
      </c>
      <c r="D464" s="52"/>
      <c r="E464" s="50" t="s">
        <v>44</v>
      </c>
      <c r="F464" s="157" t="s">
        <v>881</v>
      </c>
      <c r="G464" s="157"/>
      <c r="H464" s="52"/>
      <c r="I464" s="156" t="s">
        <v>45</v>
      </c>
      <c r="J464" s="156"/>
      <c r="K464" s="157" t="s">
        <v>882</v>
      </c>
      <c r="L464" s="157"/>
    </row>
    <row r="465" spans="1:12" ht="13.35" customHeight="1" x14ac:dyDescent="0.2">
      <c r="A465" s="155"/>
      <c r="B465" s="155"/>
      <c r="C465" s="52"/>
      <c r="D465" s="52"/>
      <c r="E465" s="50" t="s">
        <v>46</v>
      </c>
      <c r="F465" s="157" t="s">
        <v>883</v>
      </c>
      <c r="G465" s="157"/>
      <c r="H465" s="52"/>
      <c r="I465" s="156" t="s">
        <v>47</v>
      </c>
      <c r="J465" s="156"/>
      <c r="K465" s="157" t="s">
        <v>884</v>
      </c>
      <c r="L465" s="157"/>
    </row>
    <row r="466" spans="1:12" ht="13.35" customHeight="1" x14ac:dyDescent="0.2">
      <c r="A466" s="155"/>
      <c r="B466" s="155"/>
      <c r="C466" s="52"/>
      <c r="D466" s="52"/>
      <c r="E466" s="50" t="s">
        <v>48</v>
      </c>
      <c r="F466" s="157" t="s">
        <v>201</v>
      </c>
      <c r="G466" s="157"/>
      <c r="H466" s="52"/>
      <c r="I466" s="156" t="s">
        <v>49</v>
      </c>
      <c r="J466" s="156"/>
      <c r="K466" s="157" t="s">
        <v>885</v>
      </c>
      <c r="L466" s="157"/>
    </row>
    <row r="467" spans="1:12" ht="13.35" customHeight="1" x14ac:dyDescent="0.2">
      <c r="A467" s="155"/>
      <c r="B467" s="155"/>
      <c r="C467" s="52"/>
      <c r="D467" s="52"/>
      <c r="E467" s="52"/>
      <c r="F467" s="155"/>
      <c r="G467" s="155"/>
      <c r="H467" s="52"/>
      <c r="I467" s="156" t="s">
        <v>50</v>
      </c>
      <c r="J467" s="156"/>
      <c r="K467" s="157" t="s">
        <v>327</v>
      </c>
      <c r="L467" s="157"/>
    </row>
    <row r="468" spans="1:12" ht="13.35" customHeight="1" x14ac:dyDescent="0.2">
      <c r="A468" s="155"/>
      <c r="B468" s="155"/>
      <c r="C468" s="52"/>
      <c r="D468" s="52"/>
      <c r="E468" s="52"/>
      <c r="F468" s="155"/>
      <c r="G468" s="155"/>
      <c r="H468" s="52"/>
      <c r="I468" s="156" t="s">
        <v>51</v>
      </c>
      <c r="J468" s="156"/>
      <c r="K468" s="157" t="s">
        <v>783</v>
      </c>
      <c r="L468" s="157"/>
    </row>
  </sheetData>
  <mergeCells count="1169">
    <mergeCell ref="A73:D73"/>
    <mergeCell ref="E73:F73"/>
    <mergeCell ref="I73:J73"/>
    <mergeCell ref="L73:M73"/>
    <mergeCell ref="N73:O73"/>
    <mergeCell ref="A74:S74"/>
    <mergeCell ref="A75:S75"/>
    <mergeCell ref="A76:S76"/>
    <mergeCell ref="A77:S77"/>
    <mergeCell ref="A78:S78"/>
    <mergeCell ref="A79:S79"/>
    <mergeCell ref="A80:S80"/>
    <mergeCell ref="A81:S81"/>
    <mergeCell ref="A82:S82"/>
    <mergeCell ref="A69:D69"/>
    <mergeCell ref="E69:F69"/>
    <mergeCell ref="I69:J69"/>
    <mergeCell ref="L69:M69"/>
    <mergeCell ref="N69:O69"/>
    <mergeCell ref="A70:D70"/>
    <mergeCell ref="E70:F70"/>
    <mergeCell ref="I70:J70"/>
    <mergeCell ref="L70:M70"/>
    <mergeCell ref="N70:O70"/>
    <mergeCell ref="A71:D71"/>
    <mergeCell ref="E71:F71"/>
    <mergeCell ref="I71:J71"/>
    <mergeCell ref="L71:M71"/>
    <mergeCell ref="N71:O71"/>
    <mergeCell ref="A72:D72"/>
    <mergeCell ref="E72:F72"/>
    <mergeCell ref="I72:J72"/>
    <mergeCell ref="L72:M72"/>
    <mergeCell ref="N72:O72"/>
    <mergeCell ref="A63:T63"/>
    <mergeCell ref="A65:N65"/>
    <mergeCell ref="A66:D66"/>
    <mergeCell ref="E66:F66"/>
    <mergeCell ref="I66:J66"/>
    <mergeCell ref="L66:M66"/>
    <mergeCell ref="N66:O66"/>
    <mergeCell ref="A67:D67"/>
    <mergeCell ref="E67:F67"/>
    <mergeCell ref="I67:J67"/>
    <mergeCell ref="L67:M67"/>
    <mergeCell ref="N67:O67"/>
    <mergeCell ref="A68:D68"/>
    <mergeCell ref="E68:F68"/>
    <mergeCell ref="I68:J68"/>
    <mergeCell ref="L68:M68"/>
    <mergeCell ref="N68:O68"/>
    <mergeCell ref="A58:L58"/>
    <mergeCell ref="M58:N58"/>
    <mergeCell ref="O58:P58"/>
    <mergeCell ref="R58:T58"/>
    <mergeCell ref="A59:L59"/>
    <mergeCell ref="M59:N59"/>
    <mergeCell ref="O59:P59"/>
    <mergeCell ref="R59:T59"/>
    <mergeCell ref="A60:L60"/>
    <mergeCell ref="M60:N60"/>
    <mergeCell ref="O60:P60"/>
    <mergeCell ref="R60:T60"/>
    <mergeCell ref="A61:L61"/>
    <mergeCell ref="M61:N61"/>
    <mergeCell ref="O61:P61"/>
    <mergeCell ref="R61:T61"/>
    <mergeCell ref="A62:L62"/>
    <mergeCell ref="M62:N62"/>
    <mergeCell ref="O62:P62"/>
    <mergeCell ref="R62:T62"/>
    <mergeCell ref="A52:L54"/>
    <mergeCell ref="M52:T52"/>
    <mergeCell ref="M53:P53"/>
    <mergeCell ref="Q53:T53"/>
    <mergeCell ref="M54:N54"/>
    <mergeCell ref="O54:P54"/>
    <mergeCell ref="R54:T54"/>
    <mergeCell ref="A55:L55"/>
    <mergeCell ref="M55:N55"/>
    <mergeCell ref="O55:P55"/>
    <mergeCell ref="R55:T55"/>
    <mergeCell ref="A56:L56"/>
    <mergeCell ref="M56:N56"/>
    <mergeCell ref="O56:P56"/>
    <mergeCell ref="R56:T56"/>
    <mergeCell ref="A57:L57"/>
    <mergeCell ref="M57:N57"/>
    <mergeCell ref="O57:P57"/>
    <mergeCell ref="R57:T57"/>
    <mergeCell ref="A410:D410"/>
    <mergeCell ref="E410:F410"/>
    <mergeCell ref="I410:J410"/>
    <mergeCell ref="L410:M410"/>
    <mergeCell ref="N410:O410"/>
    <mergeCell ref="A419:S419"/>
    <mergeCell ref="A420:S420"/>
    <mergeCell ref="A413:S413"/>
    <mergeCell ref="A414:S414"/>
    <mergeCell ref="A415:S415"/>
    <mergeCell ref="A416:S416"/>
    <mergeCell ref="A417:S417"/>
    <mergeCell ref="A418:S418"/>
    <mergeCell ref="A411:D411"/>
    <mergeCell ref="E411:F411"/>
    <mergeCell ref="I411:J411"/>
    <mergeCell ref="L411:M411"/>
    <mergeCell ref="N411:O411"/>
    <mergeCell ref="A412:S412"/>
    <mergeCell ref="A406:D406"/>
    <mergeCell ref="E406:F406"/>
    <mergeCell ref="I406:J406"/>
    <mergeCell ref="L406:M406"/>
    <mergeCell ref="N406:O406"/>
    <mergeCell ref="A407:D407"/>
    <mergeCell ref="E407:F407"/>
    <mergeCell ref="I407:J407"/>
    <mergeCell ref="L407:M407"/>
    <mergeCell ref="N407:O407"/>
    <mergeCell ref="A408:D408"/>
    <mergeCell ref="E408:F408"/>
    <mergeCell ref="I408:J408"/>
    <mergeCell ref="L408:M408"/>
    <mergeCell ref="N408:O408"/>
    <mergeCell ref="A409:D409"/>
    <mergeCell ref="E409:F409"/>
    <mergeCell ref="I409:J409"/>
    <mergeCell ref="L409:M409"/>
    <mergeCell ref="N409:O409"/>
    <mergeCell ref="A401:T401"/>
    <mergeCell ref="A403:N403"/>
    <mergeCell ref="A404:D404"/>
    <mergeCell ref="E404:F404"/>
    <mergeCell ref="I404:J404"/>
    <mergeCell ref="L404:M404"/>
    <mergeCell ref="N404:O404"/>
    <mergeCell ref="A399:L399"/>
    <mergeCell ref="M399:N399"/>
    <mergeCell ref="O399:P399"/>
    <mergeCell ref="R399:T399"/>
    <mergeCell ref="A400:L400"/>
    <mergeCell ref="M400:N400"/>
    <mergeCell ref="O400:P400"/>
    <mergeCell ref="R400:T400"/>
    <mergeCell ref="A405:D405"/>
    <mergeCell ref="E405:F405"/>
    <mergeCell ref="I405:J405"/>
    <mergeCell ref="L405:M405"/>
    <mergeCell ref="N405:O405"/>
    <mergeCell ref="A394:L394"/>
    <mergeCell ref="M394:N394"/>
    <mergeCell ref="O394:P394"/>
    <mergeCell ref="R394:T394"/>
    <mergeCell ref="A391:L391"/>
    <mergeCell ref="M391:N391"/>
    <mergeCell ref="O391:P391"/>
    <mergeCell ref="R391:T391"/>
    <mergeCell ref="A392:L392"/>
    <mergeCell ref="M392:N392"/>
    <mergeCell ref="O392:P392"/>
    <mergeCell ref="R392:T392"/>
    <mergeCell ref="A397:L397"/>
    <mergeCell ref="M397:N397"/>
    <mergeCell ref="O397:P397"/>
    <mergeCell ref="R397:T397"/>
    <mergeCell ref="A398:L398"/>
    <mergeCell ref="M398:N398"/>
    <mergeCell ref="O398:P398"/>
    <mergeCell ref="R398:T398"/>
    <mergeCell ref="A395:L395"/>
    <mergeCell ref="M395:N395"/>
    <mergeCell ref="O395:P395"/>
    <mergeCell ref="R395:T395"/>
    <mergeCell ref="A396:L396"/>
    <mergeCell ref="M396:N396"/>
    <mergeCell ref="O396:P396"/>
    <mergeCell ref="R396:T396"/>
    <mergeCell ref="A389:L389"/>
    <mergeCell ref="M389:N389"/>
    <mergeCell ref="O389:P389"/>
    <mergeCell ref="R389:T389"/>
    <mergeCell ref="A390:L390"/>
    <mergeCell ref="M390:N390"/>
    <mergeCell ref="O390:P390"/>
    <mergeCell ref="R390:T390"/>
    <mergeCell ref="A386:L388"/>
    <mergeCell ref="M386:T386"/>
    <mergeCell ref="M387:P387"/>
    <mergeCell ref="Q387:T387"/>
    <mergeCell ref="M388:N388"/>
    <mergeCell ref="O388:P388"/>
    <mergeCell ref="R388:T388"/>
    <mergeCell ref="A393:L393"/>
    <mergeCell ref="M393:N393"/>
    <mergeCell ref="O393:P393"/>
    <mergeCell ref="R393:T393"/>
    <mergeCell ref="A368:S368"/>
    <mergeCell ref="A369:S369"/>
    <mergeCell ref="A370:S370"/>
    <mergeCell ref="A371:S371"/>
    <mergeCell ref="A372:S372"/>
    <mergeCell ref="A373:S373"/>
    <mergeCell ref="A366:D366"/>
    <mergeCell ref="E366:F366"/>
    <mergeCell ref="I366:J366"/>
    <mergeCell ref="L366:M366"/>
    <mergeCell ref="N366:O366"/>
    <mergeCell ref="A367:S367"/>
    <mergeCell ref="A382:B382"/>
    <mergeCell ref="C382:T382"/>
    <mergeCell ref="A383:E383"/>
    <mergeCell ref="F383:T384"/>
    <mergeCell ref="A385:L385"/>
    <mergeCell ref="M385:N385"/>
    <mergeCell ref="O385:P385"/>
    <mergeCell ref="R385:T385"/>
    <mergeCell ref="A374:S374"/>
    <mergeCell ref="A375:S375"/>
    <mergeCell ref="J377:T377"/>
    <mergeCell ref="B379:R379"/>
    <mergeCell ref="A381:C381"/>
    <mergeCell ref="D381:T381"/>
    <mergeCell ref="A362:D362"/>
    <mergeCell ref="E362:F362"/>
    <mergeCell ref="I362:J362"/>
    <mergeCell ref="L362:M362"/>
    <mergeCell ref="N362:O362"/>
    <mergeCell ref="A363:D363"/>
    <mergeCell ref="E363:F363"/>
    <mergeCell ref="I363:J363"/>
    <mergeCell ref="L363:M363"/>
    <mergeCell ref="N363:O363"/>
    <mergeCell ref="A364:D364"/>
    <mergeCell ref="E364:F364"/>
    <mergeCell ref="I364:J364"/>
    <mergeCell ref="L364:M364"/>
    <mergeCell ref="N364:O364"/>
    <mergeCell ref="A365:D365"/>
    <mergeCell ref="E365:F365"/>
    <mergeCell ref="I365:J365"/>
    <mergeCell ref="L365:M365"/>
    <mergeCell ref="N365:O365"/>
    <mergeCell ref="A358:N358"/>
    <mergeCell ref="A359:D359"/>
    <mergeCell ref="E359:F359"/>
    <mergeCell ref="I359:J359"/>
    <mergeCell ref="L359:M359"/>
    <mergeCell ref="N359:O359"/>
    <mergeCell ref="A355:L355"/>
    <mergeCell ref="M355:N355"/>
    <mergeCell ref="O355:P355"/>
    <mergeCell ref="R355:T355"/>
    <mergeCell ref="A360:D360"/>
    <mergeCell ref="E360:F360"/>
    <mergeCell ref="I360:J360"/>
    <mergeCell ref="L360:M360"/>
    <mergeCell ref="N360:O360"/>
    <mergeCell ref="A361:D361"/>
    <mergeCell ref="E361:F361"/>
    <mergeCell ref="I361:J361"/>
    <mergeCell ref="L361:M361"/>
    <mergeCell ref="N361:O361"/>
    <mergeCell ref="A353:L353"/>
    <mergeCell ref="M353:N353"/>
    <mergeCell ref="O353:P353"/>
    <mergeCell ref="R353:T353"/>
    <mergeCell ref="A354:L354"/>
    <mergeCell ref="M354:N354"/>
    <mergeCell ref="O354:P354"/>
    <mergeCell ref="R354:T354"/>
    <mergeCell ref="A351:L351"/>
    <mergeCell ref="M351:N351"/>
    <mergeCell ref="O351:P351"/>
    <mergeCell ref="R351:T351"/>
    <mergeCell ref="A352:L352"/>
    <mergeCell ref="M352:N352"/>
    <mergeCell ref="O352:P352"/>
    <mergeCell ref="R352:T352"/>
    <mergeCell ref="A356:T356"/>
    <mergeCell ref="A343:E343"/>
    <mergeCell ref="F343:T344"/>
    <mergeCell ref="A345:L345"/>
    <mergeCell ref="M345:N345"/>
    <mergeCell ref="O345:P345"/>
    <mergeCell ref="R345:T345"/>
    <mergeCell ref="J337:T337"/>
    <mergeCell ref="B339:R339"/>
    <mergeCell ref="A341:C341"/>
    <mergeCell ref="D341:T341"/>
    <mergeCell ref="A342:B342"/>
    <mergeCell ref="C342:T342"/>
    <mergeCell ref="A349:L349"/>
    <mergeCell ref="M349:N349"/>
    <mergeCell ref="O349:P349"/>
    <mergeCell ref="R349:T349"/>
    <mergeCell ref="A350:L350"/>
    <mergeCell ref="M350:N350"/>
    <mergeCell ref="O350:P350"/>
    <mergeCell ref="R350:T350"/>
    <mergeCell ref="A346:L348"/>
    <mergeCell ref="M346:T346"/>
    <mergeCell ref="M347:P347"/>
    <mergeCell ref="Q347:T347"/>
    <mergeCell ref="M348:N348"/>
    <mergeCell ref="O348:P348"/>
    <mergeCell ref="R348:T348"/>
    <mergeCell ref="A328:D328"/>
    <mergeCell ref="E328:F328"/>
    <mergeCell ref="I328:J328"/>
    <mergeCell ref="L328:M328"/>
    <mergeCell ref="N328:O328"/>
    <mergeCell ref="A331:S331"/>
    <mergeCell ref="A332:S332"/>
    <mergeCell ref="A333:S333"/>
    <mergeCell ref="A334:S334"/>
    <mergeCell ref="A335:S335"/>
    <mergeCell ref="A336:S336"/>
    <mergeCell ref="A329:D329"/>
    <mergeCell ref="E329:F329"/>
    <mergeCell ref="I329:J329"/>
    <mergeCell ref="L329:M329"/>
    <mergeCell ref="N329:O329"/>
    <mergeCell ref="A330:S330"/>
    <mergeCell ref="A324:D324"/>
    <mergeCell ref="E324:F324"/>
    <mergeCell ref="I324:J324"/>
    <mergeCell ref="L324:M324"/>
    <mergeCell ref="N324:O324"/>
    <mergeCell ref="A325:D325"/>
    <mergeCell ref="E325:F325"/>
    <mergeCell ref="I325:J325"/>
    <mergeCell ref="L325:M325"/>
    <mergeCell ref="N325:O325"/>
    <mergeCell ref="A326:D326"/>
    <mergeCell ref="E326:F326"/>
    <mergeCell ref="I326:J326"/>
    <mergeCell ref="L326:M326"/>
    <mergeCell ref="N326:O326"/>
    <mergeCell ref="A327:D327"/>
    <mergeCell ref="E327:F327"/>
    <mergeCell ref="I327:J327"/>
    <mergeCell ref="L327:M327"/>
    <mergeCell ref="N327:O327"/>
    <mergeCell ref="A321:N321"/>
    <mergeCell ref="A322:D322"/>
    <mergeCell ref="E322:F322"/>
    <mergeCell ref="I322:J322"/>
    <mergeCell ref="L322:M322"/>
    <mergeCell ref="N322:O322"/>
    <mergeCell ref="A317:L317"/>
    <mergeCell ref="M317:N317"/>
    <mergeCell ref="O317:P317"/>
    <mergeCell ref="R317:T317"/>
    <mergeCell ref="A318:L318"/>
    <mergeCell ref="M318:N318"/>
    <mergeCell ref="O318:P318"/>
    <mergeCell ref="R318:T318"/>
    <mergeCell ref="A323:D323"/>
    <mergeCell ref="E323:F323"/>
    <mergeCell ref="I323:J323"/>
    <mergeCell ref="L323:M323"/>
    <mergeCell ref="N323:O323"/>
    <mergeCell ref="A315:L315"/>
    <mergeCell ref="M315:N315"/>
    <mergeCell ref="O315:P315"/>
    <mergeCell ref="R315:T315"/>
    <mergeCell ref="A316:L316"/>
    <mergeCell ref="M316:N316"/>
    <mergeCell ref="O316:P316"/>
    <mergeCell ref="R316:T316"/>
    <mergeCell ref="A313:L313"/>
    <mergeCell ref="M313:N313"/>
    <mergeCell ref="O313:P313"/>
    <mergeCell ref="R313:T313"/>
    <mergeCell ref="A314:L314"/>
    <mergeCell ref="M314:N314"/>
    <mergeCell ref="O314:P314"/>
    <mergeCell ref="R314:T314"/>
    <mergeCell ref="A319:T319"/>
    <mergeCell ref="A307:L307"/>
    <mergeCell ref="M307:N307"/>
    <mergeCell ref="O307:P307"/>
    <mergeCell ref="R307:T307"/>
    <mergeCell ref="A308:L308"/>
    <mergeCell ref="M308:N308"/>
    <mergeCell ref="O308:P308"/>
    <mergeCell ref="R308:T308"/>
    <mergeCell ref="A311:L311"/>
    <mergeCell ref="M311:N311"/>
    <mergeCell ref="O311:P311"/>
    <mergeCell ref="R311:T311"/>
    <mergeCell ref="A312:L312"/>
    <mergeCell ref="M312:N312"/>
    <mergeCell ref="O312:P312"/>
    <mergeCell ref="R312:T312"/>
    <mergeCell ref="A309:L309"/>
    <mergeCell ref="M309:N309"/>
    <mergeCell ref="O309:P309"/>
    <mergeCell ref="R309:T309"/>
    <mergeCell ref="A310:L310"/>
    <mergeCell ref="M310:N310"/>
    <mergeCell ref="O310:P310"/>
    <mergeCell ref="R310:T310"/>
    <mergeCell ref="A298:B298"/>
    <mergeCell ref="C298:T298"/>
    <mergeCell ref="A299:E299"/>
    <mergeCell ref="F299:T299"/>
    <mergeCell ref="A301:S301"/>
    <mergeCell ref="A302:S302"/>
    <mergeCell ref="A290:S290"/>
    <mergeCell ref="A291:S291"/>
    <mergeCell ref="J293:T293"/>
    <mergeCell ref="B295:R295"/>
    <mergeCell ref="A297:C297"/>
    <mergeCell ref="D297:T297"/>
    <mergeCell ref="A303:L303"/>
    <mergeCell ref="M303:N303"/>
    <mergeCell ref="O303:P303"/>
    <mergeCell ref="R303:T303"/>
    <mergeCell ref="A304:L306"/>
    <mergeCell ref="M304:T304"/>
    <mergeCell ref="M305:P305"/>
    <mergeCell ref="Q305:T305"/>
    <mergeCell ref="M306:N306"/>
    <mergeCell ref="O306:P306"/>
    <mergeCell ref="R306:T306"/>
    <mergeCell ref="A281:D281"/>
    <mergeCell ref="E281:F281"/>
    <mergeCell ref="I281:J281"/>
    <mergeCell ref="L281:M281"/>
    <mergeCell ref="N281:O281"/>
    <mergeCell ref="A284:S284"/>
    <mergeCell ref="A285:S285"/>
    <mergeCell ref="A286:S286"/>
    <mergeCell ref="A287:S287"/>
    <mergeCell ref="A288:S288"/>
    <mergeCell ref="A289:S289"/>
    <mergeCell ref="A282:D282"/>
    <mergeCell ref="E282:F282"/>
    <mergeCell ref="I282:J282"/>
    <mergeCell ref="L282:M282"/>
    <mergeCell ref="N282:O282"/>
    <mergeCell ref="A283:D283"/>
    <mergeCell ref="E283:F283"/>
    <mergeCell ref="I283:J283"/>
    <mergeCell ref="L283:M283"/>
    <mergeCell ref="N283:O283"/>
    <mergeCell ref="A277:D277"/>
    <mergeCell ref="E277:F277"/>
    <mergeCell ref="I277:J277"/>
    <mergeCell ref="L277:M277"/>
    <mergeCell ref="N277:O277"/>
    <mergeCell ref="A278:D278"/>
    <mergeCell ref="E278:F278"/>
    <mergeCell ref="I278:J278"/>
    <mergeCell ref="L278:M278"/>
    <mergeCell ref="N278:O278"/>
    <mergeCell ref="A279:D279"/>
    <mergeCell ref="E279:F279"/>
    <mergeCell ref="I279:J279"/>
    <mergeCell ref="L279:M279"/>
    <mergeCell ref="N279:O279"/>
    <mergeCell ref="A280:D280"/>
    <mergeCell ref="E280:F280"/>
    <mergeCell ref="I280:J280"/>
    <mergeCell ref="L280:M280"/>
    <mergeCell ref="N280:O280"/>
    <mergeCell ref="A272:L272"/>
    <mergeCell ref="M272:N272"/>
    <mergeCell ref="O272:P272"/>
    <mergeCell ref="R272:T272"/>
    <mergeCell ref="A273:T273"/>
    <mergeCell ref="A275:N275"/>
    <mergeCell ref="A270:L270"/>
    <mergeCell ref="M270:N270"/>
    <mergeCell ref="O270:P270"/>
    <mergeCell ref="R270:T270"/>
    <mergeCell ref="A271:L271"/>
    <mergeCell ref="M271:N271"/>
    <mergeCell ref="O271:P271"/>
    <mergeCell ref="R271:T271"/>
    <mergeCell ref="A276:D276"/>
    <mergeCell ref="E276:F276"/>
    <mergeCell ref="I276:J276"/>
    <mergeCell ref="L276:M276"/>
    <mergeCell ref="N276:O276"/>
    <mergeCell ref="A264:L264"/>
    <mergeCell ref="M264:N264"/>
    <mergeCell ref="O264:P264"/>
    <mergeCell ref="R264:T264"/>
    <mergeCell ref="A265:L265"/>
    <mergeCell ref="M265:N265"/>
    <mergeCell ref="O265:P265"/>
    <mergeCell ref="R265:T265"/>
    <mergeCell ref="A268:L268"/>
    <mergeCell ref="M268:N268"/>
    <mergeCell ref="O268:P268"/>
    <mergeCell ref="R268:T268"/>
    <mergeCell ref="A269:L269"/>
    <mergeCell ref="M269:N269"/>
    <mergeCell ref="O269:P269"/>
    <mergeCell ref="R269:T269"/>
    <mergeCell ref="A266:L266"/>
    <mergeCell ref="M266:N266"/>
    <mergeCell ref="O266:P266"/>
    <mergeCell ref="R266:T266"/>
    <mergeCell ref="A267:L267"/>
    <mergeCell ref="M267:N267"/>
    <mergeCell ref="O267:P267"/>
    <mergeCell ref="R267:T267"/>
    <mergeCell ref="A255:B255"/>
    <mergeCell ref="C255:T255"/>
    <mergeCell ref="A256:E256"/>
    <mergeCell ref="F256:T257"/>
    <mergeCell ref="A258:S258"/>
    <mergeCell ref="A259:S259"/>
    <mergeCell ref="A247:S247"/>
    <mergeCell ref="A248:S248"/>
    <mergeCell ref="J250:T250"/>
    <mergeCell ref="B252:R252"/>
    <mergeCell ref="A254:C254"/>
    <mergeCell ref="D254:T254"/>
    <mergeCell ref="A260:L260"/>
    <mergeCell ref="M260:N260"/>
    <mergeCell ref="O260:P260"/>
    <mergeCell ref="R260:T260"/>
    <mergeCell ref="A261:L263"/>
    <mergeCell ref="M261:T261"/>
    <mergeCell ref="M262:P262"/>
    <mergeCell ref="Q262:T262"/>
    <mergeCell ref="M263:N263"/>
    <mergeCell ref="O263:P263"/>
    <mergeCell ref="R263:T263"/>
    <mergeCell ref="A238:D238"/>
    <mergeCell ref="E238:F238"/>
    <mergeCell ref="I238:J238"/>
    <mergeCell ref="L238:M238"/>
    <mergeCell ref="N238:O238"/>
    <mergeCell ref="A241:S241"/>
    <mergeCell ref="A242:S242"/>
    <mergeCell ref="A243:S243"/>
    <mergeCell ref="A244:S244"/>
    <mergeCell ref="A245:S245"/>
    <mergeCell ref="A246:S246"/>
    <mergeCell ref="A239:D239"/>
    <mergeCell ref="E239:F239"/>
    <mergeCell ref="I239:J239"/>
    <mergeCell ref="L239:M239"/>
    <mergeCell ref="N239:O239"/>
    <mergeCell ref="A240:S240"/>
    <mergeCell ref="A234:D234"/>
    <mergeCell ref="E234:F234"/>
    <mergeCell ref="I234:J234"/>
    <mergeCell ref="L234:M234"/>
    <mergeCell ref="N234:O234"/>
    <mergeCell ref="A235:D235"/>
    <mergeCell ref="E235:F235"/>
    <mergeCell ref="I235:J235"/>
    <mergeCell ref="L235:M235"/>
    <mergeCell ref="N235:O235"/>
    <mergeCell ref="A236:D236"/>
    <mergeCell ref="E236:F236"/>
    <mergeCell ref="I236:J236"/>
    <mergeCell ref="L236:M236"/>
    <mergeCell ref="N236:O236"/>
    <mergeCell ref="A237:D237"/>
    <mergeCell ref="E237:F237"/>
    <mergeCell ref="I237:J237"/>
    <mergeCell ref="L237:M237"/>
    <mergeCell ref="N237:O237"/>
    <mergeCell ref="A231:N231"/>
    <mergeCell ref="A232:D232"/>
    <mergeCell ref="E232:F232"/>
    <mergeCell ref="I232:J232"/>
    <mergeCell ref="L232:M232"/>
    <mergeCell ref="N232:O232"/>
    <mergeCell ref="A227:L227"/>
    <mergeCell ref="M227:N227"/>
    <mergeCell ref="O227:P227"/>
    <mergeCell ref="R227:T227"/>
    <mergeCell ref="A228:L228"/>
    <mergeCell ref="M228:N228"/>
    <mergeCell ref="O228:P228"/>
    <mergeCell ref="R228:T228"/>
    <mergeCell ref="A233:D233"/>
    <mergeCell ref="E233:F233"/>
    <mergeCell ref="I233:J233"/>
    <mergeCell ref="L233:M233"/>
    <mergeCell ref="N233:O233"/>
    <mergeCell ref="A225:L225"/>
    <mergeCell ref="M225:N225"/>
    <mergeCell ref="O225:P225"/>
    <mergeCell ref="R225:T225"/>
    <mergeCell ref="A226:L226"/>
    <mergeCell ref="M226:N226"/>
    <mergeCell ref="O226:P226"/>
    <mergeCell ref="R226:T226"/>
    <mergeCell ref="A223:L223"/>
    <mergeCell ref="M223:N223"/>
    <mergeCell ref="O223:P223"/>
    <mergeCell ref="R223:T223"/>
    <mergeCell ref="A224:L224"/>
    <mergeCell ref="M224:N224"/>
    <mergeCell ref="O224:P224"/>
    <mergeCell ref="R224:T224"/>
    <mergeCell ref="A229:T229"/>
    <mergeCell ref="J211:T211"/>
    <mergeCell ref="B213:R213"/>
    <mergeCell ref="A215:C215"/>
    <mergeCell ref="D215:T215"/>
    <mergeCell ref="A216:B216"/>
    <mergeCell ref="C216:T216"/>
    <mergeCell ref="A203:S203"/>
    <mergeCell ref="A204:S204"/>
    <mergeCell ref="A205:S205"/>
    <mergeCell ref="A206:S206"/>
    <mergeCell ref="A207:S207"/>
    <mergeCell ref="A208:S208"/>
    <mergeCell ref="A220:L222"/>
    <mergeCell ref="M220:T220"/>
    <mergeCell ref="M221:P221"/>
    <mergeCell ref="Q221:T221"/>
    <mergeCell ref="M222:N222"/>
    <mergeCell ref="O222:P222"/>
    <mergeCell ref="R222:T222"/>
    <mergeCell ref="A217:E217"/>
    <mergeCell ref="F217:T218"/>
    <mergeCell ref="A219:L219"/>
    <mergeCell ref="M219:N219"/>
    <mergeCell ref="O219:P219"/>
    <mergeCell ref="R219:T219"/>
    <mergeCell ref="A201:D201"/>
    <mergeCell ref="E201:F201"/>
    <mergeCell ref="I201:J201"/>
    <mergeCell ref="L201:M201"/>
    <mergeCell ref="N201:O201"/>
    <mergeCell ref="A202:S202"/>
    <mergeCell ref="A199:D199"/>
    <mergeCell ref="E199:F199"/>
    <mergeCell ref="I199:J199"/>
    <mergeCell ref="L199:M199"/>
    <mergeCell ref="N199:O199"/>
    <mergeCell ref="A200:D200"/>
    <mergeCell ref="E200:F200"/>
    <mergeCell ref="I200:J200"/>
    <mergeCell ref="L200:M200"/>
    <mergeCell ref="N200:O200"/>
    <mergeCell ref="A209:S209"/>
    <mergeCell ref="A195:D195"/>
    <mergeCell ref="E195:F195"/>
    <mergeCell ref="I195:J195"/>
    <mergeCell ref="L195:M195"/>
    <mergeCell ref="N195:O195"/>
    <mergeCell ref="A196:D196"/>
    <mergeCell ref="E196:F196"/>
    <mergeCell ref="I196:J196"/>
    <mergeCell ref="L196:M196"/>
    <mergeCell ref="N196:O196"/>
    <mergeCell ref="A197:D197"/>
    <mergeCell ref="E197:F197"/>
    <mergeCell ref="I197:J197"/>
    <mergeCell ref="L197:M197"/>
    <mergeCell ref="N197:O197"/>
    <mergeCell ref="A198:D198"/>
    <mergeCell ref="E198:F198"/>
    <mergeCell ref="I198:J198"/>
    <mergeCell ref="L198:M198"/>
    <mergeCell ref="N198:O198"/>
    <mergeCell ref="A188:L188"/>
    <mergeCell ref="M188:N188"/>
    <mergeCell ref="O188:P188"/>
    <mergeCell ref="R188:T188"/>
    <mergeCell ref="A185:L185"/>
    <mergeCell ref="M185:N185"/>
    <mergeCell ref="O185:P185"/>
    <mergeCell ref="R185:T185"/>
    <mergeCell ref="A186:L186"/>
    <mergeCell ref="M186:N186"/>
    <mergeCell ref="O186:P186"/>
    <mergeCell ref="R186:T186"/>
    <mergeCell ref="A191:T191"/>
    <mergeCell ref="A193:N193"/>
    <mergeCell ref="A194:D194"/>
    <mergeCell ref="E194:F194"/>
    <mergeCell ref="I194:J194"/>
    <mergeCell ref="L194:M194"/>
    <mergeCell ref="N194:O194"/>
    <mergeCell ref="A189:L189"/>
    <mergeCell ref="M189:N189"/>
    <mergeCell ref="O189:P189"/>
    <mergeCell ref="R189:T189"/>
    <mergeCell ref="A190:L190"/>
    <mergeCell ref="M190:N190"/>
    <mergeCell ref="O190:P190"/>
    <mergeCell ref="R190:T190"/>
    <mergeCell ref="A183:L183"/>
    <mergeCell ref="M183:N183"/>
    <mergeCell ref="O183:P183"/>
    <mergeCell ref="R183:T183"/>
    <mergeCell ref="A184:L184"/>
    <mergeCell ref="M184:N184"/>
    <mergeCell ref="O184:P184"/>
    <mergeCell ref="R184:T184"/>
    <mergeCell ref="A181:L181"/>
    <mergeCell ref="M181:N181"/>
    <mergeCell ref="O181:P181"/>
    <mergeCell ref="R181:T181"/>
    <mergeCell ref="A182:L182"/>
    <mergeCell ref="M182:N182"/>
    <mergeCell ref="O182:P182"/>
    <mergeCell ref="R182:T182"/>
    <mergeCell ref="A187:L187"/>
    <mergeCell ref="M187:N187"/>
    <mergeCell ref="O187:P187"/>
    <mergeCell ref="R187:T187"/>
    <mergeCell ref="A167:S167"/>
    <mergeCell ref="J169:T169"/>
    <mergeCell ref="B171:R171"/>
    <mergeCell ref="A173:C173"/>
    <mergeCell ref="D173:T173"/>
    <mergeCell ref="A160:S160"/>
    <mergeCell ref="A161:S161"/>
    <mergeCell ref="A162:S162"/>
    <mergeCell ref="A163:S163"/>
    <mergeCell ref="A164:S164"/>
    <mergeCell ref="A165:S165"/>
    <mergeCell ref="A178:L180"/>
    <mergeCell ref="M178:T178"/>
    <mergeCell ref="M179:P179"/>
    <mergeCell ref="Q179:T179"/>
    <mergeCell ref="M180:N180"/>
    <mergeCell ref="O180:P180"/>
    <mergeCell ref="R180:T180"/>
    <mergeCell ref="A174:B174"/>
    <mergeCell ref="C174:T174"/>
    <mergeCell ref="A175:E175"/>
    <mergeCell ref="F175:T176"/>
    <mergeCell ref="A177:L177"/>
    <mergeCell ref="M177:N177"/>
    <mergeCell ref="O177:P177"/>
    <mergeCell ref="R177:T177"/>
    <mergeCell ref="A158:D158"/>
    <mergeCell ref="E158:F158"/>
    <mergeCell ref="I158:J158"/>
    <mergeCell ref="L158:M158"/>
    <mergeCell ref="N158:O158"/>
    <mergeCell ref="A159:S159"/>
    <mergeCell ref="A156:D156"/>
    <mergeCell ref="E156:F156"/>
    <mergeCell ref="I156:J156"/>
    <mergeCell ref="L156:M156"/>
    <mergeCell ref="N156:O156"/>
    <mergeCell ref="A157:D157"/>
    <mergeCell ref="E157:F157"/>
    <mergeCell ref="I157:J157"/>
    <mergeCell ref="L157:M157"/>
    <mergeCell ref="N157:O157"/>
    <mergeCell ref="A166:S166"/>
    <mergeCell ref="A152:D152"/>
    <mergeCell ref="E152:F152"/>
    <mergeCell ref="I152:J152"/>
    <mergeCell ref="L152:M152"/>
    <mergeCell ref="N152:O152"/>
    <mergeCell ref="A153:D153"/>
    <mergeCell ref="E153:F153"/>
    <mergeCell ref="I153:J153"/>
    <mergeCell ref="L153:M153"/>
    <mergeCell ref="N153:O153"/>
    <mergeCell ref="A154:D154"/>
    <mergeCell ref="E154:F154"/>
    <mergeCell ref="I154:J154"/>
    <mergeCell ref="L154:M154"/>
    <mergeCell ref="N154:O154"/>
    <mergeCell ref="A155:D155"/>
    <mergeCell ref="E155:F155"/>
    <mergeCell ref="I155:J155"/>
    <mergeCell ref="L155:M155"/>
    <mergeCell ref="N155:O155"/>
    <mergeCell ref="A145:L145"/>
    <mergeCell ref="M145:N145"/>
    <mergeCell ref="O145:P145"/>
    <mergeCell ref="R145:T145"/>
    <mergeCell ref="A142:L142"/>
    <mergeCell ref="M142:N142"/>
    <mergeCell ref="O142:P142"/>
    <mergeCell ref="R142:T142"/>
    <mergeCell ref="A143:L143"/>
    <mergeCell ref="M143:N143"/>
    <mergeCell ref="O143:P143"/>
    <mergeCell ref="R143:T143"/>
    <mergeCell ref="A148:T148"/>
    <mergeCell ref="A150:N150"/>
    <mergeCell ref="A151:D151"/>
    <mergeCell ref="E151:F151"/>
    <mergeCell ref="I151:J151"/>
    <mergeCell ref="L151:M151"/>
    <mergeCell ref="N151:O151"/>
    <mergeCell ref="A146:L146"/>
    <mergeCell ref="M146:N146"/>
    <mergeCell ref="O146:P146"/>
    <mergeCell ref="R146:T146"/>
    <mergeCell ref="A147:L147"/>
    <mergeCell ref="M147:N147"/>
    <mergeCell ref="O147:P147"/>
    <mergeCell ref="R147:T147"/>
    <mergeCell ref="A140:L140"/>
    <mergeCell ref="M140:N140"/>
    <mergeCell ref="O140:P140"/>
    <mergeCell ref="R140:T140"/>
    <mergeCell ref="A141:L141"/>
    <mergeCell ref="M141:N141"/>
    <mergeCell ref="O141:P141"/>
    <mergeCell ref="R141:T141"/>
    <mergeCell ref="A138:L138"/>
    <mergeCell ref="M138:N138"/>
    <mergeCell ref="O138:P138"/>
    <mergeCell ref="R138:T138"/>
    <mergeCell ref="A139:L139"/>
    <mergeCell ref="M139:N139"/>
    <mergeCell ref="O139:P139"/>
    <mergeCell ref="R139:T139"/>
    <mergeCell ref="A144:L144"/>
    <mergeCell ref="M144:N144"/>
    <mergeCell ref="O144:P144"/>
    <mergeCell ref="R144:T144"/>
    <mergeCell ref="A129:E129"/>
    <mergeCell ref="F129:T129"/>
    <mergeCell ref="A131:S131"/>
    <mergeCell ref="A132:S132"/>
    <mergeCell ref="A133:L135"/>
    <mergeCell ref="M133:T133"/>
    <mergeCell ref="M134:P134"/>
    <mergeCell ref="Q134:T134"/>
    <mergeCell ref="M135:N135"/>
    <mergeCell ref="O135:P135"/>
    <mergeCell ref="R135:T135"/>
    <mergeCell ref="A136:L136"/>
    <mergeCell ref="M136:N136"/>
    <mergeCell ref="O136:P136"/>
    <mergeCell ref="R136:T136"/>
    <mergeCell ref="A137:L137"/>
    <mergeCell ref="M137:N137"/>
    <mergeCell ref="O137:P137"/>
    <mergeCell ref="R137:T137"/>
    <mergeCell ref="A114:S114"/>
    <mergeCell ref="A111:D111"/>
    <mergeCell ref="E111:F111"/>
    <mergeCell ref="I111:J111"/>
    <mergeCell ref="L111:M111"/>
    <mergeCell ref="N111:O111"/>
    <mergeCell ref="A112:D112"/>
    <mergeCell ref="E112:F112"/>
    <mergeCell ref="I112:J112"/>
    <mergeCell ref="L112:M112"/>
    <mergeCell ref="N112:O112"/>
    <mergeCell ref="A121:S121"/>
    <mergeCell ref="J123:T123"/>
    <mergeCell ref="B125:R125"/>
    <mergeCell ref="A127:C127"/>
    <mergeCell ref="D127:T127"/>
    <mergeCell ref="A128:B128"/>
    <mergeCell ref="C128:T128"/>
    <mergeCell ref="A115:S115"/>
    <mergeCell ref="A116:S116"/>
    <mergeCell ref="A117:S117"/>
    <mergeCell ref="A118:S118"/>
    <mergeCell ref="A119:S119"/>
    <mergeCell ref="A120:S120"/>
    <mergeCell ref="A108:D108"/>
    <mergeCell ref="E108:F108"/>
    <mergeCell ref="I108:J108"/>
    <mergeCell ref="L108:M108"/>
    <mergeCell ref="N108:O108"/>
    <mergeCell ref="A109:D109"/>
    <mergeCell ref="E109:F109"/>
    <mergeCell ref="I109:J109"/>
    <mergeCell ref="L109:M109"/>
    <mergeCell ref="N109:O109"/>
    <mergeCell ref="A110:D110"/>
    <mergeCell ref="E110:F110"/>
    <mergeCell ref="I110:J110"/>
    <mergeCell ref="L110:M110"/>
    <mergeCell ref="N110:O110"/>
    <mergeCell ref="A113:D113"/>
    <mergeCell ref="E113:F113"/>
    <mergeCell ref="I113:J113"/>
    <mergeCell ref="L113:M113"/>
    <mergeCell ref="N113:O113"/>
    <mergeCell ref="A103:T103"/>
    <mergeCell ref="A105:N105"/>
    <mergeCell ref="A106:D106"/>
    <mergeCell ref="E106:F106"/>
    <mergeCell ref="I106:J106"/>
    <mergeCell ref="L106:M106"/>
    <mergeCell ref="N106:O106"/>
    <mergeCell ref="A101:L101"/>
    <mergeCell ref="M101:N101"/>
    <mergeCell ref="O101:P101"/>
    <mergeCell ref="R101:T101"/>
    <mergeCell ref="A102:L102"/>
    <mergeCell ref="M102:N102"/>
    <mergeCell ref="O102:P102"/>
    <mergeCell ref="R102:T102"/>
    <mergeCell ref="A107:D107"/>
    <mergeCell ref="E107:F107"/>
    <mergeCell ref="I107:J107"/>
    <mergeCell ref="L107:M107"/>
    <mergeCell ref="N107:O107"/>
    <mergeCell ref="A97:L97"/>
    <mergeCell ref="M97:N97"/>
    <mergeCell ref="O97:P97"/>
    <mergeCell ref="R97:T97"/>
    <mergeCell ref="A93:L95"/>
    <mergeCell ref="M93:T93"/>
    <mergeCell ref="M94:P94"/>
    <mergeCell ref="Q94:T94"/>
    <mergeCell ref="M95:N95"/>
    <mergeCell ref="O95:P95"/>
    <mergeCell ref="R95:T95"/>
    <mergeCell ref="A99:L99"/>
    <mergeCell ref="M99:N99"/>
    <mergeCell ref="O99:P99"/>
    <mergeCell ref="R99:T99"/>
    <mergeCell ref="A100:L100"/>
    <mergeCell ref="M100:N100"/>
    <mergeCell ref="O100:P100"/>
    <mergeCell ref="R100:T100"/>
    <mergeCell ref="A98:L98"/>
    <mergeCell ref="M98:N98"/>
    <mergeCell ref="O98:P98"/>
    <mergeCell ref="R98:T98"/>
    <mergeCell ref="A89:B89"/>
    <mergeCell ref="C89:T89"/>
    <mergeCell ref="A90:E90"/>
    <mergeCell ref="F90:T91"/>
    <mergeCell ref="A92:L92"/>
    <mergeCell ref="M92:N92"/>
    <mergeCell ref="O92:P92"/>
    <mergeCell ref="R92:T92"/>
    <mergeCell ref="A38:S38"/>
    <mergeCell ref="A39:S39"/>
    <mergeCell ref="J84:T84"/>
    <mergeCell ref="B86:R86"/>
    <mergeCell ref="A88:C88"/>
    <mergeCell ref="D88:T88"/>
    <mergeCell ref="A96:L96"/>
    <mergeCell ref="M96:N96"/>
    <mergeCell ref="O96:P96"/>
    <mergeCell ref="R96:T96"/>
    <mergeCell ref="J41:T41"/>
    <mergeCell ref="B43:R43"/>
    <mergeCell ref="A45:C45"/>
    <mergeCell ref="D45:T45"/>
    <mergeCell ref="A46:B46"/>
    <mergeCell ref="C46:T46"/>
    <mergeCell ref="A47:E47"/>
    <mergeCell ref="F47:T47"/>
    <mergeCell ref="A49:S49"/>
    <mergeCell ref="A50:S50"/>
    <mergeCell ref="A51:L51"/>
    <mergeCell ref="M51:N51"/>
    <mergeCell ref="O51:P51"/>
    <mergeCell ref="R51:T51"/>
    <mergeCell ref="A29:D29"/>
    <mergeCell ref="E29:F29"/>
    <mergeCell ref="I29:J29"/>
    <mergeCell ref="L29:M29"/>
    <mergeCell ref="N29:O29"/>
    <mergeCell ref="A32:S32"/>
    <mergeCell ref="A33:S33"/>
    <mergeCell ref="A34:S34"/>
    <mergeCell ref="A35:S35"/>
    <mergeCell ref="A36:S36"/>
    <mergeCell ref="A37:S37"/>
    <mergeCell ref="A30:D30"/>
    <mergeCell ref="E30:F30"/>
    <mergeCell ref="I30:J30"/>
    <mergeCell ref="L30:M30"/>
    <mergeCell ref="N30:O30"/>
    <mergeCell ref="A31:S31"/>
    <mergeCell ref="A25:D25"/>
    <mergeCell ref="E25:F25"/>
    <mergeCell ref="I25:J25"/>
    <mergeCell ref="L25:M25"/>
    <mergeCell ref="N25:O25"/>
    <mergeCell ref="A26:D26"/>
    <mergeCell ref="E26:F26"/>
    <mergeCell ref="I26:J26"/>
    <mergeCell ref="L26:M26"/>
    <mergeCell ref="N26:O26"/>
    <mergeCell ref="A27:D27"/>
    <mergeCell ref="E27:F27"/>
    <mergeCell ref="I27:J27"/>
    <mergeCell ref="L27:M27"/>
    <mergeCell ref="N27:O27"/>
    <mergeCell ref="A28:D28"/>
    <mergeCell ref="E28:F28"/>
    <mergeCell ref="I28:J28"/>
    <mergeCell ref="L28:M28"/>
    <mergeCell ref="N28:O28"/>
    <mergeCell ref="O16:P16"/>
    <mergeCell ref="R16:T16"/>
    <mergeCell ref="A19:L19"/>
    <mergeCell ref="M19:N19"/>
    <mergeCell ref="O19:P19"/>
    <mergeCell ref="R19:T19"/>
    <mergeCell ref="A20:T20"/>
    <mergeCell ref="A22:N22"/>
    <mergeCell ref="A23:D23"/>
    <mergeCell ref="E23:F23"/>
    <mergeCell ref="I23:J23"/>
    <mergeCell ref="L23:M23"/>
    <mergeCell ref="N23:O23"/>
    <mergeCell ref="A24:D24"/>
    <mergeCell ref="E24:F24"/>
    <mergeCell ref="I24:J24"/>
    <mergeCell ref="L24:M24"/>
    <mergeCell ref="N24:O24"/>
    <mergeCell ref="J1:T1"/>
    <mergeCell ref="B3:R3"/>
    <mergeCell ref="A5:C5"/>
    <mergeCell ref="D5:T5"/>
    <mergeCell ref="A6:B6"/>
    <mergeCell ref="C6:T6"/>
    <mergeCell ref="A13:L13"/>
    <mergeCell ref="M13:N13"/>
    <mergeCell ref="O13:P13"/>
    <mergeCell ref="R13:T13"/>
    <mergeCell ref="A14:L14"/>
    <mergeCell ref="M14:N14"/>
    <mergeCell ref="O14:P14"/>
    <mergeCell ref="R14:T14"/>
    <mergeCell ref="A10:L12"/>
    <mergeCell ref="M10:T10"/>
    <mergeCell ref="M11:P11"/>
    <mergeCell ref="Q11:T11"/>
    <mergeCell ref="M12:N12"/>
    <mergeCell ref="O12:P12"/>
    <mergeCell ref="R12:T12"/>
    <mergeCell ref="G422:Q422"/>
    <mergeCell ref="B424:O424"/>
    <mergeCell ref="B425:O425"/>
    <mergeCell ref="A426:P426"/>
    <mergeCell ref="A427:P427"/>
    <mergeCell ref="A428:P428"/>
    <mergeCell ref="A429:P429"/>
    <mergeCell ref="A430:P430"/>
    <mergeCell ref="A431:I431"/>
    <mergeCell ref="J431:K431"/>
    <mergeCell ref="L431:M431"/>
    <mergeCell ref="O431:Q431"/>
    <mergeCell ref="A7:E7"/>
    <mergeCell ref="F7:T8"/>
    <mergeCell ref="A9:L9"/>
    <mergeCell ref="M9:N9"/>
    <mergeCell ref="O9:P9"/>
    <mergeCell ref="R9:T9"/>
    <mergeCell ref="A17:L17"/>
    <mergeCell ref="M17:N17"/>
    <mergeCell ref="O17:P17"/>
    <mergeCell ref="R17:T17"/>
    <mergeCell ref="A18:L18"/>
    <mergeCell ref="M18:N18"/>
    <mergeCell ref="O18:P18"/>
    <mergeCell ref="R18:T18"/>
    <mergeCell ref="A15:L15"/>
    <mergeCell ref="M15:N15"/>
    <mergeCell ref="O15:P15"/>
    <mergeCell ref="R15:T15"/>
    <mergeCell ref="A16:L16"/>
    <mergeCell ref="M16:N16"/>
    <mergeCell ref="A435:I435"/>
    <mergeCell ref="J435:K435"/>
    <mergeCell ref="L435:M435"/>
    <mergeCell ref="O435:Q435"/>
    <mergeCell ref="A436:I436"/>
    <mergeCell ref="J436:K436"/>
    <mergeCell ref="L436:M436"/>
    <mergeCell ref="O436:Q436"/>
    <mergeCell ref="A437:I437"/>
    <mergeCell ref="J437:K437"/>
    <mergeCell ref="L437:M437"/>
    <mergeCell ref="O437:Q437"/>
    <mergeCell ref="A432:I433"/>
    <mergeCell ref="J432:M432"/>
    <mergeCell ref="N432:Q432"/>
    <mergeCell ref="J433:K433"/>
    <mergeCell ref="L433:M433"/>
    <mergeCell ref="O433:Q433"/>
    <mergeCell ref="A434:I434"/>
    <mergeCell ref="J434:K434"/>
    <mergeCell ref="L434:M434"/>
    <mergeCell ref="O434:Q434"/>
    <mergeCell ref="A442:I442"/>
    <mergeCell ref="J442:K442"/>
    <mergeCell ref="L442:M442"/>
    <mergeCell ref="O442:Q442"/>
    <mergeCell ref="A443:I443"/>
    <mergeCell ref="J443:K443"/>
    <mergeCell ref="L443:M443"/>
    <mergeCell ref="O443:Q443"/>
    <mergeCell ref="A444:I444"/>
    <mergeCell ref="J444:K444"/>
    <mergeCell ref="L444:M444"/>
    <mergeCell ref="O444:Q444"/>
    <mergeCell ref="A441:I441"/>
    <mergeCell ref="J441:K441"/>
    <mergeCell ref="L441:M441"/>
    <mergeCell ref="O441:Q441"/>
    <mergeCell ref="A438:I438"/>
    <mergeCell ref="J438:K438"/>
    <mergeCell ref="L438:M438"/>
    <mergeCell ref="O438:Q438"/>
    <mergeCell ref="A439:I439"/>
    <mergeCell ref="J439:K439"/>
    <mergeCell ref="L439:M439"/>
    <mergeCell ref="O439:Q439"/>
    <mergeCell ref="A440:I440"/>
    <mergeCell ref="J440:K440"/>
    <mergeCell ref="L440:M440"/>
    <mergeCell ref="O440:Q440"/>
    <mergeCell ref="A454:P454"/>
    <mergeCell ref="A455:P455"/>
    <mergeCell ref="A456:P456"/>
    <mergeCell ref="A457:P457"/>
    <mergeCell ref="A458:P458"/>
    <mergeCell ref="A459:P459"/>
    <mergeCell ref="A460:K460"/>
    <mergeCell ref="A461:B461"/>
    <mergeCell ref="F461:G461"/>
    <mergeCell ref="I461:J461"/>
    <mergeCell ref="K461:L461"/>
    <mergeCell ref="A445:Q445"/>
    <mergeCell ref="A446:P446"/>
    <mergeCell ref="A447:P447"/>
    <mergeCell ref="A448:P448"/>
    <mergeCell ref="A449:P449"/>
    <mergeCell ref="A450:P450"/>
    <mergeCell ref="A451:P451"/>
    <mergeCell ref="A452:P452"/>
    <mergeCell ref="A453:P453"/>
    <mergeCell ref="A468:B468"/>
    <mergeCell ref="F468:G468"/>
    <mergeCell ref="I468:J468"/>
    <mergeCell ref="K468:L468"/>
    <mergeCell ref="A465:B465"/>
    <mergeCell ref="F465:G465"/>
    <mergeCell ref="I465:J465"/>
    <mergeCell ref="K465:L465"/>
    <mergeCell ref="A466:B466"/>
    <mergeCell ref="F466:G466"/>
    <mergeCell ref="I466:J466"/>
    <mergeCell ref="K466:L466"/>
    <mergeCell ref="A467:B467"/>
    <mergeCell ref="F467:G467"/>
    <mergeCell ref="I467:J467"/>
    <mergeCell ref="K467:L467"/>
    <mergeCell ref="A462:B462"/>
    <mergeCell ref="F462:G462"/>
    <mergeCell ref="I462:J462"/>
    <mergeCell ref="K462:L462"/>
    <mergeCell ref="A463:B463"/>
    <mergeCell ref="F463:G463"/>
    <mergeCell ref="I463:J463"/>
    <mergeCell ref="K463:L463"/>
    <mergeCell ref="A464:B464"/>
    <mergeCell ref="F464:G464"/>
    <mergeCell ref="I464:J464"/>
    <mergeCell ref="K464:L46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7"/>
  <sheetViews>
    <sheetView topLeftCell="A13" workbookViewId="0">
      <selection activeCell="D193" sqref="D193:T193"/>
    </sheetView>
  </sheetViews>
  <sheetFormatPr defaultRowHeight="10.199999999999999" x14ac:dyDescent="0.2"/>
  <sheetData>
    <row r="1" spans="1:20" s="1" customFormat="1" ht="72.45" customHeight="1" x14ac:dyDescent="0.25">
      <c r="J1" s="100" t="s">
        <v>0</v>
      </c>
      <c r="K1" s="100"/>
      <c r="L1" s="100"/>
      <c r="M1" s="100"/>
      <c r="N1" s="100"/>
      <c r="O1" s="100"/>
      <c r="P1" s="100"/>
      <c r="Q1" s="100"/>
      <c r="R1" s="100"/>
      <c r="S1" s="100"/>
      <c r="T1" s="100"/>
    </row>
    <row r="2" spans="1:20" s="1" customFormat="1" ht="7.05" customHeight="1" x14ac:dyDescent="0.25"/>
    <row r="3" spans="1:20" s="1" customFormat="1" ht="14.1" customHeight="1" x14ac:dyDescent="0.25">
      <c r="B3" s="101" t="s">
        <v>727</v>
      </c>
      <c r="C3" s="101"/>
      <c r="D3" s="101"/>
      <c r="E3" s="101"/>
      <c r="F3" s="101"/>
      <c r="G3" s="101"/>
      <c r="H3" s="101"/>
      <c r="I3" s="101"/>
      <c r="J3" s="101"/>
      <c r="K3" s="101"/>
      <c r="L3" s="101"/>
      <c r="M3" s="101"/>
      <c r="N3" s="101"/>
      <c r="O3" s="101"/>
      <c r="P3" s="101"/>
      <c r="Q3" s="101"/>
      <c r="R3" s="101"/>
    </row>
    <row r="4" spans="1:20" s="1" customFormat="1" ht="14.1" customHeight="1" x14ac:dyDescent="0.25"/>
    <row r="5" spans="1:20" s="1" customFormat="1" ht="14.1" customHeight="1" x14ac:dyDescent="0.25">
      <c r="A5" s="102" t="s">
        <v>2</v>
      </c>
      <c r="B5" s="102"/>
      <c r="C5" s="102"/>
      <c r="D5" s="103" t="s">
        <v>74</v>
      </c>
      <c r="E5" s="103"/>
      <c r="F5" s="103"/>
      <c r="G5" s="103"/>
      <c r="H5" s="103"/>
      <c r="I5" s="103"/>
      <c r="J5" s="103"/>
      <c r="K5" s="103"/>
      <c r="L5" s="103"/>
      <c r="M5" s="103"/>
      <c r="N5" s="103"/>
      <c r="O5" s="103"/>
      <c r="P5" s="103"/>
      <c r="Q5" s="103"/>
      <c r="R5" s="103"/>
      <c r="S5" s="103"/>
      <c r="T5" s="103"/>
    </row>
    <row r="6" spans="1:20" s="1" customFormat="1" ht="14.1" customHeight="1" x14ac:dyDescent="0.25">
      <c r="A6" s="102" t="s">
        <v>4</v>
      </c>
      <c r="B6" s="102"/>
      <c r="C6" s="103">
        <v>14</v>
      </c>
      <c r="D6" s="103"/>
      <c r="E6" s="103"/>
      <c r="F6" s="103"/>
      <c r="G6" s="103"/>
      <c r="H6" s="103"/>
      <c r="I6" s="103"/>
      <c r="J6" s="103"/>
      <c r="K6" s="103"/>
      <c r="L6" s="103"/>
      <c r="M6" s="103"/>
      <c r="N6" s="103"/>
      <c r="O6" s="103"/>
      <c r="P6" s="103"/>
      <c r="Q6" s="103"/>
      <c r="R6" s="103"/>
      <c r="S6" s="103"/>
      <c r="T6" s="103"/>
    </row>
    <row r="7" spans="1:20" s="1" customFormat="1" ht="14.1" customHeight="1" x14ac:dyDescent="0.25">
      <c r="A7" s="102" t="s">
        <v>6</v>
      </c>
      <c r="B7" s="102"/>
      <c r="C7" s="102"/>
      <c r="D7" s="102"/>
      <c r="E7" s="102"/>
      <c r="F7" s="103" t="s">
        <v>75</v>
      </c>
      <c r="G7" s="103"/>
      <c r="H7" s="103"/>
      <c r="I7" s="103"/>
      <c r="J7" s="103"/>
      <c r="K7" s="103"/>
      <c r="L7" s="103"/>
      <c r="M7" s="103"/>
      <c r="N7" s="103"/>
      <c r="O7" s="103"/>
      <c r="P7" s="103"/>
      <c r="Q7" s="103"/>
      <c r="R7" s="103"/>
      <c r="S7" s="103"/>
      <c r="T7" s="103"/>
    </row>
    <row r="8" spans="1:20" s="1" customFormat="1" ht="13.2" x14ac:dyDescent="0.25">
      <c r="A8" s="145" t="s">
        <v>686</v>
      </c>
      <c r="B8" s="93"/>
      <c r="C8" s="93"/>
      <c r="D8" s="93"/>
      <c r="E8" s="93"/>
      <c r="F8" s="93"/>
      <c r="G8" s="93"/>
      <c r="H8" s="93"/>
      <c r="I8" s="93"/>
      <c r="J8" s="93"/>
      <c r="K8" s="93"/>
      <c r="L8" s="93"/>
      <c r="M8" s="93"/>
      <c r="N8" s="93"/>
      <c r="O8" s="93"/>
      <c r="P8" s="93"/>
      <c r="Q8" s="93"/>
      <c r="R8" s="93"/>
      <c r="S8" s="93"/>
    </row>
    <row r="9" spans="1:20" s="2" customFormat="1" ht="30" customHeight="1" x14ac:dyDescent="0.25">
      <c r="A9" s="115" t="s">
        <v>725</v>
      </c>
      <c r="B9" s="116"/>
      <c r="C9" s="116"/>
      <c r="D9" s="116"/>
      <c r="E9" s="116"/>
      <c r="F9" s="116"/>
      <c r="G9" s="116"/>
      <c r="H9" s="116"/>
      <c r="I9" s="116"/>
      <c r="J9" s="116"/>
      <c r="K9" s="116"/>
      <c r="L9" s="116"/>
      <c r="M9" s="116"/>
      <c r="N9" s="116"/>
      <c r="O9" s="116"/>
      <c r="P9" s="116"/>
      <c r="Q9" s="116"/>
      <c r="R9" s="116"/>
      <c r="S9" s="116"/>
    </row>
    <row r="10" spans="1:20" s="1" customFormat="1" ht="1.35" customHeight="1" x14ac:dyDescent="0.25"/>
    <row r="11" spans="1:20" s="1" customFormat="1" ht="7.05" customHeight="1" x14ac:dyDescent="0.25">
      <c r="A11" s="86"/>
      <c r="B11" s="86"/>
      <c r="C11" s="86"/>
      <c r="D11" s="86"/>
      <c r="E11" s="86"/>
      <c r="F11" s="86"/>
      <c r="G11" s="86"/>
      <c r="H11" s="86"/>
      <c r="I11" s="86"/>
      <c r="J11" s="86"/>
      <c r="K11" s="86"/>
      <c r="L11" s="86"/>
      <c r="M11" s="86"/>
      <c r="N11" s="86"/>
      <c r="O11" s="86"/>
      <c r="P11" s="86"/>
      <c r="Q11" s="16"/>
      <c r="R11" s="86"/>
      <c r="S11" s="86"/>
      <c r="T11" s="86"/>
    </row>
    <row r="12" spans="1:20" s="1" customFormat="1" ht="16.95" customHeight="1" x14ac:dyDescent="0.25">
      <c r="A12" s="94" t="s">
        <v>8</v>
      </c>
      <c r="B12" s="94"/>
      <c r="C12" s="94"/>
      <c r="D12" s="94"/>
      <c r="E12" s="94"/>
      <c r="F12" s="94"/>
      <c r="G12" s="94"/>
      <c r="H12" s="94"/>
      <c r="I12" s="94"/>
      <c r="J12" s="94"/>
      <c r="K12" s="94"/>
      <c r="L12" s="94"/>
      <c r="M12" s="95" t="s">
        <v>9</v>
      </c>
      <c r="N12" s="95"/>
      <c r="O12" s="95"/>
      <c r="P12" s="95"/>
      <c r="Q12" s="95"/>
      <c r="R12" s="95"/>
      <c r="S12" s="95"/>
      <c r="T12" s="95"/>
    </row>
    <row r="13" spans="1:20" s="1" customFormat="1" ht="16.95" customHeight="1" x14ac:dyDescent="0.25">
      <c r="A13" s="94"/>
      <c r="B13" s="94"/>
      <c r="C13" s="94"/>
      <c r="D13" s="94"/>
      <c r="E13" s="94"/>
      <c r="F13" s="94"/>
      <c r="G13" s="94"/>
      <c r="H13" s="94"/>
      <c r="I13" s="94"/>
      <c r="J13" s="94"/>
      <c r="K13" s="94"/>
      <c r="L13" s="94"/>
      <c r="M13" s="96" t="s">
        <v>10</v>
      </c>
      <c r="N13" s="96"/>
      <c r="O13" s="96"/>
      <c r="P13" s="96"/>
      <c r="Q13" s="97" t="s">
        <v>11</v>
      </c>
      <c r="R13" s="97"/>
      <c r="S13" s="97"/>
      <c r="T13" s="97"/>
    </row>
    <row r="14" spans="1:20" s="1" customFormat="1" ht="16.95" customHeight="1" x14ac:dyDescent="0.25">
      <c r="A14" s="94"/>
      <c r="B14" s="94"/>
      <c r="C14" s="94"/>
      <c r="D14" s="94"/>
      <c r="E14" s="94"/>
      <c r="F14" s="94"/>
      <c r="G14" s="94"/>
      <c r="H14" s="94"/>
      <c r="I14" s="94"/>
      <c r="J14" s="94"/>
      <c r="K14" s="94"/>
      <c r="L14" s="94"/>
      <c r="M14" s="98" t="s">
        <v>12</v>
      </c>
      <c r="N14" s="98"/>
      <c r="O14" s="98" t="s">
        <v>13</v>
      </c>
      <c r="P14" s="98"/>
      <c r="Q14" s="13" t="s">
        <v>14</v>
      </c>
      <c r="R14" s="99" t="s">
        <v>15</v>
      </c>
      <c r="S14" s="99"/>
      <c r="T14" s="99"/>
    </row>
    <row r="15" spans="1:20" s="1" customFormat="1" ht="13.35" customHeight="1" x14ac:dyDescent="0.25">
      <c r="A15" s="88" t="s">
        <v>76</v>
      </c>
      <c r="B15" s="88"/>
      <c r="C15" s="88"/>
      <c r="D15" s="88"/>
      <c r="E15" s="88"/>
      <c r="F15" s="88"/>
      <c r="G15" s="88"/>
      <c r="H15" s="88"/>
      <c r="I15" s="88"/>
      <c r="J15" s="88"/>
      <c r="K15" s="88"/>
      <c r="L15" s="88"/>
      <c r="M15" s="88">
        <f>2*250/200</f>
        <v>2.5</v>
      </c>
      <c r="N15" s="88"/>
      <c r="O15" s="88">
        <f>1.7*250/200</f>
        <v>2.125</v>
      </c>
      <c r="P15" s="88"/>
      <c r="Q15" s="6">
        <v>0.25</v>
      </c>
      <c r="R15" s="88">
        <v>0.21</v>
      </c>
      <c r="S15" s="88"/>
      <c r="T15" s="88"/>
    </row>
    <row r="16" spans="1:20" s="1" customFormat="1" ht="13.35" customHeight="1" x14ac:dyDescent="0.25">
      <c r="A16" s="88" t="s">
        <v>81</v>
      </c>
      <c r="B16" s="88"/>
      <c r="C16" s="88"/>
      <c r="D16" s="88"/>
      <c r="E16" s="88"/>
      <c r="F16" s="88"/>
      <c r="G16" s="88"/>
      <c r="H16" s="88"/>
      <c r="I16" s="88"/>
      <c r="J16" s="88"/>
      <c r="K16" s="88"/>
      <c r="L16" s="88"/>
      <c r="M16" s="88">
        <f>4*250/200</f>
        <v>5</v>
      </c>
      <c r="N16" s="88"/>
      <c r="O16" s="88">
        <f>3.8*250/200</f>
        <v>4.75</v>
      </c>
      <c r="P16" s="88"/>
      <c r="Q16" s="6">
        <v>0.5</v>
      </c>
      <c r="R16" s="88">
        <v>0.47499999999999998</v>
      </c>
      <c r="S16" s="88"/>
      <c r="T16" s="88"/>
    </row>
    <row r="17" spans="1:20" s="1" customFormat="1" ht="13.35" customHeight="1" x14ac:dyDescent="0.25">
      <c r="A17" s="88" t="s">
        <v>84</v>
      </c>
      <c r="B17" s="88"/>
      <c r="C17" s="88"/>
      <c r="D17" s="88"/>
      <c r="E17" s="88"/>
      <c r="F17" s="88"/>
      <c r="G17" s="88"/>
      <c r="H17" s="88"/>
      <c r="I17" s="88"/>
      <c r="J17" s="88"/>
      <c r="K17" s="88"/>
      <c r="L17" s="88"/>
      <c r="M17" s="88">
        <f>20*250/200</f>
        <v>25</v>
      </c>
      <c r="N17" s="88"/>
      <c r="O17" s="88">
        <f>16*250/200</f>
        <v>20</v>
      </c>
      <c r="P17" s="88"/>
      <c r="Q17" s="6">
        <v>2.5</v>
      </c>
      <c r="R17" s="88">
        <v>2</v>
      </c>
      <c r="S17" s="88"/>
      <c r="T17" s="88"/>
    </row>
    <row r="18" spans="1:20" s="1" customFormat="1" ht="13.35" customHeight="1" x14ac:dyDescent="0.25">
      <c r="A18" s="88" t="s">
        <v>88</v>
      </c>
      <c r="B18" s="88"/>
      <c r="C18" s="88"/>
      <c r="D18" s="88"/>
      <c r="E18" s="88"/>
      <c r="F18" s="88"/>
      <c r="G18" s="88"/>
      <c r="H18" s="88"/>
      <c r="I18" s="88"/>
      <c r="J18" s="88"/>
      <c r="K18" s="88"/>
      <c r="L18" s="88"/>
      <c r="M18" s="88">
        <f>20*250/200</f>
        <v>25</v>
      </c>
      <c r="N18" s="88"/>
      <c r="O18" s="88">
        <f>13*250/200</f>
        <v>16.25</v>
      </c>
      <c r="P18" s="88"/>
      <c r="Q18" s="6">
        <v>2.5</v>
      </c>
      <c r="R18" s="88">
        <v>1.62</v>
      </c>
      <c r="S18" s="88"/>
      <c r="T18" s="88"/>
    </row>
    <row r="19" spans="1:20" s="1" customFormat="1" ht="13.35" customHeight="1" x14ac:dyDescent="0.25">
      <c r="A19" s="88" t="s">
        <v>90</v>
      </c>
      <c r="B19" s="88"/>
      <c r="C19" s="88"/>
      <c r="D19" s="88"/>
      <c r="E19" s="88"/>
      <c r="F19" s="88"/>
      <c r="G19" s="88"/>
      <c r="H19" s="88"/>
      <c r="I19" s="88"/>
      <c r="J19" s="88"/>
      <c r="K19" s="88"/>
      <c r="L19" s="88"/>
      <c r="M19" s="88">
        <v>39</v>
      </c>
      <c r="N19" s="88"/>
      <c r="O19" s="88">
        <f>25*250/200</f>
        <v>31.25</v>
      </c>
      <c r="P19" s="88"/>
      <c r="Q19" s="30">
        <v>3.9</v>
      </c>
      <c r="R19" s="88">
        <v>3.12</v>
      </c>
      <c r="S19" s="88"/>
      <c r="T19" s="88"/>
    </row>
    <row r="20" spans="1:20" s="1" customFormat="1" ht="13.35" customHeight="1" x14ac:dyDescent="0.25">
      <c r="A20" s="88" t="s">
        <v>31</v>
      </c>
      <c r="B20" s="88"/>
      <c r="C20" s="88"/>
      <c r="D20" s="88"/>
      <c r="E20" s="88"/>
      <c r="F20" s="88"/>
      <c r="G20" s="88"/>
      <c r="H20" s="88"/>
      <c r="I20" s="88"/>
      <c r="J20" s="88"/>
      <c r="K20" s="88"/>
      <c r="L20" s="88"/>
      <c r="M20" s="88">
        <f>37.5*250/200</f>
        <v>46.875</v>
      </c>
      <c r="N20" s="88"/>
      <c r="O20" s="88">
        <f>30*250/200</f>
        <v>37.5</v>
      </c>
      <c r="P20" s="88"/>
      <c r="Q20" s="30">
        <v>4.6900000000000004</v>
      </c>
      <c r="R20" s="88">
        <v>3.75</v>
      </c>
      <c r="S20" s="88"/>
      <c r="T20" s="88"/>
    </row>
    <row r="21" spans="1:20" s="1" customFormat="1" ht="13.35" customHeight="1" x14ac:dyDescent="0.25">
      <c r="A21" s="88" t="s">
        <v>100</v>
      </c>
      <c r="B21" s="88"/>
      <c r="C21" s="88"/>
      <c r="D21" s="88"/>
      <c r="E21" s="88"/>
      <c r="F21" s="88"/>
      <c r="G21" s="88"/>
      <c r="H21" s="88"/>
      <c r="I21" s="88"/>
      <c r="J21" s="88"/>
      <c r="K21" s="88"/>
      <c r="L21" s="88"/>
      <c r="M21" s="88">
        <f>9.38*250/200</f>
        <v>11.725</v>
      </c>
      <c r="N21" s="88"/>
      <c r="O21" s="88">
        <f>7.5*250/200</f>
        <v>9.375</v>
      </c>
      <c r="P21" s="88"/>
      <c r="Q21" s="30">
        <v>1.17</v>
      </c>
      <c r="R21" s="88">
        <v>0.94</v>
      </c>
      <c r="S21" s="88"/>
      <c r="T21" s="88"/>
    </row>
    <row r="22" spans="1:20" s="1" customFormat="1" ht="13.35" customHeight="1" x14ac:dyDescent="0.25">
      <c r="A22" s="88" t="s">
        <v>21</v>
      </c>
      <c r="B22" s="88"/>
      <c r="C22" s="88"/>
      <c r="D22" s="88"/>
      <c r="E22" s="88"/>
      <c r="F22" s="88"/>
      <c r="G22" s="88"/>
      <c r="H22" s="88"/>
      <c r="I22" s="88"/>
      <c r="J22" s="88"/>
      <c r="K22" s="88"/>
      <c r="L22" s="88"/>
      <c r="M22" s="88">
        <f>9.6*250/200</f>
        <v>12</v>
      </c>
      <c r="N22" s="88"/>
      <c r="O22" s="88">
        <f>8.06*250/200</f>
        <v>10.075000000000001</v>
      </c>
      <c r="P22" s="88"/>
      <c r="Q22" s="6">
        <v>1.2</v>
      </c>
      <c r="R22" s="88">
        <v>1.07</v>
      </c>
      <c r="S22" s="88"/>
      <c r="T22" s="88"/>
    </row>
    <row r="23" spans="1:20" s="1" customFormat="1" ht="13.35" customHeight="1" x14ac:dyDescent="0.25">
      <c r="A23" s="88" t="s">
        <v>25</v>
      </c>
      <c r="B23" s="88"/>
      <c r="C23" s="88"/>
      <c r="D23" s="88"/>
      <c r="E23" s="88"/>
      <c r="F23" s="88"/>
      <c r="G23" s="88"/>
      <c r="H23" s="88"/>
      <c r="I23" s="88"/>
      <c r="J23" s="88"/>
      <c r="K23" s="88"/>
      <c r="L23" s="88"/>
      <c r="M23" s="88">
        <f>6*250/200</f>
        <v>7.5</v>
      </c>
      <c r="N23" s="88"/>
      <c r="O23" s="88">
        <v>7.5</v>
      </c>
      <c r="P23" s="88"/>
      <c r="Q23" s="6">
        <v>0.75</v>
      </c>
      <c r="R23" s="88">
        <v>0.75</v>
      </c>
      <c r="S23" s="88"/>
      <c r="T23" s="88"/>
    </row>
    <row r="24" spans="1:20" s="1" customFormat="1" ht="13.35" customHeight="1" x14ac:dyDescent="0.25">
      <c r="A24" s="88" t="s">
        <v>18</v>
      </c>
      <c r="B24" s="88"/>
      <c r="C24" s="88"/>
      <c r="D24" s="88"/>
      <c r="E24" s="88"/>
      <c r="F24" s="88"/>
      <c r="G24" s="88"/>
      <c r="H24" s="88"/>
      <c r="I24" s="88"/>
      <c r="J24" s="88"/>
      <c r="K24" s="88"/>
      <c r="L24" s="88"/>
      <c r="M24" s="88">
        <v>2.5</v>
      </c>
      <c r="N24" s="88"/>
      <c r="O24" s="88">
        <v>2.5</v>
      </c>
      <c r="P24" s="88"/>
      <c r="Q24" s="6">
        <v>0.25</v>
      </c>
      <c r="R24" s="88">
        <v>0.25</v>
      </c>
      <c r="S24" s="88"/>
      <c r="T24" s="88"/>
    </row>
    <row r="25" spans="1:20" s="1" customFormat="1" ht="13.35" customHeight="1" x14ac:dyDescent="0.25">
      <c r="A25" s="88" t="s">
        <v>949</v>
      </c>
      <c r="B25" s="88"/>
      <c r="C25" s="88"/>
      <c r="D25" s="88"/>
      <c r="E25" s="88"/>
      <c r="F25" s="88"/>
      <c r="G25" s="88"/>
      <c r="H25" s="88"/>
      <c r="I25" s="88"/>
      <c r="J25" s="88"/>
      <c r="K25" s="88"/>
      <c r="L25" s="88"/>
      <c r="M25" s="88">
        <v>2.5</v>
      </c>
      <c r="N25" s="88"/>
      <c r="O25" s="88">
        <v>2.5</v>
      </c>
      <c r="P25" s="88"/>
      <c r="Q25" s="64">
        <v>0.25</v>
      </c>
      <c r="R25" s="88">
        <v>0.25</v>
      </c>
      <c r="S25" s="88"/>
      <c r="T25" s="88"/>
    </row>
    <row r="26" spans="1:20" s="1" customFormat="1" ht="13.35" customHeight="1" x14ac:dyDescent="0.25">
      <c r="A26" s="88" t="s">
        <v>109</v>
      </c>
      <c r="B26" s="88"/>
      <c r="C26" s="88"/>
      <c r="D26" s="88"/>
      <c r="E26" s="88"/>
      <c r="F26" s="88"/>
      <c r="G26" s="88"/>
      <c r="H26" s="88"/>
      <c r="I26" s="88"/>
      <c r="J26" s="88"/>
      <c r="K26" s="88"/>
      <c r="L26" s="88"/>
      <c r="M26" s="88">
        <f>2*250/200</f>
        <v>2.5</v>
      </c>
      <c r="N26" s="88"/>
      <c r="O26" s="88">
        <v>2.5</v>
      </c>
      <c r="P26" s="88"/>
      <c r="Q26" s="6">
        <v>0.25</v>
      </c>
      <c r="R26" s="88">
        <v>0.25</v>
      </c>
      <c r="S26" s="88"/>
      <c r="T26" s="88"/>
    </row>
    <row r="27" spans="1:20" s="1" customFormat="1" ht="13.35" customHeight="1" x14ac:dyDescent="0.25">
      <c r="A27" s="88" t="s">
        <v>70</v>
      </c>
      <c r="B27" s="88"/>
      <c r="C27" s="88"/>
      <c r="D27" s="88"/>
      <c r="E27" s="88"/>
      <c r="F27" s="88"/>
      <c r="G27" s="88"/>
      <c r="H27" s="88"/>
      <c r="I27" s="88"/>
      <c r="J27" s="88"/>
      <c r="K27" s="88"/>
      <c r="L27" s="88"/>
      <c r="M27" s="88">
        <f>1.6*250/200</f>
        <v>2</v>
      </c>
      <c r="N27" s="88"/>
      <c r="O27" s="88">
        <v>2</v>
      </c>
      <c r="P27" s="88"/>
      <c r="Q27" s="6">
        <v>0.2</v>
      </c>
      <c r="R27" s="88">
        <v>0.2</v>
      </c>
      <c r="S27" s="88"/>
      <c r="T27" s="88"/>
    </row>
    <row r="28" spans="1:20" s="1" customFormat="1" ht="13.35" customHeight="1" x14ac:dyDescent="0.25">
      <c r="A28" s="88" t="s">
        <v>111</v>
      </c>
      <c r="B28" s="88"/>
      <c r="C28" s="88"/>
      <c r="D28" s="88"/>
      <c r="E28" s="88"/>
      <c r="F28" s="88"/>
      <c r="G28" s="88"/>
      <c r="H28" s="88"/>
      <c r="I28" s="88"/>
      <c r="J28" s="88"/>
      <c r="K28" s="88"/>
      <c r="L28" s="88"/>
      <c r="M28" s="88">
        <f>0.01*250/200</f>
        <v>1.2500000000000001E-2</v>
      </c>
      <c r="N28" s="88"/>
      <c r="O28" s="88">
        <v>1.2500000000000001E-2</v>
      </c>
      <c r="P28" s="88"/>
      <c r="Q28" s="6" t="s">
        <v>113</v>
      </c>
      <c r="R28" s="88" t="s">
        <v>113</v>
      </c>
      <c r="S28" s="88"/>
      <c r="T28" s="88"/>
    </row>
    <row r="29" spans="1:20" s="1" customFormat="1" ht="13.35" customHeight="1" x14ac:dyDescent="0.25">
      <c r="A29" s="88" t="s">
        <v>114</v>
      </c>
      <c r="B29" s="88"/>
      <c r="C29" s="88"/>
      <c r="D29" s="88"/>
      <c r="E29" s="88"/>
      <c r="F29" s="88"/>
      <c r="G29" s="88"/>
      <c r="H29" s="88"/>
      <c r="I29" s="88"/>
      <c r="J29" s="88"/>
      <c r="K29" s="88"/>
      <c r="L29" s="88"/>
      <c r="M29" s="88">
        <f>160*250/200</f>
        <v>200</v>
      </c>
      <c r="N29" s="88"/>
      <c r="O29" s="88">
        <v>200</v>
      </c>
      <c r="P29" s="88"/>
      <c r="Q29" s="6">
        <v>2</v>
      </c>
      <c r="R29" s="88">
        <v>2</v>
      </c>
      <c r="S29" s="88"/>
      <c r="T29" s="88"/>
    </row>
    <row r="30" spans="1:20" s="1" customFormat="1" ht="14.1" customHeight="1" x14ac:dyDescent="0.25">
      <c r="A30" s="90" t="s">
        <v>790</v>
      </c>
      <c r="B30" s="90"/>
      <c r="C30" s="90"/>
      <c r="D30" s="90"/>
      <c r="E30" s="90"/>
      <c r="F30" s="90"/>
      <c r="G30" s="90"/>
      <c r="H30" s="90"/>
      <c r="I30" s="90"/>
      <c r="J30" s="90"/>
      <c r="K30" s="90"/>
      <c r="L30" s="90"/>
      <c r="M30" s="90"/>
      <c r="N30" s="90"/>
      <c r="O30" s="90"/>
      <c r="P30" s="90"/>
      <c r="Q30" s="90"/>
      <c r="R30" s="90"/>
      <c r="S30" s="90"/>
      <c r="T30" s="90"/>
    </row>
    <row r="31" spans="1:20" s="1" customFormat="1" ht="21.3" customHeight="1" x14ac:dyDescent="0.25"/>
    <row r="32" spans="1:20" s="1" customFormat="1" ht="14.1" customHeight="1" x14ac:dyDescent="0.25">
      <c r="A32" s="91" t="s">
        <v>33</v>
      </c>
      <c r="B32" s="91"/>
      <c r="C32" s="91"/>
      <c r="D32" s="91"/>
      <c r="E32" s="91"/>
      <c r="F32" s="91"/>
      <c r="G32" s="91"/>
      <c r="H32" s="91"/>
      <c r="I32" s="91"/>
      <c r="J32" s="91"/>
      <c r="K32" s="91"/>
      <c r="L32" s="91"/>
      <c r="M32" s="91"/>
      <c r="N32" s="91"/>
    </row>
    <row r="33" spans="1:19" s="1" customFormat="1" ht="13.35" customHeight="1" x14ac:dyDescent="0.25">
      <c r="A33" s="88" t="s">
        <v>34</v>
      </c>
      <c r="B33" s="88"/>
      <c r="C33" s="88"/>
      <c r="D33" s="88"/>
      <c r="E33" s="89">
        <f>2.2*250/200</f>
        <v>2.75</v>
      </c>
      <c r="F33" s="89"/>
      <c r="G33" s="17"/>
      <c r="H33" s="6" t="s">
        <v>35</v>
      </c>
      <c r="I33" s="89">
        <v>0.05</v>
      </c>
      <c r="J33" s="89"/>
      <c r="K33" s="17"/>
      <c r="L33" s="88" t="s">
        <v>36</v>
      </c>
      <c r="M33" s="88"/>
      <c r="N33" s="89">
        <v>53.29</v>
      </c>
      <c r="O33" s="89"/>
    </row>
    <row r="34" spans="1:19" s="1" customFormat="1" ht="13.35" customHeight="1" x14ac:dyDescent="0.25">
      <c r="A34" s="88" t="s">
        <v>37</v>
      </c>
      <c r="B34" s="88"/>
      <c r="C34" s="88"/>
      <c r="D34" s="88"/>
      <c r="E34" s="89">
        <f>4.1*250/200</f>
        <v>5.125</v>
      </c>
      <c r="F34" s="89"/>
      <c r="G34" s="17"/>
      <c r="H34" s="6" t="s">
        <v>38</v>
      </c>
      <c r="I34" s="89">
        <v>11.74</v>
      </c>
      <c r="J34" s="89"/>
      <c r="K34" s="17"/>
      <c r="L34" s="88" t="s">
        <v>39</v>
      </c>
      <c r="M34" s="88"/>
      <c r="N34" s="89">
        <v>26.75</v>
      </c>
      <c r="O34" s="89"/>
    </row>
    <row r="35" spans="1:19" s="1" customFormat="1" ht="13.35" customHeight="1" x14ac:dyDescent="0.25">
      <c r="A35" s="88" t="s">
        <v>40</v>
      </c>
      <c r="B35" s="88"/>
      <c r="C35" s="88"/>
      <c r="D35" s="88"/>
      <c r="E35" s="89">
        <f>12.9*250/200</f>
        <v>16.125</v>
      </c>
      <c r="F35" s="89"/>
      <c r="G35" s="17"/>
      <c r="H35" s="6" t="s">
        <v>41</v>
      </c>
      <c r="I35" s="89">
        <v>0.2</v>
      </c>
      <c r="J35" s="89"/>
      <c r="K35" s="17"/>
      <c r="L35" s="88" t="s">
        <v>42</v>
      </c>
      <c r="M35" s="88"/>
      <c r="N35" s="89">
        <v>50.95</v>
      </c>
      <c r="O35" s="89"/>
    </row>
    <row r="36" spans="1:19" s="1" customFormat="1" ht="13.35" customHeight="1" x14ac:dyDescent="0.25">
      <c r="A36" s="88" t="s">
        <v>43</v>
      </c>
      <c r="B36" s="88"/>
      <c r="C36" s="88"/>
      <c r="D36" s="88"/>
      <c r="E36" s="89">
        <f>88.4*250/200</f>
        <v>110.5</v>
      </c>
      <c r="F36" s="89"/>
      <c r="G36" s="17"/>
      <c r="H36" s="6" t="s">
        <v>44</v>
      </c>
      <c r="I36" s="89">
        <v>1.96</v>
      </c>
      <c r="J36" s="89"/>
      <c r="K36" s="17"/>
      <c r="L36" s="88" t="s">
        <v>45</v>
      </c>
      <c r="M36" s="88"/>
      <c r="N36" s="89">
        <v>1.22</v>
      </c>
      <c r="O36" s="89"/>
    </row>
    <row r="37" spans="1:19" s="1" customFormat="1" ht="13.35" customHeight="1" x14ac:dyDescent="0.25">
      <c r="A37" s="87"/>
      <c r="B37" s="87"/>
      <c r="C37" s="87"/>
      <c r="D37" s="87"/>
      <c r="E37" s="87"/>
      <c r="F37" s="87"/>
      <c r="G37" s="17"/>
      <c r="H37" s="6" t="s">
        <v>46</v>
      </c>
      <c r="I37" s="89">
        <v>0</v>
      </c>
      <c r="J37" s="89"/>
      <c r="K37" s="17"/>
      <c r="L37" s="88" t="s">
        <v>47</v>
      </c>
      <c r="M37" s="88"/>
      <c r="N37" s="89">
        <v>428.11</v>
      </c>
      <c r="O37" s="89"/>
    </row>
    <row r="38" spans="1:19" s="1" customFormat="1" ht="13.35" customHeight="1" x14ac:dyDescent="0.25">
      <c r="A38" s="87"/>
      <c r="B38" s="87"/>
      <c r="C38" s="87"/>
      <c r="D38" s="87"/>
      <c r="E38" s="87"/>
      <c r="F38" s="87"/>
      <c r="G38" s="17"/>
      <c r="H38" s="6" t="s">
        <v>48</v>
      </c>
      <c r="I38" s="89">
        <v>0.06</v>
      </c>
      <c r="J38" s="89"/>
      <c r="K38" s="17"/>
      <c r="L38" s="88" t="s">
        <v>49</v>
      </c>
      <c r="M38" s="88"/>
      <c r="N38" s="89">
        <v>5.28</v>
      </c>
      <c r="O38" s="89"/>
    </row>
    <row r="39" spans="1:19" s="1" customFormat="1" ht="13.35" customHeight="1" x14ac:dyDescent="0.25">
      <c r="A39" s="87"/>
      <c r="B39" s="87"/>
      <c r="C39" s="87"/>
      <c r="D39" s="87"/>
      <c r="E39" s="87"/>
      <c r="F39" s="87"/>
      <c r="G39" s="17"/>
      <c r="H39" s="17"/>
      <c r="I39" s="87"/>
      <c r="J39" s="87"/>
      <c r="K39" s="17"/>
      <c r="L39" s="88" t="s">
        <v>50</v>
      </c>
      <c r="M39" s="88"/>
      <c r="N39" s="89">
        <v>0.03</v>
      </c>
      <c r="O39" s="89"/>
    </row>
    <row r="40" spans="1:19" s="1" customFormat="1" ht="13.35" customHeight="1" x14ac:dyDescent="0.25">
      <c r="A40" s="87"/>
      <c r="B40" s="87"/>
      <c r="C40" s="87"/>
      <c r="D40" s="87"/>
      <c r="E40" s="87"/>
      <c r="F40" s="87"/>
      <c r="G40" s="17"/>
      <c r="H40" s="17"/>
      <c r="I40" s="87"/>
      <c r="J40" s="87"/>
      <c r="K40" s="17"/>
      <c r="L40" s="88" t="s">
        <v>51</v>
      </c>
      <c r="M40" s="88"/>
      <c r="N40" s="89">
        <v>0</v>
      </c>
      <c r="O40" s="89"/>
    </row>
    <row r="41" spans="1:19" s="1" customFormat="1" ht="14.1" customHeight="1" x14ac:dyDescent="0.25">
      <c r="A41" s="86"/>
      <c r="B41" s="86"/>
      <c r="C41" s="86"/>
      <c r="D41" s="86"/>
      <c r="E41" s="86"/>
      <c r="F41" s="86"/>
      <c r="G41" s="86"/>
      <c r="H41" s="86"/>
      <c r="I41" s="86"/>
      <c r="J41" s="86"/>
      <c r="K41" s="86"/>
      <c r="L41" s="86"/>
      <c r="M41" s="86"/>
      <c r="N41" s="86"/>
      <c r="O41" s="86"/>
      <c r="P41" s="86"/>
      <c r="Q41" s="86"/>
      <c r="R41" s="86"/>
      <c r="S41" s="86"/>
    </row>
    <row r="42" spans="1:19" s="1" customFormat="1" ht="14.1" customHeight="1" x14ac:dyDescent="0.25">
      <c r="A42" s="84" t="s">
        <v>52</v>
      </c>
      <c r="B42" s="84"/>
      <c r="C42" s="84"/>
      <c r="D42" s="84"/>
      <c r="E42" s="84"/>
      <c r="F42" s="84"/>
      <c r="G42" s="84"/>
      <c r="H42" s="84"/>
      <c r="I42" s="84"/>
      <c r="J42" s="84"/>
      <c r="K42" s="84"/>
      <c r="L42" s="84"/>
      <c r="M42" s="84"/>
      <c r="N42" s="84"/>
      <c r="O42" s="84"/>
      <c r="P42" s="84"/>
      <c r="Q42" s="84"/>
      <c r="R42" s="84"/>
      <c r="S42" s="84"/>
    </row>
    <row r="43" spans="1:19" s="1" customFormat="1" ht="316.05" customHeight="1" x14ac:dyDescent="0.25">
      <c r="A43" s="85" t="s">
        <v>117</v>
      </c>
      <c r="B43" s="85"/>
      <c r="C43" s="85"/>
      <c r="D43" s="85"/>
      <c r="E43" s="85"/>
      <c r="F43" s="85"/>
      <c r="G43" s="85"/>
      <c r="H43" s="85"/>
      <c r="I43" s="85"/>
      <c r="J43" s="85"/>
      <c r="K43" s="85"/>
      <c r="L43" s="85"/>
      <c r="M43" s="85"/>
      <c r="N43" s="85"/>
      <c r="O43" s="85"/>
      <c r="P43" s="85"/>
      <c r="Q43" s="85"/>
      <c r="R43" s="85"/>
      <c r="S43" s="85"/>
    </row>
    <row r="44" spans="1:19" s="1" customFormat="1" ht="14.1" customHeight="1" x14ac:dyDescent="0.25">
      <c r="A44" s="84" t="s">
        <v>54</v>
      </c>
      <c r="B44" s="84"/>
      <c r="C44" s="84"/>
      <c r="D44" s="84"/>
      <c r="E44" s="84"/>
      <c r="F44" s="84"/>
      <c r="G44" s="84"/>
      <c r="H44" s="84"/>
      <c r="I44" s="84"/>
      <c r="J44" s="84"/>
      <c r="K44" s="84"/>
      <c r="L44" s="84"/>
      <c r="M44" s="84"/>
      <c r="N44" s="84"/>
      <c r="O44" s="84"/>
      <c r="P44" s="84"/>
      <c r="Q44" s="84"/>
      <c r="R44" s="84"/>
      <c r="S44" s="84"/>
    </row>
    <row r="45" spans="1:19" s="1" customFormat="1" ht="12.15" customHeight="1" x14ac:dyDescent="0.25">
      <c r="A45" s="85" t="s">
        <v>728</v>
      </c>
      <c r="B45" s="85"/>
      <c r="C45" s="85"/>
      <c r="D45" s="85"/>
      <c r="E45" s="85"/>
      <c r="F45" s="85"/>
      <c r="G45" s="85"/>
      <c r="H45" s="85"/>
      <c r="I45" s="85"/>
      <c r="J45" s="85"/>
      <c r="K45" s="85"/>
      <c r="L45" s="85"/>
      <c r="M45" s="85"/>
      <c r="N45" s="85"/>
      <c r="O45" s="85"/>
      <c r="P45" s="85"/>
      <c r="Q45" s="85"/>
      <c r="R45" s="85"/>
      <c r="S45" s="85"/>
    </row>
    <row r="46" spans="1:19" s="1" customFormat="1" ht="14.1" customHeight="1" x14ac:dyDescent="0.25">
      <c r="A46" s="86"/>
      <c r="B46" s="86"/>
      <c r="C46" s="86"/>
      <c r="D46" s="86"/>
      <c r="E46" s="86"/>
      <c r="F46" s="86"/>
      <c r="G46" s="86"/>
      <c r="H46" s="86"/>
      <c r="I46" s="86"/>
      <c r="J46" s="86"/>
      <c r="K46" s="86"/>
      <c r="L46" s="86"/>
      <c r="M46" s="86"/>
      <c r="N46" s="86"/>
      <c r="O46" s="86"/>
      <c r="P46" s="86"/>
      <c r="Q46" s="86"/>
      <c r="R46" s="86"/>
      <c r="S46" s="86"/>
    </row>
    <row r="47" spans="1:19" s="1" customFormat="1" ht="14.1" customHeight="1" x14ac:dyDescent="0.25">
      <c r="A47" s="84" t="s">
        <v>56</v>
      </c>
      <c r="B47" s="84"/>
      <c r="C47" s="84"/>
      <c r="D47" s="84"/>
      <c r="E47" s="84"/>
      <c r="F47" s="84"/>
      <c r="G47" s="84"/>
      <c r="H47" s="84"/>
      <c r="I47" s="84"/>
      <c r="J47" s="84"/>
      <c r="K47" s="84"/>
      <c r="L47" s="84"/>
      <c r="M47" s="84"/>
      <c r="N47" s="84"/>
      <c r="O47" s="84"/>
      <c r="P47" s="84"/>
      <c r="Q47" s="84"/>
      <c r="R47" s="84"/>
      <c r="S47" s="84"/>
    </row>
    <row r="48" spans="1:19" s="1" customFormat="1" ht="58.5" customHeight="1" x14ac:dyDescent="0.25">
      <c r="A48" s="85" t="s">
        <v>118</v>
      </c>
      <c r="B48" s="85"/>
      <c r="C48" s="85"/>
      <c r="D48" s="85"/>
      <c r="E48" s="85"/>
      <c r="F48" s="85"/>
      <c r="G48" s="85"/>
      <c r="H48" s="85"/>
      <c r="I48" s="85"/>
      <c r="J48" s="85"/>
      <c r="K48" s="85"/>
      <c r="L48" s="85"/>
      <c r="M48" s="85"/>
      <c r="N48" s="85"/>
      <c r="O48" s="85"/>
      <c r="P48" s="85"/>
      <c r="Q48" s="85"/>
      <c r="R48" s="85"/>
      <c r="S48" s="85"/>
    </row>
    <row r="49" spans="1:20" s="1" customFormat="1" ht="72.45" customHeight="1" x14ac:dyDescent="0.25">
      <c r="J49" s="100" t="s">
        <v>0</v>
      </c>
      <c r="K49" s="100"/>
      <c r="L49" s="100"/>
      <c r="M49" s="100"/>
      <c r="N49" s="100"/>
      <c r="O49" s="100"/>
      <c r="P49" s="100"/>
      <c r="Q49" s="100"/>
      <c r="R49" s="100"/>
      <c r="S49" s="100"/>
      <c r="T49" s="100"/>
    </row>
    <row r="50" spans="1:20" s="1" customFormat="1" ht="7.05" customHeight="1" x14ac:dyDescent="0.25"/>
    <row r="51" spans="1:20" s="1" customFormat="1" ht="14.1" customHeight="1" x14ac:dyDescent="0.25">
      <c r="B51" s="101" t="s">
        <v>119</v>
      </c>
      <c r="C51" s="101"/>
      <c r="D51" s="101"/>
      <c r="E51" s="101"/>
      <c r="F51" s="101"/>
      <c r="G51" s="101"/>
      <c r="H51" s="101"/>
      <c r="I51" s="101"/>
      <c r="J51" s="101"/>
      <c r="K51" s="101"/>
      <c r="L51" s="101"/>
      <c r="M51" s="101"/>
      <c r="N51" s="101"/>
      <c r="O51" s="101"/>
      <c r="P51" s="101"/>
      <c r="Q51" s="101"/>
      <c r="R51" s="101"/>
    </row>
    <row r="52" spans="1:20" s="1" customFormat="1" ht="14.1" customHeight="1" x14ac:dyDescent="0.25"/>
    <row r="53" spans="1:20" s="1" customFormat="1" ht="14.1" customHeight="1" x14ac:dyDescent="0.25">
      <c r="A53" s="102" t="s">
        <v>2</v>
      </c>
      <c r="B53" s="102"/>
      <c r="C53" s="102"/>
      <c r="D53" s="103" t="s">
        <v>120</v>
      </c>
      <c r="E53" s="103"/>
      <c r="F53" s="103"/>
      <c r="G53" s="103"/>
      <c r="H53" s="103"/>
      <c r="I53" s="103"/>
      <c r="J53" s="103"/>
      <c r="K53" s="103"/>
      <c r="L53" s="103"/>
      <c r="M53" s="103"/>
      <c r="N53" s="103"/>
      <c r="O53" s="103"/>
      <c r="P53" s="103"/>
      <c r="Q53" s="103"/>
      <c r="R53" s="103"/>
      <c r="S53" s="103"/>
      <c r="T53" s="103"/>
    </row>
    <row r="54" spans="1:20" s="1" customFormat="1" ht="14.1" customHeight="1" x14ac:dyDescent="0.25">
      <c r="A54" s="102" t="s">
        <v>4</v>
      </c>
      <c r="B54" s="102"/>
      <c r="C54" s="103" t="s">
        <v>121</v>
      </c>
      <c r="D54" s="103"/>
      <c r="E54" s="103"/>
      <c r="F54" s="103"/>
      <c r="G54" s="103"/>
      <c r="H54" s="103"/>
      <c r="I54" s="103"/>
      <c r="J54" s="103"/>
      <c r="K54" s="103"/>
      <c r="L54" s="103"/>
      <c r="M54" s="103"/>
      <c r="N54" s="103"/>
      <c r="O54" s="103"/>
      <c r="P54" s="103"/>
      <c r="Q54" s="103"/>
      <c r="R54" s="103"/>
      <c r="S54" s="103"/>
      <c r="T54" s="103"/>
    </row>
    <row r="55" spans="1:20" s="1" customFormat="1" ht="14.1" customHeight="1" x14ac:dyDescent="0.25">
      <c r="A55" s="102" t="s">
        <v>6</v>
      </c>
      <c r="B55" s="102"/>
      <c r="C55" s="102"/>
      <c r="D55" s="102"/>
      <c r="E55" s="102"/>
      <c r="F55" s="103" t="s">
        <v>60</v>
      </c>
      <c r="G55" s="103"/>
      <c r="H55" s="103"/>
      <c r="I55" s="103"/>
      <c r="J55" s="103"/>
      <c r="K55" s="103"/>
      <c r="L55" s="103"/>
      <c r="M55" s="103"/>
      <c r="N55" s="103"/>
      <c r="O55" s="103"/>
      <c r="P55" s="103"/>
      <c r="Q55" s="103"/>
      <c r="R55" s="103"/>
      <c r="S55" s="103"/>
      <c r="T55" s="103"/>
    </row>
    <row r="56" spans="1:20" s="1" customFormat="1" ht="22.35" customHeight="1" x14ac:dyDescent="0.25">
      <c r="F56" s="103"/>
      <c r="G56" s="103"/>
      <c r="H56" s="103"/>
      <c r="I56" s="103"/>
      <c r="J56" s="103"/>
      <c r="K56" s="103"/>
      <c r="L56" s="103"/>
      <c r="M56" s="103"/>
      <c r="N56" s="103"/>
      <c r="O56" s="103"/>
      <c r="P56" s="103"/>
      <c r="Q56" s="103"/>
      <c r="R56" s="103"/>
      <c r="S56" s="103"/>
      <c r="T56" s="103"/>
    </row>
    <row r="57" spans="1:20" s="1" customFormat="1" ht="7.05" customHeight="1" x14ac:dyDescent="0.25">
      <c r="A57" s="86"/>
      <c r="B57" s="86"/>
      <c r="C57" s="86"/>
      <c r="D57" s="86"/>
      <c r="E57" s="86"/>
      <c r="F57" s="86"/>
      <c r="G57" s="86"/>
      <c r="H57" s="86"/>
      <c r="I57" s="86"/>
      <c r="J57" s="86"/>
      <c r="K57" s="86"/>
      <c r="L57" s="86"/>
      <c r="M57" s="86"/>
      <c r="N57" s="86"/>
      <c r="O57" s="86"/>
      <c r="P57" s="86"/>
      <c r="Q57" s="16"/>
      <c r="R57" s="86"/>
      <c r="S57" s="86"/>
      <c r="T57" s="86"/>
    </row>
    <row r="58" spans="1:20" s="1" customFormat="1" ht="16.95" customHeight="1" x14ac:dyDescent="0.25">
      <c r="A58" s="94" t="s">
        <v>8</v>
      </c>
      <c r="B58" s="94"/>
      <c r="C58" s="94"/>
      <c r="D58" s="94"/>
      <c r="E58" s="94"/>
      <c r="F58" s="94"/>
      <c r="G58" s="94"/>
      <c r="H58" s="94"/>
      <c r="I58" s="94"/>
      <c r="J58" s="94"/>
      <c r="K58" s="94"/>
      <c r="L58" s="94"/>
      <c r="M58" s="95" t="s">
        <v>9</v>
      </c>
      <c r="N58" s="95"/>
      <c r="O58" s="95"/>
      <c r="P58" s="95"/>
      <c r="Q58" s="95"/>
      <c r="R58" s="95"/>
      <c r="S58" s="95"/>
      <c r="T58" s="95"/>
    </row>
    <row r="59" spans="1:20" s="1" customFormat="1" ht="16.95" customHeight="1" x14ac:dyDescent="0.25">
      <c r="A59" s="94"/>
      <c r="B59" s="94"/>
      <c r="C59" s="94"/>
      <c r="D59" s="94"/>
      <c r="E59" s="94"/>
      <c r="F59" s="94"/>
      <c r="G59" s="94"/>
      <c r="H59" s="94"/>
      <c r="I59" s="94"/>
      <c r="J59" s="94"/>
      <c r="K59" s="94"/>
      <c r="L59" s="94"/>
      <c r="M59" s="96" t="s">
        <v>10</v>
      </c>
      <c r="N59" s="96"/>
      <c r="O59" s="96"/>
      <c r="P59" s="96"/>
      <c r="Q59" s="97" t="s">
        <v>11</v>
      </c>
      <c r="R59" s="97"/>
      <c r="S59" s="97"/>
      <c r="T59" s="97"/>
    </row>
    <row r="60" spans="1:20" s="1" customFormat="1" ht="16.95" customHeight="1" x14ac:dyDescent="0.25">
      <c r="A60" s="94"/>
      <c r="B60" s="94"/>
      <c r="C60" s="94"/>
      <c r="D60" s="94"/>
      <c r="E60" s="94"/>
      <c r="F60" s="94"/>
      <c r="G60" s="94"/>
      <c r="H60" s="94"/>
      <c r="I60" s="94"/>
      <c r="J60" s="94"/>
      <c r="K60" s="94"/>
      <c r="L60" s="94"/>
      <c r="M60" s="98" t="s">
        <v>12</v>
      </c>
      <c r="N60" s="98"/>
      <c r="O60" s="98" t="s">
        <v>13</v>
      </c>
      <c r="P60" s="98"/>
      <c r="Q60" s="13" t="s">
        <v>14</v>
      </c>
      <c r="R60" s="99" t="s">
        <v>15</v>
      </c>
      <c r="S60" s="99"/>
      <c r="T60" s="99"/>
    </row>
    <row r="61" spans="1:20" s="1" customFormat="1" ht="13.35" customHeight="1" x14ac:dyDescent="0.25">
      <c r="A61" s="88" t="s">
        <v>90</v>
      </c>
      <c r="B61" s="88"/>
      <c r="C61" s="88"/>
      <c r="D61" s="88"/>
      <c r="E61" s="88"/>
      <c r="F61" s="88"/>
      <c r="G61" s="88"/>
      <c r="H61" s="88"/>
      <c r="I61" s="88"/>
      <c r="J61" s="88"/>
      <c r="K61" s="88"/>
      <c r="L61" s="88"/>
      <c r="M61" s="132">
        <f>37.5*250/200</f>
        <v>46.875</v>
      </c>
      <c r="N61" s="132"/>
      <c r="O61" s="132">
        <f>30*250/200</f>
        <v>37.5</v>
      </c>
      <c r="P61" s="132"/>
      <c r="Q61" s="25">
        <v>4.68</v>
      </c>
      <c r="R61" s="132">
        <v>3.75</v>
      </c>
      <c r="S61" s="132"/>
      <c r="T61" s="132"/>
    </row>
    <row r="62" spans="1:20" s="1" customFormat="1" ht="13.35" customHeight="1" x14ac:dyDescent="0.25">
      <c r="A62" s="88" t="s">
        <v>31</v>
      </c>
      <c r="B62" s="88"/>
      <c r="C62" s="88"/>
      <c r="D62" s="88"/>
      <c r="E62" s="88"/>
      <c r="F62" s="88"/>
      <c r="G62" s="88"/>
      <c r="H62" s="88"/>
      <c r="I62" s="88"/>
      <c r="J62" s="88"/>
      <c r="K62" s="88"/>
      <c r="L62" s="88"/>
      <c r="M62" s="132">
        <f>23.05*250/200</f>
        <v>28.8125</v>
      </c>
      <c r="N62" s="132"/>
      <c r="O62" s="132">
        <f>17.29*250/200</f>
        <v>21.612500000000001</v>
      </c>
      <c r="P62" s="132"/>
      <c r="Q62" s="25">
        <v>2.88</v>
      </c>
      <c r="R62" s="132">
        <v>2.16</v>
      </c>
      <c r="S62" s="132"/>
      <c r="T62" s="132"/>
    </row>
    <row r="63" spans="1:20" s="1" customFormat="1" ht="13.35" customHeight="1" x14ac:dyDescent="0.25">
      <c r="A63" s="88" t="s">
        <v>123</v>
      </c>
      <c r="B63" s="88"/>
      <c r="C63" s="88"/>
      <c r="D63" s="88"/>
      <c r="E63" s="88"/>
      <c r="F63" s="88"/>
      <c r="G63" s="88"/>
      <c r="H63" s="88"/>
      <c r="I63" s="88"/>
      <c r="J63" s="88"/>
      <c r="K63" s="88"/>
      <c r="L63" s="88"/>
      <c r="M63" s="132">
        <f>8*250/200</f>
        <v>10</v>
      </c>
      <c r="N63" s="132"/>
      <c r="O63" s="132">
        <v>10</v>
      </c>
      <c r="P63" s="132"/>
      <c r="Q63" s="25">
        <v>1</v>
      </c>
      <c r="R63" s="132">
        <v>1</v>
      </c>
      <c r="S63" s="132"/>
      <c r="T63" s="132"/>
    </row>
    <row r="64" spans="1:20" s="1" customFormat="1" ht="13.35" customHeight="1" x14ac:dyDescent="0.25">
      <c r="A64" s="88" t="s">
        <v>100</v>
      </c>
      <c r="B64" s="88"/>
      <c r="C64" s="88"/>
      <c r="D64" s="88"/>
      <c r="E64" s="88"/>
      <c r="F64" s="88"/>
      <c r="G64" s="88"/>
      <c r="H64" s="88"/>
      <c r="I64" s="88"/>
      <c r="J64" s="88"/>
      <c r="K64" s="88"/>
      <c r="L64" s="88"/>
      <c r="M64" s="132">
        <f>9.38*250/200</f>
        <v>11.725</v>
      </c>
      <c r="N64" s="132"/>
      <c r="O64" s="132">
        <f>7.5*250/200</f>
        <v>9.375</v>
      </c>
      <c r="P64" s="132"/>
      <c r="Q64" s="25">
        <v>1.17</v>
      </c>
      <c r="R64" s="132">
        <v>0.94</v>
      </c>
      <c r="S64" s="132"/>
      <c r="T64" s="132"/>
    </row>
    <row r="65" spans="1:20" s="1" customFormat="1" ht="13.35" customHeight="1" x14ac:dyDescent="0.25">
      <c r="A65" s="88" t="s">
        <v>81</v>
      </c>
      <c r="B65" s="88"/>
      <c r="C65" s="88"/>
      <c r="D65" s="88"/>
      <c r="E65" s="88"/>
      <c r="F65" s="88"/>
      <c r="G65" s="88"/>
      <c r="H65" s="88"/>
      <c r="I65" s="88"/>
      <c r="J65" s="88"/>
      <c r="K65" s="88"/>
      <c r="L65" s="88"/>
      <c r="M65" s="132">
        <f>2.05*250/200</f>
        <v>2.5625</v>
      </c>
      <c r="N65" s="132"/>
      <c r="O65" s="132">
        <f>1.95*250/200</f>
        <v>2.4375</v>
      </c>
      <c r="P65" s="132"/>
      <c r="Q65" s="25">
        <v>0.25</v>
      </c>
      <c r="R65" s="132">
        <v>0.24</v>
      </c>
      <c r="S65" s="132"/>
      <c r="T65" s="132"/>
    </row>
    <row r="66" spans="1:20" s="1" customFormat="1" ht="13.35" customHeight="1" x14ac:dyDescent="0.25">
      <c r="A66" s="88" t="s">
        <v>21</v>
      </c>
      <c r="B66" s="88"/>
      <c r="C66" s="88"/>
      <c r="D66" s="88"/>
      <c r="E66" s="88"/>
      <c r="F66" s="88"/>
      <c r="G66" s="88"/>
      <c r="H66" s="88"/>
      <c r="I66" s="88"/>
      <c r="J66" s="88"/>
      <c r="K66" s="88"/>
      <c r="L66" s="88"/>
      <c r="M66" s="132">
        <f>9.6*250/200</f>
        <v>12</v>
      </c>
      <c r="N66" s="132"/>
      <c r="O66" s="132">
        <f>8.06*250/200</f>
        <v>10.075000000000001</v>
      </c>
      <c r="P66" s="132"/>
      <c r="Q66" s="25">
        <v>1.2</v>
      </c>
      <c r="R66" s="132">
        <v>1</v>
      </c>
      <c r="S66" s="132"/>
      <c r="T66" s="132"/>
    </row>
    <row r="67" spans="1:20" s="1" customFormat="1" ht="13.35" customHeight="1" x14ac:dyDescent="0.25">
      <c r="A67" s="88" t="s">
        <v>126</v>
      </c>
      <c r="B67" s="88"/>
      <c r="C67" s="88"/>
      <c r="D67" s="88"/>
      <c r="E67" s="88"/>
      <c r="F67" s="88"/>
      <c r="G67" s="88"/>
      <c r="H67" s="88"/>
      <c r="I67" s="88"/>
      <c r="J67" s="88"/>
      <c r="K67" s="88"/>
      <c r="L67" s="88"/>
      <c r="M67" s="132">
        <f>6*250/200</f>
        <v>7.5</v>
      </c>
      <c r="N67" s="132"/>
      <c r="O67" s="132">
        <v>7.5</v>
      </c>
      <c r="P67" s="132"/>
      <c r="Q67" s="25">
        <v>0.75</v>
      </c>
      <c r="R67" s="132">
        <v>0.75</v>
      </c>
      <c r="S67" s="132"/>
      <c r="T67" s="132"/>
    </row>
    <row r="68" spans="1:20" s="1" customFormat="1" ht="13.35" customHeight="1" x14ac:dyDescent="0.25">
      <c r="A68" s="88" t="s">
        <v>18</v>
      </c>
      <c r="B68" s="88"/>
      <c r="C68" s="88"/>
      <c r="D68" s="88"/>
      <c r="E68" s="88"/>
      <c r="F68" s="88"/>
      <c r="G68" s="88"/>
      <c r="H68" s="88"/>
      <c r="I68" s="88"/>
      <c r="J68" s="88"/>
      <c r="K68" s="88"/>
      <c r="L68" s="88"/>
      <c r="M68" s="132">
        <v>2.5</v>
      </c>
      <c r="N68" s="132"/>
      <c r="O68" s="132">
        <v>2.5</v>
      </c>
      <c r="P68" s="132"/>
      <c r="Q68" s="25">
        <v>0.25</v>
      </c>
      <c r="R68" s="132">
        <v>0.25</v>
      </c>
      <c r="S68" s="132"/>
      <c r="T68" s="132"/>
    </row>
    <row r="69" spans="1:20" s="1" customFormat="1" ht="13.35" customHeight="1" x14ac:dyDescent="0.25">
      <c r="A69" s="88" t="s">
        <v>949</v>
      </c>
      <c r="B69" s="88"/>
      <c r="C69" s="88"/>
      <c r="D69" s="88"/>
      <c r="E69" s="88"/>
      <c r="F69" s="88"/>
      <c r="G69" s="88"/>
      <c r="H69" s="88"/>
      <c r="I69" s="88"/>
      <c r="J69" s="88"/>
      <c r="K69" s="88"/>
      <c r="L69" s="88"/>
      <c r="M69" s="88">
        <v>2.5</v>
      </c>
      <c r="N69" s="88"/>
      <c r="O69" s="88">
        <v>2.5</v>
      </c>
      <c r="P69" s="88"/>
      <c r="Q69" s="64">
        <v>0.25</v>
      </c>
      <c r="R69" s="88">
        <v>0.25</v>
      </c>
      <c r="S69" s="88"/>
      <c r="T69" s="88"/>
    </row>
    <row r="70" spans="1:20" s="1" customFormat="1" ht="13.35" customHeight="1" x14ac:dyDescent="0.25">
      <c r="A70" s="88" t="s">
        <v>76</v>
      </c>
      <c r="B70" s="88"/>
      <c r="C70" s="88"/>
      <c r="D70" s="88"/>
      <c r="E70" s="88"/>
      <c r="F70" s="88"/>
      <c r="G70" s="88"/>
      <c r="H70" s="88"/>
      <c r="I70" s="88"/>
      <c r="J70" s="88"/>
      <c r="K70" s="88"/>
      <c r="L70" s="88"/>
      <c r="M70" s="132">
        <f>0.8*250/200</f>
        <v>1</v>
      </c>
      <c r="N70" s="132"/>
      <c r="O70" s="132">
        <f>0.68*250/200</f>
        <v>0.85</v>
      </c>
      <c r="P70" s="132"/>
      <c r="Q70" s="25">
        <v>0.1</v>
      </c>
      <c r="R70" s="132">
        <v>0.08</v>
      </c>
      <c r="S70" s="132"/>
      <c r="T70" s="132"/>
    </row>
    <row r="71" spans="1:20" s="1" customFormat="1" ht="13.35" customHeight="1" x14ac:dyDescent="0.25">
      <c r="A71" s="88" t="s">
        <v>109</v>
      </c>
      <c r="B71" s="88"/>
      <c r="C71" s="88"/>
      <c r="D71" s="88"/>
      <c r="E71" s="88"/>
      <c r="F71" s="88"/>
      <c r="G71" s="88"/>
      <c r="H71" s="88"/>
      <c r="I71" s="88"/>
      <c r="J71" s="88"/>
      <c r="K71" s="88"/>
      <c r="L71" s="88"/>
      <c r="M71" s="132">
        <f>1.2*250/200</f>
        <v>1.5</v>
      </c>
      <c r="N71" s="132"/>
      <c r="O71" s="132">
        <v>1.5</v>
      </c>
      <c r="P71" s="132"/>
      <c r="Q71" s="25">
        <v>0.15</v>
      </c>
      <c r="R71" s="132">
        <v>0.15</v>
      </c>
      <c r="S71" s="132"/>
      <c r="T71" s="132"/>
    </row>
    <row r="72" spans="1:20" s="1" customFormat="1" ht="13.35" customHeight="1" x14ac:dyDescent="0.25">
      <c r="A72" s="88" t="s">
        <v>70</v>
      </c>
      <c r="B72" s="88"/>
      <c r="C72" s="88"/>
      <c r="D72" s="88"/>
      <c r="E72" s="88"/>
      <c r="F72" s="88"/>
      <c r="G72" s="88"/>
      <c r="H72" s="88"/>
      <c r="I72" s="88"/>
      <c r="J72" s="88"/>
      <c r="K72" s="88"/>
      <c r="L72" s="88"/>
      <c r="M72" s="132">
        <f>1.6*250/200</f>
        <v>2</v>
      </c>
      <c r="N72" s="132"/>
      <c r="O72" s="132">
        <v>2</v>
      </c>
      <c r="P72" s="132"/>
      <c r="Q72" s="25">
        <v>0.2</v>
      </c>
      <c r="R72" s="132">
        <v>0.2</v>
      </c>
      <c r="S72" s="132"/>
      <c r="T72" s="132"/>
    </row>
    <row r="73" spans="1:20" s="1" customFormat="1" ht="13.35" customHeight="1" x14ac:dyDescent="0.25">
      <c r="A73" s="88" t="s">
        <v>111</v>
      </c>
      <c r="B73" s="88"/>
      <c r="C73" s="88"/>
      <c r="D73" s="88"/>
      <c r="E73" s="88"/>
      <c r="F73" s="88"/>
      <c r="G73" s="88"/>
      <c r="H73" s="88"/>
      <c r="I73" s="88"/>
      <c r="J73" s="88"/>
      <c r="K73" s="88"/>
      <c r="L73" s="88"/>
      <c r="M73" s="132">
        <f>0.01*250/200</f>
        <v>1.2500000000000001E-2</v>
      </c>
      <c r="N73" s="132"/>
      <c r="O73" s="132" t="s">
        <v>112</v>
      </c>
      <c r="P73" s="132"/>
      <c r="Q73" s="25" t="s">
        <v>113</v>
      </c>
      <c r="R73" s="132" t="s">
        <v>113</v>
      </c>
      <c r="S73" s="132"/>
      <c r="T73" s="132"/>
    </row>
    <row r="74" spans="1:20" s="1" customFormat="1" ht="13.35" customHeight="1" x14ac:dyDescent="0.25">
      <c r="A74" s="88" t="s">
        <v>129</v>
      </c>
      <c r="B74" s="88"/>
      <c r="C74" s="88"/>
      <c r="D74" s="88"/>
      <c r="E74" s="88"/>
      <c r="F74" s="88"/>
      <c r="G74" s="88"/>
      <c r="H74" s="88"/>
      <c r="I74" s="88"/>
      <c r="J74" s="88"/>
      <c r="K74" s="88"/>
      <c r="L74" s="88"/>
      <c r="M74" s="132">
        <f>4*250/200</f>
        <v>5</v>
      </c>
      <c r="N74" s="132"/>
      <c r="O74" s="132">
        <v>5</v>
      </c>
      <c r="P74" s="132"/>
      <c r="Q74" s="25">
        <v>0.5</v>
      </c>
      <c r="R74" s="132">
        <v>0.5</v>
      </c>
      <c r="S74" s="132"/>
      <c r="T74" s="132"/>
    </row>
    <row r="75" spans="1:20" s="1" customFormat="1" ht="13.35" customHeight="1" x14ac:dyDescent="0.25">
      <c r="A75" s="88" t="s">
        <v>114</v>
      </c>
      <c r="B75" s="88"/>
      <c r="C75" s="88"/>
      <c r="D75" s="88"/>
      <c r="E75" s="88"/>
      <c r="F75" s="88"/>
      <c r="G75" s="88"/>
      <c r="H75" s="88"/>
      <c r="I75" s="88"/>
      <c r="J75" s="88"/>
      <c r="K75" s="88"/>
      <c r="L75" s="88"/>
      <c r="M75" s="132" t="s">
        <v>115</v>
      </c>
      <c r="N75" s="132"/>
      <c r="O75" s="132" t="s">
        <v>115</v>
      </c>
      <c r="P75" s="132"/>
      <c r="Q75" s="25" t="s">
        <v>86</v>
      </c>
      <c r="R75" s="132" t="s">
        <v>86</v>
      </c>
      <c r="S75" s="132"/>
      <c r="T75" s="132"/>
    </row>
    <row r="76" spans="1:20" s="1" customFormat="1" ht="14.1" customHeight="1" x14ac:dyDescent="0.25">
      <c r="A76" s="90" t="s">
        <v>790</v>
      </c>
      <c r="B76" s="90"/>
      <c r="C76" s="90"/>
      <c r="D76" s="90"/>
      <c r="E76" s="90"/>
      <c r="F76" s="90"/>
      <c r="G76" s="90"/>
      <c r="H76" s="90"/>
      <c r="I76" s="90"/>
      <c r="J76" s="90"/>
      <c r="K76" s="90"/>
      <c r="L76" s="90"/>
      <c r="M76" s="90"/>
      <c r="N76" s="90"/>
      <c r="O76" s="90"/>
      <c r="P76" s="90"/>
      <c r="Q76" s="90"/>
      <c r="R76" s="90"/>
      <c r="S76" s="90"/>
      <c r="T76" s="90"/>
    </row>
    <row r="77" spans="1:20" s="1" customFormat="1" ht="21.3" customHeight="1" x14ac:dyDescent="0.25"/>
    <row r="78" spans="1:20" s="1" customFormat="1" ht="14.1" customHeight="1" x14ac:dyDescent="0.25">
      <c r="A78" s="91" t="s">
        <v>33</v>
      </c>
      <c r="B78" s="91"/>
      <c r="C78" s="91"/>
      <c r="D78" s="91"/>
      <c r="E78" s="91"/>
      <c r="F78" s="91"/>
      <c r="G78" s="91"/>
      <c r="H78" s="91"/>
      <c r="I78" s="91"/>
      <c r="J78" s="91"/>
      <c r="K78" s="91"/>
      <c r="L78" s="91"/>
      <c r="M78" s="91"/>
      <c r="N78" s="91"/>
    </row>
    <row r="79" spans="1:20" s="1" customFormat="1" ht="13.35" customHeight="1" x14ac:dyDescent="0.25">
      <c r="A79" s="88" t="s">
        <v>34</v>
      </c>
      <c r="B79" s="88"/>
      <c r="C79" s="88"/>
      <c r="D79" s="88"/>
      <c r="E79" s="89">
        <f>3*250/200</f>
        <v>3.75</v>
      </c>
      <c r="F79" s="89"/>
      <c r="G79" s="17"/>
      <c r="H79" s="6" t="s">
        <v>35</v>
      </c>
      <c r="I79" s="89">
        <v>0.06</v>
      </c>
      <c r="J79" s="89"/>
      <c r="K79" s="17"/>
      <c r="L79" s="88" t="s">
        <v>36</v>
      </c>
      <c r="M79" s="88"/>
      <c r="N79" s="89">
        <v>49.25</v>
      </c>
      <c r="O79" s="89"/>
    </row>
    <row r="80" spans="1:20" s="1" customFormat="1" ht="13.35" customHeight="1" x14ac:dyDescent="0.25">
      <c r="A80" s="88" t="s">
        <v>37</v>
      </c>
      <c r="B80" s="88"/>
      <c r="C80" s="88"/>
      <c r="D80" s="88"/>
      <c r="E80" s="89">
        <f>4.7*250/200</f>
        <v>5.875</v>
      </c>
      <c r="F80" s="89"/>
      <c r="G80" s="17"/>
      <c r="H80" s="6" t="s">
        <v>38</v>
      </c>
      <c r="I80" s="89">
        <v>5.51</v>
      </c>
      <c r="J80" s="89"/>
      <c r="K80" s="17"/>
      <c r="L80" s="88" t="s">
        <v>39</v>
      </c>
      <c r="M80" s="88"/>
      <c r="N80" s="89">
        <v>26.7</v>
      </c>
      <c r="O80" s="89"/>
    </row>
    <row r="81" spans="1:19" s="1" customFormat="1" ht="13.35" customHeight="1" x14ac:dyDescent="0.25">
      <c r="A81" s="88" t="s">
        <v>40</v>
      </c>
      <c r="B81" s="88"/>
      <c r="C81" s="88"/>
      <c r="D81" s="88"/>
      <c r="E81" s="89">
        <f>12.9*250/200</f>
        <v>16.125</v>
      </c>
      <c r="F81" s="89"/>
      <c r="G81" s="17"/>
      <c r="H81" s="6" t="s">
        <v>41</v>
      </c>
      <c r="I81" s="89">
        <v>0.19</v>
      </c>
      <c r="J81" s="89"/>
      <c r="K81" s="17"/>
      <c r="L81" s="88" t="s">
        <v>42</v>
      </c>
      <c r="M81" s="88"/>
      <c r="N81" s="89">
        <v>72.25</v>
      </c>
      <c r="O81" s="89"/>
    </row>
    <row r="82" spans="1:19" s="1" customFormat="1" ht="13.35" customHeight="1" x14ac:dyDescent="0.25">
      <c r="A82" s="88" t="s">
        <v>43</v>
      </c>
      <c r="B82" s="88"/>
      <c r="C82" s="88"/>
      <c r="D82" s="88"/>
      <c r="E82" s="89">
        <f>107.3*250/200</f>
        <v>134.125</v>
      </c>
      <c r="F82" s="89"/>
      <c r="G82" s="17"/>
      <c r="H82" s="6" t="s">
        <v>44</v>
      </c>
      <c r="I82" s="89">
        <v>1.85</v>
      </c>
      <c r="J82" s="89"/>
      <c r="K82" s="17"/>
      <c r="L82" s="88" t="s">
        <v>45</v>
      </c>
      <c r="M82" s="88"/>
      <c r="N82" s="89">
        <v>1.31</v>
      </c>
      <c r="O82" s="89"/>
    </row>
    <row r="83" spans="1:19" s="1" customFormat="1" ht="13.35" customHeight="1" x14ac:dyDescent="0.25">
      <c r="A83" s="87"/>
      <c r="B83" s="87"/>
      <c r="C83" s="87"/>
      <c r="D83" s="87"/>
      <c r="E83" s="87"/>
      <c r="F83" s="87"/>
      <c r="G83" s="17"/>
      <c r="H83" s="6" t="s">
        <v>46</v>
      </c>
      <c r="I83" s="89">
        <v>0</v>
      </c>
      <c r="J83" s="89"/>
      <c r="K83" s="17"/>
      <c r="L83" s="88" t="s">
        <v>47</v>
      </c>
      <c r="M83" s="88"/>
      <c r="N83" s="89">
        <v>364.31</v>
      </c>
      <c r="O83" s="89"/>
    </row>
    <row r="84" spans="1:19" s="1" customFormat="1" ht="13.35" customHeight="1" x14ac:dyDescent="0.25">
      <c r="A84" s="87"/>
      <c r="B84" s="87"/>
      <c r="C84" s="87"/>
      <c r="D84" s="87"/>
      <c r="E84" s="87"/>
      <c r="F84" s="87"/>
      <c r="G84" s="17"/>
      <c r="H84" s="6" t="s">
        <v>48</v>
      </c>
      <c r="I84" s="89">
        <v>0.04</v>
      </c>
      <c r="J84" s="89"/>
      <c r="K84" s="17"/>
      <c r="L84" s="88" t="s">
        <v>49</v>
      </c>
      <c r="M84" s="88"/>
      <c r="N84" s="89">
        <v>3.94</v>
      </c>
      <c r="O84" s="89"/>
    </row>
    <row r="85" spans="1:19" s="1" customFormat="1" ht="13.35" customHeight="1" x14ac:dyDescent="0.25">
      <c r="A85" s="87"/>
      <c r="B85" s="87"/>
      <c r="C85" s="87"/>
      <c r="D85" s="87"/>
      <c r="E85" s="87"/>
      <c r="F85" s="87"/>
      <c r="G85" s="17"/>
      <c r="H85" s="17"/>
      <c r="I85" s="87"/>
      <c r="J85" s="87"/>
      <c r="K85" s="17"/>
      <c r="L85" s="88" t="s">
        <v>50</v>
      </c>
      <c r="M85" s="88"/>
      <c r="N85" s="89">
        <v>0.02</v>
      </c>
      <c r="O85" s="89"/>
    </row>
    <row r="86" spans="1:19" s="1" customFormat="1" ht="13.35" customHeight="1" x14ac:dyDescent="0.25">
      <c r="A86" s="87"/>
      <c r="B86" s="87"/>
      <c r="C86" s="87"/>
      <c r="D86" s="87"/>
      <c r="E86" s="87"/>
      <c r="F86" s="87"/>
      <c r="G86" s="17"/>
      <c r="H86" s="17"/>
      <c r="I86" s="87"/>
      <c r="J86" s="87"/>
      <c r="K86" s="17"/>
      <c r="L86" s="88" t="s">
        <v>51</v>
      </c>
      <c r="M86" s="88"/>
      <c r="N86" s="89">
        <v>0</v>
      </c>
      <c r="O86" s="89"/>
    </row>
    <row r="87" spans="1:19" s="1" customFormat="1" ht="14.1" customHeight="1" x14ac:dyDescent="0.25">
      <c r="A87" s="86"/>
      <c r="B87" s="86"/>
      <c r="C87" s="86"/>
      <c r="D87" s="86"/>
      <c r="E87" s="86"/>
      <c r="F87" s="86"/>
      <c r="G87" s="86"/>
      <c r="H87" s="86"/>
      <c r="I87" s="86"/>
      <c r="J87" s="86"/>
      <c r="K87" s="86"/>
      <c r="L87" s="86"/>
      <c r="M87" s="86"/>
      <c r="N87" s="86"/>
      <c r="O87" s="86"/>
      <c r="P87" s="86"/>
      <c r="Q87" s="86"/>
      <c r="R87" s="86"/>
      <c r="S87" s="86"/>
    </row>
    <row r="88" spans="1:19" s="1" customFormat="1" ht="14.1" customHeight="1" x14ac:dyDescent="0.25">
      <c r="A88" s="84" t="s">
        <v>52</v>
      </c>
      <c r="B88" s="84"/>
      <c r="C88" s="84"/>
      <c r="D88" s="84"/>
      <c r="E88" s="84"/>
      <c r="F88" s="84"/>
      <c r="G88" s="84"/>
      <c r="H88" s="84"/>
      <c r="I88" s="84"/>
      <c r="J88" s="84"/>
      <c r="K88" s="84"/>
      <c r="L88" s="84"/>
      <c r="M88" s="84"/>
      <c r="N88" s="84"/>
      <c r="O88" s="84"/>
      <c r="P88" s="84"/>
      <c r="Q88" s="84"/>
      <c r="R88" s="84"/>
      <c r="S88" s="84"/>
    </row>
    <row r="89" spans="1:19" s="1" customFormat="1" ht="288.45" customHeight="1" x14ac:dyDescent="0.25">
      <c r="A89" s="85" t="s">
        <v>130</v>
      </c>
      <c r="B89" s="85"/>
      <c r="C89" s="85"/>
      <c r="D89" s="85"/>
      <c r="E89" s="85"/>
      <c r="F89" s="85"/>
      <c r="G89" s="85"/>
      <c r="H89" s="85"/>
      <c r="I89" s="85"/>
      <c r="J89" s="85"/>
      <c r="K89" s="85"/>
      <c r="L89" s="85"/>
      <c r="M89" s="85"/>
      <c r="N89" s="85"/>
      <c r="O89" s="85"/>
      <c r="P89" s="85"/>
      <c r="Q89" s="85"/>
      <c r="R89" s="85"/>
      <c r="S89" s="85"/>
    </row>
    <row r="90" spans="1:19" s="1" customFormat="1" ht="14.1" customHeight="1" x14ac:dyDescent="0.25">
      <c r="A90" s="86"/>
      <c r="B90" s="86"/>
      <c r="C90" s="86"/>
      <c r="D90" s="86"/>
      <c r="E90" s="86"/>
      <c r="F90" s="86"/>
      <c r="G90" s="86"/>
      <c r="H90" s="86"/>
      <c r="I90" s="86"/>
      <c r="J90" s="86"/>
      <c r="K90" s="86"/>
      <c r="L90" s="86"/>
      <c r="M90" s="86"/>
      <c r="N90" s="86"/>
      <c r="O90" s="86"/>
      <c r="P90" s="86"/>
      <c r="Q90" s="86"/>
      <c r="R90" s="86"/>
      <c r="S90" s="86"/>
    </row>
    <row r="91" spans="1:19" s="1" customFormat="1" ht="14.1" customHeight="1" x14ac:dyDescent="0.25">
      <c r="A91" s="84" t="s">
        <v>54</v>
      </c>
      <c r="B91" s="84"/>
      <c r="C91" s="84"/>
      <c r="D91" s="84"/>
      <c r="E91" s="84"/>
      <c r="F91" s="84"/>
      <c r="G91" s="84"/>
      <c r="H91" s="84"/>
      <c r="I91" s="84"/>
      <c r="J91" s="84"/>
      <c r="K91" s="84"/>
      <c r="L91" s="84"/>
      <c r="M91" s="84"/>
      <c r="N91" s="84"/>
      <c r="O91" s="84"/>
      <c r="P91" s="84"/>
      <c r="Q91" s="84"/>
      <c r="R91" s="84"/>
      <c r="S91" s="84"/>
    </row>
    <row r="92" spans="1:19" s="1" customFormat="1" ht="12.15" customHeight="1" x14ac:dyDescent="0.25">
      <c r="A92" s="85" t="s">
        <v>131</v>
      </c>
      <c r="B92" s="85"/>
      <c r="C92" s="85"/>
      <c r="D92" s="85"/>
      <c r="E92" s="85"/>
      <c r="F92" s="85"/>
      <c r="G92" s="85"/>
      <c r="H92" s="85"/>
      <c r="I92" s="85"/>
      <c r="J92" s="85"/>
      <c r="K92" s="85"/>
      <c r="L92" s="85"/>
      <c r="M92" s="85"/>
      <c r="N92" s="85"/>
      <c r="O92" s="85"/>
      <c r="P92" s="85"/>
      <c r="Q92" s="85"/>
      <c r="R92" s="85"/>
      <c r="S92" s="85"/>
    </row>
    <row r="93" spans="1:19" s="1" customFormat="1" ht="14.1" customHeight="1" x14ac:dyDescent="0.25">
      <c r="A93" s="86"/>
      <c r="B93" s="86"/>
      <c r="C93" s="86"/>
      <c r="D93" s="86"/>
      <c r="E93" s="86"/>
      <c r="F93" s="86"/>
      <c r="G93" s="86"/>
      <c r="H93" s="86"/>
      <c r="I93" s="86"/>
      <c r="J93" s="86"/>
      <c r="K93" s="86"/>
      <c r="L93" s="86"/>
      <c r="M93" s="86"/>
      <c r="N93" s="86"/>
      <c r="O93" s="86"/>
      <c r="P93" s="86"/>
      <c r="Q93" s="86"/>
      <c r="R93" s="86"/>
      <c r="S93" s="86"/>
    </row>
    <row r="94" spans="1:19" s="1" customFormat="1" ht="14.1" customHeight="1" x14ac:dyDescent="0.25">
      <c r="A94" s="84" t="s">
        <v>56</v>
      </c>
      <c r="B94" s="84"/>
      <c r="C94" s="84"/>
      <c r="D94" s="84"/>
      <c r="E94" s="84"/>
      <c r="F94" s="84"/>
      <c r="G94" s="84"/>
      <c r="H94" s="84"/>
      <c r="I94" s="84"/>
      <c r="J94" s="84"/>
      <c r="K94" s="84"/>
      <c r="L94" s="84"/>
      <c r="M94" s="84"/>
      <c r="N94" s="84"/>
      <c r="O94" s="84"/>
      <c r="P94" s="84"/>
      <c r="Q94" s="84"/>
      <c r="R94" s="84"/>
      <c r="S94" s="84"/>
    </row>
    <row r="95" spans="1:19" s="1" customFormat="1" ht="49.2" customHeight="1" x14ac:dyDescent="0.25">
      <c r="A95" s="85" t="s">
        <v>132</v>
      </c>
      <c r="B95" s="85"/>
      <c r="C95" s="85"/>
      <c r="D95" s="85"/>
      <c r="E95" s="85"/>
      <c r="F95" s="85"/>
      <c r="G95" s="85"/>
      <c r="H95" s="85"/>
      <c r="I95" s="85"/>
      <c r="J95" s="85"/>
      <c r="K95" s="85"/>
      <c r="L95" s="85"/>
      <c r="M95" s="85"/>
      <c r="N95" s="85"/>
      <c r="O95" s="85"/>
      <c r="P95" s="85"/>
      <c r="Q95" s="85"/>
      <c r="R95" s="85"/>
      <c r="S95" s="85"/>
    </row>
    <row r="98" spans="1:20" s="1" customFormat="1" ht="72.45" customHeight="1" x14ac:dyDescent="0.25">
      <c r="J98" s="100" t="s">
        <v>0</v>
      </c>
      <c r="K98" s="100"/>
      <c r="L98" s="100"/>
      <c r="M98" s="100"/>
      <c r="N98" s="100"/>
      <c r="O98" s="100"/>
      <c r="P98" s="100"/>
      <c r="Q98" s="100"/>
      <c r="R98" s="100"/>
      <c r="S98" s="100"/>
      <c r="T98" s="100"/>
    </row>
    <row r="99" spans="1:20" s="1" customFormat="1" ht="7.05" customHeight="1" x14ac:dyDescent="0.25"/>
    <row r="100" spans="1:20" s="1" customFormat="1" ht="14.1" customHeight="1" x14ac:dyDescent="0.25">
      <c r="B100" s="101" t="s">
        <v>503</v>
      </c>
      <c r="C100" s="101"/>
      <c r="D100" s="101"/>
      <c r="E100" s="101"/>
      <c r="F100" s="101"/>
      <c r="G100" s="101"/>
      <c r="H100" s="101"/>
      <c r="I100" s="101"/>
      <c r="J100" s="101"/>
      <c r="K100" s="101"/>
      <c r="L100" s="101"/>
      <c r="M100" s="101"/>
      <c r="N100" s="101"/>
      <c r="O100" s="101"/>
      <c r="P100" s="101"/>
      <c r="Q100" s="101"/>
      <c r="R100" s="101"/>
    </row>
    <row r="101" spans="1:20" s="1" customFormat="1" ht="14.1" customHeight="1" x14ac:dyDescent="0.25"/>
    <row r="102" spans="1:20" s="1" customFormat="1" ht="14.1" customHeight="1" x14ac:dyDescent="0.25">
      <c r="A102" s="102" t="s">
        <v>2</v>
      </c>
      <c r="B102" s="102"/>
      <c r="C102" s="102"/>
      <c r="D102" s="103" t="s">
        <v>504</v>
      </c>
      <c r="E102" s="103"/>
      <c r="F102" s="103"/>
      <c r="G102" s="103"/>
      <c r="H102" s="103"/>
      <c r="I102" s="103"/>
      <c r="J102" s="103"/>
      <c r="K102" s="103"/>
      <c r="L102" s="103"/>
      <c r="M102" s="103"/>
      <c r="N102" s="103"/>
      <c r="O102" s="103"/>
      <c r="P102" s="103"/>
      <c r="Q102" s="103"/>
      <c r="R102" s="103"/>
      <c r="S102" s="103"/>
      <c r="T102" s="103"/>
    </row>
    <row r="103" spans="1:20" s="1" customFormat="1" ht="14.1" customHeight="1" x14ac:dyDescent="0.25">
      <c r="A103" s="102" t="s">
        <v>4</v>
      </c>
      <c r="B103" s="102"/>
      <c r="C103" s="103" t="s">
        <v>505</v>
      </c>
      <c r="D103" s="103"/>
      <c r="E103" s="103"/>
      <c r="F103" s="103"/>
      <c r="G103" s="103"/>
      <c r="H103" s="103"/>
      <c r="I103" s="103"/>
      <c r="J103" s="103"/>
      <c r="K103" s="103"/>
      <c r="L103" s="103"/>
      <c r="M103" s="103"/>
      <c r="N103" s="103"/>
      <c r="O103" s="103"/>
      <c r="P103" s="103"/>
      <c r="Q103" s="103"/>
      <c r="R103" s="103"/>
      <c r="S103" s="103"/>
      <c r="T103" s="103"/>
    </row>
    <row r="104" spans="1:20" s="1" customFormat="1" ht="14.1" customHeight="1" x14ac:dyDescent="0.25">
      <c r="A104" s="102" t="s">
        <v>6</v>
      </c>
      <c r="B104" s="102"/>
      <c r="C104" s="102"/>
      <c r="D104" s="102"/>
      <c r="E104" s="102"/>
      <c r="F104" s="103" t="s">
        <v>60</v>
      </c>
      <c r="G104" s="103"/>
      <c r="H104" s="103"/>
      <c r="I104" s="103"/>
      <c r="J104" s="103"/>
      <c r="K104" s="103"/>
      <c r="L104" s="103"/>
      <c r="M104" s="103"/>
      <c r="N104" s="103"/>
      <c r="O104" s="103"/>
      <c r="P104" s="103"/>
      <c r="Q104" s="103"/>
      <c r="R104" s="103"/>
      <c r="S104" s="103"/>
      <c r="T104" s="103"/>
    </row>
    <row r="105" spans="1:20" s="1" customFormat="1" ht="22.35" customHeight="1" x14ac:dyDescent="0.25">
      <c r="F105" s="103"/>
      <c r="G105" s="103"/>
      <c r="H105" s="103"/>
      <c r="I105" s="103"/>
      <c r="J105" s="103"/>
      <c r="K105" s="103"/>
      <c r="L105" s="103"/>
      <c r="M105" s="103"/>
      <c r="N105" s="103"/>
      <c r="O105" s="103"/>
      <c r="P105" s="103"/>
      <c r="Q105" s="103"/>
      <c r="R105" s="103"/>
      <c r="S105" s="103"/>
      <c r="T105" s="103"/>
    </row>
    <row r="106" spans="1:20" s="1" customFormat="1" ht="7.05" customHeight="1" x14ac:dyDescent="0.25">
      <c r="A106" s="86"/>
      <c r="B106" s="86"/>
      <c r="C106" s="86"/>
      <c r="D106" s="86"/>
      <c r="E106" s="86"/>
      <c r="F106" s="86"/>
      <c r="G106" s="86"/>
      <c r="H106" s="86"/>
      <c r="I106" s="86"/>
      <c r="J106" s="86"/>
      <c r="K106" s="86"/>
      <c r="L106" s="86"/>
      <c r="M106" s="86"/>
      <c r="N106" s="86"/>
      <c r="O106" s="86"/>
      <c r="P106" s="86"/>
      <c r="Q106" s="16"/>
      <c r="R106" s="86"/>
      <c r="S106" s="86"/>
      <c r="T106" s="86"/>
    </row>
    <row r="107" spans="1:20" s="1" customFormat="1" ht="16.95" customHeight="1" x14ac:dyDescent="0.25">
      <c r="A107" s="94" t="s">
        <v>8</v>
      </c>
      <c r="B107" s="94"/>
      <c r="C107" s="94"/>
      <c r="D107" s="94"/>
      <c r="E107" s="94"/>
      <c r="F107" s="94"/>
      <c r="G107" s="94"/>
      <c r="H107" s="94"/>
      <c r="I107" s="94"/>
      <c r="J107" s="94"/>
      <c r="K107" s="94"/>
      <c r="L107" s="94"/>
      <c r="M107" s="95" t="s">
        <v>9</v>
      </c>
      <c r="N107" s="95"/>
      <c r="O107" s="95"/>
      <c r="P107" s="95"/>
      <c r="Q107" s="95"/>
      <c r="R107" s="95"/>
      <c r="S107" s="95"/>
      <c r="T107" s="95"/>
    </row>
    <row r="108" spans="1:20" s="1" customFormat="1" ht="16.95" customHeight="1" x14ac:dyDescent="0.25">
      <c r="A108" s="94"/>
      <c r="B108" s="94"/>
      <c r="C108" s="94"/>
      <c r="D108" s="94"/>
      <c r="E108" s="94"/>
      <c r="F108" s="94"/>
      <c r="G108" s="94"/>
      <c r="H108" s="94"/>
      <c r="I108" s="94"/>
      <c r="J108" s="94"/>
      <c r="K108" s="94"/>
      <c r="L108" s="94"/>
      <c r="M108" s="96" t="s">
        <v>10</v>
      </c>
      <c r="N108" s="96"/>
      <c r="O108" s="96"/>
      <c r="P108" s="96"/>
      <c r="Q108" s="97" t="s">
        <v>11</v>
      </c>
      <c r="R108" s="97"/>
      <c r="S108" s="97"/>
      <c r="T108" s="97"/>
    </row>
    <row r="109" spans="1:20" s="1" customFormat="1" ht="16.95" customHeight="1" x14ac:dyDescent="0.25">
      <c r="A109" s="94"/>
      <c r="B109" s="94"/>
      <c r="C109" s="94"/>
      <c r="D109" s="94"/>
      <c r="E109" s="94"/>
      <c r="F109" s="94"/>
      <c r="G109" s="94"/>
      <c r="H109" s="94"/>
      <c r="I109" s="94"/>
      <c r="J109" s="94"/>
      <c r="K109" s="94"/>
      <c r="L109" s="94"/>
      <c r="M109" s="98" t="s">
        <v>12</v>
      </c>
      <c r="N109" s="98"/>
      <c r="O109" s="98" t="s">
        <v>13</v>
      </c>
      <c r="P109" s="98"/>
      <c r="Q109" s="13" t="s">
        <v>14</v>
      </c>
      <c r="R109" s="99" t="s">
        <v>15</v>
      </c>
      <c r="S109" s="99"/>
      <c r="T109" s="99"/>
    </row>
    <row r="110" spans="1:20" s="1" customFormat="1" ht="13.35" customHeight="1" x14ac:dyDescent="0.25">
      <c r="A110" s="88" t="s">
        <v>31</v>
      </c>
      <c r="B110" s="88"/>
      <c r="C110" s="88"/>
      <c r="D110" s="88"/>
      <c r="E110" s="88"/>
      <c r="F110" s="88"/>
      <c r="G110" s="88"/>
      <c r="H110" s="88"/>
      <c r="I110" s="88"/>
      <c r="J110" s="88"/>
      <c r="K110" s="88"/>
      <c r="L110" s="88"/>
      <c r="M110" s="88">
        <f>80*250/200</f>
        <v>100</v>
      </c>
      <c r="N110" s="88"/>
      <c r="O110" s="88">
        <f>60*250/200</f>
        <v>75</v>
      </c>
      <c r="P110" s="88"/>
      <c r="Q110" s="24">
        <v>10</v>
      </c>
      <c r="R110" s="88">
        <v>7.5</v>
      </c>
      <c r="S110" s="88"/>
      <c r="T110" s="88"/>
    </row>
    <row r="111" spans="1:20" s="1" customFormat="1" ht="13.35" customHeight="1" x14ac:dyDescent="0.25">
      <c r="A111" s="88" t="s">
        <v>321</v>
      </c>
      <c r="B111" s="88"/>
      <c r="C111" s="88"/>
      <c r="D111" s="88"/>
      <c r="E111" s="88"/>
      <c r="F111" s="88"/>
      <c r="G111" s="88"/>
      <c r="H111" s="88"/>
      <c r="I111" s="88"/>
      <c r="J111" s="88"/>
      <c r="K111" s="88"/>
      <c r="L111" s="88"/>
      <c r="M111" s="88">
        <f>4*250/200</f>
        <v>5</v>
      </c>
      <c r="N111" s="88"/>
      <c r="O111" s="88">
        <v>5</v>
      </c>
      <c r="P111" s="88"/>
      <c r="Q111" s="6">
        <v>0.5</v>
      </c>
      <c r="R111" s="88">
        <v>0.5</v>
      </c>
      <c r="S111" s="88"/>
      <c r="T111" s="88"/>
    </row>
    <row r="112" spans="1:20" s="1" customFormat="1" ht="13.35" customHeight="1" x14ac:dyDescent="0.25">
      <c r="A112" s="88" t="s">
        <v>100</v>
      </c>
      <c r="B112" s="88"/>
      <c r="C112" s="88"/>
      <c r="D112" s="88"/>
      <c r="E112" s="88"/>
      <c r="F112" s="88"/>
      <c r="G112" s="88"/>
      <c r="H112" s="88"/>
      <c r="I112" s="88"/>
      <c r="J112" s="88"/>
      <c r="K112" s="88"/>
      <c r="L112" s="88"/>
      <c r="M112" s="88">
        <f>20*250/200</f>
        <v>25</v>
      </c>
      <c r="N112" s="88"/>
      <c r="O112" s="88">
        <f>16*250/200</f>
        <v>20</v>
      </c>
      <c r="P112" s="88"/>
      <c r="Q112" s="24">
        <v>2.5</v>
      </c>
      <c r="R112" s="88">
        <v>2</v>
      </c>
      <c r="S112" s="88"/>
      <c r="T112" s="88"/>
    </row>
    <row r="113" spans="1:20" s="1" customFormat="1" ht="13.35" customHeight="1" x14ac:dyDescent="0.25">
      <c r="A113" s="88" t="s">
        <v>21</v>
      </c>
      <c r="B113" s="88"/>
      <c r="C113" s="88"/>
      <c r="D113" s="88"/>
      <c r="E113" s="88"/>
      <c r="F113" s="88"/>
      <c r="G113" s="88"/>
      <c r="H113" s="88"/>
      <c r="I113" s="88"/>
      <c r="J113" s="88"/>
      <c r="K113" s="88"/>
      <c r="L113" s="88"/>
      <c r="M113" s="88">
        <f>4.8*250/200</f>
        <v>6</v>
      </c>
      <c r="N113" s="88"/>
      <c r="O113" s="88">
        <f>4*250/200</f>
        <v>5</v>
      </c>
      <c r="P113" s="88"/>
      <c r="Q113" s="6">
        <v>0.6</v>
      </c>
      <c r="R113" s="88">
        <v>0.5</v>
      </c>
      <c r="S113" s="88"/>
      <c r="T113" s="88"/>
    </row>
    <row r="114" spans="1:20" s="1" customFormat="1" ht="13.35" customHeight="1" x14ac:dyDescent="0.25">
      <c r="A114" s="88" t="s">
        <v>29</v>
      </c>
      <c r="B114" s="88"/>
      <c r="C114" s="88"/>
      <c r="D114" s="88"/>
      <c r="E114" s="88"/>
      <c r="F114" s="88"/>
      <c r="G114" s="88"/>
      <c r="H114" s="88"/>
      <c r="I114" s="88"/>
      <c r="J114" s="88"/>
      <c r="K114" s="88"/>
      <c r="L114" s="88"/>
      <c r="M114" s="88">
        <f>13.4*250/200</f>
        <v>16.75</v>
      </c>
      <c r="N114" s="88"/>
      <c r="O114" s="88">
        <f>12*250/200</f>
        <v>15</v>
      </c>
      <c r="P114" s="88"/>
      <c r="Q114" s="6">
        <v>1.67</v>
      </c>
      <c r="R114" s="88">
        <v>1.5</v>
      </c>
      <c r="S114" s="88"/>
      <c r="T114" s="88"/>
    </row>
    <row r="115" spans="1:20" s="1" customFormat="1" ht="13.35" customHeight="1" x14ac:dyDescent="0.25">
      <c r="A115" s="88" t="s">
        <v>18</v>
      </c>
      <c r="B115" s="88"/>
      <c r="C115" s="88"/>
      <c r="D115" s="88"/>
      <c r="E115" s="88"/>
      <c r="F115" s="88"/>
      <c r="G115" s="88"/>
      <c r="H115" s="88"/>
      <c r="I115" s="88"/>
      <c r="J115" s="88"/>
      <c r="K115" s="88"/>
      <c r="L115" s="88"/>
      <c r="M115" s="88">
        <v>2.5</v>
      </c>
      <c r="N115" s="88"/>
      <c r="O115" s="88">
        <v>2.5</v>
      </c>
      <c r="P115" s="88"/>
      <c r="Q115" s="6">
        <v>0.25</v>
      </c>
      <c r="R115" s="88">
        <v>0.25</v>
      </c>
      <c r="S115" s="88"/>
      <c r="T115" s="88"/>
    </row>
    <row r="116" spans="1:20" s="1" customFormat="1" ht="13.35" customHeight="1" x14ac:dyDescent="0.25">
      <c r="A116" s="88" t="s">
        <v>949</v>
      </c>
      <c r="B116" s="88"/>
      <c r="C116" s="88"/>
      <c r="D116" s="88"/>
      <c r="E116" s="88"/>
      <c r="F116" s="88"/>
      <c r="G116" s="88"/>
      <c r="H116" s="88"/>
      <c r="I116" s="88"/>
      <c r="J116" s="88"/>
      <c r="K116" s="88"/>
      <c r="L116" s="88"/>
      <c r="M116" s="88">
        <v>2.5</v>
      </c>
      <c r="N116" s="88"/>
      <c r="O116" s="88">
        <v>2.5</v>
      </c>
      <c r="P116" s="88"/>
      <c r="Q116" s="64">
        <v>0.25</v>
      </c>
      <c r="R116" s="88">
        <v>0.25</v>
      </c>
      <c r="S116" s="88"/>
      <c r="T116" s="88"/>
    </row>
    <row r="117" spans="1:20" s="1" customFormat="1" ht="13.35" customHeight="1" x14ac:dyDescent="0.25">
      <c r="A117" s="88" t="s">
        <v>114</v>
      </c>
      <c r="B117" s="88"/>
      <c r="C117" s="88"/>
      <c r="D117" s="88"/>
      <c r="E117" s="88"/>
      <c r="F117" s="88"/>
      <c r="G117" s="88"/>
      <c r="H117" s="88"/>
      <c r="I117" s="88"/>
      <c r="J117" s="88"/>
      <c r="K117" s="88"/>
      <c r="L117" s="88"/>
      <c r="M117" s="88">
        <f>150*250/200</f>
        <v>187.5</v>
      </c>
      <c r="N117" s="88"/>
      <c r="O117" s="88">
        <v>187.5</v>
      </c>
      <c r="P117" s="88"/>
      <c r="Q117" s="6">
        <v>18.75</v>
      </c>
      <c r="R117" s="88">
        <v>18.75</v>
      </c>
      <c r="S117" s="88"/>
      <c r="T117" s="88"/>
    </row>
    <row r="118" spans="1:20" s="1" customFormat="1" ht="13.35" customHeight="1" x14ac:dyDescent="0.25">
      <c r="A118" s="88" t="s">
        <v>70</v>
      </c>
      <c r="B118" s="88"/>
      <c r="C118" s="88"/>
      <c r="D118" s="88"/>
      <c r="E118" s="88"/>
      <c r="F118" s="88"/>
      <c r="G118" s="88"/>
      <c r="H118" s="88"/>
      <c r="I118" s="88"/>
      <c r="J118" s="88"/>
      <c r="K118" s="88"/>
      <c r="L118" s="88"/>
      <c r="M118" s="88">
        <f>1.5*250/200</f>
        <v>1.875</v>
      </c>
      <c r="N118" s="88"/>
      <c r="O118" s="88">
        <v>1.875</v>
      </c>
      <c r="P118" s="88"/>
      <c r="Q118" s="6">
        <v>0.187</v>
      </c>
      <c r="R118" s="88">
        <v>0.187</v>
      </c>
      <c r="S118" s="88"/>
      <c r="T118" s="88"/>
    </row>
    <row r="119" spans="1:20" s="1" customFormat="1" ht="13.35" customHeight="1" x14ac:dyDescent="0.25">
      <c r="A119" s="88" t="s">
        <v>111</v>
      </c>
      <c r="B119" s="88"/>
      <c r="C119" s="88"/>
      <c r="D119" s="88"/>
      <c r="E119" s="88"/>
      <c r="F119" s="88"/>
      <c r="G119" s="88"/>
      <c r="H119" s="88"/>
      <c r="I119" s="88"/>
      <c r="J119" s="88"/>
      <c r="K119" s="88"/>
      <c r="L119" s="88"/>
      <c r="M119" s="88">
        <f>0.004*250/200</f>
        <v>5.0000000000000001E-3</v>
      </c>
      <c r="N119" s="88"/>
      <c r="O119" s="88">
        <v>5.0000000000000001E-3</v>
      </c>
      <c r="P119" s="88"/>
      <c r="Q119" s="6">
        <v>5.0000000000000001E-4</v>
      </c>
      <c r="R119" s="88">
        <v>5.0000000000000001E-4</v>
      </c>
      <c r="S119" s="88"/>
      <c r="T119" s="88"/>
    </row>
    <row r="120" spans="1:20" s="1" customFormat="1" ht="14.1" customHeight="1" x14ac:dyDescent="0.25">
      <c r="A120" s="90" t="s">
        <v>790</v>
      </c>
      <c r="B120" s="90"/>
      <c r="C120" s="90"/>
      <c r="D120" s="90"/>
      <c r="E120" s="90"/>
      <c r="F120" s="90"/>
      <c r="G120" s="90"/>
      <c r="H120" s="90"/>
      <c r="I120" s="90"/>
      <c r="J120" s="90"/>
      <c r="K120" s="90"/>
      <c r="L120" s="90"/>
      <c r="M120" s="90"/>
      <c r="N120" s="90"/>
      <c r="O120" s="90"/>
      <c r="P120" s="90"/>
      <c r="Q120" s="90"/>
      <c r="R120" s="90"/>
      <c r="S120" s="90"/>
      <c r="T120" s="90"/>
    </row>
    <row r="121" spans="1:20" s="1" customFormat="1" ht="21.3" customHeight="1" x14ac:dyDescent="0.25"/>
    <row r="122" spans="1:20" s="1" customFormat="1" ht="14.1" customHeight="1" x14ac:dyDescent="0.25">
      <c r="A122" s="91" t="s">
        <v>33</v>
      </c>
      <c r="B122" s="91"/>
      <c r="C122" s="91"/>
      <c r="D122" s="91"/>
      <c r="E122" s="91"/>
      <c r="F122" s="91"/>
      <c r="G122" s="91"/>
      <c r="H122" s="91"/>
      <c r="I122" s="91"/>
      <c r="J122" s="91"/>
      <c r="K122" s="91"/>
      <c r="L122" s="91"/>
      <c r="M122" s="91"/>
      <c r="N122" s="91"/>
    </row>
    <row r="123" spans="1:20" s="1" customFormat="1" ht="13.35" customHeight="1" x14ac:dyDescent="0.25">
      <c r="A123" s="88" t="s">
        <v>34</v>
      </c>
      <c r="B123" s="88"/>
      <c r="C123" s="88"/>
      <c r="D123" s="88"/>
      <c r="E123" s="89">
        <f>1.61*250/200</f>
        <v>2.0125000000000002</v>
      </c>
      <c r="F123" s="89"/>
      <c r="G123" s="17"/>
      <c r="H123" s="6" t="s">
        <v>35</v>
      </c>
      <c r="I123" s="89">
        <v>0.05</v>
      </c>
      <c r="J123" s="89"/>
      <c r="K123" s="17"/>
      <c r="L123" s="88" t="s">
        <v>36</v>
      </c>
      <c r="M123" s="88"/>
      <c r="N123" s="89">
        <v>23.19</v>
      </c>
      <c r="O123" s="89"/>
    </row>
    <row r="124" spans="1:20" s="1" customFormat="1" ht="13.35" customHeight="1" x14ac:dyDescent="0.25">
      <c r="A124" s="88" t="s">
        <v>37</v>
      </c>
      <c r="B124" s="88"/>
      <c r="C124" s="88"/>
      <c r="D124" s="88"/>
      <c r="E124" s="89">
        <f>4.07*250/200</f>
        <v>5.0875000000000004</v>
      </c>
      <c r="F124" s="89"/>
      <c r="G124" s="17"/>
      <c r="H124" s="6" t="s">
        <v>38</v>
      </c>
      <c r="I124" s="89">
        <v>4.62</v>
      </c>
      <c r="J124" s="89"/>
      <c r="K124" s="17"/>
      <c r="L124" s="88" t="s">
        <v>39</v>
      </c>
      <c r="M124" s="88"/>
      <c r="N124" s="89">
        <v>17.829999999999998</v>
      </c>
      <c r="O124" s="89"/>
    </row>
    <row r="125" spans="1:20" s="1" customFormat="1" ht="13.35" customHeight="1" x14ac:dyDescent="0.25">
      <c r="A125" s="88" t="s">
        <v>40</v>
      </c>
      <c r="B125" s="88"/>
      <c r="C125" s="88"/>
      <c r="D125" s="88"/>
      <c r="E125" s="89">
        <f>9.46*250/200</f>
        <v>11.824999999999999</v>
      </c>
      <c r="F125" s="89"/>
      <c r="G125" s="17"/>
      <c r="H125" s="6" t="s">
        <v>41</v>
      </c>
      <c r="I125" s="89">
        <v>0.15</v>
      </c>
      <c r="J125" s="89"/>
      <c r="K125" s="17"/>
      <c r="L125" s="88" t="s">
        <v>42</v>
      </c>
      <c r="M125" s="88"/>
      <c r="N125" s="89">
        <v>47.16</v>
      </c>
      <c r="O125" s="89"/>
    </row>
    <row r="126" spans="1:20" s="1" customFormat="1" ht="13.35" customHeight="1" x14ac:dyDescent="0.25">
      <c r="A126" s="88" t="s">
        <v>43</v>
      </c>
      <c r="B126" s="88"/>
      <c r="C126" s="88"/>
      <c r="D126" s="88"/>
      <c r="E126" s="89">
        <f>85.8*250/200</f>
        <v>107.25</v>
      </c>
      <c r="F126" s="89"/>
      <c r="G126" s="17"/>
      <c r="H126" s="6" t="s">
        <v>44</v>
      </c>
      <c r="I126" s="89">
        <v>1.94</v>
      </c>
      <c r="J126" s="89"/>
      <c r="K126" s="17"/>
      <c r="L126" s="88" t="s">
        <v>45</v>
      </c>
      <c r="M126" s="88"/>
      <c r="N126" s="89">
        <v>0.73</v>
      </c>
      <c r="O126" s="89"/>
    </row>
    <row r="127" spans="1:20" s="1" customFormat="1" ht="13.35" customHeight="1" x14ac:dyDescent="0.25">
      <c r="A127" s="87"/>
      <c r="B127" s="87"/>
      <c r="C127" s="87"/>
      <c r="D127" s="87"/>
      <c r="E127" s="87"/>
      <c r="F127" s="87"/>
      <c r="G127" s="17"/>
      <c r="H127" s="6" t="s">
        <v>46</v>
      </c>
      <c r="I127" s="89">
        <v>0</v>
      </c>
      <c r="J127" s="89"/>
      <c r="K127" s="17"/>
      <c r="L127" s="88" t="s">
        <v>47</v>
      </c>
      <c r="M127" s="88"/>
      <c r="N127" s="89">
        <v>335.2</v>
      </c>
      <c r="O127" s="89"/>
    </row>
    <row r="128" spans="1:20" s="1" customFormat="1" ht="13.35" customHeight="1" x14ac:dyDescent="0.25">
      <c r="A128" s="87"/>
      <c r="B128" s="87"/>
      <c r="C128" s="87"/>
      <c r="D128" s="87"/>
      <c r="E128" s="87"/>
      <c r="F128" s="87"/>
      <c r="G128" s="17"/>
      <c r="H128" s="6" t="s">
        <v>48</v>
      </c>
      <c r="I128" s="89">
        <v>0.04</v>
      </c>
      <c r="J128" s="89"/>
      <c r="K128" s="17"/>
      <c r="L128" s="88" t="s">
        <v>49</v>
      </c>
      <c r="M128" s="88"/>
      <c r="N128" s="89">
        <v>3.1</v>
      </c>
      <c r="O128" s="89"/>
    </row>
    <row r="129" spans="1:20" s="1" customFormat="1" ht="13.35" customHeight="1" x14ac:dyDescent="0.25">
      <c r="A129" s="87"/>
      <c r="B129" s="87"/>
      <c r="C129" s="87"/>
      <c r="D129" s="87"/>
      <c r="E129" s="87"/>
      <c r="F129" s="87"/>
      <c r="G129" s="17"/>
      <c r="H129" s="17"/>
      <c r="I129" s="87"/>
      <c r="J129" s="87"/>
      <c r="K129" s="17"/>
      <c r="L129" s="88" t="s">
        <v>50</v>
      </c>
      <c r="M129" s="88"/>
      <c r="N129" s="89">
        <v>0.02</v>
      </c>
      <c r="O129" s="89"/>
    </row>
    <row r="130" spans="1:20" s="1" customFormat="1" ht="13.35" customHeight="1" x14ac:dyDescent="0.25">
      <c r="A130" s="87"/>
      <c r="B130" s="87"/>
      <c r="C130" s="87"/>
      <c r="D130" s="87"/>
      <c r="E130" s="87"/>
      <c r="F130" s="87"/>
      <c r="G130" s="17"/>
      <c r="H130" s="17"/>
      <c r="I130" s="87"/>
      <c r="J130" s="87"/>
      <c r="K130" s="17"/>
      <c r="L130" s="88" t="s">
        <v>51</v>
      </c>
      <c r="M130" s="88"/>
      <c r="N130" s="89">
        <v>0</v>
      </c>
      <c r="O130" s="89"/>
    </row>
    <row r="131" spans="1:20" s="1" customFormat="1" ht="14.1" customHeight="1" x14ac:dyDescent="0.25">
      <c r="A131" s="86"/>
      <c r="B131" s="86"/>
      <c r="C131" s="86"/>
      <c r="D131" s="86"/>
      <c r="E131" s="86"/>
      <c r="F131" s="86"/>
      <c r="G131" s="86"/>
      <c r="H131" s="86"/>
      <c r="I131" s="86"/>
      <c r="J131" s="86"/>
      <c r="K131" s="86"/>
      <c r="L131" s="86"/>
      <c r="M131" s="86"/>
      <c r="N131" s="86"/>
      <c r="O131" s="86"/>
      <c r="P131" s="86"/>
      <c r="Q131" s="86"/>
      <c r="R131" s="86"/>
      <c r="S131" s="86"/>
    </row>
    <row r="132" spans="1:20" s="1" customFormat="1" ht="14.1" customHeight="1" x14ac:dyDescent="0.25">
      <c r="A132" s="84" t="s">
        <v>52</v>
      </c>
      <c r="B132" s="84"/>
      <c r="C132" s="84"/>
      <c r="D132" s="84"/>
      <c r="E132" s="84"/>
      <c r="F132" s="84"/>
      <c r="G132" s="84"/>
      <c r="H132" s="84"/>
      <c r="I132" s="84"/>
      <c r="J132" s="84"/>
      <c r="K132" s="84"/>
      <c r="L132" s="84"/>
      <c r="M132" s="84"/>
      <c r="N132" s="84"/>
      <c r="O132" s="84"/>
      <c r="P132" s="84"/>
      <c r="Q132" s="84"/>
      <c r="R132" s="84"/>
      <c r="S132" s="84"/>
    </row>
    <row r="133" spans="1:20" s="1" customFormat="1" ht="67.650000000000006" customHeight="1" x14ac:dyDescent="0.25">
      <c r="A133" s="85" t="s">
        <v>510</v>
      </c>
      <c r="B133" s="85"/>
      <c r="C133" s="85"/>
      <c r="D133" s="85"/>
      <c r="E133" s="85"/>
      <c r="F133" s="85"/>
      <c r="G133" s="85"/>
      <c r="H133" s="85"/>
      <c r="I133" s="85"/>
      <c r="J133" s="85"/>
      <c r="K133" s="85"/>
      <c r="L133" s="85"/>
      <c r="M133" s="85"/>
      <c r="N133" s="85"/>
      <c r="O133" s="85"/>
      <c r="P133" s="85"/>
      <c r="Q133" s="85"/>
      <c r="R133" s="85"/>
      <c r="S133" s="85"/>
    </row>
    <row r="134" spans="1:20" s="1" customFormat="1" ht="14.1" customHeight="1" x14ac:dyDescent="0.25">
      <c r="A134" s="86"/>
      <c r="B134" s="86"/>
      <c r="C134" s="86"/>
      <c r="D134" s="86"/>
      <c r="E134" s="86"/>
      <c r="F134" s="86"/>
      <c r="G134" s="86"/>
      <c r="H134" s="86"/>
      <c r="I134" s="86"/>
      <c r="J134" s="86"/>
      <c r="K134" s="86"/>
      <c r="L134" s="86"/>
      <c r="M134" s="86"/>
      <c r="N134" s="86"/>
      <c r="O134" s="86"/>
      <c r="P134" s="86"/>
      <c r="Q134" s="86"/>
      <c r="R134" s="86"/>
      <c r="S134" s="86"/>
    </row>
    <row r="135" spans="1:20" s="1" customFormat="1" ht="14.1" customHeight="1" x14ac:dyDescent="0.25">
      <c r="A135" s="84" t="s">
        <v>54</v>
      </c>
      <c r="B135" s="84"/>
      <c r="C135" s="84"/>
      <c r="D135" s="84"/>
      <c r="E135" s="84"/>
      <c r="F135" s="84"/>
      <c r="G135" s="84"/>
      <c r="H135" s="84"/>
      <c r="I135" s="84"/>
      <c r="J135" s="84"/>
      <c r="K135" s="84"/>
      <c r="L135" s="84"/>
      <c r="M135" s="84"/>
      <c r="N135" s="84"/>
      <c r="O135" s="84"/>
      <c r="P135" s="84"/>
      <c r="Q135" s="84"/>
      <c r="R135" s="84"/>
      <c r="S135" s="84"/>
    </row>
    <row r="136" spans="1:20" s="1" customFormat="1" ht="12.15" customHeight="1" x14ac:dyDescent="0.25">
      <c r="A136" s="85" t="s">
        <v>511</v>
      </c>
      <c r="B136" s="85"/>
      <c r="C136" s="85"/>
      <c r="D136" s="85"/>
      <c r="E136" s="85"/>
      <c r="F136" s="85"/>
      <c r="G136" s="85"/>
      <c r="H136" s="85"/>
      <c r="I136" s="85"/>
      <c r="J136" s="85"/>
      <c r="K136" s="85"/>
      <c r="L136" s="85"/>
      <c r="M136" s="85"/>
      <c r="N136" s="85"/>
      <c r="O136" s="85"/>
      <c r="P136" s="85"/>
      <c r="Q136" s="85"/>
      <c r="R136" s="85"/>
      <c r="S136" s="85"/>
    </row>
    <row r="137" spans="1:20" s="1" customFormat="1" ht="14.1" customHeight="1" x14ac:dyDescent="0.25">
      <c r="A137" s="86"/>
      <c r="B137" s="86"/>
      <c r="C137" s="86"/>
      <c r="D137" s="86"/>
      <c r="E137" s="86"/>
      <c r="F137" s="86"/>
      <c r="G137" s="86"/>
      <c r="H137" s="86"/>
      <c r="I137" s="86"/>
      <c r="J137" s="86"/>
      <c r="K137" s="86"/>
      <c r="L137" s="86"/>
      <c r="M137" s="86"/>
      <c r="N137" s="86"/>
      <c r="O137" s="86"/>
      <c r="P137" s="86"/>
      <c r="Q137" s="86"/>
      <c r="R137" s="86"/>
      <c r="S137" s="86"/>
    </row>
    <row r="138" spans="1:20" s="1" customFormat="1" ht="14.1" customHeight="1" x14ac:dyDescent="0.25">
      <c r="A138" s="84" t="s">
        <v>56</v>
      </c>
      <c r="B138" s="84"/>
      <c r="C138" s="84"/>
      <c r="D138" s="84"/>
      <c r="E138" s="84"/>
      <c r="F138" s="84"/>
      <c r="G138" s="84"/>
      <c r="H138" s="84"/>
      <c r="I138" s="84"/>
      <c r="J138" s="84"/>
      <c r="K138" s="84"/>
      <c r="L138" s="84"/>
      <c r="M138" s="84"/>
      <c r="N138" s="84"/>
      <c r="O138" s="84"/>
      <c r="P138" s="84"/>
      <c r="Q138" s="84"/>
      <c r="R138" s="84"/>
      <c r="S138" s="84"/>
    </row>
    <row r="139" spans="1:20" s="1" customFormat="1" ht="67.650000000000006" customHeight="1" x14ac:dyDescent="0.25">
      <c r="A139" s="85" t="s">
        <v>512</v>
      </c>
      <c r="B139" s="85"/>
      <c r="C139" s="85"/>
      <c r="D139" s="85"/>
      <c r="E139" s="85"/>
      <c r="F139" s="85"/>
      <c r="G139" s="85"/>
      <c r="H139" s="85"/>
      <c r="I139" s="85"/>
      <c r="J139" s="85"/>
      <c r="K139" s="85"/>
      <c r="L139" s="85"/>
      <c r="M139" s="85"/>
      <c r="N139" s="85"/>
      <c r="O139" s="85"/>
      <c r="P139" s="85"/>
      <c r="Q139" s="85"/>
      <c r="R139" s="85"/>
      <c r="S139" s="85"/>
    </row>
    <row r="141" spans="1:20" s="1" customFormat="1" ht="72.45" customHeight="1" x14ac:dyDescent="0.25">
      <c r="J141" s="100" t="s">
        <v>0</v>
      </c>
      <c r="K141" s="100"/>
      <c r="L141" s="100"/>
      <c r="M141" s="100"/>
      <c r="N141" s="100"/>
      <c r="O141" s="100"/>
      <c r="P141" s="100"/>
      <c r="Q141" s="100"/>
      <c r="R141" s="100"/>
      <c r="S141" s="100"/>
      <c r="T141" s="100"/>
    </row>
    <row r="142" spans="1:20" s="1" customFormat="1" ht="7.05" customHeight="1" x14ac:dyDescent="0.25"/>
    <row r="143" spans="1:20" s="1" customFormat="1" ht="14.1" customHeight="1" x14ac:dyDescent="0.25">
      <c r="B143" s="101" t="s">
        <v>760</v>
      </c>
      <c r="C143" s="101"/>
      <c r="D143" s="101"/>
      <c r="E143" s="101"/>
      <c r="F143" s="101"/>
      <c r="G143" s="101"/>
      <c r="H143" s="101"/>
      <c r="I143" s="101"/>
      <c r="J143" s="101"/>
      <c r="K143" s="101"/>
      <c r="L143" s="101"/>
      <c r="M143" s="101"/>
      <c r="N143" s="101"/>
      <c r="O143" s="101"/>
      <c r="P143" s="101"/>
      <c r="Q143" s="101"/>
      <c r="R143" s="101"/>
    </row>
    <row r="144" spans="1:20" s="1" customFormat="1" ht="14.1" customHeight="1" x14ac:dyDescent="0.25"/>
    <row r="145" spans="1:20" s="1" customFormat="1" ht="14.1" customHeight="1" x14ac:dyDescent="0.25">
      <c r="A145" s="102" t="s">
        <v>2</v>
      </c>
      <c r="B145" s="102"/>
      <c r="C145" s="102"/>
      <c r="D145" s="103" t="s">
        <v>805</v>
      </c>
      <c r="E145" s="103"/>
      <c r="F145" s="103"/>
      <c r="G145" s="103"/>
      <c r="H145" s="103"/>
      <c r="I145" s="103"/>
      <c r="J145" s="103"/>
      <c r="K145" s="103"/>
      <c r="L145" s="103"/>
      <c r="M145" s="103"/>
      <c r="N145" s="103"/>
      <c r="O145" s="103"/>
      <c r="P145" s="103"/>
      <c r="Q145" s="103"/>
      <c r="R145" s="103"/>
      <c r="S145" s="103"/>
      <c r="T145" s="103"/>
    </row>
    <row r="146" spans="1:20" s="1" customFormat="1" ht="14.1" customHeight="1" x14ac:dyDescent="0.25">
      <c r="A146" s="102" t="s">
        <v>4</v>
      </c>
      <c r="B146" s="102"/>
      <c r="C146" s="103">
        <v>24</v>
      </c>
      <c r="D146" s="103"/>
      <c r="E146" s="103"/>
      <c r="F146" s="103"/>
      <c r="G146" s="103"/>
      <c r="H146" s="103"/>
      <c r="I146" s="103"/>
      <c r="J146" s="103"/>
      <c r="K146" s="103"/>
      <c r="L146" s="103"/>
      <c r="M146" s="103"/>
      <c r="N146" s="103"/>
      <c r="O146" s="103"/>
      <c r="P146" s="103"/>
      <c r="Q146" s="103"/>
      <c r="R146" s="103"/>
      <c r="S146" s="103"/>
      <c r="T146" s="103"/>
    </row>
    <row r="147" spans="1:20" s="1" customFormat="1" ht="14.1" customHeight="1" x14ac:dyDescent="0.25">
      <c r="A147" s="102" t="s">
        <v>6</v>
      </c>
      <c r="B147" s="102"/>
      <c r="C147" s="102"/>
      <c r="D147" s="102"/>
      <c r="E147" s="102"/>
      <c r="F147" s="103" t="s">
        <v>75</v>
      </c>
      <c r="G147" s="103"/>
      <c r="H147" s="103"/>
      <c r="I147" s="103"/>
      <c r="J147" s="103"/>
      <c r="K147" s="103"/>
      <c r="L147" s="103"/>
      <c r="M147" s="103"/>
      <c r="N147" s="103"/>
      <c r="O147" s="103"/>
      <c r="P147" s="103"/>
      <c r="Q147" s="103"/>
      <c r="R147" s="103"/>
      <c r="S147" s="103"/>
      <c r="T147" s="103"/>
    </row>
    <row r="148" spans="1:20" s="1" customFormat="1" ht="22.35" customHeight="1" x14ac:dyDescent="0.25">
      <c r="F148" s="103"/>
      <c r="G148" s="103"/>
      <c r="H148" s="103"/>
      <c r="I148" s="103"/>
      <c r="J148" s="103"/>
      <c r="K148" s="103"/>
      <c r="L148" s="103"/>
      <c r="M148" s="103"/>
      <c r="N148" s="103"/>
      <c r="O148" s="103"/>
      <c r="P148" s="103"/>
      <c r="Q148" s="103"/>
      <c r="R148" s="103"/>
      <c r="S148" s="103"/>
      <c r="T148" s="103"/>
    </row>
    <row r="149" spans="1:20" s="1" customFormat="1" ht="13.2" x14ac:dyDescent="0.25">
      <c r="A149" s="104" t="s">
        <v>754</v>
      </c>
      <c r="B149" s="93"/>
      <c r="C149" s="93"/>
      <c r="D149" s="93"/>
      <c r="E149" s="93"/>
      <c r="F149" s="93"/>
      <c r="G149" s="93"/>
      <c r="H149" s="93"/>
      <c r="I149" s="93"/>
      <c r="J149" s="93"/>
      <c r="K149" s="93"/>
      <c r="L149" s="93"/>
      <c r="M149" s="93"/>
      <c r="N149" s="93"/>
      <c r="O149" s="93"/>
      <c r="P149" s="93"/>
      <c r="Q149" s="93"/>
      <c r="R149" s="93"/>
      <c r="S149" s="93"/>
    </row>
    <row r="150" spans="1:20" s="1" customFormat="1" ht="49.95" customHeight="1" x14ac:dyDescent="0.25">
      <c r="A150" s="92" t="s">
        <v>761</v>
      </c>
      <c r="B150" s="93"/>
      <c r="C150" s="93"/>
      <c r="D150" s="93"/>
      <c r="E150" s="93"/>
      <c r="F150" s="93"/>
      <c r="G150" s="93"/>
      <c r="H150" s="93"/>
      <c r="I150" s="93"/>
      <c r="J150" s="93"/>
      <c r="K150" s="93"/>
      <c r="L150" s="93"/>
      <c r="M150" s="93"/>
      <c r="N150" s="93"/>
      <c r="O150" s="93"/>
      <c r="P150" s="93"/>
      <c r="Q150" s="93"/>
      <c r="R150" s="93"/>
      <c r="S150" s="93"/>
    </row>
    <row r="151" spans="1:20" s="1" customFormat="1" ht="7.05" customHeight="1" x14ac:dyDescent="0.25">
      <c r="A151" s="86"/>
      <c r="B151" s="86"/>
      <c r="C151" s="86"/>
      <c r="D151" s="86"/>
      <c r="E151" s="86"/>
      <c r="F151" s="86"/>
      <c r="G151" s="86"/>
      <c r="H151" s="86"/>
      <c r="I151" s="86"/>
      <c r="J151" s="86"/>
      <c r="K151" s="86"/>
      <c r="L151" s="86"/>
      <c r="M151" s="86"/>
      <c r="N151" s="86"/>
      <c r="O151" s="86"/>
      <c r="P151" s="86"/>
      <c r="Q151" s="16"/>
      <c r="R151" s="86"/>
      <c r="S151" s="86"/>
      <c r="T151" s="86"/>
    </row>
    <row r="152" spans="1:20" s="1" customFormat="1" ht="16.95" customHeight="1" x14ac:dyDescent="0.25">
      <c r="A152" s="94" t="s">
        <v>8</v>
      </c>
      <c r="B152" s="94"/>
      <c r="C152" s="94"/>
      <c r="D152" s="94"/>
      <c r="E152" s="94"/>
      <c r="F152" s="94"/>
      <c r="G152" s="94"/>
      <c r="H152" s="94"/>
      <c r="I152" s="94"/>
      <c r="J152" s="94"/>
      <c r="K152" s="94"/>
      <c r="L152" s="94"/>
      <c r="M152" s="95" t="s">
        <v>9</v>
      </c>
      <c r="N152" s="95"/>
      <c r="O152" s="95"/>
      <c r="P152" s="95"/>
      <c r="Q152" s="95"/>
      <c r="R152" s="95"/>
      <c r="S152" s="95"/>
      <c r="T152" s="95"/>
    </row>
    <row r="153" spans="1:20" s="1" customFormat="1" ht="16.95" customHeight="1" x14ac:dyDescent="0.25">
      <c r="A153" s="94"/>
      <c r="B153" s="94"/>
      <c r="C153" s="94"/>
      <c r="D153" s="94"/>
      <c r="E153" s="94"/>
      <c r="F153" s="94"/>
      <c r="G153" s="94"/>
      <c r="H153" s="94"/>
      <c r="I153" s="94"/>
      <c r="J153" s="94"/>
      <c r="K153" s="94"/>
      <c r="L153" s="94"/>
      <c r="M153" s="96" t="s">
        <v>10</v>
      </c>
      <c r="N153" s="96"/>
      <c r="O153" s="96"/>
      <c r="P153" s="96"/>
      <c r="Q153" s="97" t="s">
        <v>11</v>
      </c>
      <c r="R153" s="97"/>
      <c r="S153" s="97"/>
      <c r="T153" s="97"/>
    </row>
    <row r="154" spans="1:20" s="1" customFormat="1" ht="16.95" customHeight="1" x14ac:dyDescent="0.25">
      <c r="A154" s="94"/>
      <c r="B154" s="94"/>
      <c r="C154" s="94"/>
      <c r="D154" s="94"/>
      <c r="E154" s="94"/>
      <c r="F154" s="94"/>
      <c r="G154" s="94"/>
      <c r="H154" s="94"/>
      <c r="I154" s="94"/>
      <c r="J154" s="94"/>
      <c r="K154" s="94"/>
      <c r="L154" s="94"/>
      <c r="M154" s="98" t="s">
        <v>12</v>
      </c>
      <c r="N154" s="98"/>
      <c r="O154" s="98" t="s">
        <v>13</v>
      </c>
      <c r="P154" s="98"/>
      <c r="Q154" s="13" t="s">
        <v>14</v>
      </c>
      <c r="R154" s="99" t="s">
        <v>15</v>
      </c>
      <c r="S154" s="99"/>
      <c r="T154" s="99"/>
    </row>
    <row r="155" spans="1:20" s="1" customFormat="1" ht="13.35" customHeight="1" x14ac:dyDescent="0.25">
      <c r="A155" s="88" t="s">
        <v>81</v>
      </c>
      <c r="B155" s="88"/>
      <c r="C155" s="88"/>
      <c r="D155" s="88"/>
      <c r="E155" s="88"/>
      <c r="F155" s="88"/>
      <c r="G155" s="88"/>
      <c r="H155" s="88"/>
      <c r="I155" s="88"/>
      <c r="J155" s="88"/>
      <c r="K155" s="88"/>
      <c r="L155" s="88"/>
      <c r="M155" s="88">
        <f>3*180/150</f>
        <v>3.6</v>
      </c>
      <c r="N155" s="88"/>
      <c r="O155" s="88">
        <f>2.85*180/150</f>
        <v>3.42</v>
      </c>
      <c r="P155" s="88"/>
      <c r="Q155" s="6">
        <v>0.36</v>
      </c>
      <c r="R155" s="88">
        <v>0.34</v>
      </c>
      <c r="S155" s="88"/>
      <c r="T155" s="88"/>
    </row>
    <row r="156" spans="1:20" s="1" customFormat="1" ht="13.35" customHeight="1" x14ac:dyDescent="0.25">
      <c r="A156" s="88" t="s">
        <v>84</v>
      </c>
      <c r="B156" s="88"/>
      <c r="C156" s="88"/>
      <c r="D156" s="88"/>
      <c r="E156" s="88"/>
      <c r="F156" s="88"/>
      <c r="G156" s="88"/>
      <c r="H156" s="88"/>
      <c r="I156" s="88"/>
      <c r="J156" s="88"/>
      <c r="K156" s="88"/>
      <c r="L156" s="88"/>
      <c r="M156" s="88">
        <f>15*180/150</f>
        <v>18</v>
      </c>
      <c r="N156" s="88"/>
      <c r="O156" s="88">
        <f>12*180/150</f>
        <v>14.4</v>
      </c>
      <c r="P156" s="88"/>
      <c r="Q156" s="6">
        <v>1.8</v>
      </c>
      <c r="R156" s="88">
        <v>1.44</v>
      </c>
      <c r="S156" s="88"/>
      <c r="T156" s="88"/>
    </row>
    <row r="157" spans="1:20" s="1" customFormat="1" ht="13.35" customHeight="1" x14ac:dyDescent="0.25">
      <c r="A157" s="88" t="s">
        <v>31</v>
      </c>
      <c r="B157" s="88"/>
      <c r="C157" s="88"/>
      <c r="D157" s="88"/>
      <c r="E157" s="88"/>
      <c r="F157" s="88"/>
      <c r="G157" s="88"/>
      <c r="H157" s="88"/>
      <c r="I157" s="88"/>
      <c r="J157" s="88"/>
      <c r="K157" s="88"/>
      <c r="L157" s="88"/>
      <c r="M157" s="88">
        <f>32*180/150</f>
        <v>38.4</v>
      </c>
      <c r="N157" s="88"/>
      <c r="O157" s="88">
        <f>24*180/150</f>
        <v>28.8</v>
      </c>
      <c r="P157" s="88"/>
      <c r="Q157" s="23">
        <v>3.84</v>
      </c>
      <c r="R157" s="88">
        <v>2.88</v>
      </c>
      <c r="S157" s="88"/>
      <c r="T157" s="88"/>
    </row>
    <row r="158" spans="1:20" s="1" customFormat="1" ht="13.35" customHeight="1" x14ac:dyDescent="0.25">
      <c r="A158" s="88" t="s">
        <v>100</v>
      </c>
      <c r="B158" s="88"/>
      <c r="C158" s="88"/>
      <c r="D158" s="88"/>
      <c r="E158" s="88"/>
      <c r="F158" s="88"/>
      <c r="G158" s="88"/>
      <c r="H158" s="88"/>
      <c r="I158" s="88"/>
      <c r="J158" s="88"/>
      <c r="K158" s="88"/>
      <c r="L158" s="88"/>
      <c r="M158" s="88">
        <f>7.04*180/150</f>
        <v>8.4480000000000004</v>
      </c>
      <c r="N158" s="88"/>
      <c r="O158" s="88">
        <f>5.63*180/150</f>
        <v>6.7560000000000002</v>
      </c>
      <c r="P158" s="88"/>
      <c r="Q158" s="23">
        <v>0.84</v>
      </c>
      <c r="R158" s="88">
        <v>0.67</v>
      </c>
      <c r="S158" s="88"/>
      <c r="T158" s="88"/>
    </row>
    <row r="159" spans="1:20" s="1" customFormat="1" ht="13.35" customHeight="1" x14ac:dyDescent="0.25">
      <c r="A159" s="88" t="s">
        <v>21</v>
      </c>
      <c r="B159" s="88"/>
      <c r="C159" s="88"/>
      <c r="D159" s="88"/>
      <c r="E159" s="88"/>
      <c r="F159" s="88"/>
      <c r="G159" s="88"/>
      <c r="H159" s="88"/>
      <c r="I159" s="88"/>
      <c r="J159" s="88"/>
      <c r="K159" s="88"/>
      <c r="L159" s="88"/>
      <c r="M159" s="88">
        <f>7.2*180/150</f>
        <v>8.64</v>
      </c>
      <c r="N159" s="88"/>
      <c r="O159" s="88">
        <f>6.05*180/150</f>
        <v>7.26</v>
      </c>
      <c r="P159" s="88"/>
      <c r="Q159" s="6">
        <v>0.86</v>
      </c>
      <c r="R159" s="88">
        <v>0.72</v>
      </c>
      <c r="S159" s="88"/>
      <c r="T159" s="88"/>
    </row>
    <row r="160" spans="1:20" s="1" customFormat="1" ht="13.35" customHeight="1" x14ac:dyDescent="0.25">
      <c r="A160" s="88" t="s">
        <v>452</v>
      </c>
      <c r="B160" s="88"/>
      <c r="C160" s="88"/>
      <c r="D160" s="88"/>
      <c r="E160" s="88"/>
      <c r="F160" s="88"/>
      <c r="G160" s="88"/>
      <c r="H160" s="88"/>
      <c r="I160" s="88"/>
      <c r="J160" s="88"/>
      <c r="K160" s="88"/>
      <c r="L160" s="88"/>
      <c r="M160" s="88">
        <f>6.9*180/150</f>
        <v>8.2799999999999994</v>
      </c>
      <c r="N160" s="88"/>
      <c r="O160" s="88">
        <f>4.49*180/150</f>
        <v>5.3879999999999999</v>
      </c>
      <c r="P160" s="88"/>
      <c r="Q160" s="6">
        <v>0.82</v>
      </c>
      <c r="R160" s="88">
        <v>0.53</v>
      </c>
      <c r="S160" s="88"/>
      <c r="T160" s="88"/>
    </row>
    <row r="161" spans="1:20" s="1" customFormat="1" ht="13.35" customHeight="1" x14ac:dyDescent="0.25">
      <c r="A161" s="88" t="s">
        <v>808</v>
      </c>
      <c r="B161" s="88"/>
      <c r="C161" s="88"/>
      <c r="D161" s="88"/>
      <c r="E161" s="88"/>
      <c r="F161" s="88"/>
      <c r="G161" s="88"/>
      <c r="H161" s="88"/>
      <c r="I161" s="88"/>
      <c r="J161" s="88"/>
      <c r="K161" s="88"/>
      <c r="L161" s="88"/>
      <c r="M161" s="88">
        <f>3*180/150</f>
        <v>3.6</v>
      </c>
      <c r="N161" s="88"/>
      <c r="O161" s="88">
        <v>3.6</v>
      </c>
      <c r="P161" s="88"/>
      <c r="Q161" s="6">
        <v>0.36</v>
      </c>
      <c r="R161" s="88">
        <v>0.36</v>
      </c>
      <c r="S161" s="88"/>
      <c r="T161" s="88"/>
    </row>
    <row r="162" spans="1:20" s="1" customFormat="1" ht="13.35" customHeight="1" x14ac:dyDescent="0.25">
      <c r="A162" s="88" t="s">
        <v>111</v>
      </c>
      <c r="B162" s="88"/>
      <c r="C162" s="88"/>
      <c r="D162" s="88"/>
      <c r="E162" s="88"/>
      <c r="F162" s="88"/>
      <c r="G162" s="88"/>
      <c r="H162" s="88"/>
      <c r="I162" s="88"/>
      <c r="J162" s="88"/>
      <c r="K162" s="88"/>
      <c r="L162" s="88"/>
      <c r="M162" s="88" t="s">
        <v>392</v>
      </c>
      <c r="N162" s="88"/>
      <c r="O162" s="88" t="s">
        <v>392</v>
      </c>
      <c r="P162" s="88"/>
      <c r="Q162" s="6" t="s">
        <v>508</v>
      </c>
      <c r="R162" s="88" t="s">
        <v>508</v>
      </c>
      <c r="S162" s="88"/>
      <c r="T162" s="88"/>
    </row>
    <row r="163" spans="1:20" s="1" customFormat="1" ht="13.35" customHeight="1" x14ac:dyDescent="0.25">
      <c r="A163" s="88" t="s">
        <v>114</v>
      </c>
      <c r="B163" s="88"/>
      <c r="C163" s="88"/>
      <c r="D163" s="88"/>
      <c r="E163" s="88"/>
      <c r="F163" s="88"/>
      <c r="G163" s="88"/>
      <c r="H163" s="88"/>
      <c r="I163" s="88"/>
      <c r="J163" s="88"/>
      <c r="K163" s="88"/>
      <c r="L163" s="88"/>
      <c r="M163" s="88" t="s">
        <v>322</v>
      </c>
      <c r="N163" s="88"/>
      <c r="O163" s="88" t="s">
        <v>322</v>
      </c>
      <c r="P163" s="88"/>
      <c r="Q163" s="6" t="s">
        <v>186</v>
      </c>
      <c r="R163" s="88" t="s">
        <v>186</v>
      </c>
      <c r="S163" s="88"/>
      <c r="T163" s="88"/>
    </row>
    <row r="164" spans="1:20" s="1" customFormat="1" ht="13.35" customHeight="1" x14ac:dyDescent="0.25">
      <c r="A164" s="88" t="s">
        <v>16</v>
      </c>
      <c r="B164" s="88"/>
      <c r="C164" s="88"/>
      <c r="D164" s="88"/>
      <c r="E164" s="88"/>
      <c r="F164" s="88"/>
      <c r="G164" s="88"/>
      <c r="H164" s="88"/>
      <c r="I164" s="88"/>
      <c r="J164" s="88"/>
      <c r="K164" s="88"/>
      <c r="L164" s="88"/>
      <c r="M164" s="88">
        <f>66.9*70/50</f>
        <v>93.66</v>
      </c>
      <c r="N164" s="88"/>
      <c r="O164" s="88">
        <f>65.63*70/50</f>
        <v>91.881999999999991</v>
      </c>
      <c r="P164" s="88"/>
      <c r="Q164" s="6">
        <v>9.36</v>
      </c>
      <c r="R164" s="88">
        <v>9.18</v>
      </c>
      <c r="S164" s="88"/>
      <c r="T164" s="88"/>
    </row>
    <row r="165" spans="1:20" s="1" customFormat="1" ht="13.35" customHeight="1" x14ac:dyDescent="0.25">
      <c r="A165" s="88" t="s">
        <v>21</v>
      </c>
      <c r="B165" s="88"/>
      <c r="C165" s="88"/>
      <c r="D165" s="88"/>
      <c r="E165" s="88"/>
      <c r="F165" s="88"/>
      <c r="G165" s="88"/>
      <c r="H165" s="88"/>
      <c r="I165" s="88"/>
      <c r="J165" s="88"/>
      <c r="K165" s="88"/>
      <c r="L165" s="88"/>
      <c r="M165" s="88">
        <f>5.8*70/50</f>
        <v>8.1199999999999992</v>
      </c>
      <c r="N165" s="88"/>
      <c r="O165" s="88">
        <f>4.87*70/50</f>
        <v>6.8180000000000005</v>
      </c>
      <c r="P165" s="88"/>
      <c r="Q165" s="6">
        <v>0.81</v>
      </c>
      <c r="R165" s="88">
        <v>0.68</v>
      </c>
      <c r="S165" s="88"/>
      <c r="T165" s="88"/>
    </row>
    <row r="166" spans="1:20" s="1" customFormat="1" ht="13.35" customHeight="1" x14ac:dyDescent="0.25">
      <c r="A166" s="88" t="s">
        <v>183</v>
      </c>
      <c r="B166" s="88"/>
      <c r="C166" s="88"/>
      <c r="D166" s="88"/>
      <c r="E166" s="88"/>
      <c r="F166" s="88"/>
      <c r="G166" s="88"/>
      <c r="H166" s="88"/>
      <c r="I166" s="88"/>
      <c r="J166" s="88"/>
      <c r="K166" s="88"/>
      <c r="L166" s="88"/>
      <c r="M166" s="88" t="s">
        <v>806</v>
      </c>
      <c r="N166" s="88"/>
      <c r="O166" s="88">
        <f>0.14*45</f>
        <v>6.3000000000000007</v>
      </c>
      <c r="P166" s="88"/>
      <c r="Q166" s="6" t="s">
        <v>807</v>
      </c>
      <c r="R166" s="88">
        <v>0.63</v>
      </c>
      <c r="S166" s="88"/>
      <c r="T166" s="88"/>
    </row>
    <row r="167" spans="1:20" s="1" customFormat="1" ht="13.35" customHeight="1" x14ac:dyDescent="0.25">
      <c r="A167" s="88" t="s">
        <v>70</v>
      </c>
      <c r="B167" s="88"/>
      <c r="C167" s="88"/>
      <c r="D167" s="88"/>
      <c r="E167" s="88"/>
      <c r="F167" s="88"/>
      <c r="G167" s="88"/>
      <c r="H167" s="88"/>
      <c r="I167" s="88"/>
      <c r="J167" s="88"/>
      <c r="K167" s="88"/>
      <c r="L167" s="88"/>
      <c r="M167" s="88" t="s">
        <v>77</v>
      </c>
      <c r="N167" s="88"/>
      <c r="O167" s="88" t="s">
        <v>77</v>
      </c>
      <c r="P167" s="88"/>
      <c r="Q167" s="6" t="s">
        <v>79</v>
      </c>
      <c r="R167" s="88" t="s">
        <v>79</v>
      </c>
      <c r="S167" s="88"/>
      <c r="T167" s="88"/>
    </row>
    <row r="168" spans="1:20" s="1" customFormat="1" ht="13.35" customHeight="1" x14ac:dyDescent="0.25">
      <c r="A168" s="88" t="s">
        <v>114</v>
      </c>
      <c r="B168" s="88"/>
      <c r="C168" s="88"/>
      <c r="D168" s="88"/>
      <c r="E168" s="88"/>
      <c r="F168" s="88"/>
      <c r="G168" s="88"/>
      <c r="H168" s="88"/>
      <c r="I168" s="88"/>
      <c r="J168" s="88"/>
      <c r="K168" s="88"/>
      <c r="L168" s="88"/>
      <c r="M168" s="88" t="s">
        <v>93</v>
      </c>
      <c r="N168" s="88"/>
      <c r="O168" s="88" t="s">
        <v>93</v>
      </c>
      <c r="P168" s="88"/>
      <c r="Q168" s="6" t="s">
        <v>416</v>
      </c>
      <c r="R168" s="88" t="s">
        <v>416</v>
      </c>
      <c r="S168" s="88"/>
      <c r="T168" s="88"/>
    </row>
    <row r="169" spans="1:20" s="1" customFormat="1" ht="14.1" customHeight="1" x14ac:dyDescent="0.25">
      <c r="A169" s="90" t="s">
        <v>790</v>
      </c>
      <c r="B169" s="90"/>
      <c r="C169" s="90"/>
      <c r="D169" s="90"/>
      <c r="E169" s="90"/>
      <c r="F169" s="90"/>
      <c r="G169" s="90"/>
      <c r="H169" s="90"/>
      <c r="I169" s="90"/>
      <c r="J169" s="90"/>
      <c r="K169" s="90"/>
      <c r="L169" s="90"/>
      <c r="M169" s="90"/>
      <c r="N169" s="90"/>
      <c r="O169" s="90"/>
      <c r="P169" s="90"/>
      <c r="Q169" s="90"/>
      <c r="R169" s="90"/>
      <c r="S169" s="90"/>
      <c r="T169" s="90"/>
    </row>
    <row r="170" spans="1:20" s="1" customFormat="1" ht="21.3" customHeight="1" x14ac:dyDescent="0.25"/>
    <row r="171" spans="1:20" s="1" customFormat="1" ht="14.1" customHeight="1" x14ac:dyDescent="0.25">
      <c r="A171" s="91" t="s">
        <v>33</v>
      </c>
      <c r="B171" s="91"/>
      <c r="C171" s="91"/>
      <c r="D171" s="91"/>
      <c r="E171" s="91"/>
      <c r="F171" s="91"/>
      <c r="G171" s="91"/>
      <c r="H171" s="91"/>
      <c r="I171" s="91"/>
      <c r="J171" s="91"/>
      <c r="K171" s="91"/>
      <c r="L171" s="91"/>
      <c r="M171" s="91"/>
      <c r="N171" s="91"/>
    </row>
    <row r="172" spans="1:20" s="1" customFormat="1" ht="13.35" customHeight="1" x14ac:dyDescent="0.25">
      <c r="A172" s="88" t="s">
        <v>34</v>
      </c>
      <c r="B172" s="88"/>
      <c r="C172" s="88"/>
      <c r="D172" s="88"/>
      <c r="E172" s="89">
        <f>7.7*250/200</f>
        <v>9.625</v>
      </c>
      <c r="F172" s="89"/>
      <c r="G172" s="17"/>
      <c r="H172" s="6" t="s">
        <v>35</v>
      </c>
      <c r="I172" s="89">
        <v>0.24</v>
      </c>
      <c r="J172" s="89"/>
      <c r="K172" s="17"/>
      <c r="L172" s="88" t="s">
        <v>36</v>
      </c>
      <c r="M172" s="88"/>
      <c r="N172" s="89">
        <v>42.48</v>
      </c>
      <c r="O172" s="89"/>
    </row>
    <row r="173" spans="1:20" s="1" customFormat="1" ht="13.35" customHeight="1" x14ac:dyDescent="0.25">
      <c r="A173" s="88" t="s">
        <v>37</v>
      </c>
      <c r="B173" s="88"/>
      <c r="C173" s="88"/>
      <c r="D173" s="88"/>
      <c r="E173" s="89">
        <f>12.7*250/200</f>
        <v>15.875</v>
      </c>
      <c r="F173" s="89"/>
      <c r="G173" s="17"/>
      <c r="H173" s="6" t="s">
        <v>38</v>
      </c>
      <c r="I173" s="89">
        <v>7.95</v>
      </c>
      <c r="J173" s="89"/>
      <c r="K173" s="17"/>
      <c r="L173" s="88" t="s">
        <v>39</v>
      </c>
      <c r="M173" s="88"/>
      <c r="N173" s="89">
        <v>29.34</v>
      </c>
      <c r="O173" s="89"/>
    </row>
    <row r="174" spans="1:20" s="1" customFormat="1" ht="13.35" customHeight="1" x14ac:dyDescent="0.25">
      <c r="A174" s="88" t="s">
        <v>40</v>
      </c>
      <c r="B174" s="88"/>
      <c r="C174" s="88"/>
      <c r="D174" s="88"/>
      <c r="E174" s="89">
        <f>6.1*250/200</f>
        <v>7.625</v>
      </c>
      <c r="F174" s="89"/>
      <c r="G174" s="17"/>
      <c r="H174" s="6" t="s">
        <v>41</v>
      </c>
      <c r="I174" s="89">
        <v>0.16</v>
      </c>
      <c r="J174" s="89"/>
      <c r="K174" s="17"/>
      <c r="L174" s="88" t="s">
        <v>42</v>
      </c>
      <c r="M174" s="88"/>
      <c r="N174" s="89">
        <v>125.81</v>
      </c>
      <c r="O174" s="89"/>
    </row>
    <row r="175" spans="1:20" s="1" customFormat="1" ht="13.35" customHeight="1" x14ac:dyDescent="0.25">
      <c r="A175" s="88" t="s">
        <v>43</v>
      </c>
      <c r="B175" s="88"/>
      <c r="C175" s="88"/>
      <c r="D175" s="88"/>
      <c r="E175" s="89">
        <f>232.9*250/200</f>
        <v>291.125</v>
      </c>
      <c r="F175" s="89"/>
      <c r="G175" s="17"/>
      <c r="H175" s="6" t="s">
        <v>44</v>
      </c>
      <c r="I175" s="89">
        <v>1.57</v>
      </c>
      <c r="J175" s="89"/>
      <c r="K175" s="17"/>
      <c r="L175" s="88" t="s">
        <v>45</v>
      </c>
      <c r="M175" s="88"/>
      <c r="N175" s="89">
        <v>1.65</v>
      </c>
      <c r="O175" s="89"/>
    </row>
    <row r="176" spans="1:20" s="1" customFormat="1" ht="13.35" customHeight="1" x14ac:dyDescent="0.25">
      <c r="A176" s="87"/>
      <c r="B176" s="87"/>
      <c r="C176" s="87"/>
      <c r="D176" s="87"/>
      <c r="E176" s="87"/>
      <c r="F176" s="87"/>
      <c r="G176" s="17"/>
      <c r="H176" s="6" t="s">
        <v>46</v>
      </c>
      <c r="I176" s="89">
        <v>0.09</v>
      </c>
      <c r="J176" s="89"/>
      <c r="K176" s="17"/>
      <c r="L176" s="88" t="s">
        <v>47</v>
      </c>
      <c r="M176" s="88"/>
      <c r="N176" s="89">
        <v>428.4</v>
      </c>
      <c r="O176" s="89"/>
    </row>
    <row r="177" spans="1:20" s="1" customFormat="1" ht="13.35" customHeight="1" x14ac:dyDescent="0.25">
      <c r="A177" s="87"/>
      <c r="B177" s="87"/>
      <c r="C177" s="87"/>
      <c r="D177" s="87"/>
      <c r="E177" s="87"/>
      <c r="F177" s="87"/>
      <c r="G177" s="17"/>
      <c r="H177" s="6" t="s">
        <v>48</v>
      </c>
      <c r="I177" s="89">
        <v>0.1</v>
      </c>
      <c r="J177" s="89"/>
      <c r="K177" s="17"/>
      <c r="L177" s="88" t="s">
        <v>49</v>
      </c>
      <c r="M177" s="88"/>
      <c r="N177" s="89">
        <v>7.31</v>
      </c>
      <c r="O177" s="89"/>
    </row>
    <row r="178" spans="1:20" s="1" customFormat="1" ht="13.35" customHeight="1" x14ac:dyDescent="0.25">
      <c r="A178" s="87"/>
      <c r="B178" s="87"/>
      <c r="C178" s="87"/>
      <c r="D178" s="87"/>
      <c r="E178" s="87"/>
      <c r="F178" s="87"/>
      <c r="G178" s="17"/>
      <c r="H178" s="17"/>
      <c r="I178" s="87"/>
      <c r="J178" s="87"/>
      <c r="K178" s="17"/>
      <c r="L178" s="88" t="s">
        <v>50</v>
      </c>
      <c r="M178" s="88"/>
      <c r="N178" s="89">
        <v>7.0000000000000007E-2</v>
      </c>
      <c r="O178" s="89"/>
    </row>
    <row r="179" spans="1:20" s="1" customFormat="1" ht="13.35" customHeight="1" x14ac:dyDescent="0.25">
      <c r="A179" s="87"/>
      <c r="B179" s="87"/>
      <c r="C179" s="87"/>
      <c r="D179" s="87"/>
      <c r="E179" s="87"/>
      <c r="F179" s="87"/>
      <c r="G179" s="17"/>
      <c r="H179" s="17"/>
      <c r="I179" s="87"/>
      <c r="J179" s="87"/>
      <c r="K179" s="17"/>
      <c r="L179" s="88" t="s">
        <v>51</v>
      </c>
      <c r="M179" s="88"/>
      <c r="N179" s="89">
        <v>0</v>
      </c>
      <c r="O179" s="89"/>
    </row>
    <row r="180" spans="1:20" s="1" customFormat="1" ht="14.1" customHeight="1" x14ac:dyDescent="0.25">
      <c r="A180" s="86"/>
      <c r="B180" s="86"/>
      <c r="C180" s="86"/>
      <c r="D180" s="86"/>
      <c r="E180" s="86"/>
      <c r="F180" s="86"/>
      <c r="G180" s="86"/>
      <c r="H180" s="86"/>
      <c r="I180" s="86"/>
      <c r="J180" s="86"/>
      <c r="K180" s="86"/>
      <c r="L180" s="86"/>
      <c r="M180" s="86"/>
      <c r="N180" s="86"/>
      <c r="O180" s="86"/>
      <c r="P180" s="86"/>
      <c r="Q180" s="86"/>
      <c r="R180" s="86"/>
      <c r="S180" s="86"/>
    </row>
    <row r="181" spans="1:20" s="1" customFormat="1" ht="14.1" customHeight="1" x14ac:dyDescent="0.25">
      <c r="A181" s="84" t="s">
        <v>52</v>
      </c>
      <c r="B181" s="84"/>
      <c r="C181" s="84"/>
      <c r="D181" s="84"/>
      <c r="E181" s="84"/>
      <c r="F181" s="84"/>
      <c r="G181" s="84"/>
      <c r="H181" s="84"/>
      <c r="I181" s="84"/>
      <c r="J181" s="84"/>
      <c r="K181" s="84"/>
      <c r="L181" s="84"/>
      <c r="M181" s="84"/>
      <c r="N181" s="84"/>
      <c r="O181" s="84"/>
      <c r="P181" s="84"/>
      <c r="Q181" s="84"/>
      <c r="R181" s="84"/>
      <c r="S181" s="84"/>
    </row>
    <row r="182" spans="1:20" s="1" customFormat="1" ht="233.25" customHeight="1" x14ac:dyDescent="0.25">
      <c r="A182" s="85" t="s">
        <v>552</v>
      </c>
      <c r="B182" s="85"/>
      <c r="C182" s="85"/>
      <c r="D182" s="85"/>
      <c r="E182" s="85"/>
      <c r="F182" s="85"/>
      <c r="G182" s="85"/>
      <c r="H182" s="85"/>
      <c r="I182" s="85"/>
      <c r="J182" s="85"/>
      <c r="K182" s="85"/>
      <c r="L182" s="85"/>
      <c r="M182" s="85"/>
      <c r="N182" s="85"/>
      <c r="O182" s="85"/>
      <c r="P182" s="85"/>
      <c r="Q182" s="85"/>
      <c r="R182" s="85"/>
      <c r="S182" s="85"/>
    </row>
    <row r="183" spans="1:20" s="1" customFormat="1" ht="14.1" customHeight="1" x14ac:dyDescent="0.25">
      <c r="A183" s="86"/>
      <c r="B183" s="86"/>
      <c r="C183" s="86"/>
      <c r="D183" s="86"/>
      <c r="E183" s="86"/>
      <c r="F183" s="86"/>
      <c r="G183" s="86"/>
      <c r="H183" s="86"/>
      <c r="I183" s="86"/>
      <c r="J183" s="86"/>
      <c r="K183" s="86"/>
      <c r="L183" s="86"/>
      <c r="M183" s="86"/>
      <c r="N183" s="86"/>
      <c r="O183" s="86"/>
      <c r="P183" s="86"/>
      <c r="Q183" s="86"/>
      <c r="R183" s="86"/>
      <c r="S183" s="86"/>
    </row>
    <row r="184" spans="1:20" s="1" customFormat="1" ht="14.1" customHeight="1" x14ac:dyDescent="0.25">
      <c r="A184" s="84" t="s">
        <v>54</v>
      </c>
      <c r="B184" s="84"/>
      <c r="C184" s="84"/>
      <c r="D184" s="84"/>
      <c r="E184" s="84"/>
      <c r="F184" s="84"/>
      <c r="G184" s="84"/>
      <c r="H184" s="84"/>
      <c r="I184" s="84"/>
      <c r="J184" s="84"/>
      <c r="K184" s="84"/>
      <c r="L184" s="84"/>
      <c r="M184" s="84"/>
      <c r="N184" s="84"/>
      <c r="O184" s="84"/>
      <c r="P184" s="84"/>
      <c r="Q184" s="84"/>
      <c r="R184" s="84"/>
      <c r="S184" s="84"/>
    </row>
    <row r="185" spans="1:20" s="1" customFormat="1" ht="12.15" customHeight="1" x14ac:dyDescent="0.25">
      <c r="A185" s="85" t="s">
        <v>553</v>
      </c>
      <c r="B185" s="85"/>
      <c r="C185" s="85"/>
      <c r="D185" s="85"/>
      <c r="E185" s="85"/>
      <c r="F185" s="85"/>
      <c r="G185" s="85"/>
      <c r="H185" s="85"/>
      <c r="I185" s="85"/>
      <c r="J185" s="85"/>
      <c r="K185" s="85"/>
      <c r="L185" s="85"/>
      <c r="M185" s="85"/>
      <c r="N185" s="85"/>
      <c r="O185" s="85"/>
      <c r="P185" s="85"/>
      <c r="Q185" s="85"/>
      <c r="R185" s="85"/>
      <c r="S185" s="85"/>
    </row>
    <row r="186" spans="1:20" s="1" customFormat="1" ht="14.1" customHeight="1" x14ac:dyDescent="0.25">
      <c r="A186" s="86"/>
      <c r="B186" s="86"/>
      <c r="C186" s="86"/>
      <c r="D186" s="86"/>
      <c r="E186" s="86"/>
      <c r="F186" s="86"/>
      <c r="G186" s="86"/>
      <c r="H186" s="86"/>
      <c r="I186" s="86"/>
      <c r="J186" s="86"/>
      <c r="K186" s="86"/>
      <c r="L186" s="86"/>
      <c r="M186" s="86"/>
      <c r="N186" s="86"/>
      <c r="O186" s="86"/>
      <c r="P186" s="86"/>
      <c r="Q186" s="86"/>
      <c r="R186" s="86"/>
      <c r="S186" s="86"/>
    </row>
    <row r="187" spans="1:20" s="1" customFormat="1" ht="14.1" customHeight="1" x14ac:dyDescent="0.25">
      <c r="A187" s="84" t="s">
        <v>56</v>
      </c>
      <c r="B187" s="84"/>
      <c r="C187" s="84"/>
      <c r="D187" s="84"/>
      <c r="E187" s="84"/>
      <c r="F187" s="84"/>
      <c r="G187" s="84"/>
      <c r="H187" s="84"/>
      <c r="I187" s="84"/>
      <c r="J187" s="84"/>
      <c r="K187" s="84"/>
      <c r="L187" s="84"/>
      <c r="M187" s="84"/>
      <c r="N187" s="84"/>
      <c r="O187" s="84"/>
      <c r="P187" s="84"/>
      <c r="Q187" s="84"/>
      <c r="R187" s="84"/>
      <c r="S187" s="84"/>
    </row>
    <row r="188" spans="1:20" s="1" customFormat="1" ht="49.2" customHeight="1" x14ac:dyDescent="0.25">
      <c r="A188" s="85" t="s">
        <v>554</v>
      </c>
      <c r="B188" s="85"/>
      <c r="C188" s="85"/>
      <c r="D188" s="85"/>
      <c r="E188" s="85"/>
      <c r="F188" s="85"/>
      <c r="G188" s="85"/>
      <c r="H188" s="85"/>
      <c r="I188" s="85"/>
      <c r="J188" s="85"/>
      <c r="K188" s="85"/>
      <c r="L188" s="85"/>
      <c r="M188" s="85"/>
      <c r="N188" s="85"/>
      <c r="O188" s="85"/>
      <c r="P188" s="85"/>
      <c r="Q188" s="85"/>
      <c r="R188" s="85"/>
      <c r="S188" s="85"/>
    </row>
    <row r="189" spans="1:20" s="1" customFormat="1" ht="72.45" customHeight="1" x14ac:dyDescent="0.25">
      <c r="J189" s="100" t="s">
        <v>0</v>
      </c>
      <c r="K189" s="100"/>
      <c r="L189" s="100"/>
      <c r="M189" s="100"/>
      <c r="N189" s="100"/>
      <c r="O189" s="100"/>
      <c r="P189" s="100"/>
      <c r="Q189" s="100"/>
      <c r="R189" s="100"/>
      <c r="S189" s="100"/>
      <c r="T189" s="100"/>
    </row>
    <row r="190" spans="1:20" s="1" customFormat="1" ht="7.05" customHeight="1" x14ac:dyDescent="0.25"/>
    <row r="191" spans="1:20" s="1" customFormat="1" ht="14.1" customHeight="1" x14ac:dyDescent="0.25">
      <c r="B191" s="101" t="s">
        <v>555</v>
      </c>
      <c r="C191" s="101"/>
      <c r="D191" s="101"/>
      <c r="E191" s="101"/>
      <c r="F191" s="101"/>
      <c r="G191" s="101"/>
      <c r="H191" s="101"/>
      <c r="I191" s="101"/>
      <c r="J191" s="101"/>
      <c r="K191" s="101"/>
      <c r="L191" s="101"/>
      <c r="M191" s="101"/>
      <c r="N191" s="101"/>
      <c r="O191" s="101"/>
      <c r="P191" s="101"/>
      <c r="Q191" s="101"/>
      <c r="R191" s="101"/>
    </row>
    <row r="192" spans="1:20" s="1" customFormat="1" ht="14.1" customHeight="1" x14ac:dyDescent="0.25"/>
    <row r="193" spans="1:20" s="1" customFormat="1" ht="14.1" customHeight="1" x14ac:dyDescent="0.25">
      <c r="A193" s="102" t="s">
        <v>2</v>
      </c>
      <c r="B193" s="102"/>
      <c r="C193" s="102"/>
      <c r="D193" s="103" t="s">
        <v>556</v>
      </c>
      <c r="E193" s="103"/>
      <c r="F193" s="103"/>
      <c r="G193" s="103"/>
      <c r="H193" s="103"/>
      <c r="I193" s="103"/>
      <c r="J193" s="103"/>
      <c r="K193" s="103"/>
      <c r="L193" s="103"/>
      <c r="M193" s="103"/>
      <c r="N193" s="103"/>
      <c r="O193" s="103"/>
      <c r="P193" s="103"/>
      <c r="Q193" s="103"/>
      <c r="R193" s="103"/>
      <c r="S193" s="103"/>
      <c r="T193" s="103"/>
    </row>
    <row r="194" spans="1:20" s="1" customFormat="1" ht="14.1" customHeight="1" x14ac:dyDescent="0.25">
      <c r="A194" s="102" t="s">
        <v>4</v>
      </c>
      <c r="B194" s="102"/>
      <c r="C194" s="103" t="s">
        <v>251</v>
      </c>
      <c r="D194" s="103"/>
      <c r="E194" s="103"/>
      <c r="F194" s="103"/>
      <c r="G194" s="103"/>
      <c r="H194" s="103"/>
      <c r="I194" s="103"/>
      <c r="J194" s="103"/>
      <c r="K194" s="103"/>
      <c r="L194" s="103"/>
      <c r="M194" s="103"/>
      <c r="N194" s="103"/>
      <c r="O194" s="103"/>
      <c r="P194" s="103"/>
      <c r="Q194" s="103"/>
      <c r="R194" s="103"/>
      <c r="S194" s="103"/>
      <c r="T194" s="103"/>
    </row>
    <row r="195" spans="1:20" s="1" customFormat="1" ht="14.1" customHeight="1" x14ac:dyDescent="0.25">
      <c r="A195" s="102" t="s">
        <v>6</v>
      </c>
      <c r="B195" s="102"/>
      <c r="C195" s="102"/>
      <c r="D195" s="102"/>
      <c r="E195" s="102"/>
      <c r="F195" s="103" t="s">
        <v>60</v>
      </c>
      <c r="G195" s="103"/>
      <c r="H195" s="103"/>
      <c r="I195" s="103"/>
      <c r="J195" s="103"/>
      <c r="K195" s="103"/>
      <c r="L195" s="103"/>
      <c r="M195" s="103"/>
      <c r="N195" s="103"/>
      <c r="O195" s="103"/>
      <c r="P195" s="103"/>
      <c r="Q195" s="103"/>
      <c r="R195" s="103"/>
      <c r="S195" s="103"/>
      <c r="T195" s="103"/>
    </row>
    <row r="196" spans="1:20" s="1" customFormat="1" ht="22.35" customHeight="1" x14ac:dyDescent="0.25">
      <c r="F196" s="103"/>
      <c r="G196" s="103"/>
      <c r="H196" s="103"/>
      <c r="I196" s="103"/>
      <c r="J196" s="103"/>
      <c r="K196" s="103"/>
      <c r="L196" s="103"/>
      <c r="M196" s="103"/>
      <c r="N196" s="103"/>
      <c r="O196" s="103"/>
      <c r="P196" s="103"/>
      <c r="Q196" s="103"/>
      <c r="R196" s="103"/>
      <c r="S196" s="103"/>
      <c r="T196" s="103"/>
    </row>
    <row r="197" spans="1:20" s="1" customFormat="1" ht="7.05" customHeight="1" x14ac:dyDescent="0.25">
      <c r="A197" s="86"/>
      <c r="B197" s="86"/>
      <c r="C197" s="86"/>
      <c r="D197" s="86"/>
      <c r="E197" s="86"/>
      <c r="F197" s="86"/>
      <c r="G197" s="86"/>
      <c r="H197" s="86"/>
      <c r="I197" s="86"/>
      <c r="J197" s="86"/>
      <c r="K197" s="86"/>
      <c r="L197" s="86"/>
      <c r="M197" s="86"/>
      <c r="N197" s="86"/>
      <c r="O197" s="86"/>
      <c r="P197" s="86"/>
      <c r="Q197" s="16"/>
      <c r="R197" s="86"/>
      <c r="S197" s="86"/>
      <c r="T197" s="86"/>
    </row>
    <row r="198" spans="1:20" s="1" customFormat="1" ht="16.95" customHeight="1" x14ac:dyDescent="0.25">
      <c r="A198" s="94" t="s">
        <v>8</v>
      </c>
      <c r="B198" s="94"/>
      <c r="C198" s="94"/>
      <c r="D198" s="94"/>
      <c r="E198" s="94"/>
      <c r="F198" s="94"/>
      <c r="G198" s="94"/>
      <c r="H198" s="94"/>
      <c r="I198" s="94"/>
      <c r="J198" s="94"/>
      <c r="K198" s="94"/>
      <c r="L198" s="94"/>
      <c r="M198" s="95" t="s">
        <v>9</v>
      </c>
      <c r="N198" s="95"/>
      <c r="O198" s="95"/>
      <c r="P198" s="95"/>
      <c r="Q198" s="95"/>
      <c r="R198" s="95"/>
      <c r="S198" s="95"/>
      <c r="T198" s="95"/>
    </row>
    <row r="199" spans="1:20" s="1" customFormat="1" ht="16.95" customHeight="1" x14ac:dyDescent="0.25">
      <c r="A199" s="94"/>
      <c r="B199" s="94"/>
      <c r="C199" s="94"/>
      <c r="D199" s="94"/>
      <c r="E199" s="94"/>
      <c r="F199" s="94"/>
      <c r="G199" s="94"/>
      <c r="H199" s="94"/>
      <c r="I199" s="94"/>
      <c r="J199" s="94"/>
      <c r="K199" s="94"/>
      <c r="L199" s="94"/>
      <c r="M199" s="96" t="s">
        <v>10</v>
      </c>
      <c r="N199" s="96"/>
      <c r="O199" s="96"/>
      <c r="P199" s="96"/>
      <c r="Q199" s="97" t="s">
        <v>11</v>
      </c>
      <c r="R199" s="97"/>
      <c r="S199" s="97"/>
      <c r="T199" s="97"/>
    </row>
    <row r="200" spans="1:20" s="1" customFormat="1" ht="16.95" customHeight="1" x14ac:dyDescent="0.25">
      <c r="A200" s="94"/>
      <c r="B200" s="94"/>
      <c r="C200" s="94"/>
      <c r="D200" s="94"/>
      <c r="E200" s="94"/>
      <c r="F200" s="94"/>
      <c r="G200" s="94"/>
      <c r="H200" s="94"/>
      <c r="I200" s="94"/>
      <c r="J200" s="94"/>
      <c r="K200" s="94"/>
      <c r="L200" s="94"/>
      <c r="M200" s="98" t="s">
        <v>12</v>
      </c>
      <c r="N200" s="98"/>
      <c r="O200" s="98" t="s">
        <v>13</v>
      </c>
      <c r="P200" s="98"/>
      <c r="Q200" s="13" t="s">
        <v>14</v>
      </c>
      <c r="R200" s="99" t="s">
        <v>15</v>
      </c>
      <c r="S200" s="99"/>
      <c r="T200" s="99"/>
    </row>
    <row r="201" spans="1:20" s="1" customFormat="1" ht="13.35" customHeight="1" x14ac:dyDescent="0.25">
      <c r="A201" s="88" t="s">
        <v>84</v>
      </c>
      <c r="B201" s="88"/>
      <c r="C201" s="88"/>
      <c r="D201" s="88"/>
      <c r="E201" s="88"/>
      <c r="F201" s="88"/>
      <c r="G201" s="88"/>
      <c r="H201" s="88"/>
      <c r="I201" s="88"/>
      <c r="J201" s="88"/>
      <c r="K201" s="88"/>
      <c r="L201" s="88"/>
      <c r="M201" s="88">
        <f>20*250/200</f>
        <v>25</v>
      </c>
      <c r="N201" s="88"/>
      <c r="O201" s="88">
        <f>16*250/200</f>
        <v>20</v>
      </c>
      <c r="P201" s="88"/>
      <c r="Q201" s="6">
        <v>2.5</v>
      </c>
      <c r="R201" s="88">
        <v>2</v>
      </c>
      <c r="S201" s="88"/>
      <c r="T201" s="88"/>
    </row>
    <row r="202" spans="1:20" s="1" customFormat="1" ht="13.35" customHeight="1" x14ac:dyDescent="0.25">
      <c r="A202" s="88" t="s">
        <v>31</v>
      </c>
      <c r="B202" s="88"/>
      <c r="C202" s="88"/>
      <c r="D202" s="88"/>
      <c r="E202" s="88"/>
      <c r="F202" s="88"/>
      <c r="G202" s="88"/>
      <c r="H202" s="88"/>
      <c r="I202" s="88"/>
      <c r="J202" s="88"/>
      <c r="K202" s="88"/>
      <c r="L202" s="88"/>
      <c r="M202" s="88">
        <f>53.4*250/200</f>
        <v>66.75</v>
      </c>
      <c r="N202" s="88"/>
      <c r="O202" s="88">
        <f>40*250/200</f>
        <v>50</v>
      </c>
      <c r="P202" s="88"/>
      <c r="Q202" s="6">
        <v>6.67</v>
      </c>
      <c r="R202" s="88">
        <v>5</v>
      </c>
      <c r="S202" s="88"/>
      <c r="T202" s="88"/>
    </row>
    <row r="203" spans="1:20" s="1" customFormat="1" ht="13.35" customHeight="1" x14ac:dyDescent="0.25">
      <c r="A203" s="88" t="s">
        <v>100</v>
      </c>
      <c r="B203" s="88"/>
      <c r="C203" s="88"/>
      <c r="D203" s="88"/>
      <c r="E203" s="88"/>
      <c r="F203" s="88"/>
      <c r="G203" s="88"/>
      <c r="H203" s="88"/>
      <c r="I203" s="88"/>
      <c r="J203" s="88"/>
      <c r="K203" s="88"/>
      <c r="L203" s="88"/>
      <c r="M203" s="88">
        <f>10*250/200</f>
        <v>12.5</v>
      </c>
      <c r="N203" s="88"/>
      <c r="O203" s="88">
        <f>8*250/200</f>
        <v>10</v>
      </c>
      <c r="P203" s="88"/>
      <c r="Q203" s="6">
        <v>1.25</v>
      </c>
      <c r="R203" s="88">
        <v>1</v>
      </c>
      <c r="S203" s="88"/>
      <c r="T203" s="88"/>
    </row>
    <row r="204" spans="1:20" s="1" customFormat="1" ht="13.35" customHeight="1" x14ac:dyDescent="0.25">
      <c r="A204" s="88" t="s">
        <v>21</v>
      </c>
      <c r="B204" s="88"/>
      <c r="C204" s="88"/>
      <c r="D204" s="88"/>
      <c r="E204" s="88"/>
      <c r="F204" s="88"/>
      <c r="G204" s="88"/>
      <c r="H204" s="88"/>
      <c r="I204" s="88"/>
      <c r="J204" s="88"/>
      <c r="K204" s="88"/>
      <c r="L204" s="88"/>
      <c r="M204" s="88">
        <f>9.6*250/200</f>
        <v>12</v>
      </c>
      <c r="N204" s="88"/>
      <c r="O204" s="88">
        <f>8*250/200</f>
        <v>10</v>
      </c>
      <c r="P204" s="88"/>
      <c r="Q204" s="6">
        <v>1.2</v>
      </c>
      <c r="R204" s="88">
        <v>1</v>
      </c>
      <c r="S204" s="88"/>
      <c r="T204" s="88"/>
    </row>
    <row r="205" spans="1:20" s="1" customFormat="1" ht="13.35" customHeight="1" x14ac:dyDescent="0.25">
      <c r="A205" s="88" t="s">
        <v>452</v>
      </c>
      <c r="B205" s="88"/>
      <c r="C205" s="88"/>
      <c r="D205" s="88"/>
      <c r="E205" s="88"/>
      <c r="F205" s="88"/>
      <c r="G205" s="88"/>
      <c r="H205" s="88"/>
      <c r="I205" s="88"/>
      <c r="J205" s="88"/>
      <c r="K205" s="88"/>
      <c r="L205" s="88"/>
      <c r="M205" s="88">
        <f>9.2*250/200</f>
        <v>11.5</v>
      </c>
      <c r="N205" s="88"/>
      <c r="O205" s="88">
        <f>6*250/200</f>
        <v>7.5</v>
      </c>
      <c r="P205" s="88"/>
      <c r="Q205" s="6">
        <v>1.1499999999999999</v>
      </c>
      <c r="R205" s="88">
        <v>0.75</v>
      </c>
      <c r="S205" s="88"/>
      <c r="T205" s="88"/>
    </row>
    <row r="206" spans="1:20" s="1" customFormat="1" ht="13.35" customHeight="1" x14ac:dyDescent="0.25">
      <c r="A206" s="88" t="s">
        <v>18</v>
      </c>
      <c r="B206" s="88"/>
      <c r="C206" s="88"/>
      <c r="D206" s="88"/>
      <c r="E206" s="88"/>
      <c r="F206" s="88"/>
      <c r="G206" s="88"/>
      <c r="H206" s="88"/>
      <c r="I206" s="88"/>
      <c r="J206" s="88"/>
      <c r="K206" s="88"/>
      <c r="L206" s="88"/>
      <c r="M206" s="88">
        <f>2*250/200</f>
        <v>2.5</v>
      </c>
      <c r="N206" s="88"/>
      <c r="O206" s="88">
        <v>2.5</v>
      </c>
      <c r="P206" s="88"/>
      <c r="Q206" s="6">
        <v>0.25</v>
      </c>
      <c r="R206" s="88">
        <v>0.25</v>
      </c>
      <c r="S206" s="88"/>
      <c r="T206" s="88"/>
    </row>
    <row r="207" spans="1:20" s="1" customFormat="1" ht="13.35" customHeight="1" x14ac:dyDescent="0.25">
      <c r="A207" s="88" t="s">
        <v>61</v>
      </c>
      <c r="B207" s="88"/>
      <c r="C207" s="88"/>
      <c r="D207" s="88"/>
      <c r="E207" s="88"/>
      <c r="F207" s="88"/>
      <c r="G207" s="88"/>
      <c r="H207" s="88"/>
      <c r="I207" s="88"/>
      <c r="J207" s="88"/>
      <c r="K207" s="88"/>
      <c r="L207" s="88"/>
      <c r="M207" s="88">
        <v>2.5</v>
      </c>
      <c r="N207" s="88"/>
      <c r="O207" s="88">
        <v>2.5</v>
      </c>
      <c r="P207" s="88"/>
      <c r="Q207" s="6">
        <v>0.25</v>
      </c>
      <c r="R207" s="88">
        <v>0.25</v>
      </c>
      <c r="S207" s="88"/>
      <c r="T207" s="88"/>
    </row>
    <row r="208" spans="1:20" s="1" customFormat="1" ht="13.35" customHeight="1" x14ac:dyDescent="0.25">
      <c r="A208" s="88" t="s">
        <v>70</v>
      </c>
      <c r="B208" s="88"/>
      <c r="C208" s="88"/>
      <c r="D208" s="88"/>
      <c r="E208" s="88"/>
      <c r="F208" s="88"/>
      <c r="G208" s="88"/>
      <c r="H208" s="88"/>
      <c r="I208" s="88"/>
      <c r="J208" s="88"/>
      <c r="K208" s="88"/>
      <c r="L208" s="88"/>
      <c r="M208" s="88" t="s">
        <v>87</v>
      </c>
      <c r="N208" s="88"/>
      <c r="O208" s="88" t="s">
        <v>87</v>
      </c>
      <c r="P208" s="88"/>
      <c r="Q208" s="6" t="s">
        <v>110</v>
      </c>
      <c r="R208" s="88" t="s">
        <v>110</v>
      </c>
      <c r="S208" s="88"/>
      <c r="T208" s="88"/>
    </row>
    <row r="209" spans="1:20" s="1" customFormat="1" ht="13.35" customHeight="1" x14ac:dyDescent="0.25">
      <c r="A209" s="88" t="s">
        <v>114</v>
      </c>
      <c r="B209" s="88"/>
      <c r="C209" s="88"/>
      <c r="D209" s="88"/>
      <c r="E209" s="88"/>
      <c r="F209" s="88"/>
      <c r="G209" s="88"/>
      <c r="H209" s="88"/>
      <c r="I209" s="88"/>
      <c r="J209" s="88"/>
      <c r="K209" s="88"/>
      <c r="L209" s="88"/>
      <c r="M209" s="88">
        <f>150*250/200</f>
        <v>187.5</v>
      </c>
      <c r="N209" s="88"/>
      <c r="O209" s="88">
        <v>187.5</v>
      </c>
      <c r="P209" s="88"/>
      <c r="Q209" s="6">
        <v>18.75</v>
      </c>
      <c r="R209" s="88">
        <v>18.75</v>
      </c>
      <c r="S209" s="88"/>
      <c r="T209" s="88"/>
    </row>
    <row r="210" spans="1:20" s="1" customFormat="1" ht="14.1" customHeight="1" x14ac:dyDescent="0.25">
      <c r="A210" s="90" t="s">
        <v>790</v>
      </c>
      <c r="B210" s="90"/>
      <c r="C210" s="90"/>
      <c r="D210" s="90"/>
      <c r="E210" s="90"/>
      <c r="F210" s="90"/>
      <c r="G210" s="90"/>
      <c r="H210" s="90"/>
      <c r="I210" s="90"/>
      <c r="J210" s="90"/>
      <c r="K210" s="90"/>
      <c r="L210" s="90"/>
      <c r="M210" s="90"/>
      <c r="N210" s="90"/>
      <c r="O210" s="90"/>
      <c r="P210" s="90"/>
      <c r="Q210" s="90"/>
      <c r="R210" s="90"/>
      <c r="S210" s="90"/>
      <c r="T210" s="90"/>
    </row>
    <row r="211" spans="1:20" s="1" customFormat="1" ht="21.3" customHeight="1" x14ac:dyDescent="0.25"/>
    <row r="212" spans="1:20" s="1" customFormat="1" ht="14.1" customHeight="1" x14ac:dyDescent="0.25">
      <c r="A212" s="91" t="s">
        <v>33</v>
      </c>
      <c r="B212" s="91"/>
      <c r="C212" s="91"/>
      <c r="D212" s="91"/>
      <c r="E212" s="91"/>
      <c r="F212" s="91"/>
      <c r="G212" s="91"/>
      <c r="H212" s="91"/>
      <c r="I212" s="91"/>
      <c r="J212" s="91"/>
      <c r="K212" s="91"/>
      <c r="L212" s="91"/>
      <c r="M212" s="91"/>
      <c r="N212" s="91"/>
    </row>
    <row r="213" spans="1:20" s="1" customFormat="1" ht="13.35" customHeight="1" x14ac:dyDescent="0.25">
      <c r="A213" s="88" t="s">
        <v>34</v>
      </c>
      <c r="B213" s="88"/>
      <c r="C213" s="88"/>
      <c r="D213" s="88"/>
      <c r="E213" s="89">
        <f>1.27*250/200</f>
        <v>1.5874999999999999</v>
      </c>
      <c r="F213" s="89"/>
      <c r="G213" s="17"/>
      <c r="H213" s="6" t="s">
        <v>35</v>
      </c>
      <c r="I213" s="89">
        <v>0.05</v>
      </c>
      <c r="J213" s="89"/>
      <c r="K213" s="17"/>
      <c r="L213" s="88" t="s">
        <v>36</v>
      </c>
      <c r="M213" s="88"/>
      <c r="N213" s="89">
        <v>29.07</v>
      </c>
      <c r="O213" s="89"/>
    </row>
    <row r="214" spans="1:20" s="1" customFormat="1" ht="13.35" customHeight="1" x14ac:dyDescent="0.25">
      <c r="A214" s="88" t="s">
        <v>37</v>
      </c>
      <c r="B214" s="88"/>
      <c r="C214" s="88"/>
      <c r="D214" s="88"/>
      <c r="E214" s="89">
        <f>3.99*250/200</f>
        <v>4.9874999999999998</v>
      </c>
      <c r="F214" s="89"/>
      <c r="G214" s="17"/>
      <c r="H214" s="6" t="s">
        <v>38</v>
      </c>
      <c r="I214" s="89">
        <v>6.8</v>
      </c>
      <c r="J214" s="89"/>
      <c r="K214" s="17"/>
      <c r="L214" s="88" t="s">
        <v>39</v>
      </c>
      <c r="M214" s="88"/>
      <c r="N214" s="89">
        <v>17.13</v>
      </c>
      <c r="O214" s="89"/>
    </row>
    <row r="215" spans="1:20" s="1" customFormat="1" ht="13.35" customHeight="1" x14ac:dyDescent="0.25">
      <c r="A215" s="88" t="s">
        <v>40</v>
      </c>
      <c r="B215" s="88"/>
      <c r="C215" s="88"/>
      <c r="D215" s="88"/>
      <c r="E215" s="89">
        <f>7.31*250/200</f>
        <v>9.1374999999999993</v>
      </c>
      <c r="F215" s="89"/>
      <c r="G215" s="17"/>
      <c r="H215" s="6" t="s">
        <v>41</v>
      </c>
      <c r="I215" s="89">
        <v>0.17</v>
      </c>
      <c r="J215" s="89"/>
      <c r="K215" s="17"/>
      <c r="L215" s="88" t="s">
        <v>42</v>
      </c>
      <c r="M215" s="88"/>
      <c r="N215" s="89">
        <v>38.25</v>
      </c>
      <c r="O215" s="89"/>
    </row>
    <row r="216" spans="1:20" s="1" customFormat="1" ht="13.35" customHeight="1" x14ac:dyDescent="0.25">
      <c r="A216" s="88" t="s">
        <v>43</v>
      </c>
      <c r="B216" s="88"/>
      <c r="C216" s="88"/>
      <c r="D216" s="88"/>
      <c r="E216" s="89">
        <f>76.2*250/200</f>
        <v>95.25</v>
      </c>
      <c r="F216" s="89"/>
      <c r="G216" s="17"/>
      <c r="H216" s="6" t="s">
        <v>44</v>
      </c>
      <c r="I216" s="89">
        <v>1.07</v>
      </c>
      <c r="J216" s="89"/>
      <c r="K216" s="17"/>
      <c r="L216" s="88" t="s">
        <v>45</v>
      </c>
      <c r="M216" s="88"/>
      <c r="N216" s="89">
        <v>0.73</v>
      </c>
      <c r="O216" s="89"/>
    </row>
    <row r="217" spans="1:20" s="1" customFormat="1" ht="13.35" customHeight="1" x14ac:dyDescent="0.25">
      <c r="A217" s="87"/>
      <c r="B217" s="87"/>
      <c r="C217" s="87"/>
      <c r="D217" s="87"/>
      <c r="E217" s="87"/>
      <c r="F217" s="87"/>
      <c r="G217" s="17"/>
      <c r="H217" s="6" t="s">
        <v>46</v>
      </c>
      <c r="I217" s="89">
        <v>0.03</v>
      </c>
      <c r="J217" s="89"/>
      <c r="K217" s="17"/>
      <c r="L217" s="88" t="s">
        <v>47</v>
      </c>
      <c r="M217" s="88"/>
      <c r="N217" s="89">
        <v>293.63</v>
      </c>
      <c r="O217" s="89"/>
    </row>
    <row r="218" spans="1:20" s="1" customFormat="1" ht="13.35" customHeight="1" x14ac:dyDescent="0.25">
      <c r="A218" s="87"/>
      <c r="B218" s="87"/>
      <c r="C218" s="87"/>
      <c r="D218" s="87"/>
      <c r="E218" s="87"/>
      <c r="F218" s="87"/>
      <c r="G218" s="17"/>
      <c r="H218" s="6" t="s">
        <v>48</v>
      </c>
      <c r="I218" s="89">
        <v>0.05</v>
      </c>
      <c r="J218" s="89"/>
      <c r="K218" s="17"/>
      <c r="L218" s="88" t="s">
        <v>49</v>
      </c>
      <c r="M218" s="88"/>
      <c r="N218" s="89">
        <v>3.12</v>
      </c>
      <c r="O218" s="89"/>
    </row>
    <row r="219" spans="1:20" s="1" customFormat="1" ht="13.35" customHeight="1" x14ac:dyDescent="0.25">
      <c r="A219" s="87"/>
      <c r="B219" s="87"/>
      <c r="C219" s="87"/>
      <c r="D219" s="87"/>
      <c r="E219" s="87"/>
      <c r="F219" s="87"/>
      <c r="G219" s="17"/>
      <c r="H219" s="17"/>
      <c r="I219" s="87"/>
      <c r="J219" s="87"/>
      <c r="K219" s="17"/>
      <c r="L219" s="88" t="s">
        <v>50</v>
      </c>
      <c r="M219" s="88"/>
      <c r="N219" s="89">
        <v>0.01</v>
      </c>
      <c r="O219" s="89"/>
    </row>
    <row r="220" spans="1:20" s="1" customFormat="1" ht="13.35" customHeight="1" x14ac:dyDescent="0.25">
      <c r="A220" s="87"/>
      <c r="B220" s="87"/>
      <c r="C220" s="87"/>
      <c r="D220" s="87"/>
      <c r="E220" s="87"/>
      <c r="F220" s="87"/>
      <c r="G220" s="17"/>
      <c r="H220" s="17"/>
      <c r="I220" s="87"/>
      <c r="J220" s="87"/>
      <c r="K220" s="17"/>
      <c r="L220" s="88" t="s">
        <v>51</v>
      </c>
      <c r="M220" s="88"/>
      <c r="N220" s="89">
        <v>0</v>
      </c>
      <c r="O220" s="89"/>
    </row>
    <row r="221" spans="1:20" s="1" customFormat="1" ht="14.1" customHeight="1" x14ac:dyDescent="0.25">
      <c r="A221" s="86"/>
      <c r="B221" s="86"/>
      <c r="C221" s="86"/>
      <c r="D221" s="86"/>
      <c r="E221" s="86"/>
      <c r="F221" s="86"/>
      <c r="G221" s="86"/>
      <c r="H221" s="86"/>
      <c r="I221" s="86"/>
      <c r="J221" s="86"/>
      <c r="K221" s="86"/>
      <c r="L221" s="86"/>
      <c r="M221" s="86"/>
      <c r="N221" s="86"/>
      <c r="O221" s="86"/>
      <c r="P221" s="86"/>
      <c r="Q221" s="86"/>
      <c r="R221" s="86"/>
      <c r="S221" s="86"/>
    </row>
    <row r="222" spans="1:20" s="1" customFormat="1" ht="14.1" customHeight="1" x14ac:dyDescent="0.25">
      <c r="A222" s="84" t="s">
        <v>52</v>
      </c>
      <c r="B222" s="84"/>
      <c r="C222" s="84"/>
      <c r="D222" s="84"/>
      <c r="E222" s="84"/>
      <c r="F222" s="84"/>
      <c r="G222" s="84"/>
      <c r="H222" s="84"/>
      <c r="I222" s="84"/>
      <c r="J222" s="84"/>
      <c r="K222" s="84"/>
      <c r="L222" s="84"/>
      <c r="M222" s="84"/>
      <c r="N222" s="84"/>
      <c r="O222" s="84"/>
      <c r="P222" s="84"/>
      <c r="Q222" s="84"/>
      <c r="R222" s="84"/>
      <c r="S222" s="84"/>
    </row>
    <row r="223" spans="1:20" s="1" customFormat="1" ht="214.8" customHeight="1" x14ac:dyDescent="0.25">
      <c r="A223" s="85" t="s">
        <v>557</v>
      </c>
      <c r="B223" s="85"/>
      <c r="C223" s="85"/>
      <c r="D223" s="85"/>
      <c r="E223" s="85"/>
      <c r="F223" s="85"/>
      <c r="G223" s="85"/>
      <c r="H223" s="85"/>
      <c r="I223" s="85"/>
      <c r="J223" s="85"/>
      <c r="K223" s="85"/>
      <c r="L223" s="85"/>
      <c r="M223" s="85"/>
      <c r="N223" s="85"/>
      <c r="O223" s="85"/>
      <c r="P223" s="85"/>
      <c r="Q223" s="85"/>
      <c r="R223" s="85"/>
      <c r="S223" s="85"/>
    </row>
    <row r="224" spans="1:20" s="1" customFormat="1" ht="14.1" customHeight="1" x14ac:dyDescent="0.25">
      <c r="A224" s="84" t="s">
        <v>54</v>
      </c>
      <c r="B224" s="84"/>
      <c r="C224" s="84"/>
      <c r="D224" s="84"/>
      <c r="E224" s="84"/>
      <c r="F224" s="84"/>
      <c r="G224" s="84"/>
      <c r="H224" s="84"/>
      <c r="I224" s="84"/>
      <c r="J224" s="84"/>
      <c r="K224" s="84"/>
      <c r="L224" s="84"/>
      <c r="M224" s="84"/>
      <c r="N224" s="84"/>
      <c r="O224" s="84"/>
      <c r="P224" s="84"/>
      <c r="Q224" s="84"/>
      <c r="R224" s="84"/>
      <c r="S224" s="84"/>
    </row>
    <row r="225" spans="1:20" s="1" customFormat="1" ht="12.15" customHeight="1" x14ac:dyDescent="0.25">
      <c r="A225" s="85" t="s">
        <v>553</v>
      </c>
      <c r="B225" s="85"/>
      <c r="C225" s="85"/>
      <c r="D225" s="85"/>
      <c r="E225" s="85"/>
      <c r="F225" s="85"/>
      <c r="G225" s="85"/>
      <c r="H225" s="85"/>
      <c r="I225" s="85"/>
      <c r="J225" s="85"/>
      <c r="K225" s="85"/>
      <c r="L225" s="85"/>
      <c r="M225" s="85"/>
      <c r="N225" s="85"/>
      <c r="O225" s="85"/>
      <c r="P225" s="85"/>
      <c r="Q225" s="85"/>
      <c r="R225" s="85"/>
      <c r="S225" s="85"/>
    </row>
    <row r="226" spans="1:20" s="1" customFormat="1" ht="14.1" customHeight="1" x14ac:dyDescent="0.25">
      <c r="A226" s="86"/>
      <c r="B226" s="86"/>
      <c r="C226" s="86"/>
      <c r="D226" s="86"/>
      <c r="E226" s="86"/>
      <c r="F226" s="86"/>
      <c r="G226" s="86"/>
      <c r="H226" s="86"/>
      <c r="I226" s="86"/>
      <c r="J226" s="86"/>
      <c r="K226" s="86"/>
      <c r="L226" s="86"/>
      <c r="M226" s="86"/>
      <c r="N226" s="86"/>
      <c r="O226" s="86"/>
      <c r="P226" s="86"/>
      <c r="Q226" s="86"/>
      <c r="R226" s="86"/>
      <c r="S226" s="86"/>
    </row>
    <row r="227" spans="1:20" s="1" customFormat="1" ht="14.1" customHeight="1" x14ac:dyDescent="0.25">
      <c r="A227" s="84" t="s">
        <v>56</v>
      </c>
      <c r="B227" s="84"/>
      <c r="C227" s="84"/>
      <c r="D227" s="84"/>
      <c r="E227" s="84"/>
      <c r="F227" s="84"/>
      <c r="G227" s="84"/>
      <c r="H227" s="84"/>
      <c r="I227" s="84"/>
      <c r="J227" s="84"/>
      <c r="K227" s="84"/>
      <c r="L227" s="84"/>
      <c r="M227" s="84"/>
      <c r="N227" s="84"/>
      <c r="O227" s="84"/>
      <c r="P227" s="84"/>
      <c r="Q227" s="84"/>
      <c r="R227" s="84"/>
      <c r="S227" s="84"/>
    </row>
    <row r="228" spans="1:20" s="1" customFormat="1" ht="49.2" customHeight="1" x14ac:dyDescent="0.25">
      <c r="A228" s="85" t="s">
        <v>554</v>
      </c>
      <c r="B228" s="85"/>
      <c r="C228" s="85"/>
      <c r="D228" s="85"/>
      <c r="E228" s="85"/>
      <c r="F228" s="85"/>
      <c r="G228" s="85"/>
      <c r="H228" s="85"/>
      <c r="I228" s="85"/>
      <c r="J228" s="85"/>
      <c r="K228" s="85"/>
      <c r="L228" s="85"/>
      <c r="M228" s="85"/>
      <c r="N228" s="85"/>
      <c r="O228" s="85"/>
      <c r="P228" s="85"/>
      <c r="Q228" s="85"/>
      <c r="R228" s="85"/>
      <c r="S228" s="85"/>
    </row>
    <row r="229" spans="1:20" s="1" customFormat="1" ht="72.45" customHeight="1" x14ac:dyDescent="0.25">
      <c r="J229" s="100" t="s">
        <v>0</v>
      </c>
      <c r="K229" s="100"/>
      <c r="L229" s="100"/>
      <c r="M229" s="100"/>
      <c r="N229" s="100"/>
      <c r="O229" s="100"/>
      <c r="P229" s="100"/>
      <c r="Q229" s="100"/>
      <c r="R229" s="100"/>
      <c r="S229" s="100"/>
      <c r="T229" s="100"/>
    </row>
    <row r="230" spans="1:20" s="1" customFormat="1" ht="7.05" customHeight="1" x14ac:dyDescent="0.25"/>
    <row r="231" spans="1:20" s="1" customFormat="1" ht="14.1" customHeight="1" x14ac:dyDescent="0.25">
      <c r="B231" s="101" t="s">
        <v>558</v>
      </c>
      <c r="C231" s="101"/>
      <c r="D231" s="101"/>
      <c r="E231" s="101"/>
      <c r="F231" s="101"/>
      <c r="G231" s="101"/>
      <c r="H231" s="101"/>
      <c r="I231" s="101"/>
      <c r="J231" s="101"/>
      <c r="K231" s="101"/>
      <c r="L231" s="101"/>
      <c r="M231" s="101"/>
      <c r="N231" s="101"/>
      <c r="O231" s="101"/>
      <c r="P231" s="101"/>
      <c r="Q231" s="101"/>
      <c r="R231" s="101"/>
    </row>
    <row r="232" spans="1:20" s="1" customFormat="1" ht="14.1" customHeight="1" x14ac:dyDescent="0.25"/>
    <row r="233" spans="1:20" s="1" customFormat="1" ht="14.1" customHeight="1" x14ac:dyDescent="0.25">
      <c r="A233" s="102" t="s">
        <v>2</v>
      </c>
      <c r="B233" s="102"/>
      <c r="C233" s="102"/>
      <c r="D233" s="103" t="s">
        <v>559</v>
      </c>
      <c r="E233" s="103"/>
      <c r="F233" s="103"/>
      <c r="G233" s="103"/>
      <c r="H233" s="103"/>
      <c r="I233" s="103"/>
      <c r="J233" s="103"/>
      <c r="K233" s="103"/>
      <c r="L233" s="103"/>
      <c r="M233" s="103"/>
      <c r="N233" s="103"/>
      <c r="O233" s="103"/>
      <c r="P233" s="103"/>
      <c r="Q233" s="103"/>
      <c r="R233" s="103"/>
      <c r="S233" s="103"/>
      <c r="T233" s="103"/>
    </row>
    <row r="234" spans="1:20" s="1" customFormat="1" ht="14.1" customHeight="1" x14ac:dyDescent="0.25">
      <c r="A234" s="102" t="s">
        <v>4</v>
      </c>
      <c r="B234" s="102"/>
      <c r="C234" s="103" t="s">
        <v>560</v>
      </c>
      <c r="D234" s="103"/>
      <c r="E234" s="103"/>
      <c r="F234" s="103"/>
      <c r="G234" s="103"/>
      <c r="H234" s="103"/>
      <c r="I234" s="103"/>
      <c r="J234" s="103"/>
      <c r="K234" s="103"/>
      <c r="L234" s="103"/>
      <c r="M234" s="103"/>
      <c r="N234" s="103"/>
      <c r="O234" s="103"/>
      <c r="P234" s="103"/>
      <c r="Q234" s="103"/>
      <c r="R234" s="103"/>
      <c r="S234" s="103"/>
      <c r="T234" s="103"/>
    </row>
    <row r="235" spans="1:20" s="1" customFormat="1" ht="14.1" customHeight="1" x14ac:dyDescent="0.25">
      <c r="A235" s="102" t="s">
        <v>6</v>
      </c>
      <c r="B235" s="102"/>
      <c r="C235" s="102"/>
      <c r="D235" s="102"/>
      <c r="E235" s="102"/>
      <c r="F235" s="103" t="s">
        <v>60</v>
      </c>
      <c r="G235" s="103"/>
      <c r="H235" s="103"/>
      <c r="I235" s="103"/>
      <c r="J235" s="103"/>
      <c r="K235" s="103"/>
      <c r="L235" s="103"/>
      <c r="M235" s="103"/>
      <c r="N235" s="103"/>
      <c r="O235" s="103"/>
      <c r="P235" s="103"/>
      <c r="Q235" s="103"/>
      <c r="R235" s="103"/>
      <c r="S235" s="103"/>
      <c r="T235" s="103"/>
    </row>
    <row r="236" spans="1:20" s="1" customFormat="1" ht="22.35" customHeight="1" x14ac:dyDescent="0.25">
      <c r="F236" s="103"/>
      <c r="G236" s="103"/>
      <c r="H236" s="103"/>
      <c r="I236" s="103"/>
      <c r="J236" s="103"/>
      <c r="K236" s="103"/>
      <c r="L236" s="103"/>
      <c r="M236" s="103"/>
      <c r="N236" s="103"/>
      <c r="O236" s="103"/>
      <c r="P236" s="103"/>
      <c r="Q236" s="103"/>
      <c r="R236" s="103"/>
      <c r="S236" s="103"/>
      <c r="T236" s="103"/>
    </row>
    <row r="237" spans="1:20" s="1" customFormat="1" ht="7.05" customHeight="1" x14ac:dyDescent="0.25">
      <c r="A237" s="86"/>
      <c r="B237" s="86"/>
      <c r="C237" s="86"/>
      <c r="D237" s="86"/>
      <c r="E237" s="86"/>
      <c r="F237" s="86"/>
      <c r="G237" s="86"/>
      <c r="H237" s="86"/>
      <c r="I237" s="86"/>
      <c r="J237" s="86"/>
      <c r="K237" s="86"/>
      <c r="L237" s="86"/>
      <c r="M237" s="86"/>
      <c r="N237" s="86"/>
      <c r="O237" s="86"/>
      <c r="P237" s="86"/>
      <c r="Q237" s="16"/>
      <c r="R237" s="86"/>
      <c r="S237" s="86"/>
      <c r="T237" s="86"/>
    </row>
    <row r="238" spans="1:20" s="1" customFormat="1" ht="16.95" customHeight="1" x14ac:dyDescent="0.25">
      <c r="A238" s="94" t="s">
        <v>8</v>
      </c>
      <c r="B238" s="94"/>
      <c r="C238" s="94"/>
      <c r="D238" s="94"/>
      <c r="E238" s="94"/>
      <c r="F238" s="94"/>
      <c r="G238" s="94"/>
      <c r="H238" s="94"/>
      <c r="I238" s="94"/>
      <c r="J238" s="94"/>
      <c r="K238" s="94"/>
      <c r="L238" s="94"/>
      <c r="M238" s="95" t="s">
        <v>9</v>
      </c>
      <c r="N238" s="95"/>
      <c r="O238" s="95"/>
      <c r="P238" s="95"/>
      <c r="Q238" s="95"/>
      <c r="R238" s="95"/>
      <c r="S238" s="95"/>
      <c r="T238" s="95"/>
    </row>
    <row r="239" spans="1:20" s="1" customFormat="1" ht="16.95" customHeight="1" x14ac:dyDescent="0.25">
      <c r="A239" s="94"/>
      <c r="B239" s="94"/>
      <c r="C239" s="94"/>
      <c r="D239" s="94"/>
      <c r="E239" s="94"/>
      <c r="F239" s="94"/>
      <c r="G239" s="94"/>
      <c r="H239" s="94"/>
      <c r="I239" s="94"/>
      <c r="J239" s="94"/>
      <c r="K239" s="94"/>
      <c r="L239" s="94"/>
      <c r="M239" s="96" t="s">
        <v>10</v>
      </c>
      <c r="N239" s="96"/>
      <c r="O239" s="96"/>
      <c r="P239" s="96"/>
      <c r="Q239" s="97" t="s">
        <v>11</v>
      </c>
      <c r="R239" s="97"/>
      <c r="S239" s="97"/>
      <c r="T239" s="97"/>
    </row>
    <row r="240" spans="1:20" s="1" customFormat="1" ht="16.95" customHeight="1" x14ac:dyDescent="0.25">
      <c r="A240" s="94"/>
      <c r="B240" s="94"/>
      <c r="C240" s="94"/>
      <c r="D240" s="94"/>
      <c r="E240" s="94"/>
      <c r="F240" s="94"/>
      <c r="G240" s="94"/>
      <c r="H240" s="94"/>
      <c r="I240" s="94"/>
      <c r="J240" s="94"/>
      <c r="K240" s="94"/>
      <c r="L240" s="94"/>
      <c r="M240" s="98" t="s">
        <v>12</v>
      </c>
      <c r="N240" s="98"/>
      <c r="O240" s="98" t="s">
        <v>13</v>
      </c>
      <c r="P240" s="98"/>
      <c r="Q240" s="13" t="s">
        <v>14</v>
      </c>
      <c r="R240" s="99" t="s">
        <v>15</v>
      </c>
      <c r="S240" s="99"/>
      <c r="T240" s="99"/>
    </row>
    <row r="241" spans="1:20" s="1" customFormat="1" ht="13.35" customHeight="1" x14ac:dyDescent="0.25">
      <c r="A241" s="88" t="s">
        <v>81</v>
      </c>
      <c r="B241" s="88"/>
      <c r="C241" s="88"/>
      <c r="D241" s="88"/>
      <c r="E241" s="88"/>
      <c r="F241" s="88"/>
      <c r="G241" s="88"/>
      <c r="H241" s="88"/>
      <c r="I241" s="88"/>
      <c r="J241" s="88"/>
      <c r="K241" s="88"/>
      <c r="L241" s="88"/>
      <c r="M241" s="88">
        <f>3*250/200</f>
        <v>3.75</v>
      </c>
      <c r="N241" s="88"/>
      <c r="O241" s="88">
        <f>2.85*250/200</f>
        <v>3.5625</v>
      </c>
      <c r="P241" s="88"/>
      <c r="Q241" s="6">
        <v>0.37</v>
      </c>
      <c r="R241" s="88">
        <v>0.35</v>
      </c>
      <c r="S241" s="88"/>
      <c r="T241" s="88"/>
    </row>
    <row r="242" spans="1:20" s="1" customFormat="1" ht="13.35" customHeight="1" x14ac:dyDescent="0.25">
      <c r="A242" s="88" t="s">
        <v>31</v>
      </c>
      <c r="B242" s="88"/>
      <c r="C242" s="88"/>
      <c r="D242" s="88"/>
      <c r="E242" s="88"/>
      <c r="F242" s="88"/>
      <c r="G242" s="88"/>
      <c r="H242" s="88"/>
      <c r="I242" s="88"/>
      <c r="J242" s="88"/>
      <c r="K242" s="88"/>
      <c r="L242" s="88"/>
      <c r="M242" s="88">
        <f>49.84*250/200</f>
        <v>62.3</v>
      </c>
      <c r="N242" s="88"/>
      <c r="O242" s="88">
        <f>37.38*250/200</f>
        <v>46.725000000000001</v>
      </c>
      <c r="P242" s="88"/>
      <c r="Q242" s="23">
        <v>6.23</v>
      </c>
      <c r="R242" s="88">
        <v>4.67</v>
      </c>
      <c r="S242" s="88"/>
      <c r="T242" s="88"/>
    </row>
    <row r="243" spans="1:20" s="1" customFormat="1" ht="13.35" customHeight="1" x14ac:dyDescent="0.25">
      <c r="A243" s="88" t="s">
        <v>561</v>
      </c>
      <c r="B243" s="88"/>
      <c r="C243" s="88"/>
      <c r="D243" s="88"/>
      <c r="E243" s="88"/>
      <c r="F243" s="88"/>
      <c r="G243" s="88"/>
      <c r="H243" s="88"/>
      <c r="I243" s="88"/>
      <c r="J243" s="88"/>
      <c r="K243" s="88"/>
      <c r="L243" s="88"/>
      <c r="M243" s="88">
        <f>16.2*250/200</f>
        <v>20.25</v>
      </c>
      <c r="N243" s="88"/>
      <c r="O243" s="88">
        <f>16.12*250/200</f>
        <v>20.150000000000002</v>
      </c>
      <c r="P243" s="88"/>
      <c r="Q243" s="6">
        <v>2.0249999999999999</v>
      </c>
      <c r="R243" s="88">
        <v>2.0150000000000001</v>
      </c>
      <c r="S243" s="88"/>
      <c r="T243" s="88"/>
    </row>
    <row r="244" spans="1:20" s="1" customFormat="1" ht="13.35" customHeight="1" x14ac:dyDescent="0.25">
      <c r="A244" s="88" t="s">
        <v>21</v>
      </c>
      <c r="B244" s="88"/>
      <c r="C244" s="88"/>
      <c r="D244" s="88"/>
      <c r="E244" s="88"/>
      <c r="F244" s="88"/>
      <c r="G244" s="88"/>
      <c r="H244" s="88"/>
      <c r="I244" s="88"/>
      <c r="J244" s="88"/>
      <c r="K244" s="88"/>
      <c r="L244" s="88"/>
      <c r="M244" s="88">
        <f>9.6*250/200</f>
        <v>12</v>
      </c>
      <c r="N244" s="88"/>
      <c r="O244" s="88">
        <f>8.06*250/200</f>
        <v>10.075000000000001</v>
      </c>
      <c r="P244" s="88"/>
      <c r="Q244" s="6">
        <v>1.2</v>
      </c>
      <c r="R244" s="88">
        <v>1</v>
      </c>
      <c r="S244" s="88"/>
      <c r="T244" s="88"/>
    </row>
    <row r="245" spans="1:20" s="1" customFormat="1" ht="13.35" customHeight="1" x14ac:dyDescent="0.25">
      <c r="A245" s="88" t="s">
        <v>100</v>
      </c>
      <c r="B245" s="88"/>
      <c r="C245" s="88"/>
      <c r="D245" s="88"/>
      <c r="E245" s="88"/>
      <c r="F245" s="88"/>
      <c r="G245" s="88"/>
      <c r="H245" s="88"/>
      <c r="I245" s="88"/>
      <c r="J245" s="88"/>
      <c r="K245" s="88"/>
      <c r="L245" s="88"/>
      <c r="M245" s="88">
        <f>10*250/200</f>
        <v>12.5</v>
      </c>
      <c r="N245" s="88"/>
      <c r="O245" s="88">
        <f>8*250/200</f>
        <v>10</v>
      </c>
      <c r="P245" s="88"/>
      <c r="Q245" s="23">
        <v>1.25</v>
      </c>
      <c r="R245" s="88">
        <v>1</v>
      </c>
      <c r="S245" s="88"/>
      <c r="T245" s="88"/>
    </row>
    <row r="246" spans="1:20" s="1" customFormat="1" ht="13.35" customHeight="1" x14ac:dyDescent="0.25">
      <c r="A246" s="88" t="s">
        <v>18</v>
      </c>
      <c r="B246" s="88"/>
      <c r="C246" s="88"/>
      <c r="D246" s="88"/>
      <c r="E246" s="88"/>
      <c r="F246" s="88"/>
      <c r="G246" s="88"/>
      <c r="H246" s="88"/>
      <c r="I246" s="88"/>
      <c r="J246" s="88"/>
      <c r="K246" s="88"/>
      <c r="L246" s="88"/>
      <c r="M246" s="88">
        <v>2.5</v>
      </c>
      <c r="N246" s="88"/>
      <c r="O246" s="88">
        <v>2.5</v>
      </c>
      <c r="P246" s="88"/>
      <c r="Q246" s="6">
        <v>0.25</v>
      </c>
      <c r="R246" s="88">
        <v>0.25</v>
      </c>
      <c r="S246" s="88"/>
      <c r="T246" s="88"/>
    </row>
    <row r="247" spans="1:20" s="1" customFormat="1" ht="13.35" customHeight="1" x14ac:dyDescent="0.25">
      <c r="A247" s="88" t="s">
        <v>61</v>
      </c>
      <c r="B247" s="88"/>
      <c r="C247" s="88"/>
      <c r="D247" s="88"/>
      <c r="E247" s="88"/>
      <c r="F247" s="88"/>
      <c r="G247" s="88"/>
      <c r="H247" s="88"/>
      <c r="I247" s="88"/>
      <c r="J247" s="88"/>
      <c r="K247" s="88"/>
      <c r="L247" s="88"/>
      <c r="M247" s="88">
        <v>2.5</v>
      </c>
      <c r="N247" s="88"/>
      <c r="O247" s="88">
        <v>2.5</v>
      </c>
      <c r="P247" s="88"/>
      <c r="Q247" s="64">
        <v>0.25</v>
      </c>
      <c r="R247" s="88">
        <v>0.25</v>
      </c>
      <c r="S247" s="88"/>
      <c r="T247" s="88"/>
    </row>
    <row r="248" spans="1:20" s="1" customFormat="1" ht="13.35" customHeight="1" x14ac:dyDescent="0.25">
      <c r="A248" s="88" t="s">
        <v>70</v>
      </c>
      <c r="B248" s="88"/>
      <c r="C248" s="88"/>
      <c r="D248" s="88"/>
      <c r="E248" s="88"/>
      <c r="F248" s="88"/>
      <c r="G248" s="88"/>
      <c r="H248" s="88"/>
      <c r="I248" s="88"/>
      <c r="J248" s="88"/>
      <c r="K248" s="88"/>
      <c r="L248" s="88"/>
      <c r="M248" s="88" t="s">
        <v>87</v>
      </c>
      <c r="N248" s="88"/>
      <c r="O248" s="88" t="s">
        <v>87</v>
      </c>
      <c r="P248" s="88"/>
      <c r="Q248" s="6" t="s">
        <v>110</v>
      </c>
      <c r="R248" s="88" t="s">
        <v>110</v>
      </c>
      <c r="S248" s="88"/>
      <c r="T248" s="88"/>
    </row>
    <row r="249" spans="1:20" s="1" customFormat="1" ht="13.35" customHeight="1" x14ac:dyDescent="0.25">
      <c r="A249" s="88" t="s">
        <v>114</v>
      </c>
      <c r="B249" s="88"/>
      <c r="C249" s="88"/>
      <c r="D249" s="88"/>
      <c r="E249" s="88"/>
      <c r="F249" s="88"/>
      <c r="G249" s="88"/>
      <c r="H249" s="88"/>
      <c r="I249" s="88"/>
      <c r="J249" s="88"/>
      <c r="K249" s="88"/>
      <c r="L249" s="88"/>
      <c r="M249" s="88" t="s">
        <v>562</v>
      </c>
      <c r="N249" s="88"/>
      <c r="O249" s="88" t="s">
        <v>562</v>
      </c>
      <c r="P249" s="88"/>
      <c r="Q249" s="6" t="s">
        <v>563</v>
      </c>
      <c r="R249" s="88" t="s">
        <v>563</v>
      </c>
      <c r="S249" s="88"/>
      <c r="T249" s="88"/>
    </row>
    <row r="250" spans="1:20" s="1" customFormat="1" ht="13.35" customHeight="1" x14ac:dyDescent="0.25">
      <c r="A250" s="88" t="s">
        <v>111</v>
      </c>
      <c r="B250" s="88"/>
      <c r="C250" s="88"/>
      <c r="D250" s="88"/>
      <c r="E250" s="88"/>
      <c r="F250" s="88"/>
      <c r="G250" s="88"/>
      <c r="H250" s="88"/>
      <c r="I250" s="88"/>
      <c r="J250" s="88"/>
      <c r="K250" s="88"/>
      <c r="L250" s="88"/>
      <c r="M250" s="88" t="s">
        <v>508</v>
      </c>
      <c r="N250" s="88"/>
      <c r="O250" s="88" t="s">
        <v>508</v>
      </c>
      <c r="P250" s="88"/>
      <c r="Q250" s="6" t="s">
        <v>509</v>
      </c>
      <c r="R250" s="88" t="s">
        <v>509</v>
      </c>
      <c r="S250" s="88"/>
      <c r="T250" s="88"/>
    </row>
    <row r="251" spans="1:20" s="1" customFormat="1" ht="14.1" customHeight="1" x14ac:dyDescent="0.25">
      <c r="A251" s="90" t="s">
        <v>790</v>
      </c>
      <c r="B251" s="90"/>
      <c r="C251" s="90"/>
      <c r="D251" s="90"/>
      <c r="E251" s="90"/>
      <c r="F251" s="90"/>
      <c r="G251" s="90"/>
      <c r="H251" s="90"/>
      <c r="I251" s="90"/>
      <c r="J251" s="90"/>
      <c r="K251" s="90"/>
      <c r="L251" s="90"/>
      <c r="M251" s="90"/>
      <c r="N251" s="90"/>
      <c r="O251" s="90"/>
      <c r="P251" s="90"/>
      <c r="Q251" s="90"/>
      <c r="R251" s="90"/>
      <c r="S251" s="90"/>
      <c r="T251" s="90"/>
    </row>
    <row r="252" spans="1:20" s="1" customFormat="1" ht="21.3" customHeight="1" x14ac:dyDescent="0.25"/>
    <row r="253" spans="1:20" s="1" customFormat="1" ht="14.1" customHeight="1" x14ac:dyDescent="0.25">
      <c r="A253" s="91" t="s">
        <v>33</v>
      </c>
      <c r="B253" s="91"/>
      <c r="C253" s="91"/>
      <c r="D253" s="91"/>
      <c r="E253" s="91"/>
      <c r="F253" s="91"/>
      <c r="G253" s="91"/>
      <c r="H253" s="91"/>
      <c r="I253" s="91"/>
      <c r="J253" s="91"/>
      <c r="K253" s="91"/>
      <c r="L253" s="91"/>
      <c r="M253" s="91"/>
      <c r="N253" s="91"/>
    </row>
    <row r="254" spans="1:20" s="1" customFormat="1" ht="13.35" customHeight="1" x14ac:dyDescent="0.25">
      <c r="A254" s="88" t="s">
        <v>34</v>
      </c>
      <c r="B254" s="88"/>
      <c r="C254" s="88"/>
      <c r="D254" s="88"/>
      <c r="E254" s="89">
        <f>3.99*250/200</f>
        <v>4.9874999999999998</v>
      </c>
      <c r="F254" s="89"/>
      <c r="G254" s="17"/>
      <c r="H254" s="6" t="s">
        <v>35</v>
      </c>
      <c r="I254" s="89">
        <v>0.13</v>
      </c>
      <c r="J254" s="89"/>
      <c r="K254" s="17"/>
      <c r="L254" s="88" t="s">
        <v>36</v>
      </c>
      <c r="M254" s="88"/>
      <c r="N254" s="89">
        <v>39.46</v>
      </c>
      <c r="O254" s="89"/>
    </row>
    <row r="255" spans="1:20" s="1" customFormat="1" ht="13.35" customHeight="1" x14ac:dyDescent="0.25">
      <c r="A255" s="88" t="s">
        <v>37</v>
      </c>
      <c r="B255" s="88"/>
      <c r="C255" s="88"/>
      <c r="D255" s="88"/>
      <c r="E255" s="89">
        <f>4.22*250/200</f>
        <v>5.2750000000000004</v>
      </c>
      <c r="F255" s="89"/>
      <c r="G255" s="17"/>
      <c r="H255" s="6" t="s">
        <v>38</v>
      </c>
      <c r="I255" s="89">
        <v>5.18</v>
      </c>
      <c r="J255" s="89"/>
      <c r="K255" s="17"/>
      <c r="L255" s="88" t="s">
        <v>39</v>
      </c>
      <c r="M255" s="88"/>
      <c r="N255" s="89">
        <v>28.03</v>
      </c>
      <c r="O255" s="89"/>
    </row>
    <row r="256" spans="1:20" s="1" customFormat="1" ht="13.35" customHeight="1" x14ac:dyDescent="0.25">
      <c r="A256" s="88" t="s">
        <v>40</v>
      </c>
      <c r="B256" s="88"/>
      <c r="C256" s="88"/>
      <c r="D256" s="88"/>
      <c r="E256" s="89">
        <f>13.23*250/200</f>
        <v>16.537500000000001</v>
      </c>
      <c r="F256" s="89"/>
      <c r="G256" s="17"/>
      <c r="H256" s="6" t="s">
        <v>41</v>
      </c>
      <c r="I256" s="89">
        <v>0.18</v>
      </c>
      <c r="J256" s="89"/>
      <c r="K256" s="17"/>
      <c r="L256" s="88" t="s">
        <v>42</v>
      </c>
      <c r="M256" s="88"/>
      <c r="N256" s="89">
        <v>64.05</v>
      </c>
      <c r="O256" s="89"/>
    </row>
    <row r="257" spans="1:20" s="1" customFormat="1" ht="13.35" customHeight="1" x14ac:dyDescent="0.25">
      <c r="A257" s="88" t="s">
        <v>43</v>
      </c>
      <c r="B257" s="88"/>
      <c r="C257" s="88"/>
      <c r="D257" s="88"/>
      <c r="E257" s="89">
        <f>118.6*250/200</f>
        <v>148.25</v>
      </c>
      <c r="F257" s="89"/>
      <c r="G257" s="17"/>
      <c r="H257" s="6" t="s">
        <v>44</v>
      </c>
      <c r="I257" s="89">
        <v>3.31</v>
      </c>
      <c r="J257" s="89"/>
      <c r="K257" s="17"/>
      <c r="L257" s="88" t="s">
        <v>45</v>
      </c>
      <c r="M257" s="88"/>
      <c r="N257" s="89">
        <v>1.59</v>
      </c>
      <c r="O257" s="89"/>
    </row>
    <row r="258" spans="1:20" s="1" customFormat="1" ht="13.35" customHeight="1" x14ac:dyDescent="0.25">
      <c r="A258" s="87"/>
      <c r="B258" s="87"/>
      <c r="C258" s="87"/>
      <c r="D258" s="87"/>
      <c r="E258" s="87"/>
      <c r="F258" s="87"/>
      <c r="G258" s="17"/>
      <c r="H258" s="6" t="s">
        <v>46</v>
      </c>
      <c r="I258" s="89">
        <v>0</v>
      </c>
      <c r="J258" s="89"/>
      <c r="K258" s="17"/>
      <c r="L258" s="88" t="s">
        <v>47</v>
      </c>
      <c r="M258" s="88"/>
      <c r="N258" s="89">
        <v>383.63</v>
      </c>
      <c r="O258" s="89"/>
    </row>
    <row r="259" spans="1:20" s="1" customFormat="1" ht="13.35" customHeight="1" x14ac:dyDescent="0.25">
      <c r="A259" s="87"/>
      <c r="B259" s="87"/>
      <c r="C259" s="87"/>
      <c r="D259" s="87"/>
      <c r="E259" s="87"/>
      <c r="F259" s="87"/>
      <c r="G259" s="17"/>
      <c r="H259" s="6" t="s">
        <v>48</v>
      </c>
      <c r="I259" s="89">
        <v>0.06</v>
      </c>
      <c r="J259" s="89"/>
      <c r="K259" s="17"/>
      <c r="L259" s="88" t="s">
        <v>49</v>
      </c>
      <c r="M259" s="88"/>
      <c r="N259" s="89">
        <v>3.33</v>
      </c>
      <c r="O259" s="89"/>
    </row>
    <row r="260" spans="1:20" s="1" customFormat="1" ht="13.35" customHeight="1" x14ac:dyDescent="0.25">
      <c r="A260" s="87"/>
      <c r="B260" s="87"/>
      <c r="C260" s="87"/>
      <c r="D260" s="87"/>
      <c r="E260" s="87"/>
      <c r="F260" s="87"/>
      <c r="G260" s="17"/>
      <c r="H260" s="17"/>
      <c r="I260" s="87"/>
      <c r="J260" s="87"/>
      <c r="K260" s="17"/>
      <c r="L260" s="88" t="s">
        <v>50</v>
      </c>
      <c r="M260" s="88"/>
      <c r="N260" s="89">
        <v>0.02</v>
      </c>
      <c r="O260" s="89"/>
    </row>
    <row r="261" spans="1:20" s="1" customFormat="1" ht="13.35" customHeight="1" x14ac:dyDescent="0.25">
      <c r="A261" s="87"/>
      <c r="B261" s="87"/>
      <c r="C261" s="87"/>
      <c r="D261" s="87"/>
      <c r="E261" s="87"/>
      <c r="F261" s="87"/>
      <c r="G261" s="17"/>
      <c r="H261" s="17"/>
      <c r="I261" s="87"/>
      <c r="J261" s="87"/>
      <c r="K261" s="17"/>
      <c r="L261" s="88" t="s">
        <v>51</v>
      </c>
      <c r="M261" s="88"/>
      <c r="N261" s="89">
        <v>0</v>
      </c>
      <c r="O261" s="89"/>
    </row>
    <row r="262" spans="1:20" s="1" customFormat="1" ht="14.1" customHeight="1" x14ac:dyDescent="0.25">
      <c r="A262" s="86"/>
      <c r="B262" s="86"/>
      <c r="C262" s="86"/>
      <c r="D262" s="86"/>
      <c r="E262" s="86"/>
      <c r="F262" s="86"/>
      <c r="G262" s="86"/>
      <c r="H262" s="86"/>
      <c r="I262" s="86"/>
      <c r="J262" s="86"/>
      <c r="K262" s="86"/>
      <c r="L262" s="86"/>
      <c r="M262" s="86"/>
      <c r="N262" s="86"/>
      <c r="O262" s="86"/>
      <c r="P262" s="86"/>
      <c r="Q262" s="86"/>
      <c r="R262" s="86"/>
      <c r="S262" s="86"/>
    </row>
    <row r="263" spans="1:20" s="1" customFormat="1" ht="14.1" customHeight="1" x14ac:dyDescent="0.25">
      <c r="A263" s="84" t="s">
        <v>52</v>
      </c>
      <c r="B263" s="84"/>
      <c r="C263" s="84"/>
      <c r="D263" s="84"/>
      <c r="E263" s="84"/>
      <c r="F263" s="84"/>
      <c r="G263" s="84"/>
      <c r="H263" s="84"/>
      <c r="I263" s="84"/>
      <c r="J263" s="84"/>
      <c r="K263" s="84"/>
      <c r="L263" s="84"/>
      <c r="M263" s="84"/>
      <c r="N263" s="84"/>
      <c r="O263" s="84"/>
      <c r="P263" s="84"/>
      <c r="Q263" s="84"/>
      <c r="R263" s="84"/>
      <c r="S263" s="84"/>
    </row>
    <row r="264" spans="1:20" s="1" customFormat="1" ht="49.2" customHeight="1" x14ac:dyDescent="0.25">
      <c r="A264" s="85" t="s">
        <v>564</v>
      </c>
      <c r="B264" s="85"/>
      <c r="C264" s="85"/>
      <c r="D264" s="85"/>
      <c r="E264" s="85"/>
      <c r="F264" s="85"/>
      <c r="G264" s="85"/>
      <c r="H264" s="85"/>
      <c r="I264" s="85"/>
      <c r="J264" s="85"/>
      <c r="K264" s="85"/>
      <c r="L264" s="85"/>
      <c r="M264" s="85"/>
      <c r="N264" s="85"/>
      <c r="O264" s="85"/>
      <c r="P264" s="85"/>
      <c r="Q264" s="85"/>
      <c r="R264" s="85"/>
      <c r="S264" s="85"/>
    </row>
    <row r="265" spans="1:20" s="1" customFormat="1" ht="14.1" customHeight="1" x14ac:dyDescent="0.25">
      <c r="A265" s="86"/>
      <c r="B265" s="86"/>
      <c r="C265" s="86"/>
      <c r="D265" s="86"/>
      <c r="E265" s="86"/>
      <c r="F265" s="86"/>
      <c r="G265" s="86"/>
      <c r="H265" s="86"/>
      <c r="I265" s="86"/>
      <c r="J265" s="86"/>
      <c r="K265" s="86"/>
      <c r="L265" s="86"/>
      <c r="M265" s="86"/>
      <c r="N265" s="86"/>
      <c r="O265" s="86"/>
      <c r="P265" s="86"/>
      <c r="Q265" s="86"/>
      <c r="R265" s="86"/>
      <c r="S265" s="86"/>
    </row>
    <row r="266" spans="1:20" s="1" customFormat="1" ht="14.1" customHeight="1" x14ac:dyDescent="0.25">
      <c r="A266" s="84" t="s">
        <v>54</v>
      </c>
      <c r="B266" s="84"/>
      <c r="C266" s="84"/>
      <c r="D266" s="84"/>
      <c r="E266" s="84"/>
      <c r="F266" s="84"/>
      <c r="G266" s="84"/>
      <c r="H266" s="84"/>
      <c r="I266" s="84"/>
      <c r="J266" s="84"/>
      <c r="K266" s="84"/>
      <c r="L266" s="84"/>
      <c r="M266" s="84"/>
      <c r="N266" s="84"/>
      <c r="O266" s="84"/>
      <c r="P266" s="84"/>
      <c r="Q266" s="84"/>
      <c r="R266" s="84"/>
      <c r="S266" s="84"/>
    </row>
    <row r="267" spans="1:20" s="1" customFormat="1" ht="12.15" customHeight="1" x14ac:dyDescent="0.25">
      <c r="A267" s="85" t="s">
        <v>565</v>
      </c>
      <c r="B267" s="85"/>
      <c r="C267" s="85"/>
      <c r="D267" s="85"/>
      <c r="E267" s="85"/>
      <c r="F267" s="85"/>
      <c r="G267" s="85"/>
      <c r="H267" s="85"/>
      <c r="I267" s="85"/>
      <c r="J267" s="85"/>
      <c r="K267" s="85"/>
      <c r="L267" s="85"/>
      <c r="M267" s="85"/>
      <c r="N267" s="85"/>
      <c r="O267" s="85"/>
      <c r="P267" s="85"/>
      <c r="Q267" s="85"/>
      <c r="R267" s="85"/>
      <c r="S267" s="85"/>
    </row>
    <row r="268" spans="1:20" s="1" customFormat="1" ht="14.1" customHeight="1" x14ac:dyDescent="0.25">
      <c r="A268" s="86"/>
      <c r="B268" s="86"/>
      <c r="C268" s="86"/>
      <c r="D268" s="86"/>
      <c r="E268" s="86"/>
      <c r="F268" s="86"/>
      <c r="G268" s="86"/>
      <c r="H268" s="86"/>
      <c r="I268" s="86"/>
      <c r="J268" s="86"/>
      <c r="K268" s="86"/>
      <c r="L268" s="86"/>
      <c r="M268" s="86"/>
      <c r="N268" s="86"/>
      <c r="O268" s="86"/>
      <c r="P268" s="86"/>
      <c r="Q268" s="86"/>
      <c r="R268" s="86"/>
      <c r="S268" s="86"/>
    </row>
    <row r="269" spans="1:20" s="1" customFormat="1" ht="14.1" customHeight="1" x14ac:dyDescent="0.25">
      <c r="A269" s="84" t="s">
        <v>56</v>
      </c>
      <c r="B269" s="84"/>
      <c r="C269" s="84"/>
      <c r="D269" s="84"/>
      <c r="E269" s="84"/>
      <c r="F269" s="84"/>
      <c r="G269" s="84"/>
      <c r="H269" s="84"/>
      <c r="I269" s="84"/>
      <c r="J269" s="84"/>
      <c r="K269" s="84"/>
      <c r="L269" s="84"/>
      <c r="M269" s="84"/>
      <c r="N269" s="84"/>
      <c r="O269" s="84"/>
      <c r="P269" s="84"/>
      <c r="Q269" s="84"/>
      <c r="R269" s="84"/>
      <c r="S269" s="84"/>
    </row>
    <row r="270" spans="1:20" s="1" customFormat="1" ht="58.5" customHeight="1" x14ac:dyDescent="0.25">
      <c r="A270" s="85" t="s">
        <v>566</v>
      </c>
      <c r="B270" s="85"/>
      <c r="C270" s="85"/>
      <c r="D270" s="85"/>
      <c r="E270" s="85"/>
      <c r="F270" s="85"/>
      <c r="G270" s="85"/>
      <c r="H270" s="85"/>
      <c r="I270" s="85"/>
      <c r="J270" s="85"/>
      <c r="K270" s="85"/>
      <c r="L270" s="85"/>
      <c r="M270" s="85"/>
      <c r="N270" s="85"/>
      <c r="O270" s="85"/>
      <c r="P270" s="85"/>
      <c r="Q270" s="85"/>
      <c r="R270" s="85"/>
      <c r="S270" s="85"/>
    </row>
    <row r="271" spans="1:20" s="1" customFormat="1" ht="72.45" customHeight="1" x14ac:dyDescent="0.25">
      <c r="J271" s="100" t="s">
        <v>0</v>
      </c>
      <c r="K271" s="100"/>
      <c r="L271" s="100"/>
      <c r="M271" s="100"/>
      <c r="N271" s="100"/>
      <c r="O271" s="100"/>
      <c r="P271" s="100"/>
      <c r="Q271" s="100"/>
      <c r="R271" s="100"/>
      <c r="S271" s="100"/>
      <c r="T271" s="100"/>
    </row>
    <row r="272" spans="1:20" s="1" customFormat="1" ht="7.05" customHeight="1" x14ac:dyDescent="0.25"/>
    <row r="273" spans="1:20" s="1" customFormat="1" ht="14.1" customHeight="1" x14ac:dyDescent="0.25">
      <c r="B273" s="101" t="s">
        <v>567</v>
      </c>
      <c r="C273" s="101"/>
      <c r="D273" s="101"/>
      <c r="E273" s="101"/>
      <c r="F273" s="101"/>
      <c r="G273" s="101"/>
      <c r="H273" s="101"/>
      <c r="I273" s="101"/>
      <c r="J273" s="101"/>
      <c r="K273" s="101"/>
      <c r="L273" s="101"/>
      <c r="M273" s="101"/>
      <c r="N273" s="101"/>
      <c r="O273" s="101"/>
      <c r="P273" s="101"/>
      <c r="Q273" s="101"/>
      <c r="R273" s="101"/>
    </row>
    <row r="274" spans="1:20" s="1" customFormat="1" ht="14.1" customHeight="1" x14ac:dyDescent="0.25"/>
    <row r="275" spans="1:20" s="1" customFormat="1" ht="14.1" customHeight="1" x14ac:dyDescent="0.25">
      <c r="A275" s="102" t="s">
        <v>2</v>
      </c>
      <c r="B275" s="102"/>
      <c r="C275" s="102"/>
      <c r="D275" s="103" t="s">
        <v>568</v>
      </c>
      <c r="E275" s="103"/>
      <c r="F275" s="103"/>
      <c r="G275" s="103"/>
      <c r="H275" s="103"/>
      <c r="I275" s="103"/>
      <c r="J275" s="103"/>
      <c r="K275" s="103"/>
      <c r="L275" s="103"/>
      <c r="M275" s="103"/>
      <c r="N275" s="103"/>
      <c r="O275" s="103"/>
      <c r="P275" s="103"/>
      <c r="Q275" s="103"/>
      <c r="R275" s="103"/>
      <c r="S275" s="103"/>
      <c r="T275" s="103"/>
    </row>
    <row r="276" spans="1:20" s="1" customFormat="1" ht="14.1" customHeight="1" x14ac:dyDescent="0.25">
      <c r="A276" s="102" t="s">
        <v>4</v>
      </c>
      <c r="B276" s="102"/>
      <c r="C276" s="103" t="s">
        <v>569</v>
      </c>
      <c r="D276" s="103"/>
      <c r="E276" s="103"/>
      <c r="F276" s="103"/>
      <c r="G276" s="103"/>
      <c r="H276" s="103"/>
      <c r="I276" s="103"/>
      <c r="J276" s="103"/>
      <c r="K276" s="103"/>
      <c r="L276" s="103"/>
      <c r="M276" s="103"/>
      <c r="N276" s="103"/>
      <c r="O276" s="103"/>
      <c r="P276" s="103"/>
      <c r="Q276" s="103"/>
      <c r="R276" s="103"/>
      <c r="S276" s="103"/>
      <c r="T276" s="103"/>
    </row>
    <row r="277" spans="1:20" s="1" customFormat="1" ht="14.1" customHeight="1" x14ac:dyDescent="0.25">
      <c r="A277" s="102" t="s">
        <v>6</v>
      </c>
      <c r="B277" s="102"/>
      <c r="C277" s="102"/>
      <c r="D277" s="102"/>
      <c r="E277" s="102"/>
      <c r="F277" s="103" t="s">
        <v>60</v>
      </c>
      <c r="G277" s="103"/>
      <c r="H277" s="103"/>
      <c r="I277" s="103"/>
      <c r="J277" s="103"/>
      <c r="K277" s="103"/>
      <c r="L277" s="103"/>
      <c r="M277" s="103"/>
      <c r="N277" s="103"/>
      <c r="O277" s="103"/>
      <c r="P277" s="103"/>
      <c r="Q277" s="103"/>
      <c r="R277" s="103"/>
      <c r="S277" s="103"/>
      <c r="T277" s="103"/>
    </row>
    <row r="278" spans="1:20" s="1" customFormat="1" ht="22.35" customHeight="1" x14ac:dyDescent="0.25">
      <c r="F278" s="103"/>
      <c r="G278" s="103"/>
      <c r="H278" s="103"/>
      <c r="I278" s="103"/>
      <c r="J278" s="103"/>
      <c r="K278" s="103"/>
      <c r="L278" s="103"/>
      <c r="M278" s="103"/>
      <c r="N278" s="103"/>
      <c r="O278" s="103"/>
      <c r="P278" s="103"/>
      <c r="Q278" s="103"/>
      <c r="R278" s="103"/>
      <c r="S278" s="103"/>
      <c r="T278" s="103"/>
    </row>
    <row r="279" spans="1:20" s="1" customFormat="1" ht="7.05" customHeight="1" x14ac:dyDescent="0.25">
      <c r="A279" s="86"/>
      <c r="B279" s="86"/>
      <c r="C279" s="86"/>
      <c r="D279" s="86"/>
      <c r="E279" s="86"/>
      <c r="F279" s="86"/>
      <c r="G279" s="86"/>
      <c r="H279" s="86"/>
      <c r="I279" s="86"/>
      <c r="J279" s="86"/>
      <c r="K279" s="86"/>
      <c r="L279" s="86"/>
      <c r="M279" s="86"/>
      <c r="N279" s="86"/>
      <c r="O279" s="86"/>
      <c r="P279" s="86"/>
      <c r="Q279" s="16"/>
      <c r="R279" s="86"/>
      <c r="S279" s="86"/>
      <c r="T279" s="86"/>
    </row>
    <row r="280" spans="1:20" s="1" customFormat="1" ht="16.95" customHeight="1" x14ac:dyDescent="0.25">
      <c r="A280" s="94" t="s">
        <v>8</v>
      </c>
      <c r="B280" s="94"/>
      <c r="C280" s="94"/>
      <c r="D280" s="94"/>
      <c r="E280" s="94"/>
      <c r="F280" s="94"/>
      <c r="G280" s="94"/>
      <c r="H280" s="94"/>
      <c r="I280" s="94"/>
      <c r="J280" s="94"/>
      <c r="K280" s="94"/>
      <c r="L280" s="94"/>
      <c r="M280" s="95" t="s">
        <v>9</v>
      </c>
      <c r="N280" s="95"/>
      <c r="O280" s="95"/>
      <c r="P280" s="95"/>
      <c r="Q280" s="95"/>
      <c r="R280" s="95"/>
      <c r="S280" s="95"/>
      <c r="T280" s="95"/>
    </row>
    <row r="281" spans="1:20" s="1" customFormat="1" ht="16.95" customHeight="1" x14ac:dyDescent="0.25">
      <c r="A281" s="94"/>
      <c r="B281" s="94"/>
      <c r="C281" s="94"/>
      <c r="D281" s="94"/>
      <c r="E281" s="94"/>
      <c r="F281" s="94"/>
      <c r="G281" s="94"/>
      <c r="H281" s="94"/>
      <c r="I281" s="94"/>
      <c r="J281" s="94"/>
      <c r="K281" s="94"/>
      <c r="L281" s="94"/>
      <c r="M281" s="96" t="s">
        <v>10</v>
      </c>
      <c r="N281" s="96"/>
      <c r="O281" s="96"/>
      <c r="P281" s="96"/>
      <c r="Q281" s="97" t="s">
        <v>11</v>
      </c>
      <c r="R281" s="97"/>
      <c r="S281" s="97"/>
      <c r="T281" s="97"/>
    </row>
    <row r="282" spans="1:20" s="1" customFormat="1" ht="16.95" customHeight="1" x14ac:dyDescent="0.25">
      <c r="A282" s="94"/>
      <c r="B282" s="94"/>
      <c r="C282" s="94"/>
      <c r="D282" s="94"/>
      <c r="E282" s="94"/>
      <c r="F282" s="94"/>
      <c r="G282" s="94"/>
      <c r="H282" s="94"/>
      <c r="I282" s="94"/>
      <c r="J282" s="94"/>
      <c r="K282" s="94"/>
      <c r="L282" s="94"/>
      <c r="M282" s="98" t="s">
        <v>12</v>
      </c>
      <c r="N282" s="98"/>
      <c r="O282" s="98" t="s">
        <v>13</v>
      </c>
      <c r="P282" s="98"/>
      <c r="Q282" s="13" t="s">
        <v>14</v>
      </c>
      <c r="R282" s="99" t="s">
        <v>15</v>
      </c>
      <c r="S282" s="99"/>
      <c r="T282" s="99"/>
    </row>
    <row r="283" spans="1:20" s="1" customFormat="1" ht="13.35" customHeight="1" x14ac:dyDescent="0.25">
      <c r="A283" s="88" t="s">
        <v>31</v>
      </c>
      <c r="B283" s="88"/>
      <c r="C283" s="88"/>
      <c r="D283" s="88"/>
      <c r="E283" s="88"/>
      <c r="F283" s="88"/>
      <c r="G283" s="88"/>
      <c r="H283" s="88"/>
      <c r="I283" s="88"/>
      <c r="J283" s="88"/>
      <c r="K283" s="88"/>
      <c r="L283" s="88"/>
      <c r="M283" s="88">
        <f>80*250/200</f>
        <v>100</v>
      </c>
      <c r="N283" s="88"/>
      <c r="O283" s="88">
        <f>60*250/200</f>
        <v>75</v>
      </c>
      <c r="P283" s="88"/>
      <c r="Q283" s="23">
        <v>10</v>
      </c>
      <c r="R283" s="88">
        <v>7.5</v>
      </c>
      <c r="S283" s="88"/>
      <c r="T283" s="88"/>
    </row>
    <row r="284" spans="1:20" s="1" customFormat="1" ht="13.35" customHeight="1" x14ac:dyDescent="0.25">
      <c r="A284" s="88" t="s">
        <v>570</v>
      </c>
      <c r="B284" s="88"/>
      <c r="C284" s="88"/>
      <c r="D284" s="88"/>
      <c r="E284" s="88"/>
      <c r="F284" s="88"/>
      <c r="G284" s="88"/>
      <c r="H284" s="88"/>
      <c r="I284" s="88"/>
      <c r="J284" s="88"/>
      <c r="K284" s="88"/>
      <c r="L284" s="88"/>
      <c r="M284" s="88">
        <v>10</v>
      </c>
      <c r="N284" s="88"/>
      <c r="O284" s="88">
        <v>10</v>
      </c>
      <c r="P284" s="88"/>
      <c r="Q284" s="6">
        <v>1</v>
      </c>
      <c r="R284" s="88">
        <v>1</v>
      </c>
      <c r="S284" s="88"/>
      <c r="T284" s="88"/>
    </row>
    <row r="285" spans="1:20" s="1" customFormat="1" ht="13.35" customHeight="1" x14ac:dyDescent="0.25">
      <c r="A285" s="88" t="s">
        <v>100</v>
      </c>
      <c r="B285" s="88"/>
      <c r="C285" s="88"/>
      <c r="D285" s="88"/>
      <c r="E285" s="88"/>
      <c r="F285" s="88"/>
      <c r="G285" s="88"/>
      <c r="H285" s="88"/>
      <c r="I285" s="88"/>
      <c r="J285" s="88"/>
      <c r="K285" s="88"/>
      <c r="L285" s="88"/>
      <c r="M285" s="88">
        <f>10*250/200</f>
        <v>12.5</v>
      </c>
      <c r="N285" s="88"/>
      <c r="O285" s="88">
        <f>8*250/200</f>
        <v>10</v>
      </c>
      <c r="P285" s="88"/>
      <c r="Q285" s="23">
        <v>1.25</v>
      </c>
      <c r="R285" s="88">
        <v>1</v>
      </c>
      <c r="S285" s="88"/>
      <c r="T285" s="88"/>
    </row>
    <row r="286" spans="1:20" s="1" customFormat="1" ht="13.35" customHeight="1" x14ac:dyDescent="0.25">
      <c r="A286" s="88" t="s">
        <v>21</v>
      </c>
      <c r="B286" s="88"/>
      <c r="C286" s="88"/>
      <c r="D286" s="88"/>
      <c r="E286" s="88"/>
      <c r="F286" s="88"/>
      <c r="G286" s="88"/>
      <c r="H286" s="88"/>
      <c r="I286" s="88"/>
      <c r="J286" s="88"/>
      <c r="K286" s="88"/>
      <c r="L286" s="88"/>
      <c r="M286" s="88">
        <f>9.6*250/200</f>
        <v>12</v>
      </c>
      <c r="N286" s="88"/>
      <c r="O286" s="88">
        <f>8*250/200</f>
        <v>10</v>
      </c>
      <c r="P286" s="88"/>
      <c r="Q286" s="6">
        <v>1.2</v>
      </c>
      <c r="R286" s="88">
        <v>1</v>
      </c>
      <c r="S286" s="88"/>
      <c r="T286" s="88"/>
    </row>
    <row r="287" spans="1:20" s="1" customFormat="1" ht="13.35" customHeight="1" x14ac:dyDescent="0.25">
      <c r="A287" s="88" t="s">
        <v>18</v>
      </c>
      <c r="B287" s="88"/>
      <c r="C287" s="88"/>
      <c r="D287" s="88"/>
      <c r="E287" s="88"/>
      <c r="F287" s="88"/>
      <c r="G287" s="88"/>
      <c r="H287" s="88"/>
      <c r="I287" s="88"/>
      <c r="J287" s="88"/>
      <c r="K287" s="88"/>
      <c r="L287" s="88"/>
      <c r="M287" s="88">
        <f>2*250/200</f>
        <v>2.5</v>
      </c>
      <c r="N287" s="88"/>
      <c r="O287" s="88">
        <v>2.5</v>
      </c>
      <c r="P287" s="88"/>
      <c r="Q287" s="6">
        <v>0.25</v>
      </c>
      <c r="R287" s="88">
        <v>0.25</v>
      </c>
      <c r="S287" s="88"/>
      <c r="T287" s="88"/>
    </row>
    <row r="288" spans="1:20" s="1" customFormat="1" ht="13.35" customHeight="1" x14ac:dyDescent="0.25">
      <c r="A288" s="88" t="s">
        <v>61</v>
      </c>
      <c r="B288" s="88"/>
      <c r="C288" s="88"/>
      <c r="D288" s="88"/>
      <c r="E288" s="88"/>
      <c r="F288" s="88"/>
      <c r="G288" s="88"/>
      <c r="H288" s="88"/>
      <c r="I288" s="88"/>
      <c r="J288" s="88"/>
      <c r="K288" s="88"/>
      <c r="L288" s="88"/>
      <c r="M288" s="88">
        <v>2.5</v>
      </c>
      <c r="N288" s="88"/>
      <c r="O288" s="88">
        <v>2.5</v>
      </c>
      <c r="P288" s="88"/>
      <c r="Q288" s="64">
        <v>0.25</v>
      </c>
      <c r="R288" s="88">
        <v>0.25</v>
      </c>
      <c r="S288" s="88"/>
      <c r="T288" s="88"/>
    </row>
    <row r="289" spans="1:20" s="1" customFormat="1" ht="13.35" customHeight="1" x14ac:dyDescent="0.25">
      <c r="A289" s="88" t="s">
        <v>70</v>
      </c>
      <c r="B289" s="88"/>
      <c r="C289" s="88"/>
      <c r="D289" s="88"/>
      <c r="E289" s="88"/>
      <c r="F289" s="88"/>
      <c r="G289" s="88"/>
      <c r="H289" s="88"/>
      <c r="I289" s="88"/>
      <c r="J289" s="88"/>
      <c r="K289" s="88"/>
      <c r="L289" s="88"/>
      <c r="M289" s="88">
        <f>1.6*250/200</f>
        <v>2</v>
      </c>
      <c r="N289" s="88"/>
      <c r="O289" s="88">
        <v>2</v>
      </c>
      <c r="P289" s="88"/>
      <c r="Q289" s="6">
        <v>0.2</v>
      </c>
      <c r="R289" s="88">
        <v>0.2</v>
      </c>
      <c r="S289" s="88"/>
      <c r="T289" s="88"/>
    </row>
    <row r="290" spans="1:20" s="1" customFormat="1" ht="13.35" customHeight="1" x14ac:dyDescent="0.25">
      <c r="A290" s="88" t="s">
        <v>114</v>
      </c>
      <c r="B290" s="88"/>
      <c r="C290" s="88"/>
      <c r="D290" s="88"/>
      <c r="E290" s="88"/>
      <c r="F290" s="88"/>
      <c r="G290" s="88"/>
      <c r="H290" s="88"/>
      <c r="I290" s="88"/>
      <c r="J290" s="88"/>
      <c r="K290" s="88"/>
      <c r="L290" s="88"/>
      <c r="M290" s="88">
        <f>175</f>
        <v>175</v>
      </c>
      <c r="N290" s="88"/>
      <c r="O290" s="88">
        <v>175</v>
      </c>
      <c r="P290" s="88"/>
      <c r="Q290" s="6">
        <v>17.5</v>
      </c>
      <c r="R290" s="88">
        <v>17.5</v>
      </c>
      <c r="S290" s="88"/>
      <c r="T290" s="88"/>
    </row>
    <row r="291" spans="1:20" s="1" customFormat="1" ht="14.1" customHeight="1" x14ac:dyDescent="0.25">
      <c r="A291" s="90" t="s">
        <v>790</v>
      </c>
      <c r="B291" s="90"/>
      <c r="C291" s="90"/>
      <c r="D291" s="90"/>
      <c r="E291" s="90"/>
      <c r="F291" s="90"/>
      <c r="G291" s="90"/>
      <c r="H291" s="90"/>
      <c r="I291" s="90"/>
      <c r="J291" s="90"/>
      <c r="K291" s="90"/>
      <c r="L291" s="90"/>
      <c r="M291" s="90"/>
      <c r="N291" s="90"/>
      <c r="O291" s="90"/>
      <c r="P291" s="90"/>
      <c r="Q291" s="90"/>
      <c r="R291" s="90"/>
      <c r="S291" s="90"/>
      <c r="T291" s="90"/>
    </row>
    <row r="292" spans="1:20" s="1" customFormat="1" ht="21.3" customHeight="1" x14ac:dyDescent="0.25"/>
    <row r="293" spans="1:20" s="1" customFormat="1" ht="14.1" customHeight="1" x14ac:dyDescent="0.25">
      <c r="A293" s="91" t="s">
        <v>33</v>
      </c>
      <c r="B293" s="91"/>
      <c r="C293" s="91"/>
      <c r="D293" s="91"/>
      <c r="E293" s="91"/>
      <c r="F293" s="91"/>
      <c r="G293" s="91"/>
      <c r="H293" s="91"/>
      <c r="I293" s="91"/>
      <c r="J293" s="91"/>
      <c r="K293" s="91"/>
      <c r="L293" s="91"/>
      <c r="M293" s="91"/>
      <c r="N293" s="91"/>
    </row>
    <row r="294" spans="1:20" s="1" customFormat="1" ht="13.35" customHeight="1" x14ac:dyDescent="0.25">
      <c r="A294" s="88" t="s">
        <v>34</v>
      </c>
      <c r="B294" s="88"/>
      <c r="C294" s="88"/>
      <c r="D294" s="88"/>
      <c r="E294" s="89">
        <f>2.15*250/200</f>
        <v>2.6875</v>
      </c>
      <c r="F294" s="89"/>
      <c r="G294" s="17"/>
      <c r="H294" s="6" t="s">
        <v>35</v>
      </c>
      <c r="I294" s="89">
        <v>0.06</v>
      </c>
      <c r="J294" s="89"/>
      <c r="K294" s="17"/>
      <c r="L294" s="88" t="s">
        <v>36</v>
      </c>
      <c r="M294" s="88"/>
      <c r="N294" s="89">
        <v>28.2</v>
      </c>
      <c r="O294" s="89"/>
    </row>
    <row r="295" spans="1:20" s="1" customFormat="1" ht="13.35" customHeight="1" x14ac:dyDescent="0.25">
      <c r="A295" s="88" t="s">
        <v>37</v>
      </c>
      <c r="B295" s="88"/>
      <c r="C295" s="88"/>
      <c r="D295" s="88"/>
      <c r="E295" s="89">
        <f>2.27*250/200</f>
        <v>2.8374999999999999</v>
      </c>
      <c r="F295" s="89"/>
      <c r="G295" s="17"/>
      <c r="H295" s="6" t="s">
        <v>38</v>
      </c>
      <c r="I295" s="89">
        <v>5.45</v>
      </c>
      <c r="J295" s="89"/>
      <c r="K295" s="17"/>
      <c r="L295" s="88" t="s">
        <v>39</v>
      </c>
      <c r="M295" s="88"/>
      <c r="N295" s="89">
        <v>17.79</v>
      </c>
      <c r="O295" s="89"/>
    </row>
    <row r="296" spans="1:20" s="1" customFormat="1" ht="13.35" customHeight="1" x14ac:dyDescent="0.25">
      <c r="A296" s="88" t="s">
        <v>40</v>
      </c>
      <c r="B296" s="88"/>
      <c r="C296" s="88"/>
      <c r="D296" s="88"/>
      <c r="E296" s="89">
        <f>13.96*250/200</f>
        <v>17.45</v>
      </c>
      <c r="F296" s="89"/>
      <c r="G296" s="17"/>
      <c r="H296" s="6" t="s">
        <v>41</v>
      </c>
      <c r="I296" s="89">
        <v>0.17</v>
      </c>
      <c r="J296" s="89"/>
      <c r="K296" s="17"/>
      <c r="L296" s="88" t="s">
        <v>42</v>
      </c>
      <c r="M296" s="88"/>
      <c r="N296" s="89">
        <v>43.36</v>
      </c>
      <c r="O296" s="89"/>
    </row>
    <row r="297" spans="1:20" s="1" customFormat="1" ht="13.35" customHeight="1" x14ac:dyDescent="0.25">
      <c r="A297" s="88" t="s">
        <v>43</v>
      </c>
      <c r="B297" s="88"/>
      <c r="C297" s="88"/>
      <c r="D297" s="88"/>
      <c r="E297" s="89">
        <f>94.6*250/200</f>
        <v>118.25</v>
      </c>
      <c r="F297" s="89"/>
      <c r="G297" s="17"/>
      <c r="H297" s="6" t="s">
        <v>44</v>
      </c>
      <c r="I297" s="89">
        <v>0.99</v>
      </c>
      <c r="J297" s="89"/>
      <c r="K297" s="17"/>
      <c r="L297" s="88" t="s">
        <v>45</v>
      </c>
      <c r="M297" s="88"/>
      <c r="N297" s="89">
        <v>0.8</v>
      </c>
      <c r="O297" s="89"/>
    </row>
    <row r="298" spans="1:20" s="1" customFormat="1" ht="13.35" customHeight="1" x14ac:dyDescent="0.25">
      <c r="A298" s="87"/>
      <c r="B298" s="87"/>
      <c r="C298" s="87"/>
      <c r="D298" s="87"/>
      <c r="E298" s="87"/>
      <c r="F298" s="87"/>
      <c r="G298" s="17"/>
      <c r="H298" s="6" t="s">
        <v>46</v>
      </c>
      <c r="I298" s="89">
        <v>0</v>
      </c>
      <c r="J298" s="89"/>
      <c r="K298" s="17"/>
      <c r="L298" s="88" t="s">
        <v>47</v>
      </c>
      <c r="M298" s="88"/>
      <c r="N298" s="89">
        <v>328.07</v>
      </c>
      <c r="O298" s="89"/>
    </row>
    <row r="299" spans="1:20" s="1" customFormat="1" ht="13.35" customHeight="1" x14ac:dyDescent="0.25">
      <c r="A299" s="87"/>
      <c r="B299" s="87"/>
      <c r="C299" s="87"/>
      <c r="D299" s="87"/>
      <c r="E299" s="87"/>
      <c r="F299" s="87"/>
      <c r="G299" s="17"/>
      <c r="H299" s="6" t="s">
        <v>48</v>
      </c>
      <c r="I299" s="89">
        <v>0.05</v>
      </c>
      <c r="J299" s="89"/>
      <c r="K299" s="17"/>
      <c r="L299" s="88" t="s">
        <v>49</v>
      </c>
      <c r="M299" s="88"/>
      <c r="N299" s="89">
        <v>3.36</v>
      </c>
      <c r="O299" s="89"/>
    </row>
    <row r="300" spans="1:20" s="1" customFormat="1" ht="13.35" customHeight="1" x14ac:dyDescent="0.25">
      <c r="A300" s="87"/>
      <c r="B300" s="87"/>
      <c r="C300" s="87"/>
      <c r="D300" s="87"/>
      <c r="E300" s="87"/>
      <c r="F300" s="87"/>
      <c r="G300" s="17"/>
      <c r="H300" s="17"/>
      <c r="I300" s="87"/>
      <c r="J300" s="87"/>
      <c r="K300" s="17"/>
      <c r="L300" s="88" t="s">
        <v>50</v>
      </c>
      <c r="M300" s="88"/>
      <c r="N300" s="89">
        <v>0.01</v>
      </c>
      <c r="O300" s="89"/>
    </row>
    <row r="301" spans="1:20" s="1" customFormat="1" ht="13.35" customHeight="1" x14ac:dyDescent="0.25">
      <c r="A301" s="87"/>
      <c r="B301" s="87"/>
      <c r="C301" s="87"/>
      <c r="D301" s="87"/>
      <c r="E301" s="87"/>
      <c r="F301" s="87"/>
      <c r="G301" s="17"/>
      <c r="H301" s="17"/>
      <c r="I301" s="87"/>
      <c r="J301" s="87"/>
      <c r="K301" s="17"/>
      <c r="L301" s="88" t="s">
        <v>51</v>
      </c>
      <c r="M301" s="88"/>
      <c r="N301" s="89">
        <v>0</v>
      </c>
      <c r="O301" s="89"/>
    </row>
    <row r="302" spans="1:20" s="1" customFormat="1" ht="14.1" customHeight="1" x14ac:dyDescent="0.25">
      <c r="A302" s="86"/>
      <c r="B302" s="86"/>
      <c r="C302" s="86"/>
      <c r="D302" s="86"/>
      <c r="E302" s="86"/>
      <c r="F302" s="86"/>
      <c r="G302" s="86"/>
      <c r="H302" s="86"/>
      <c r="I302" s="86"/>
      <c r="J302" s="86"/>
      <c r="K302" s="86"/>
      <c r="L302" s="86"/>
      <c r="M302" s="86"/>
      <c r="N302" s="86"/>
      <c r="O302" s="86"/>
      <c r="P302" s="86"/>
      <c r="Q302" s="86"/>
      <c r="R302" s="86"/>
      <c r="S302" s="86"/>
    </row>
    <row r="303" spans="1:20" s="1" customFormat="1" ht="14.1" customHeight="1" x14ac:dyDescent="0.25">
      <c r="A303" s="84" t="s">
        <v>52</v>
      </c>
      <c r="B303" s="84"/>
      <c r="C303" s="84"/>
      <c r="D303" s="84"/>
      <c r="E303" s="84"/>
      <c r="F303" s="84"/>
      <c r="G303" s="84"/>
      <c r="H303" s="84"/>
      <c r="I303" s="84"/>
      <c r="J303" s="84"/>
      <c r="K303" s="84"/>
      <c r="L303" s="84"/>
      <c r="M303" s="84"/>
      <c r="N303" s="84"/>
      <c r="O303" s="84"/>
      <c r="P303" s="84"/>
      <c r="Q303" s="84"/>
      <c r="R303" s="84"/>
      <c r="S303" s="84"/>
    </row>
    <row r="304" spans="1:20" s="1" customFormat="1" ht="58.5" customHeight="1" x14ac:dyDescent="0.25">
      <c r="A304" s="85" t="s">
        <v>571</v>
      </c>
      <c r="B304" s="85"/>
      <c r="C304" s="85"/>
      <c r="D304" s="85"/>
      <c r="E304" s="85"/>
      <c r="F304" s="85"/>
      <c r="G304" s="85"/>
      <c r="H304" s="85"/>
      <c r="I304" s="85"/>
      <c r="J304" s="85"/>
      <c r="K304" s="85"/>
      <c r="L304" s="85"/>
      <c r="M304" s="85"/>
      <c r="N304" s="85"/>
      <c r="O304" s="85"/>
      <c r="P304" s="85"/>
      <c r="Q304" s="85"/>
      <c r="R304" s="85"/>
      <c r="S304" s="85"/>
    </row>
    <row r="305" spans="1:20" s="1" customFormat="1" ht="14.1" customHeight="1" x14ac:dyDescent="0.25">
      <c r="A305" s="86"/>
      <c r="B305" s="86"/>
      <c r="C305" s="86"/>
      <c r="D305" s="86"/>
      <c r="E305" s="86"/>
      <c r="F305" s="86"/>
      <c r="G305" s="86"/>
      <c r="H305" s="86"/>
      <c r="I305" s="86"/>
      <c r="J305" s="86"/>
      <c r="K305" s="86"/>
      <c r="L305" s="86"/>
      <c r="M305" s="86"/>
      <c r="N305" s="86"/>
      <c r="O305" s="86"/>
      <c r="P305" s="86"/>
      <c r="Q305" s="86"/>
      <c r="R305" s="86"/>
      <c r="S305" s="86"/>
    </row>
    <row r="306" spans="1:20" s="1" customFormat="1" ht="14.1" customHeight="1" x14ac:dyDescent="0.25">
      <c r="A306" s="84" t="s">
        <v>54</v>
      </c>
      <c r="B306" s="84"/>
      <c r="C306" s="84"/>
      <c r="D306" s="84"/>
      <c r="E306" s="84"/>
      <c r="F306" s="84"/>
      <c r="G306" s="84"/>
      <c r="H306" s="84"/>
      <c r="I306" s="84"/>
      <c r="J306" s="84"/>
      <c r="K306" s="84"/>
      <c r="L306" s="84"/>
      <c r="M306" s="84"/>
      <c r="N306" s="84"/>
      <c r="O306" s="84"/>
      <c r="P306" s="84"/>
      <c r="Q306" s="84"/>
      <c r="R306" s="84"/>
      <c r="S306" s="84"/>
    </row>
    <row r="307" spans="1:20" s="1" customFormat="1" ht="12.15" customHeight="1" x14ac:dyDescent="0.25">
      <c r="A307" s="85" t="s">
        <v>572</v>
      </c>
      <c r="B307" s="85"/>
      <c r="C307" s="85"/>
      <c r="D307" s="85"/>
      <c r="E307" s="85"/>
      <c r="F307" s="85"/>
      <c r="G307" s="85"/>
      <c r="H307" s="85"/>
      <c r="I307" s="85"/>
      <c r="J307" s="85"/>
      <c r="K307" s="85"/>
      <c r="L307" s="85"/>
      <c r="M307" s="85"/>
      <c r="N307" s="85"/>
      <c r="O307" s="85"/>
      <c r="P307" s="85"/>
      <c r="Q307" s="85"/>
      <c r="R307" s="85"/>
      <c r="S307" s="85"/>
    </row>
    <row r="308" spans="1:20" s="1" customFormat="1" ht="14.1" customHeight="1" x14ac:dyDescent="0.25">
      <c r="A308" s="86"/>
      <c r="B308" s="86"/>
      <c r="C308" s="86"/>
      <c r="D308" s="86"/>
      <c r="E308" s="86"/>
      <c r="F308" s="86"/>
      <c r="G308" s="86"/>
      <c r="H308" s="86"/>
      <c r="I308" s="86"/>
      <c r="J308" s="86"/>
      <c r="K308" s="86"/>
      <c r="L308" s="86"/>
      <c r="M308" s="86"/>
      <c r="N308" s="86"/>
      <c r="O308" s="86"/>
      <c r="P308" s="86"/>
      <c r="Q308" s="86"/>
      <c r="R308" s="86"/>
      <c r="S308" s="86"/>
    </row>
    <row r="309" spans="1:20" s="1" customFormat="1" ht="14.1" customHeight="1" x14ac:dyDescent="0.25">
      <c r="A309" s="84" t="s">
        <v>56</v>
      </c>
      <c r="B309" s="84"/>
      <c r="C309" s="84"/>
      <c r="D309" s="84"/>
      <c r="E309" s="84"/>
      <c r="F309" s="84"/>
      <c r="G309" s="84"/>
      <c r="H309" s="84"/>
      <c r="I309" s="84"/>
      <c r="J309" s="84"/>
      <c r="K309" s="84"/>
      <c r="L309" s="84"/>
      <c r="M309" s="84"/>
      <c r="N309" s="84"/>
      <c r="O309" s="84"/>
      <c r="P309" s="84"/>
      <c r="Q309" s="84"/>
      <c r="R309" s="84"/>
      <c r="S309" s="84"/>
    </row>
    <row r="310" spans="1:20" s="1" customFormat="1" ht="58.5" customHeight="1" x14ac:dyDescent="0.25">
      <c r="A310" s="85" t="s">
        <v>573</v>
      </c>
      <c r="B310" s="85"/>
      <c r="C310" s="85"/>
      <c r="D310" s="85"/>
      <c r="E310" s="85"/>
      <c r="F310" s="85"/>
      <c r="G310" s="85"/>
      <c r="H310" s="85"/>
      <c r="I310" s="85"/>
      <c r="J310" s="85"/>
      <c r="K310" s="85"/>
      <c r="L310" s="85"/>
      <c r="M310" s="85"/>
      <c r="N310" s="85"/>
      <c r="O310" s="85"/>
      <c r="P310" s="85"/>
      <c r="Q310" s="85"/>
      <c r="R310" s="85"/>
      <c r="S310" s="85"/>
    </row>
    <row r="311" spans="1:20" s="1" customFormat="1" ht="72.45" customHeight="1" x14ac:dyDescent="0.25">
      <c r="J311" s="100" t="s">
        <v>0</v>
      </c>
      <c r="K311" s="100"/>
      <c r="L311" s="100"/>
      <c r="M311" s="100"/>
      <c r="N311" s="100"/>
      <c r="O311" s="100"/>
      <c r="P311" s="100"/>
      <c r="Q311" s="100"/>
      <c r="R311" s="100"/>
      <c r="S311" s="100"/>
      <c r="T311" s="100"/>
    </row>
    <row r="312" spans="1:20" s="1" customFormat="1" ht="7.05" customHeight="1" x14ac:dyDescent="0.25"/>
    <row r="313" spans="1:20" s="1" customFormat="1" ht="14.1" customHeight="1" x14ac:dyDescent="0.25">
      <c r="B313" s="101" t="s">
        <v>574</v>
      </c>
      <c r="C313" s="101"/>
      <c r="D313" s="101"/>
      <c r="E313" s="101"/>
      <c r="F313" s="101"/>
      <c r="G313" s="101"/>
      <c r="H313" s="101"/>
      <c r="I313" s="101"/>
      <c r="J313" s="101"/>
      <c r="K313" s="101"/>
      <c r="L313" s="101"/>
      <c r="M313" s="101"/>
      <c r="N313" s="101"/>
      <c r="O313" s="101"/>
      <c r="P313" s="101"/>
      <c r="Q313" s="101"/>
      <c r="R313" s="101"/>
    </row>
    <row r="314" spans="1:20" s="1" customFormat="1" ht="14.1" customHeight="1" x14ac:dyDescent="0.25"/>
    <row r="315" spans="1:20" s="1" customFormat="1" ht="14.1" customHeight="1" x14ac:dyDescent="0.25">
      <c r="A315" s="102" t="s">
        <v>2</v>
      </c>
      <c r="B315" s="102"/>
      <c r="C315" s="102"/>
      <c r="D315" s="103" t="s">
        <v>575</v>
      </c>
      <c r="E315" s="103"/>
      <c r="F315" s="103"/>
      <c r="G315" s="103"/>
      <c r="H315" s="103"/>
      <c r="I315" s="103"/>
      <c r="J315" s="103"/>
      <c r="K315" s="103"/>
      <c r="L315" s="103"/>
      <c r="M315" s="103"/>
      <c r="N315" s="103"/>
      <c r="O315" s="103"/>
      <c r="P315" s="103"/>
      <c r="Q315" s="103"/>
      <c r="R315" s="103"/>
      <c r="S315" s="103"/>
      <c r="T315" s="103"/>
    </row>
    <row r="316" spans="1:20" s="1" customFormat="1" ht="14.1" customHeight="1" x14ac:dyDescent="0.25">
      <c r="A316" s="102" t="s">
        <v>4</v>
      </c>
      <c r="B316" s="102"/>
      <c r="C316" s="103" t="s">
        <v>576</v>
      </c>
      <c r="D316" s="103"/>
      <c r="E316" s="103"/>
      <c r="F316" s="103"/>
      <c r="G316" s="103"/>
      <c r="H316" s="103"/>
      <c r="I316" s="103"/>
      <c r="J316" s="103"/>
      <c r="K316" s="103"/>
      <c r="L316" s="103"/>
      <c r="M316" s="103"/>
      <c r="N316" s="103"/>
      <c r="O316" s="103"/>
      <c r="P316" s="103"/>
      <c r="Q316" s="103"/>
      <c r="R316" s="103"/>
      <c r="S316" s="103"/>
      <c r="T316" s="103"/>
    </row>
    <row r="317" spans="1:20" s="1" customFormat="1" ht="14.1" customHeight="1" x14ac:dyDescent="0.25">
      <c r="A317" s="102" t="s">
        <v>6</v>
      </c>
      <c r="B317" s="102"/>
      <c r="C317" s="102"/>
      <c r="D317" s="102"/>
      <c r="E317" s="102"/>
      <c r="F317" s="103" t="s">
        <v>60</v>
      </c>
      <c r="G317" s="103"/>
      <c r="H317" s="103"/>
      <c r="I317" s="103"/>
      <c r="J317" s="103"/>
      <c r="K317" s="103"/>
      <c r="L317" s="103"/>
      <c r="M317" s="103"/>
      <c r="N317" s="103"/>
      <c r="O317" s="103"/>
      <c r="P317" s="103"/>
      <c r="Q317" s="103"/>
      <c r="R317" s="103"/>
      <c r="S317" s="103"/>
      <c r="T317" s="103"/>
    </row>
    <row r="318" spans="1:20" s="1" customFormat="1" ht="22.35" customHeight="1" x14ac:dyDescent="0.25">
      <c r="F318" s="103"/>
      <c r="G318" s="103"/>
      <c r="H318" s="103"/>
      <c r="I318" s="103"/>
      <c r="J318" s="103"/>
      <c r="K318" s="103"/>
      <c r="L318" s="103"/>
      <c r="M318" s="103"/>
      <c r="N318" s="103"/>
      <c r="O318" s="103"/>
      <c r="P318" s="103"/>
      <c r="Q318" s="103"/>
      <c r="R318" s="103"/>
      <c r="S318" s="103"/>
      <c r="T318" s="103"/>
    </row>
    <row r="319" spans="1:20" s="1" customFormat="1" ht="7.05" customHeight="1" x14ac:dyDescent="0.25">
      <c r="A319" s="86"/>
      <c r="B319" s="86"/>
      <c r="C319" s="86"/>
      <c r="D319" s="86"/>
      <c r="E319" s="86"/>
      <c r="F319" s="86"/>
      <c r="G319" s="86"/>
      <c r="H319" s="86"/>
      <c r="I319" s="86"/>
      <c r="J319" s="86"/>
      <c r="K319" s="86"/>
      <c r="L319" s="86"/>
      <c r="M319" s="86"/>
      <c r="N319" s="86"/>
      <c r="O319" s="86"/>
      <c r="P319" s="86"/>
      <c r="Q319" s="16"/>
      <c r="R319" s="86"/>
      <c r="S319" s="86"/>
      <c r="T319" s="86"/>
    </row>
    <row r="320" spans="1:20" s="1" customFormat="1" ht="16.95" customHeight="1" x14ac:dyDescent="0.25">
      <c r="A320" s="94" t="s">
        <v>8</v>
      </c>
      <c r="B320" s="94"/>
      <c r="C320" s="94"/>
      <c r="D320" s="94"/>
      <c r="E320" s="94"/>
      <c r="F320" s="94"/>
      <c r="G320" s="94"/>
      <c r="H320" s="94"/>
      <c r="I320" s="94"/>
      <c r="J320" s="94"/>
      <c r="K320" s="94"/>
      <c r="L320" s="94"/>
      <c r="M320" s="95" t="s">
        <v>9</v>
      </c>
      <c r="N320" s="95"/>
      <c r="O320" s="95"/>
      <c r="P320" s="95"/>
      <c r="Q320" s="95"/>
      <c r="R320" s="95"/>
      <c r="S320" s="95"/>
      <c r="T320" s="95"/>
    </row>
    <row r="321" spans="1:20" s="1" customFormat="1" ht="16.95" customHeight="1" x14ac:dyDescent="0.25">
      <c r="A321" s="94"/>
      <c r="B321" s="94"/>
      <c r="C321" s="94"/>
      <c r="D321" s="94"/>
      <c r="E321" s="94"/>
      <c r="F321" s="94"/>
      <c r="G321" s="94"/>
      <c r="H321" s="94"/>
      <c r="I321" s="94"/>
      <c r="J321" s="94"/>
      <c r="K321" s="94"/>
      <c r="L321" s="94"/>
      <c r="M321" s="96" t="s">
        <v>10</v>
      </c>
      <c r="N321" s="96"/>
      <c r="O321" s="96"/>
      <c r="P321" s="96"/>
      <c r="Q321" s="97" t="s">
        <v>11</v>
      </c>
      <c r="R321" s="97"/>
      <c r="S321" s="97"/>
      <c r="T321" s="97"/>
    </row>
    <row r="322" spans="1:20" s="1" customFormat="1" ht="16.95" customHeight="1" x14ac:dyDescent="0.25">
      <c r="A322" s="94"/>
      <c r="B322" s="94"/>
      <c r="C322" s="94"/>
      <c r="D322" s="94"/>
      <c r="E322" s="94"/>
      <c r="F322" s="94"/>
      <c r="G322" s="94"/>
      <c r="H322" s="94"/>
      <c r="I322" s="94"/>
      <c r="J322" s="94"/>
      <c r="K322" s="94"/>
      <c r="L322" s="94"/>
      <c r="M322" s="98" t="s">
        <v>12</v>
      </c>
      <c r="N322" s="98"/>
      <c r="O322" s="98" t="s">
        <v>13</v>
      </c>
      <c r="P322" s="98"/>
      <c r="Q322" s="13" t="s">
        <v>14</v>
      </c>
      <c r="R322" s="99" t="s">
        <v>15</v>
      </c>
      <c r="S322" s="99"/>
      <c r="T322" s="99"/>
    </row>
    <row r="323" spans="1:20" s="1" customFormat="1" ht="13.35" customHeight="1" x14ac:dyDescent="0.25">
      <c r="A323" s="88" t="s">
        <v>84</v>
      </c>
      <c r="B323" s="88"/>
      <c r="C323" s="88"/>
      <c r="D323" s="88"/>
      <c r="E323" s="88"/>
      <c r="F323" s="88"/>
      <c r="G323" s="88"/>
      <c r="H323" s="88"/>
      <c r="I323" s="88"/>
      <c r="J323" s="88"/>
      <c r="K323" s="88"/>
      <c r="L323" s="88"/>
      <c r="M323" s="88">
        <f>30*250/200</f>
        <v>37.5</v>
      </c>
      <c r="N323" s="88"/>
      <c r="O323" s="88">
        <f>24*250/200</f>
        <v>30</v>
      </c>
      <c r="P323" s="88"/>
      <c r="Q323" s="6">
        <v>3.75</v>
      </c>
      <c r="R323" s="88">
        <v>3</v>
      </c>
      <c r="S323" s="88"/>
      <c r="T323" s="88"/>
    </row>
    <row r="324" spans="1:20" s="1" customFormat="1" ht="13.35" customHeight="1" x14ac:dyDescent="0.25">
      <c r="A324" s="88" t="s">
        <v>31</v>
      </c>
      <c r="B324" s="88"/>
      <c r="C324" s="88"/>
      <c r="D324" s="88"/>
      <c r="E324" s="88"/>
      <c r="F324" s="88"/>
      <c r="G324" s="88"/>
      <c r="H324" s="88"/>
      <c r="I324" s="88"/>
      <c r="J324" s="88"/>
      <c r="K324" s="88"/>
      <c r="L324" s="88"/>
      <c r="M324" s="88">
        <f>26.6*250/200</f>
        <v>33.25</v>
      </c>
      <c r="N324" s="88"/>
      <c r="O324" s="88">
        <f>20*250/200</f>
        <v>25</v>
      </c>
      <c r="P324" s="88"/>
      <c r="Q324" s="23">
        <v>3.32</v>
      </c>
      <c r="R324" s="88">
        <v>2.5</v>
      </c>
      <c r="S324" s="88"/>
      <c r="T324" s="88"/>
    </row>
    <row r="325" spans="1:20" s="1" customFormat="1" ht="13.35" customHeight="1" x14ac:dyDescent="0.25">
      <c r="A325" s="88" t="s">
        <v>328</v>
      </c>
      <c r="B325" s="88"/>
      <c r="C325" s="88"/>
      <c r="D325" s="88"/>
      <c r="E325" s="88"/>
      <c r="F325" s="88"/>
      <c r="G325" s="88"/>
      <c r="H325" s="88"/>
      <c r="I325" s="88"/>
      <c r="J325" s="88"/>
      <c r="K325" s="88"/>
      <c r="L325" s="88"/>
      <c r="M325" s="88">
        <f>8*250/200</f>
        <v>10</v>
      </c>
      <c r="N325" s="88"/>
      <c r="O325" s="88">
        <v>10</v>
      </c>
      <c r="P325" s="88"/>
      <c r="Q325" s="6">
        <v>1</v>
      </c>
      <c r="R325" s="88">
        <v>1</v>
      </c>
      <c r="S325" s="88"/>
      <c r="T325" s="88"/>
    </row>
    <row r="326" spans="1:20" s="1" customFormat="1" ht="13.35" customHeight="1" x14ac:dyDescent="0.25">
      <c r="A326" s="88" t="s">
        <v>100</v>
      </c>
      <c r="B326" s="88"/>
      <c r="C326" s="88"/>
      <c r="D326" s="88"/>
      <c r="E326" s="88"/>
      <c r="F326" s="88"/>
      <c r="G326" s="88"/>
      <c r="H326" s="88"/>
      <c r="I326" s="88"/>
      <c r="J326" s="88"/>
      <c r="K326" s="88"/>
      <c r="L326" s="88"/>
      <c r="M326" s="88">
        <f>10*250/200</f>
        <v>12.5</v>
      </c>
      <c r="N326" s="88"/>
      <c r="O326" s="88">
        <f>8*250/200</f>
        <v>10</v>
      </c>
      <c r="P326" s="88"/>
      <c r="Q326" s="23">
        <v>1.25</v>
      </c>
      <c r="R326" s="88">
        <v>1</v>
      </c>
      <c r="S326" s="88"/>
      <c r="T326" s="88"/>
    </row>
    <row r="327" spans="1:20" s="1" customFormat="1" ht="13.35" customHeight="1" x14ac:dyDescent="0.25">
      <c r="A327" s="88" t="s">
        <v>21</v>
      </c>
      <c r="B327" s="88"/>
      <c r="C327" s="88"/>
      <c r="D327" s="88"/>
      <c r="E327" s="88"/>
      <c r="F327" s="88"/>
      <c r="G327" s="88"/>
      <c r="H327" s="88"/>
      <c r="I327" s="88"/>
      <c r="J327" s="88"/>
      <c r="K327" s="88"/>
      <c r="L327" s="88"/>
      <c r="M327" s="88">
        <f>9.6*250/200</f>
        <v>12</v>
      </c>
      <c r="N327" s="88"/>
      <c r="O327" s="88">
        <f>8*250/200</f>
        <v>10</v>
      </c>
      <c r="P327" s="88"/>
      <c r="Q327" s="6">
        <v>1.2</v>
      </c>
      <c r="R327" s="88">
        <v>1</v>
      </c>
      <c r="S327" s="88"/>
      <c r="T327" s="88"/>
    </row>
    <row r="328" spans="1:20" s="1" customFormat="1" ht="13.35" customHeight="1" x14ac:dyDescent="0.25">
      <c r="A328" s="88" t="s">
        <v>18</v>
      </c>
      <c r="B328" s="88"/>
      <c r="C328" s="88"/>
      <c r="D328" s="88"/>
      <c r="E328" s="88"/>
      <c r="F328" s="88"/>
      <c r="G328" s="88"/>
      <c r="H328" s="88"/>
      <c r="I328" s="88"/>
      <c r="J328" s="88"/>
      <c r="K328" s="88"/>
      <c r="L328" s="88"/>
      <c r="M328" s="88">
        <v>2.5</v>
      </c>
      <c r="N328" s="88"/>
      <c r="O328" s="88">
        <v>2.5</v>
      </c>
      <c r="P328" s="88"/>
      <c r="Q328" s="6">
        <v>0.25</v>
      </c>
      <c r="R328" s="88">
        <v>0.25</v>
      </c>
      <c r="S328" s="88"/>
      <c r="T328" s="88"/>
    </row>
    <row r="329" spans="1:20" s="1" customFormat="1" ht="13.35" customHeight="1" x14ac:dyDescent="0.25">
      <c r="A329" s="88" t="s">
        <v>61</v>
      </c>
      <c r="B329" s="88"/>
      <c r="C329" s="88"/>
      <c r="D329" s="88"/>
      <c r="E329" s="88"/>
      <c r="F329" s="88"/>
      <c r="G329" s="88"/>
      <c r="H329" s="88"/>
      <c r="I329" s="88"/>
      <c r="J329" s="88"/>
      <c r="K329" s="88"/>
      <c r="L329" s="88"/>
      <c r="M329" s="88">
        <v>2.5</v>
      </c>
      <c r="N329" s="88"/>
      <c r="O329" s="88">
        <v>2.5</v>
      </c>
      <c r="P329" s="88"/>
      <c r="Q329" s="64">
        <v>0.25</v>
      </c>
      <c r="R329" s="88">
        <v>0.25</v>
      </c>
      <c r="S329" s="88"/>
      <c r="T329" s="88"/>
    </row>
    <row r="330" spans="1:20" s="1" customFormat="1" ht="13.35" customHeight="1" x14ac:dyDescent="0.25">
      <c r="A330" s="88" t="s">
        <v>70</v>
      </c>
      <c r="B330" s="88"/>
      <c r="C330" s="88"/>
      <c r="D330" s="88"/>
      <c r="E330" s="88"/>
      <c r="F330" s="88"/>
      <c r="G330" s="88"/>
      <c r="H330" s="88"/>
      <c r="I330" s="88"/>
      <c r="J330" s="88"/>
      <c r="K330" s="88"/>
      <c r="L330" s="88"/>
      <c r="M330" s="88" t="s">
        <v>87</v>
      </c>
      <c r="N330" s="88"/>
      <c r="O330" s="88" t="s">
        <v>87</v>
      </c>
      <c r="P330" s="88"/>
      <c r="Q330" s="6" t="s">
        <v>110</v>
      </c>
      <c r="R330" s="88" t="s">
        <v>110</v>
      </c>
      <c r="S330" s="88"/>
      <c r="T330" s="88"/>
    </row>
    <row r="331" spans="1:20" s="1" customFormat="1" ht="13.35" customHeight="1" x14ac:dyDescent="0.25">
      <c r="A331" s="88" t="s">
        <v>114</v>
      </c>
      <c r="B331" s="88"/>
      <c r="C331" s="88"/>
      <c r="D331" s="88"/>
      <c r="E331" s="88"/>
      <c r="F331" s="88"/>
      <c r="G331" s="88"/>
      <c r="H331" s="88"/>
      <c r="I331" s="88"/>
      <c r="J331" s="88"/>
      <c r="K331" s="88"/>
      <c r="L331" s="88"/>
      <c r="M331" s="88">
        <v>201</v>
      </c>
      <c r="N331" s="88"/>
      <c r="O331" s="88">
        <v>201</v>
      </c>
      <c r="P331" s="88"/>
      <c r="Q331" s="6">
        <v>20.100000000000001</v>
      </c>
      <c r="R331" s="88">
        <v>20.100000000000001</v>
      </c>
      <c r="S331" s="88"/>
      <c r="T331" s="88"/>
    </row>
    <row r="332" spans="1:20" s="1" customFormat="1" ht="14.1" customHeight="1" x14ac:dyDescent="0.25">
      <c r="A332" s="90" t="s">
        <v>790</v>
      </c>
      <c r="B332" s="90"/>
      <c r="C332" s="90"/>
      <c r="D332" s="90"/>
      <c r="E332" s="90"/>
      <c r="F332" s="90"/>
      <c r="G332" s="90"/>
      <c r="H332" s="90"/>
      <c r="I332" s="90"/>
      <c r="J332" s="90"/>
      <c r="K332" s="90"/>
      <c r="L332" s="90"/>
      <c r="M332" s="90"/>
      <c r="N332" s="90"/>
      <c r="O332" s="90"/>
      <c r="P332" s="90"/>
      <c r="Q332" s="90"/>
      <c r="R332" s="90"/>
      <c r="S332" s="90"/>
      <c r="T332" s="90"/>
    </row>
    <row r="333" spans="1:20" s="1" customFormat="1" ht="21.3" customHeight="1" x14ac:dyDescent="0.25"/>
    <row r="334" spans="1:20" s="1" customFormat="1" ht="14.1" customHeight="1" x14ac:dyDescent="0.25">
      <c r="A334" s="91" t="s">
        <v>33</v>
      </c>
      <c r="B334" s="91"/>
      <c r="C334" s="91"/>
      <c r="D334" s="91"/>
      <c r="E334" s="91"/>
      <c r="F334" s="91"/>
      <c r="G334" s="91"/>
      <c r="H334" s="91"/>
      <c r="I334" s="91"/>
      <c r="J334" s="91"/>
      <c r="K334" s="91"/>
      <c r="L334" s="91"/>
      <c r="M334" s="91"/>
      <c r="N334" s="91"/>
    </row>
    <row r="335" spans="1:20" s="1" customFormat="1" ht="13.35" customHeight="1" x14ac:dyDescent="0.25">
      <c r="A335" s="88" t="s">
        <v>34</v>
      </c>
      <c r="B335" s="88"/>
      <c r="C335" s="88"/>
      <c r="D335" s="88"/>
      <c r="E335" s="89">
        <f>1.19*250/200</f>
        <v>1.4875</v>
      </c>
      <c r="F335" s="89"/>
      <c r="G335" s="17"/>
      <c r="H335" s="6" t="s">
        <v>35</v>
      </c>
      <c r="I335" s="89">
        <v>0.04</v>
      </c>
      <c r="J335" s="89"/>
      <c r="K335" s="17"/>
      <c r="L335" s="88" t="s">
        <v>36</v>
      </c>
      <c r="M335" s="88"/>
      <c r="N335" s="89">
        <v>32.82</v>
      </c>
      <c r="O335" s="89"/>
    </row>
    <row r="336" spans="1:20" s="1" customFormat="1" ht="13.35" customHeight="1" x14ac:dyDescent="0.25">
      <c r="A336" s="88" t="s">
        <v>37</v>
      </c>
      <c r="B336" s="88"/>
      <c r="C336" s="88"/>
      <c r="D336" s="88"/>
      <c r="E336" s="89">
        <f>3.93*250/200</f>
        <v>4.9124999999999996</v>
      </c>
      <c r="F336" s="89"/>
      <c r="G336" s="17"/>
      <c r="H336" s="6" t="s">
        <v>38</v>
      </c>
      <c r="I336" s="89">
        <v>6.43</v>
      </c>
      <c r="J336" s="89"/>
      <c r="K336" s="17"/>
      <c r="L336" s="88" t="s">
        <v>39</v>
      </c>
      <c r="M336" s="88"/>
      <c r="N336" s="89">
        <v>14.95</v>
      </c>
      <c r="O336" s="89"/>
    </row>
    <row r="337" spans="1:20" s="1" customFormat="1" ht="13.35" customHeight="1" x14ac:dyDescent="0.25">
      <c r="A337" s="88" t="s">
        <v>40</v>
      </c>
      <c r="B337" s="88"/>
      <c r="C337" s="88"/>
      <c r="D337" s="88"/>
      <c r="E337" s="89">
        <f>8.87*250/200</f>
        <v>11.0875</v>
      </c>
      <c r="F337" s="89"/>
      <c r="G337" s="17"/>
      <c r="H337" s="6" t="s">
        <v>41</v>
      </c>
      <c r="I337" s="89">
        <v>0.16</v>
      </c>
      <c r="J337" s="89"/>
      <c r="K337" s="17"/>
      <c r="L337" s="88" t="s">
        <v>42</v>
      </c>
      <c r="M337" s="88"/>
      <c r="N337" s="89">
        <v>38.85</v>
      </c>
      <c r="O337" s="89"/>
    </row>
    <row r="338" spans="1:20" s="1" customFormat="1" ht="13.35" customHeight="1" x14ac:dyDescent="0.25">
      <c r="A338" s="88" t="s">
        <v>43</v>
      </c>
      <c r="B338" s="88"/>
      <c r="C338" s="88"/>
      <c r="D338" s="88"/>
      <c r="E338" s="89">
        <f>61*250/200</f>
        <v>76.25</v>
      </c>
      <c r="F338" s="89"/>
      <c r="G338" s="17"/>
      <c r="H338" s="6" t="s">
        <v>44</v>
      </c>
      <c r="I338" s="89">
        <v>1.78</v>
      </c>
      <c r="J338" s="89"/>
      <c r="K338" s="17"/>
      <c r="L338" s="88" t="s">
        <v>45</v>
      </c>
      <c r="M338" s="88"/>
      <c r="N338" s="89">
        <v>0.66</v>
      </c>
      <c r="O338" s="89"/>
    </row>
    <row r="339" spans="1:20" s="1" customFormat="1" ht="13.35" customHeight="1" x14ac:dyDescent="0.25">
      <c r="A339" s="87"/>
      <c r="B339" s="87"/>
      <c r="C339" s="87"/>
      <c r="D339" s="87"/>
      <c r="E339" s="87"/>
      <c r="F339" s="87"/>
      <c r="G339" s="17"/>
      <c r="H339" s="6" t="s">
        <v>46</v>
      </c>
      <c r="I339" s="89">
        <v>0</v>
      </c>
      <c r="J339" s="89"/>
      <c r="K339" s="17"/>
      <c r="L339" s="88" t="s">
        <v>47</v>
      </c>
      <c r="M339" s="88"/>
      <c r="N339" s="89">
        <v>197.58</v>
      </c>
      <c r="O339" s="89"/>
    </row>
    <row r="340" spans="1:20" s="1" customFormat="1" ht="13.35" customHeight="1" x14ac:dyDescent="0.25">
      <c r="A340" s="87"/>
      <c r="B340" s="87"/>
      <c r="C340" s="87"/>
      <c r="D340" s="87"/>
      <c r="E340" s="87"/>
      <c r="F340" s="87"/>
      <c r="G340" s="17"/>
      <c r="H340" s="6" t="s">
        <v>48</v>
      </c>
      <c r="I340" s="89">
        <v>0.03</v>
      </c>
      <c r="J340" s="89"/>
      <c r="K340" s="17"/>
      <c r="L340" s="88" t="s">
        <v>49</v>
      </c>
      <c r="M340" s="88"/>
      <c r="N340" s="89">
        <v>2.37</v>
      </c>
      <c r="O340" s="89"/>
    </row>
    <row r="341" spans="1:20" s="1" customFormat="1" ht="13.35" customHeight="1" x14ac:dyDescent="0.25">
      <c r="A341" s="87"/>
      <c r="B341" s="87"/>
      <c r="C341" s="87"/>
      <c r="D341" s="87"/>
      <c r="E341" s="87"/>
      <c r="F341" s="87"/>
      <c r="G341" s="17"/>
      <c r="H341" s="17"/>
      <c r="I341" s="87"/>
      <c r="J341" s="87"/>
      <c r="K341" s="17"/>
      <c r="L341" s="88" t="s">
        <v>50</v>
      </c>
      <c r="M341" s="88"/>
      <c r="N341" s="89">
        <v>0.01</v>
      </c>
      <c r="O341" s="89"/>
    </row>
    <row r="342" spans="1:20" s="1" customFormat="1" ht="13.35" customHeight="1" x14ac:dyDescent="0.25">
      <c r="A342" s="87"/>
      <c r="B342" s="87"/>
      <c r="C342" s="87"/>
      <c r="D342" s="87"/>
      <c r="E342" s="87"/>
      <c r="F342" s="87"/>
      <c r="G342" s="17"/>
      <c r="H342" s="17"/>
      <c r="I342" s="87"/>
      <c r="J342" s="87"/>
      <c r="K342" s="17"/>
      <c r="L342" s="88" t="s">
        <v>51</v>
      </c>
      <c r="M342" s="88"/>
      <c r="N342" s="89">
        <v>0</v>
      </c>
      <c r="O342" s="89"/>
    </row>
    <row r="343" spans="1:20" s="1" customFormat="1" ht="14.1" customHeight="1" x14ac:dyDescent="0.25">
      <c r="A343" s="86"/>
      <c r="B343" s="86"/>
      <c r="C343" s="86"/>
      <c r="D343" s="86"/>
      <c r="E343" s="86"/>
      <c r="F343" s="86"/>
      <c r="G343" s="86"/>
      <c r="H343" s="86"/>
      <c r="I343" s="86"/>
      <c r="J343" s="86"/>
      <c r="K343" s="86"/>
      <c r="L343" s="86"/>
      <c r="M343" s="86"/>
      <c r="N343" s="86"/>
      <c r="O343" s="86"/>
      <c r="P343" s="86"/>
      <c r="Q343" s="86"/>
      <c r="R343" s="86"/>
      <c r="S343" s="86"/>
    </row>
    <row r="344" spans="1:20" s="1" customFormat="1" ht="14.1" customHeight="1" x14ac:dyDescent="0.25">
      <c r="A344" s="84" t="s">
        <v>52</v>
      </c>
      <c r="B344" s="84"/>
      <c r="C344" s="84"/>
      <c r="D344" s="84"/>
      <c r="E344" s="84"/>
      <c r="F344" s="84"/>
      <c r="G344" s="84"/>
      <c r="H344" s="84"/>
      <c r="I344" s="84"/>
      <c r="J344" s="84"/>
      <c r="K344" s="84"/>
      <c r="L344" s="84"/>
      <c r="M344" s="84"/>
      <c r="N344" s="84"/>
      <c r="O344" s="84"/>
      <c r="P344" s="84"/>
      <c r="Q344" s="84"/>
      <c r="R344" s="84"/>
      <c r="S344" s="84"/>
    </row>
    <row r="345" spans="1:20" s="1" customFormat="1" ht="260.85000000000002" customHeight="1" x14ac:dyDescent="0.25">
      <c r="A345" s="85" t="s">
        <v>577</v>
      </c>
      <c r="B345" s="85"/>
      <c r="C345" s="85"/>
      <c r="D345" s="85"/>
      <c r="E345" s="85"/>
      <c r="F345" s="85"/>
      <c r="G345" s="85"/>
      <c r="H345" s="85"/>
      <c r="I345" s="85"/>
      <c r="J345" s="85"/>
      <c r="K345" s="85"/>
      <c r="L345" s="85"/>
      <c r="M345" s="85"/>
      <c r="N345" s="85"/>
      <c r="O345" s="85"/>
      <c r="P345" s="85"/>
      <c r="Q345" s="85"/>
      <c r="R345" s="85"/>
      <c r="S345" s="85"/>
    </row>
    <row r="346" spans="1:20" s="1" customFormat="1" ht="14.1" customHeight="1" x14ac:dyDescent="0.25">
      <c r="A346" s="84" t="s">
        <v>54</v>
      </c>
      <c r="B346" s="84"/>
      <c r="C346" s="84"/>
      <c r="D346" s="84"/>
      <c r="E346" s="84"/>
      <c r="F346" s="84"/>
      <c r="G346" s="84"/>
      <c r="H346" s="84"/>
      <c r="I346" s="84"/>
      <c r="J346" s="84"/>
      <c r="K346" s="84"/>
      <c r="L346" s="84"/>
      <c r="M346" s="84"/>
      <c r="N346" s="84"/>
      <c r="O346" s="84"/>
      <c r="P346" s="84"/>
      <c r="Q346" s="84"/>
      <c r="R346" s="84"/>
      <c r="S346" s="84"/>
    </row>
    <row r="347" spans="1:20" s="1" customFormat="1" ht="12.15" customHeight="1" x14ac:dyDescent="0.25">
      <c r="A347" s="85" t="s">
        <v>572</v>
      </c>
      <c r="B347" s="85"/>
      <c r="C347" s="85"/>
      <c r="D347" s="85"/>
      <c r="E347" s="85"/>
      <c r="F347" s="85"/>
      <c r="G347" s="85"/>
      <c r="H347" s="85"/>
      <c r="I347" s="85"/>
      <c r="J347" s="85"/>
      <c r="K347" s="85"/>
      <c r="L347" s="85"/>
      <c r="M347" s="85"/>
      <c r="N347" s="85"/>
      <c r="O347" s="85"/>
      <c r="P347" s="85"/>
      <c r="Q347" s="85"/>
      <c r="R347" s="85"/>
      <c r="S347" s="85"/>
    </row>
    <row r="348" spans="1:20" s="1" customFormat="1" ht="14.1" customHeight="1" x14ac:dyDescent="0.25">
      <c r="A348" s="86"/>
      <c r="B348" s="86"/>
      <c r="C348" s="86"/>
      <c r="D348" s="86"/>
      <c r="E348" s="86"/>
      <c r="F348" s="86"/>
      <c r="G348" s="86"/>
      <c r="H348" s="86"/>
      <c r="I348" s="86"/>
      <c r="J348" s="86"/>
      <c r="K348" s="86"/>
      <c r="L348" s="86"/>
      <c r="M348" s="86"/>
      <c r="N348" s="86"/>
      <c r="O348" s="86"/>
      <c r="P348" s="86"/>
      <c r="Q348" s="86"/>
      <c r="R348" s="86"/>
      <c r="S348" s="86"/>
    </row>
    <row r="349" spans="1:20" s="1" customFormat="1" ht="14.1" customHeight="1" x14ac:dyDescent="0.25">
      <c r="A349" s="84" t="s">
        <v>56</v>
      </c>
      <c r="B349" s="84"/>
      <c r="C349" s="84"/>
      <c r="D349" s="84"/>
      <c r="E349" s="84"/>
      <c r="F349" s="84"/>
      <c r="G349" s="84"/>
      <c r="H349" s="84"/>
      <c r="I349" s="84"/>
      <c r="J349" s="84"/>
      <c r="K349" s="84"/>
      <c r="L349" s="84"/>
      <c r="M349" s="84"/>
      <c r="N349" s="84"/>
      <c r="O349" s="84"/>
      <c r="P349" s="84"/>
      <c r="Q349" s="84"/>
      <c r="R349" s="84"/>
      <c r="S349" s="84"/>
    </row>
    <row r="350" spans="1:20" s="1" customFormat="1" ht="49.2" customHeight="1" x14ac:dyDescent="0.25">
      <c r="A350" s="85" t="s">
        <v>578</v>
      </c>
      <c r="B350" s="85"/>
      <c r="C350" s="85"/>
      <c r="D350" s="85"/>
      <c r="E350" s="85"/>
      <c r="F350" s="85"/>
      <c r="G350" s="85"/>
      <c r="H350" s="85"/>
      <c r="I350" s="85"/>
      <c r="J350" s="85"/>
      <c r="K350" s="85"/>
      <c r="L350" s="85"/>
      <c r="M350" s="85"/>
      <c r="N350" s="85"/>
      <c r="O350" s="85"/>
      <c r="P350" s="85"/>
      <c r="Q350" s="85"/>
      <c r="R350" s="85"/>
      <c r="S350" s="85"/>
    </row>
    <row r="351" spans="1:20" s="1" customFormat="1" ht="72.45" customHeight="1" x14ac:dyDescent="0.25">
      <c r="J351" s="100" t="s">
        <v>0</v>
      </c>
      <c r="K351" s="100"/>
      <c r="L351" s="100"/>
      <c r="M351" s="100"/>
      <c r="N351" s="100"/>
      <c r="O351" s="100"/>
      <c r="P351" s="100"/>
      <c r="Q351" s="100"/>
      <c r="R351" s="100"/>
      <c r="S351" s="100"/>
      <c r="T351" s="100"/>
    </row>
    <row r="352" spans="1:20" s="1" customFormat="1" ht="7.05" customHeight="1" x14ac:dyDescent="0.25"/>
    <row r="353" spans="1:20" s="1" customFormat="1" ht="14.1" customHeight="1" x14ac:dyDescent="0.25">
      <c r="B353" s="101" t="s">
        <v>579</v>
      </c>
      <c r="C353" s="101"/>
      <c r="D353" s="101"/>
      <c r="E353" s="101"/>
      <c r="F353" s="101"/>
      <c r="G353" s="101"/>
      <c r="H353" s="101"/>
      <c r="I353" s="101"/>
      <c r="J353" s="101"/>
      <c r="K353" s="101"/>
      <c r="L353" s="101"/>
      <c r="M353" s="101"/>
      <c r="N353" s="101"/>
      <c r="O353" s="101"/>
      <c r="P353" s="101"/>
      <c r="Q353" s="101"/>
      <c r="R353" s="101"/>
    </row>
    <row r="354" spans="1:20" s="1" customFormat="1" ht="14.1" customHeight="1" x14ac:dyDescent="0.25"/>
    <row r="355" spans="1:20" s="1" customFormat="1" ht="14.1" customHeight="1" x14ac:dyDescent="0.25">
      <c r="A355" s="102" t="s">
        <v>2</v>
      </c>
      <c r="B355" s="102"/>
      <c r="C355" s="102"/>
      <c r="D355" s="103" t="s">
        <v>580</v>
      </c>
      <c r="E355" s="103"/>
      <c r="F355" s="103"/>
      <c r="G355" s="103"/>
      <c r="H355" s="103"/>
      <c r="I355" s="103"/>
      <c r="J355" s="103"/>
      <c r="K355" s="103"/>
      <c r="L355" s="103"/>
      <c r="M355" s="103"/>
      <c r="N355" s="103"/>
      <c r="O355" s="103"/>
      <c r="P355" s="103"/>
      <c r="Q355" s="103"/>
      <c r="R355" s="103"/>
      <c r="S355" s="103"/>
      <c r="T355" s="103"/>
    </row>
    <row r="356" spans="1:20" s="1" customFormat="1" ht="14.1" customHeight="1" x14ac:dyDescent="0.25">
      <c r="A356" s="102" t="s">
        <v>4</v>
      </c>
      <c r="B356" s="102"/>
      <c r="C356" s="103" t="s">
        <v>581</v>
      </c>
      <c r="D356" s="103"/>
      <c r="E356" s="103"/>
      <c r="F356" s="103"/>
      <c r="G356" s="103"/>
      <c r="H356" s="103"/>
      <c r="I356" s="103"/>
      <c r="J356" s="103"/>
      <c r="K356" s="103"/>
      <c r="L356" s="103"/>
      <c r="M356" s="103"/>
      <c r="N356" s="103"/>
      <c r="O356" s="103"/>
      <c r="P356" s="103"/>
      <c r="Q356" s="103"/>
      <c r="R356" s="103"/>
      <c r="S356" s="103"/>
      <c r="T356" s="103"/>
    </row>
    <row r="357" spans="1:20" s="1" customFormat="1" ht="14.1" customHeight="1" x14ac:dyDescent="0.25">
      <c r="A357" s="102" t="s">
        <v>6</v>
      </c>
      <c r="B357" s="102"/>
      <c r="C357" s="102"/>
      <c r="D357" s="102"/>
      <c r="E357" s="102"/>
      <c r="F357" s="103" t="s">
        <v>60</v>
      </c>
      <c r="G357" s="103"/>
      <c r="H357" s="103"/>
      <c r="I357" s="103"/>
      <c r="J357" s="103"/>
      <c r="K357" s="103"/>
      <c r="L357" s="103"/>
      <c r="M357" s="103"/>
      <c r="N357" s="103"/>
      <c r="O357" s="103"/>
      <c r="P357" s="103"/>
      <c r="Q357" s="103"/>
      <c r="R357" s="103"/>
      <c r="S357" s="103"/>
      <c r="T357" s="103"/>
    </row>
    <row r="358" spans="1:20" s="1" customFormat="1" ht="22.35" customHeight="1" x14ac:dyDescent="0.25">
      <c r="F358" s="103"/>
      <c r="G358" s="103"/>
      <c r="H358" s="103"/>
      <c r="I358" s="103"/>
      <c r="J358" s="103"/>
      <c r="K358" s="103"/>
      <c r="L358" s="103"/>
      <c r="M358" s="103"/>
      <c r="N358" s="103"/>
      <c r="O358" s="103"/>
      <c r="P358" s="103"/>
      <c r="Q358" s="103"/>
      <c r="R358" s="103"/>
      <c r="S358" s="103"/>
      <c r="T358" s="103"/>
    </row>
    <row r="359" spans="1:20" s="1" customFormat="1" ht="7.05" customHeight="1" x14ac:dyDescent="0.25">
      <c r="A359" s="86"/>
      <c r="B359" s="86"/>
      <c r="C359" s="86"/>
      <c r="D359" s="86"/>
      <c r="E359" s="86"/>
      <c r="F359" s="86"/>
      <c r="G359" s="86"/>
      <c r="H359" s="86"/>
      <c r="I359" s="86"/>
      <c r="J359" s="86"/>
      <c r="K359" s="86"/>
      <c r="L359" s="86"/>
      <c r="M359" s="86"/>
      <c r="N359" s="86"/>
      <c r="O359" s="86"/>
      <c r="P359" s="86"/>
      <c r="Q359" s="16"/>
      <c r="R359" s="86"/>
      <c r="S359" s="86"/>
      <c r="T359" s="86"/>
    </row>
    <row r="360" spans="1:20" s="1" customFormat="1" ht="16.95" customHeight="1" x14ac:dyDescent="0.25">
      <c r="A360" s="94" t="s">
        <v>8</v>
      </c>
      <c r="B360" s="94"/>
      <c r="C360" s="94"/>
      <c r="D360" s="94"/>
      <c r="E360" s="94"/>
      <c r="F360" s="94"/>
      <c r="G360" s="94"/>
      <c r="H360" s="94"/>
      <c r="I360" s="94"/>
      <c r="J360" s="94"/>
      <c r="K360" s="94"/>
      <c r="L360" s="94"/>
      <c r="M360" s="95" t="s">
        <v>9</v>
      </c>
      <c r="N360" s="95"/>
      <c r="O360" s="95"/>
      <c r="P360" s="95"/>
      <c r="Q360" s="95"/>
      <c r="R360" s="95"/>
      <c r="S360" s="95"/>
      <c r="T360" s="95"/>
    </row>
    <row r="361" spans="1:20" s="1" customFormat="1" ht="16.95" customHeight="1" x14ac:dyDescent="0.25">
      <c r="A361" s="94"/>
      <c r="B361" s="94"/>
      <c r="C361" s="94"/>
      <c r="D361" s="94"/>
      <c r="E361" s="94"/>
      <c r="F361" s="94"/>
      <c r="G361" s="94"/>
      <c r="H361" s="94"/>
      <c r="I361" s="94"/>
      <c r="J361" s="94"/>
      <c r="K361" s="94"/>
      <c r="L361" s="94"/>
      <c r="M361" s="96" t="s">
        <v>10</v>
      </c>
      <c r="N361" s="96"/>
      <c r="O361" s="96"/>
      <c r="P361" s="96"/>
      <c r="Q361" s="97" t="s">
        <v>11</v>
      </c>
      <c r="R361" s="97"/>
      <c r="S361" s="97"/>
      <c r="T361" s="97"/>
    </row>
    <row r="362" spans="1:20" s="1" customFormat="1" ht="16.95" customHeight="1" x14ac:dyDescent="0.25">
      <c r="A362" s="94"/>
      <c r="B362" s="94"/>
      <c r="C362" s="94"/>
      <c r="D362" s="94"/>
      <c r="E362" s="94"/>
      <c r="F362" s="94"/>
      <c r="G362" s="94"/>
      <c r="H362" s="94"/>
      <c r="I362" s="94"/>
      <c r="J362" s="94"/>
      <c r="K362" s="94"/>
      <c r="L362" s="94"/>
      <c r="M362" s="98" t="s">
        <v>12</v>
      </c>
      <c r="N362" s="98"/>
      <c r="O362" s="98" t="s">
        <v>13</v>
      </c>
      <c r="P362" s="98"/>
      <c r="Q362" s="13" t="s">
        <v>14</v>
      </c>
      <c r="R362" s="99" t="s">
        <v>15</v>
      </c>
      <c r="S362" s="99"/>
      <c r="T362" s="99"/>
    </row>
    <row r="363" spans="1:20" s="1" customFormat="1" ht="13.35" customHeight="1" x14ac:dyDescent="0.25">
      <c r="A363" s="131" t="s">
        <v>582</v>
      </c>
      <c r="B363" s="131"/>
      <c r="C363" s="131"/>
      <c r="D363" s="131"/>
      <c r="E363" s="131"/>
      <c r="F363" s="131"/>
      <c r="G363" s="131"/>
      <c r="H363" s="131"/>
      <c r="I363" s="131"/>
      <c r="J363" s="131"/>
      <c r="K363" s="131"/>
      <c r="L363" s="131"/>
      <c r="M363" s="131"/>
      <c r="N363" s="131"/>
      <c r="O363" s="131">
        <f>16*250/200</f>
        <v>20</v>
      </c>
      <c r="P363" s="131"/>
      <c r="Q363" s="15"/>
      <c r="R363" s="131">
        <v>2</v>
      </c>
      <c r="S363" s="131"/>
      <c r="T363" s="131"/>
    </row>
    <row r="364" spans="1:20" s="1" customFormat="1" ht="13.35" customHeight="1" x14ac:dyDescent="0.25">
      <c r="A364" s="88" t="s">
        <v>28</v>
      </c>
      <c r="B364" s="88"/>
      <c r="C364" s="88"/>
      <c r="D364" s="88"/>
      <c r="E364" s="88"/>
      <c r="F364" s="88"/>
      <c r="G364" s="88"/>
      <c r="H364" s="88"/>
      <c r="I364" s="88"/>
      <c r="J364" s="88"/>
      <c r="K364" s="88"/>
      <c r="L364" s="88"/>
      <c r="M364" s="88">
        <f>14*250/200</f>
        <v>17.5</v>
      </c>
      <c r="N364" s="88"/>
      <c r="O364" s="88">
        <v>17.5</v>
      </c>
      <c r="P364" s="88"/>
      <c r="Q364" s="6">
        <v>1.75</v>
      </c>
      <c r="R364" s="88">
        <v>1.75</v>
      </c>
      <c r="S364" s="88"/>
      <c r="T364" s="88"/>
    </row>
    <row r="365" spans="1:20" s="1" customFormat="1" ht="13.35" customHeight="1" x14ac:dyDescent="0.25">
      <c r="A365" s="88" t="s">
        <v>28</v>
      </c>
      <c r="B365" s="88"/>
      <c r="C365" s="88"/>
      <c r="D365" s="88"/>
      <c r="E365" s="88"/>
      <c r="F365" s="88"/>
      <c r="G365" s="88"/>
      <c r="H365" s="88"/>
      <c r="I365" s="88"/>
      <c r="J365" s="88"/>
      <c r="K365" s="88"/>
      <c r="L365" s="88"/>
      <c r="M365" s="88">
        <f>0.96*250/200</f>
        <v>1.2</v>
      </c>
      <c r="N365" s="88"/>
      <c r="O365" s="88">
        <v>1.2</v>
      </c>
      <c r="P365" s="88"/>
      <c r="Q365" s="6">
        <v>0.12</v>
      </c>
      <c r="R365" s="88">
        <v>0.12</v>
      </c>
      <c r="S365" s="88"/>
      <c r="T365" s="88"/>
    </row>
    <row r="366" spans="1:20" s="1" customFormat="1" ht="13.35" customHeight="1" x14ac:dyDescent="0.25">
      <c r="A366" s="88" t="s">
        <v>183</v>
      </c>
      <c r="B366" s="88"/>
      <c r="C366" s="88"/>
      <c r="D366" s="88"/>
      <c r="E366" s="88"/>
      <c r="F366" s="88"/>
      <c r="G366" s="88"/>
      <c r="H366" s="88"/>
      <c r="I366" s="88"/>
      <c r="J366" s="88"/>
      <c r="K366" s="88"/>
      <c r="L366" s="88"/>
      <c r="M366" s="88">
        <f>0.1*250/200</f>
        <v>0.125</v>
      </c>
      <c r="N366" s="88"/>
      <c r="O366" s="88">
        <f>0.125*45</f>
        <v>5.625</v>
      </c>
      <c r="P366" s="88"/>
      <c r="Q366" s="6">
        <v>12.5</v>
      </c>
      <c r="R366" s="88">
        <v>5.625</v>
      </c>
      <c r="S366" s="88"/>
      <c r="T366" s="88"/>
    </row>
    <row r="367" spans="1:20" s="1" customFormat="1" ht="13.35" customHeight="1" x14ac:dyDescent="0.25">
      <c r="A367" s="88" t="s">
        <v>114</v>
      </c>
      <c r="B367" s="88"/>
      <c r="C367" s="88"/>
      <c r="D367" s="88"/>
      <c r="E367" s="88"/>
      <c r="F367" s="88"/>
      <c r="G367" s="88"/>
      <c r="H367" s="88"/>
      <c r="I367" s="88"/>
      <c r="J367" s="88"/>
      <c r="K367" s="88"/>
      <c r="L367" s="88"/>
      <c r="M367" s="88">
        <f>2.8*250/200</f>
        <v>3.5</v>
      </c>
      <c r="N367" s="88"/>
      <c r="O367" s="88">
        <v>3.5</v>
      </c>
      <c r="P367" s="88"/>
      <c r="Q367" s="6">
        <v>0.35</v>
      </c>
      <c r="R367" s="88">
        <v>0.35</v>
      </c>
      <c r="S367" s="88"/>
      <c r="T367" s="88"/>
    </row>
    <row r="368" spans="1:20" s="1" customFormat="1" ht="13.35" customHeight="1" x14ac:dyDescent="0.25">
      <c r="A368" s="88" t="s">
        <v>70</v>
      </c>
      <c r="B368" s="88"/>
      <c r="C368" s="88"/>
      <c r="D368" s="88"/>
      <c r="E368" s="88"/>
      <c r="F368" s="88"/>
      <c r="G368" s="88"/>
      <c r="H368" s="88"/>
      <c r="I368" s="88"/>
      <c r="J368" s="88"/>
      <c r="K368" s="88"/>
      <c r="L368" s="88"/>
      <c r="M368" s="88">
        <f>0.4*250/200</f>
        <v>0.5</v>
      </c>
      <c r="N368" s="88"/>
      <c r="O368" s="88">
        <v>0.5</v>
      </c>
      <c r="P368" s="88"/>
      <c r="Q368" s="6">
        <v>0.05</v>
      </c>
      <c r="R368" s="88">
        <v>0.05</v>
      </c>
      <c r="S368" s="88"/>
      <c r="T368" s="88"/>
    </row>
    <row r="369" spans="1:20" s="1" customFormat="1" ht="13.35" customHeight="1" x14ac:dyDescent="0.25">
      <c r="A369" s="88" t="s">
        <v>21</v>
      </c>
      <c r="B369" s="88"/>
      <c r="C369" s="88"/>
      <c r="D369" s="88"/>
      <c r="E369" s="88"/>
      <c r="F369" s="88"/>
      <c r="G369" s="88"/>
      <c r="H369" s="88"/>
      <c r="I369" s="88"/>
      <c r="J369" s="88"/>
      <c r="K369" s="88"/>
      <c r="L369" s="88"/>
      <c r="M369" s="88">
        <f>9.5*250/200</f>
        <v>11.875</v>
      </c>
      <c r="N369" s="88"/>
      <c r="O369" s="88">
        <f>8*250/200</f>
        <v>10</v>
      </c>
      <c r="P369" s="88"/>
      <c r="Q369" s="6">
        <v>1.18</v>
      </c>
      <c r="R369" s="88">
        <v>1</v>
      </c>
      <c r="S369" s="88"/>
      <c r="T369" s="88"/>
    </row>
    <row r="370" spans="1:20" s="1" customFormat="1" ht="13.35" customHeight="1" x14ac:dyDescent="0.25">
      <c r="A370" s="88" t="s">
        <v>18</v>
      </c>
      <c r="B370" s="88"/>
      <c r="C370" s="88"/>
      <c r="D370" s="88"/>
      <c r="E370" s="88"/>
      <c r="F370" s="88"/>
      <c r="G370" s="88"/>
      <c r="H370" s="88"/>
      <c r="I370" s="88"/>
      <c r="J370" s="88"/>
      <c r="K370" s="88"/>
      <c r="L370" s="88"/>
      <c r="M370" s="88">
        <v>5</v>
      </c>
      <c r="N370" s="88"/>
      <c r="O370" s="88">
        <v>5</v>
      </c>
      <c r="P370" s="88"/>
      <c r="Q370" s="6">
        <v>0.5</v>
      </c>
      <c r="R370" s="88">
        <v>0.5</v>
      </c>
      <c r="S370" s="88"/>
      <c r="T370" s="88"/>
    </row>
    <row r="371" spans="1:20" s="1" customFormat="1" ht="13.35" customHeight="1" x14ac:dyDescent="0.25">
      <c r="A371" s="88" t="s">
        <v>114</v>
      </c>
      <c r="B371" s="88"/>
      <c r="C371" s="88"/>
      <c r="D371" s="88"/>
      <c r="E371" s="88"/>
      <c r="F371" s="88"/>
      <c r="G371" s="88"/>
      <c r="H371" s="88"/>
      <c r="I371" s="88"/>
      <c r="J371" s="88"/>
      <c r="K371" s="88"/>
      <c r="L371" s="88"/>
      <c r="M371" s="88">
        <v>237.5</v>
      </c>
      <c r="N371" s="88"/>
      <c r="O371" s="88">
        <v>237.5</v>
      </c>
      <c r="P371" s="88"/>
      <c r="Q371" s="6">
        <v>23.75</v>
      </c>
      <c r="R371" s="88">
        <v>23.75</v>
      </c>
      <c r="S371" s="88"/>
      <c r="T371" s="88"/>
    </row>
    <row r="372" spans="1:20" s="1" customFormat="1" ht="13.35" customHeight="1" x14ac:dyDescent="0.25">
      <c r="A372" s="88" t="s">
        <v>70</v>
      </c>
      <c r="B372" s="88"/>
      <c r="C372" s="88"/>
      <c r="D372" s="88"/>
      <c r="E372" s="88"/>
      <c r="F372" s="88"/>
      <c r="G372" s="88"/>
      <c r="H372" s="88"/>
      <c r="I372" s="88"/>
      <c r="J372" s="88"/>
      <c r="K372" s="88"/>
      <c r="L372" s="88"/>
      <c r="M372" s="88">
        <f>1.6*250/200</f>
        <v>2</v>
      </c>
      <c r="N372" s="88"/>
      <c r="O372" s="88">
        <v>2</v>
      </c>
      <c r="P372" s="88"/>
      <c r="Q372" s="6">
        <v>0.02</v>
      </c>
      <c r="R372" s="88">
        <v>0.02</v>
      </c>
      <c r="S372" s="88"/>
      <c r="T372" s="88"/>
    </row>
    <row r="373" spans="1:20" s="1" customFormat="1" ht="14.1" customHeight="1" x14ac:dyDescent="0.25">
      <c r="A373" s="90" t="s">
        <v>790</v>
      </c>
      <c r="B373" s="90"/>
      <c r="C373" s="90"/>
      <c r="D373" s="90"/>
      <c r="E373" s="90"/>
      <c r="F373" s="90"/>
      <c r="G373" s="90"/>
      <c r="H373" s="90"/>
      <c r="I373" s="90"/>
      <c r="J373" s="90"/>
      <c r="K373" s="90"/>
      <c r="L373" s="90"/>
      <c r="M373" s="90"/>
      <c r="N373" s="90"/>
      <c r="O373" s="90"/>
      <c r="P373" s="90"/>
      <c r="Q373" s="90"/>
      <c r="R373" s="90"/>
      <c r="S373" s="90"/>
      <c r="T373" s="90"/>
    </row>
    <row r="374" spans="1:20" s="1" customFormat="1" ht="21.3" customHeight="1" x14ac:dyDescent="0.25"/>
    <row r="375" spans="1:20" s="1" customFormat="1" ht="14.1" customHeight="1" x14ac:dyDescent="0.25">
      <c r="A375" s="91" t="s">
        <v>33</v>
      </c>
      <c r="B375" s="91"/>
      <c r="C375" s="91"/>
      <c r="D375" s="91"/>
      <c r="E375" s="91"/>
      <c r="F375" s="91"/>
      <c r="G375" s="91"/>
      <c r="H375" s="91"/>
      <c r="I375" s="91"/>
      <c r="J375" s="91"/>
      <c r="K375" s="91"/>
      <c r="L375" s="91"/>
      <c r="M375" s="91"/>
      <c r="N375" s="91"/>
    </row>
    <row r="376" spans="1:20" s="1" customFormat="1" ht="13.35" customHeight="1" x14ac:dyDescent="0.25">
      <c r="A376" s="88" t="s">
        <v>34</v>
      </c>
      <c r="B376" s="88"/>
      <c r="C376" s="88"/>
      <c r="D376" s="88"/>
      <c r="E376" s="89">
        <f>2.05*250/200</f>
        <v>2.5625</v>
      </c>
      <c r="F376" s="89"/>
      <c r="G376" s="17"/>
      <c r="H376" s="6" t="s">
        <v>35</v>
      </c>
      <c r="I376" s="89">
        <v>0.02</v>
      </c>
      <c r="J376" s="89"/>
      <c r="K376" s="17"/>
      <c r="L376" s="88" t="s">
        <v>36</v>
      </c>
      <c r="M376" s="88"/>
      <c r="N376" s="89">
        <v>21.08</v>
      </c>
      <c r="O376" s="89"/>
    </row>
    <row r="377" spans="1:20" s="1" customFormat="1" ht="13.35" customHeight="1" x14ac:dyDescent="0.25">
      <c r="A377" s="88" t="s">
        <v>37</v>
      </c>
      <c r="B377" s="88"/>
      <c r="C377" s="88"/>
      <c r="D377" s="88"/>
      <c r="E377" s="89">
        <f>4.43*250/200</f>
        <v>5.5374999999999996</v>
      </c>
      <c r="F377" s="89"/>
      <c r="G377" s="17"/>
      <c r="H377" s="6" t="s">
        <v>38</v>
      </c>
      <c r="I377" s="89">
        <v>0.32</v>
      </c>
      <c r="J377" s="89"/>
      <c r="K377" s="17"/>
      <c r="L377" s="88" t="s">
        <v>39</v>
      </c>
      <c r="M377" s="88"/>
      <c r="N377" s="89">
        <v>5.74</v>
      </c>
      <c r="O377" s="89"/>
    </row>
    <row r="378" spans="1:20" s="1" customFormat="1" ht="13.35" customHeight="1" x14ac:dyDescent="0.25">
      <c r="A378" s="88" t="s">
        <v>40</v>
      </c>
      <c r="B378" s="88"/>
      <c r="C378" s="88"/>
      <c r="D378" s="88"/>
      <c r="E378" s="89">
        <f>9.3*250/200</f>
        <v>11.625</v>
      </c>
      <c r="F378" s="89"/>
      <c r="G378" s="17"/>
      <c r="H378" s="6" t="s">
        <v>41</v>
      </c>
      <c r="I378" s="89">
        <v>0.01</v>
      </c>
      <c r="J378" s="89"/>
      <c r="K378" s="17"/>
      <c r="L378" s="88" t="s">
        <v>42</v>
      </c>
      <c r="M378" s="88"/>
      <c r="N378" s="89">
        <v>24.12</v>
      </c>
      <c r="O378" s="89"/>
    </row>
    <row r="379" spans="1:20" s="1" customFormat="1" ht="13.35" customHeight="1" x14ac:dyDescent="0.25">
      <c r="A379" s="88" t="s">
        <v>43</v>
      </c>
      <c r="B379" s="88"/>
      <c r="C379" s="88"/>
      <c r="D379" s="88"/>
      <c r="E379" s="89">
        <f>92.6*250/200</f>
        <v>115.75</v>
      </c>
      <c r="F379" s="89"/>
      <c r="G379" s="17"/>
      <c r="H379" s="6" t="s">
        <v>44</v>
      </c>
      <c r="I379" s="89">
        <v>1.78</v>
      </c>
      <c r="J379" s="89"/>
      <c r="K379" s="17"/>
      <c r="L379" s="88" t="s">
        <v>45</v>
      </c>
      <c r="M379" s="88"/>
      <c r="N379" s="89">
        <v>0.36</v>
      </c>
      <c r="O379" s="89"/>
    </row>
    <row r="380" spans="1:20" s="1" customFormat="1" ht="13.35" customHeight="1" x14ac:dyDescent="0.25">
      <c r="A380" s="87"/>
      <c r="B380" s="87"/>
      <c r="C380" s="87"/>
      <c r="D380" s="87"/>
      <c r="E380" s="87"/>
      <c r="F380" s="87"/>
      <c r="G380" s="17"/>
      <c r="H380" s="6" t="s">
        <v>46</v>
      </c>
      <c r="I380" s="89">
        <v>0.09</v>
      </c>
      <c r="J380" s="89"/>
      <c r="K380" s="17"/>
      <c r="L380" s="88" t="s">
        <v>47</v>
      </c>
      <c r="M380" s="88"/>
      <c r="N380" s="89">
        <v>38.659999999999997</v>
      </c>
      <c r="O380" s="89"/>
    </row>
    <row r="381" spans="1:20" s="1" customFormat="1" ht="13.35" customHeight="1" x14ac:dyDescent="0.25">
      <c r="A381" s="87"/>
      <c r="B381" s="87"/>
      <c r="C381" s="87"/>
      <c r="D381" s="87"/>
      <c r="E381" s="87"/>
      <c r="F381" s="87"/>
      <c r="G381" s="17"/>
      <c r="H381" s="6" t="s">
        <v>48</v>
      </c>
      <c r="I381" s="89">
        <v>0.03</v>
      </c>
      <c r="J381" s="89"/>
      <c r="K381" s="17"/>
      <c r="L381" s="88" t="s">
        <v>49</v>
      </c>
      <c r="M381" s="88"/>
      <c r="N381" s="89">
        <v>1.27</v>
      </c>
      <c r="O381" s="89"/>
    </row>
    <row r="382" spans="1:20" s="1" customFormat="1" ht="13.35" customHeight="1" x14ac:dyDescent="0.25">
      <c r="A382" s="87"/>
      <c r="B382" s="87"/>
      <c r="C382" s="87"/>
      <c r="D382" s="87"/>
      <c r="E382" s="87"/>
      <c r="F382" s="87"/>
      <c r="G382" s="17"/>
      <c r="H382" s="17"/>
      <c r="I382" s="87"/>
      <c r="J382" s="87"/>
      <c r="K382" s="17"/>
      <c r="L382" s="88" t="s">
        <v>50</v>
      </c>
      <c r="M382" s="88"/>
      <c r="N382" s="89">
        <v>0</v>
      </c>
      <c r="O382" s="89"/>
    </row>
    <row r="383" spans="1:20" s="1" customFormat="1" ht="13.35" customHeight="1" x14ac:dyDescent="0.25">
      <c r="A383" s="87"/>
      <c r="B383" s="87"/>
      <c r="C383" s="87"/>
      <c r="D383" s="87"/>
      <c r="E383" s="87"/>
      <c r="F383" s="87"/>
      <c r="G383" s="17"/>
      <c r="H383" s="17"/>
      <c r="I383" s="87"/>
      <c r="J383" s="87"/>
      <c r="K383" s="17"/>
      <c r="L383" s="88" t="s">
        <v>51</v>
      </c>
      <c r="M383" s="88"/>
      <c r="N383" s="89">
        <v>0</v>
      </c>
      <c r="O383" s="89"/>
    </row>
    <row r="384" spans="1:20" s="1" customFormat="1" ht="14.1" customHeight="1" x14ac:dyDescent="0.25">
      <c r="A384" s="86"/>
      <c r="B384" s="86"/>
      <c r="C384" s="86"/>
      <c r="D384" s="86"/>
      <c r="E384" s="86"/>
      <c r="F384" s="86"/>
      <c r="G384" s="86"/>
      <c r="H384" s="86"/>
      <c r="I384" s="86"/>
      <c r="J384" s="86"/>
      <c r="K384" s="86"/>
      <c r="L384" s="86"/>
      <c r="M384" s="86"/>
      <c r="N384" s="86"/>
      <c r="O384" s="86"/>
      <c r="P384" s="86"/>
      <c r="Q384" s="86"/>
      <c r="R384" s="86"/>
      <c r="S384" s="86"/>
    </row>
    <row r="385" spans="1:20" s="1" customFormat="1" ht="14.1" customHeight="1" x14ac:dyDescent="0.25">
      <c r="A385" s="84" t="s">
        <v>52</v>
      </c>
      <c r="B385" s="84"/>
      <c r="C385" s="84"/>
      <c r="D385" s="84"/>
      <c r="E385" s="84"/>
      <c r="F385" s="84"/>
      <c r="G385" s="84"/>
      <c r="H385" s="84"/>
      <c r="I385" s="84"/>
      <c r="J385" s="84"/>
      <c r="K385" s="84"/>
      <c r="L385" s="84"/>
      <c r="M385" s="84"/>
      <c r="N385" s="84"/>
      <c r="O385" s="84"/>
      <c r="P385" s="84"/>
      <c r="Q385" s="84"/>
      <c r="R385" s="84"/>
      <c r="S385" s="84"/>
    </row>
    <row r="386" spans="1:20" s="1" customFormat="1" ht="104.4" customHeight="1" x14ac:dyDescent="0.25">
      <c r="A386" s="85" t="s">
        <v>583</v>
      </c>
      <c r="B386" s="85"/>
      <c r="C386" s="85"/>
      <c r="D386" s="85"/>
      <c r="E386" s="85"/>
      <c r="F386" s="85"/>
      <c r="G386" s="85"/>
      <c r="H386" s="85"/>
      <c r="I386" s="85"/>
      <c r="J386" s="85"/>
      <c r="K386" s="85"/>
      <c r="L386" s="85"/>
      <c r="M386" s="85"/>
      <c r="N386" s="85"/>
      <c r="O386" s="85"/>
      <c r="P386" s="85"/>
      <c r="Q386" s="85"/>
      <c r="R386" s="85"/>
      <c r="S386" s="85"/>
    </row>
    <row r="387" spans="1:20" s="1" customFormat="1" ht="14.1" customHeight="1" x14ac:dyDescent="0.25">
      <c r="A387" s="84" t="s">
        <v>54</v>
      </c>
      <c r="B387" s="84"/>
      <c r="C387" s="84"/>
      <c r="D387" s="84"/>
      <c r="E387" s="84"/>
      <c r="F387" s="84"/>
      <c r="G387" s="84"/>
      <c r="H387" s="84"/>
      <c r="I387" s="84"/>
      <c r="J387" s="84"/>
      <c r="K387" s="84"/>
      <c r="L387" s="84"/>
      <c r="M387" s="84"/>
      <c r="N387" s="84"/>
      <c r="O387" s="84"/>
      <c r="P387" s="84"/>
      <c r="Q387" s="84"/>
      <c r="R387" s="84"/>
      <c r="S387" s="84"/>
    </row>
    <row r="388" spans="1:20" s="1" customFormat="1" ht="12.15" customHeight="1" x14ac:dyDescent="0.25">
      <c r="A388" s="85" t="s">
        <v>572</v>
      </c>
      <c r="B388" s="85"/>
      <c r="C388" s="85"/>
      <c r="D388" s="85"/>
      <c r="E388" s="85"/>
      <c r="F388" s="85"/>
      <c r="G388" s="85"/>
      <c r="H388" s="85"/>
      <c r="I388" s="85"/>
      <c r="J388" s="85"/>
      <c r="K388" s="85"/>
      <c r="L388" s="85"/>
      <c r="M388" s="85"/>
      <c r="N388" s="85"/>
      <c r="O388" s="85"/>
      <c r="P388" s="85"/>
      <c r="Q388" s="85"/>
      <c r="R388" s="85"/>
      <c r="S388" s="85"/>
    </row>
    <row r="389" spans="1:20" s="1" customFormat="1" ht="14.1" customHeight="1" x14ac:dyDescent="0.25">
      <c r="A389" s="86"/>
      <c r="B389" s="86"/>
      <c r="C389" s="86"/>
      <c r="D389" s="86"/>
      <c r="E389" s="86"/>
      <c r="F389" s="86"/>
      <c r="G389" s="86"/>
      <c r="H389" s="86"/>
      <c r="I389" s="86"/>
      <c r="J389" s="86"/>
      <c r="K389" s="86"/>
      <c r="L389" s="86"/>
      <c r="M389" s="86"/>
      <c r="N389" s="86"/>
      <c r="O389" s="86"/>
      <c r="P389" s="86"/>
      <c r="Q389" s="86"/>
      <c r="R389" s="86"/>
      <c r="S389" s="86"/>
    </row>
    <row r="390" spans="1:20" s="1" customFormat="1" ht="14.1" customHeight="1" x14ac:dyDescent="0.25">
      <c r="A390" s="84" t="s">
        <v>56</v>
      </c>
      <c r="B390" s="84"/>
      <c r="C390" s="84"/>
      <c r="D390" s="84"/>
      <c r="E390" s="84"/>
      <c r="F390" s="84"/>
      <c r="G390" s="84"/>
      <c r="H390" s="84"/>
      <c r="I390" s="84"/>
      <c r="J390" s="84"/>
      <c r="K390" s="84"/>
      <c r="L390" s="84"/>
      <c r="M390" s="84"/>
      <c r="N390" s="84"/>
      <c r="O390" s="84"/>
      <c r="P390" s="84"/>
      <c r="Q390" s="84"/>
      <c r="R390" s="84"/>
      <c r="S390" s="84"/>
    </row>
    <row r="391" spans="1:20" s="1" customFormat="1" ht="49.2" customHeight="1" x14ac:dyDescent="0.25">
      <c r="A391" s="85" t="s">
        <v>584</v>
      </c>
      <c r="B391" s="85"/>
      <c r="C391" s="85"/>
      <c r="D391" s="85"/>
      <c r="E391" s="85"/>
      <c r="F391" s="85"/>
      <c r="G391" s="85"/>
      <c r="H391" s="85"/>
      <c r="I391" s="85"/>
      <c r="J391" s="85"/>
      <c r="K391" s="85"/>
      <c r="L391" s="85"/>
      <c r="M391" s="85"/>
      <c r="N391" s="85"/>
      <c r="O391" s="85"/>
      <c r="P391" s="85"/>
      <c r="Q391" s="85"/>
      <c r="R391" s="85"/>
      <c r="S391" s="85"/>
    </row>
    <row r="394" spans="1:20" s="1" customFormat="1" ht="72.45" customHeight="1" x14ac:dyDescent="0.25">
      <c r="J394" s="100" t="s">
        <v>0</v>
      </c>
      <c r="K394" s="100"/>
      <c r="L394" s="100"/>
      <c r="M394" s="100"/>
      <c r="N394" s="100"/>
      <c r="O394" s="100"/>
      <c r="P394" s="100"/>
      <c r="Q394" s="100"/>
      <c r="R394" s="100"/>
      <c r="S394" s="100"/>
      <c r="T394" s="100"/>
    </row>
    <row r="395" spans="1:20" s="1" customFormat="1" ht="7.05" customHeight="1" x14ac:dyDescent="0.25"/>
    <row r="396" spans="1:20" s="1" customFormat="1" ht="14.1" customHeight="1" x14ac:dyDescent="0.25">
      <c r="B396" s="101" t="s">
        <v>664</v>
      </c>
      <c r="C396" s="101"/>
      <c r="D396" s="101"/>
      <c r="E396" s="101"/>
      <c r="F396" s="101"/>
      <c r="G396" s="101"/>
      <c r="H396" s="101"/>
      <c r="I396" s="101"/>
      <c r="J396" s="101"/>
      <c r="K396" s="101"/>
      <c r="L396" s="101"/>
      <c r="M396" s="101"/>
      <c r="N396" s="101"/>
      <c r="O396" s="101"/>
      <c r="P396" s="101"/>
      <c r="Q396" s="101"/>
      <c r="R396" s="101"/>
    </row>
    <row r="397" spans="1:20" s="1" customFormat="1" ht="14.1" customHeight="1" x14ac:dyDescent="0.25"/>
    <row r="398" spans="1:20" s="1" customFormat="1" ht="14.1" customHeight="1" x14ac:dyDescent="0.25">
      <c r="A398" s="102" t="s">
        <v>2</v>
      </c>
      <c r="B398" s="102"/>
      <c r="C398" s="102"/>
      <c r="D398" s="103" t="s">
        <v>665</v>
      </c>
      <c r="E398" s="103"/>
      <c r="F398" s="103"/>
      <c r="G398" s="103"/>
      <c r="H398" s="103"/>
      <c r="I398" s="103"/>
      <c r="J398" s="103"/>
      <c r="K398" s="103"/>
      <c r="L398" s="103"/>
      <c r="M398" s="103"/>
      <c r="N398" s="103"/>
      <c r="O398" s="103"/>
      <c r="P398" s="103"/>
      <c r="Q398" s="103"/>
      <c r="R398" s="103"/>
      <c r="S398" s="103"/>
      <c r="T398" s="103"/>
    </row>
    <row r="399" spans="1:20" s="1" customFormat="1" ht="14.1" customHeight="1" x14ac:dyDescent="0.25">
      <c r="A399" s="102" t="s">
        <v>4</v>
      </c>
      <c r="B399" s="102"/>
      <c r="C399" s="103" t="s">
        <v>666</v>
      </c>
      <c r="D399" s="103"/>
      <c r="E399" s="103"/>
      <c r="F399" s="103"/>
      <c r="G399" s="103"/>
      <c r="H399" s="103"/>
      <c r="I399" s="103"/>
      <c r="J399" s="103"/>
      <c r="K399" s="103"/>
      <c r="L399" s="103"/>
      <c r="M399" s="103"/>
      <c r="N399" s="103"/>
      <c r="O399" s="103"/>
      <c r="P399" s="103"/>
      <c r="Q399" s="103"/>
      <c r="R399" s="103"/>
      <c r="S399" s="103"/>
      <c r="T399" s="103"/>
    </row>
    <row r="400" spans="1:20" s="1" customFormat="1" ht="14.1" customHeight="1" x14ac:dyDescent="0.25">
      <c r="A400" s="102" t="s">
        <v>6</v>
      </c>
      <c r="B400" s="102"/>
      <c r="C400" s="102"/>
      <c r="D400" s="102"/>
      <c r="E400" s="102"/>
      <c r="F400" s="103" t="s">
        <v>248</v>
      </c>
      <c r="G400" s="103"/>
      <c r="H400" s="103"/>
      <c r="I400" s="103"/>
      <c r="J400" s="103"/>
      <c r="K400" s="103"/>
      <c r="L400" s="103"/>
      <c r="M400" s="103"/>
      <c r="N400" s="103"/>
      <c r="O400" s="103"/>
      <c r="P400" s="103"/>
      <c r="Q400" s="103"/>
      <c r="R400" s="103"/>
      <c r="S400" s="103"/>
      <c r="T400" s="103"/>
    </row>
    <row r="401" spans="1:20" s="1" customFormat="1" ht="22.35" customHeight="1" x14ac:dyDescent="0.25">
      <c r="F401" s="103"/>
      <c r="G401" s="103"/>
      <c r="H401" s="103"/>
      <c r="I401" s="103"/>
      <c r="J401" s="103"/>
      <c r="K401" s="103"/>
      <c r="L401" s="103"/>
      <c r="M401" s="103"/>
      <c r="N401" s="103"/>
      <c r="O401" s="103"/>
      <c r="P401" s="103"/>
      <c r="Q401" s="103"/>
      <c r="R401" s="103"/>
      <c r="S401" s="103"/>
      <c r="T401" s="103"/>
    </row>
    <row r="402" spans="1:20" s="1" customFormat="1" ht="7.05" customHeight="1" x14ac:dyDescent="0.25">
      <c r="A402" s="86"/>
      <c r="B402" s="86"/>
      <c r="C402" s="86"/>
      <c r="D402" s="86"/>
      <c r="E402" s="86"/>
      <c r="F402" s="86"/>
      <c r="G402" s="86"/>
      <c r="H402" s="86"/>
      <c r="I402" s="86"/>
      <c r="J402" s="86"/>
      <c r="K402" s="86"/>
      <c r="L402" s="86"/>
      <c r="M402" s="86"/>
      <c r="N402" s="86"/>
      <c r="O402" s="86"/>
      <c r="P402" s="86"/>
      <c r="Q402" s="16"/>
      <c r="R402" s="86"/>
      <c r="S402" s="86"/>
      <c r="T402" s="86"/>
    </row>
    <row r="403" spans="1:20" s="1" customFormat="1" ht="16.95" customHeight="1" x14ac:dyDescent="0.25">
      <c r="A403" s="94" t="s">
        <v>8</v>
      </c>
      <c r="B403" s="94"/>
      <c r="C403" s="94"/>
      <c r="D403" s="94"/>
      <c r="E403" s="94"/>
      <c r="F403" s="94"/>
      <c r="G403" s="94"/>
      <c r="H403" s="94"/>
      <c r="I403" s="94"/>
      <c r="J403" s="94"/>
      <c r="K403" s="94"/>
      <c r="L403" s="94"/>
      <c r="M403" s="95" t="s">
        <v>9</v>
      </c>
      <c r="N403" s="95"/>
      <c r="O403" s="95"/>
      <c r="P403" s="95"/>
      <c r="Q403" s="95"/>
      <c r="R403" s="95"/>
      <c r="S403" s="95"/>
      <c r="T403" s="95"/>
    </row>
    <row r="404" spans="1:20" s="1" customFormat="1" ht="16.95" customHeight="1" x14ac:dyDescent="0.25">
      <c r="A404" s="94"/>
      <c r="B404" s="94"/>
      <c r="C404" s="94"/>
      <c r="D404" s="94"/>
      <c r="E404" s="94"/>
      <c r="F404" s="94"/>
      <c r="G404" s="94"/>
      <c r="H404" s="94"/>
      <c r="I404" s="94"/>
      <c r="J404" s="94"/>
      <c r="K404" s="94"/>
      <c r="L404" s="94"/>
      <c r="M404" s="96" t="s">
        <v>10</v>
      </c>
      <c r="N404" s="96"/>
      <c r="O404" s="96"/>
      <c r="P404" s="96"/>
      <c r="Q404" s="97" t="s">
        <v>11</v>
      </c>
      <c r="R404" s="97"/>
      <c r="S404" s="97"/>
      <c r="T404" s="97"/>
    </row>
    <row r="405" spans="1:20" s="1" customFormat="1" ht="16.95" customHeight="1" x14ac:dyDescent="0.25">
      <c r="A405" s="94"/>
      <c r="B405" s="94"/>
      <c r="C405" s="94"/>
      <c r="D405" s="94"/>
      <c r="E405" s="94"/>
      <c r="F405" s="94"/>
      <c r="G405" s="94"/>
      <c r="H405" s="94"/>
      <c r="I405" s="94"/>
      <c r="J405" s="94"/>
      <c r="K405" s="94"/>
      <c r="L405" s="94"/>
      <c r="M405" s="98" t="s">
        <v>12</v>
      </c>
      <c r="N405" s="98"/>
      <c r="O405" s="98" t="s">
        <v>13</v>
      </c>
      <c r="P405" s="98"/>
      <c r="Q405" s="13" t="s">
        <v>14</v>
      </c>
      <c r="R405" s="99" t="s">
        <v>15</v>
      </c>
      <c r="S405" s="99"/>
      <c r="T405" s="99"/>
    </row>
    <row r="406" spans="1:20" s="1" customFormat="1" ht="13.35" customHeight="1" x14ac:dyDescent="0.25">
      <c r="A406" s="88" t="s">
        <v>84</v>
      </c>
      <c r="B406" s="88"/>
      <c r="C406" s="88"/>
      <c r="D406" s="88"/>
      <c r="E406" s="88"/>
      <c r="F406" s="88"/>
      <c r="G406" s="88"/>
      <c r="H406" s="88"/>
      <c r="I406" s="88"/>
      <c r="J406" s="88"/>
      <c r="K406" s="88"/>
      <c r="L406" s="88"/>
      <c r="M406" s="88">
        <f>70*250/200</f>
        <v>87.5</v>
      </c>
      <c r="N406" s="88"/>
      <c r="O406" s="88">
        <f>56*250/200</f>
        <v>70</v>
      </c>
      <c r="P406" s="88"/>
      <c r="Q406" s="6">
        <v>8.75</v>
      </c>
      <c r="R406" s="88">
        <v>7</v>
      </c>
      <c r="S406" s="88"/>
      <c r="T406" s="88"/>
    </row>
    <row r="407" spans="1:20" s="1" customFormat="1" ht="13.35" customHeight="1" x14ac:dyDescent="0.25">
      <c r="A407" s="88" t="s">
        <v>100</v>
      </c>
      <c r="B407" s="88"/>
      <c r="C407" s="88"/>
      <c r="D407" s="88"/>
      <c r="E407" s="88"/>
      <c r="F407" s="88"/>
      <c r="G407" s="88"/>
      <c r="H407" s="88"/>
      <c r="I407" s="88"/>
      <c r="J407" s="88"/>
      <c r="K407" s="88"/>
      <c r="L407" s="88"/>
      <c r="M407" s="88">
        <f>10*250/200</f>
        <v>12.5</v>
      </c>
      <c r="N407" s="88"/>
      <c r="O407" s="88">
        <f>8*250/200</f>
        <v>10</v>
      </c>
      <c r="P407" s="88"/>
      <c r="Q407" s="23">
        <v>1.25</v>
      </c>
      <c r="R407" s="88">
        <v>1</v>
      </c>
      <c r="S407" s="88"/>
      <c r="T407" s="88"/>
    </row>
    <row r="408" spans="1:20" s="1" customFormat="1" ht="13.35" customHeight="1" x14ac:dyDescent="0.25">
      <c r="A408" s="88" t="s">
        <v>81</v>
      </c>
      <c r="B408" s="88"/>
      <c r="C408" s="88"/>
      <c r="D408" s="88"/>
      <c r="E408" s="88"/>
      <c r="F408" s="88"/>
      <c r="G408" s="88"/>
      <c r="H408" s="88"/>
      <c r="I408" s="88"/>
      <c r="J408" s="88"/>
      <c r="K408" s="88"/>
      <c r="L408" s="88"/>
      <c r="M408" s="88">
        <f>2.6*250/200</f>
        <v>3.25</v>
      </c>
      <c r="N408" s="88"/>
      <c r="O408" s="88">
        <f>2*250/200</f>
        <v>2.5</v>
      </c>
      <c r="P408" s="88"/>
      <c r="Q408" s="6">
        <v>0.32</v>
      </c>
      <c r="R408" s="88">
        <v>0.25</v>
      </c>
      <c r="S408" s="88"/>
      <c r="T408" s="88"/>
    </row>
    <row r="409" spans="1:20" s="1" customFormat="1" ht="13.35" customHeight="1" x14ac:dyDescent="0.25">
      <c r="A409" s="88" t="s">
        <v>21</v>
      </c>
      <c r="B409" s="88"/>
      <c r="C409" s="88"/>
      <c r="D409" s="88"/>
      <c r="E409" s="88"/>
      <c r="F409" s="88"/>
      <c r="G409" s="88"/>
      <c r="H409" s="88"/>
      <c r="I409" s="88"/>
      <c r="J409" s="88"/>
      <c r="K409" s="88"/>
      <c r="L409" s="88"/>
      <c r="M409" s="88">
        <f>9.6*250/200</f>
        <v>12</v>
      </c>
      <c r="N409" s="88"/>
      <c r="O409" s="88">
        <f>8*250/200</f>
        <v>10</v>
      </c>
      <c r="P409" s="88"/>
      <c r="Q409" s="6">
        <v>1.2</v>
      </c>
      <c r="R409" s="88">
        <v>1</v>
      </c>
      <c r="S409" s="88"/>
      <c r="T409" s="88"/>
    </row>
    <row r="410" spans="1:20" s="1" customFormat="1" ht="13.35" customHeight="1" x14ac:dyDescent="0.25">
      <c r="A410" s="88" t="s">
        <v>126</v>
      </c>
      <c r="B410" s="88"/>
      <c r="C410" s="88"/>
      <c r="D410" s="88"/>
      <c r="E410" s="88"/>
      <c r="F410" s="88"/>
      <c r="G410" s="88"/>
      <c r="H410" s="88"/>
      <c r="I410" s="88"/>
      <c r="J410" s="88"/>
      <c r="K410" s="88"/>
      <c r="L410" s="88"/>
      <c r="M410" s="88">
        <f>1.2*250/200</f>
        <v>1.5</v>
      </c>
      <c r="N410" s="88"/>
      <c r="O410" s="88">
        <f>1.2*250/200</f>
        <v>1.5</v>
      </c>
      <c r="P410" s="88"/>
      <c r="Q410" s="6">
        <v>0.15</v>
      </c>
      <c r="R410" s="88">
        <v>0.15</v>
      </c>
      <c r="S410" s="88"/>
      <c r="T410" s="88"/>
    </row>
    <row r="411" spans="1:20" s="1" customFormat="1" ht="13.35" customHeight="1" x14ac:dyDescent="0.25">
      <c r="A411" s="88" t="s">
        <v>28</v>
      </c>
      <c r="B411" s="88"/>
      <c r="C411" s="88"/>
      <c r="D411" s="88"/>
      <c r="E411" s="88"/>
      <c r="F411" s="88"/>
      <c r="G411" s="88"/>
      <c r="H411" s="88"/>
      <c r="I411" s="88"/>
      <c r="J411" s="88"/>
      <c r="K411" s="88"/>
      <c r="L411" s="88"/>
      <c r="M411" s="88">
        <f>2*250/200</f>
        <v>2.5</v>
      </c>
      <c r="N411" s="88"/>
      <c r="O411" s="88">
        <v>2.5</v>
      </c>
      <c r="P411" s="88"/>
      <c r="Q411" s="6">
        <v>0.25</v>
      </c>
      <c r="R411" s="88">
        <v>0.25</v>
      </c>
      <c r="S411" s="88"/>
      <c r="T411" s="88"/>
    </row>
    <row r="412" spans="1:20" s="1" customFormat="1" ht="13.35" customHeight="1" x14ac:dyDescent="0.25">
      <c r="A412" s="88" t="s">
        <v>18</v>
      </c>
      <c r="B412" s="88"/>
      <c r="C412" s="88"/>
      <c r="D412" s="88"/>
      <c r="E412" s="88"/>
      <c r="F412" s="88"/>
      <c r="G412" s="88"/>
      <c r="H412" s="88"/>
      <c r="I412" s="88"/>
      <c r="J412" s="88"/>
      <c r="K412" s="88"/>
      <c r="L412" s="88"/>
      <c r="M412" s="88">
        <v>2.5</v>
      </c>
      <c r="N412" s="88"/>
      <c r="O412" s="88">
        <v>2.5</v>
      </c>
      <c r="P412" s="88"/>
      <c r="Q412" s="6">
        <v>0.25</v>
      </c>
      <c r="R412" s="88">
        <v>0.25</v>
      </c>
      <c r="S412" s="88"/>
      <c r="T412" s="88"/>
    </row>
    <row r="413" spans="1:20" s="1" customFormat="1" ht="13.35" customHeight="1" x14ac:dyDescent="0.25">
      <c r="A413" s="88" t="s">
        <v>61</v>
      </c>
      <c r="B413" s="88"/>
      <c r="C413" s="88"/>
      <c r="D413" s="88"/>
      <c r="E413" s="88"/>
      <c r="F413" s="88"/>
      <c r="G413" s="88"/>
      <c r="H413" s="88"/>
      <c r="I413" s="88"/>
      <c r="J413" s="88"/>
      <c r="K413" s="88"/>
      <c r="L413" s="88"/>
      <c r="M413" s="88">
        <v>2.5</v>
      </c>
      <c r="N413" s="88"/>
      <c r="O413" s="88">
        <v>2.5</v>
      </c>
      <c r="P413" s="88"/>
      <c r="Q413" s="64">
        <v>0.25</v>
      </c>
      <c r="R413" s="88">
        <v>0.25</v>
      </c>
      <c r="S413" s="88"/>
      <c r="T413" s="88"/>
    </row>
    <row r="414" spans="1:20" s="1" customFormat="1" ht="13.35" customHeight="1" x14ac:dyDescent="0.25">
      <c r="A414" s="88" t="s">
        <v>70</v>
      </c>
      <c r="B414" s="88"/>
      <c r="C414" s="88"/>
      <c r="D414" s="88"/>
      <c r="E414" s="88"/>
      <c r="F414" s="88"/>
      <c r="G414" s="88"/>
      <c r="H414" s="88"/>
      <c r="I414" s="88"/>
      <c r="J414" s="88"/>
      <c r="K414" s="88"/>
      <c r="L414" s="88"/>
      <c r="M414" s="88" t="s">
        <v>87</v>
      </c>
      <c r="N414" s="88"/>
      <c r="O414" s="88" t="s">
        <v>87</v>
      </c>
      <c r="P414" s="88"/>
      <c r="Q414" s="6" t="s">
        <v>110</v>
      </c>
      <c r="R414" s="88" t="s">
        <v>110</v>
      </c>
      <c r="S414" s="88"/>
      <c r="T414" s="88"/>
    </row>
    <row r="415" spans="1:20" s="1" customFormat="1" ht="13.35" customHeight="1" x14ac:dyDescent="0.25">
      <c r="A415" s="88" t="s">
        <v>114</v>
      </c>
      <c r="B415" s="88"/>
      <c r="C415" s="88"/>
      <c r="D415" s="88"/>
      <c r="E415" s="88"/>
      <c r="F415" s="88"/>
      <c r="G415" s="88"/>
      <c r="H415" s="88"/>
      <c r="I415" s="88"/>
      <c r="J415" s="88"/>
      <c r="K415" s="88"/>
      <c r="L415" s="88"/>
      <c r="M415" s="88">
        <f>160*250/200</f>
        <v>200</v>
      </c>
      <c r="N415" s="88"/>
      <c r="O415" s="88">
        <v>200</v>
      </c>
      <c r="P415" s="88"/>
      <c r="Q415" s="6">
        <v>20</v>
      </c>
      <c r="R415" s="88">
        <v>20</v>
      </c>
      <c r="S415" s="88"/>
      <c r="T415" s="88"/>
    </row>
    <row r="416" spans="1:20" s="1" customFormat="1" ht="14.1" customHeight="1" x14ac:dyDescent="0.25">
      <c r="A416" s="90" t="s">
        <v>790</v>
      </c>
      <c r="B416" s="90"/>
      <c r="C416" s="90"/>
      <c r="D416" s="90"/>
      <c r="E416" s="90"/>
      <c r="F416" s="90"/>
      <c r="G416" s="90"/>
      <c r="H416" s="90"/>
      <c r="I416" s="90"/>
      <c r="J416" s="90"/>
      <c r="K416" s="90"/>
      <c r="L416" s="90"/>
      <c r="M416" s="90"/>
      <c r="N416" s="90"/>
      <c r="O416" s="90"/>
      <c r="P416" s="90"/>
      <c r="Q416" s="90"/>
      <c r="R416" s="90"/>
      <c r="S416" s="90"/>
      <c r="T416" s="90"/>
    </row>
    <row r="417" spans="1:19" s="1" customFormat="1" ht="21.3" customHeight="1" x14ac:dyDescent="0.25"/>
    <row r="418" spans="1:19" s="1" customFormat="1" ht="14.1" customHeight="1" x14ac:dyDescent="0.25">
      <c r="A418" s="91" t="s">
        <v>33</v>
      </c>
      <c r="B418" s="91"/>
      <c r="C418" s="91"/>
      <c r="D418" s="91"/>
      <c r="E418" s="91"/>
      <c r="F418" s="91"/>
      <c r="G418" s="91"/>
      <c r="H418" s="91"/>
      <c r="I418" s="91"/>
      <c r="J418" s="91"/>
      <c r="K418" s="91"/>
      <c r="L418" s="91"/>
      <c r="M418" s="91"/>
      <c r="N418" s="91"/>
    </row>
    <row r="419" spans="1:19" s="1" customFormat="1" ht="13.35" customHeight="1" x14ac:dyDescent="0.25">
      <c r="A419" s="88" t="s">
        <v>34</v>
      </c>
      <c r="B419" s="88"/>
      <c r="C419" s="88"/>
      <c r="D419" s="88"/>
      <c r="E419" s="89">
        <f>1.4*250/200</f>
        <v>1.75</v>
      </c>
      <c r="F419" s="89"/>
      <c r="G419" s="17"/>
      <c r="H419" s="6" t="s">
        <v>35</v>
      </c>
      <c r="I419" s="89">
        <v>0.02</v>
      </c>
      <c r="J419" s="89"/>
      <c r="K419" s="17"/>
      <c r="L419" s="88" t="s">
        <v>36</v>
      </c>
      <c r="M419" s="88"/>
      <c r="N419" s="89">
        <v>46.6</v>
      </c>
      <c r="O419" s="89"/>
    </row>
    <row r="420" spans="1:19" s="1" customFormat="1" ht="13.35" customHeight="1" x14ac:dyDescent="0.25">
      <c r="A420" s="88" t="s">
        <v>37</v>
      </c>
      <c r="B420" s="88"/>
      <c r="C420" s="88"/>
      <c r="D420" s="88"/>
      <c r="E420" s="89">
        <f>3.91*250/200</f>
        <v>4.8875000000000002</v>
      </c>
      <c r="F420" s="89"/>
      <c r="G420" s="17"/>
      <c r="H420" s="6" t="s">
        <v>38</v>
      </c>
      <c r="I420" s="89">
        <v>11.87</v>
      </c>
      <c r="J420" s="89"/>
      <c r="K420" s="17"/>
      <c r="L420" s="88" t="s">
        <v>39</v>
      </c>
      <c r="M420" s="88"/>
      <c r="N420" s="89">
        <v>15.72</v>
      </c>
      <c r="O420" s="89"/>
    </row>
    <row r="421" spans="1:19" s="1" customFormat="1" ht="13.35" customHeight="1" x14ac:dyDescent="0.25">
      <c r="A421" s="88" t="s">
        <v>40</v>
      </c>
      <c r="B421" s="88"/>
      <c r="C421" s="88"/>
      <c r="D421" s="88"/>
      <c r="E421" s="89">
        <f>4.72*250/200</f>
        <v>5.9</v>
      </c>
      <c r="F421" s="89"/>
      <c r="G421" s="17"/>
      <c r="H421" s="6" t="s">
        <v>41</v>
      </c>
      <c r="I421" s="89">
        <v>0.17</v>
      </c>
      <c r="J421" s="89"/>
      <c r="K421" s="17"/>
      <c r="L421" s="88" t="s">
        <v>42</v>
      </c>
      <c r="M421" s="88"/>
      <c r="N421" s="89">
        <v>28.69</v>
      </c>
      <c r="O421" s="89"/>
    </row>
    <row r="422" spans="1:19" s="1" customFormat="1" ht="13.35" customHeight="1" x14ac:dyDescent="0.25">
      <c r="A422" s="88" t="s">
        <v>43</v>
      </c>
      <c r="B422" s="88"/>
      <c r="C422" s="88"/>
      <c r="D422" s="88"/>
      <c r="E422" s="89">
        <f>64*250/200</f>
        <v>80</v>
      </c>
      <c r="F422" s="89"/>
      <c r="G422" s="17"/>
      <c r="H422" s="6" t="s">
        <v>44</v>
      </c>
      <c r="I422" s="89">
        <v>1.82</v>
      </c>
      <c r="J422" s="89"/>
      <c r="K422" s="17"/>
      <c r="L422" s="88" t="s">
        <v>45</v>
      </c>
      <c r="M422" s="88"/>
      <c r="N422" s="89">
        <v>0.77</v>
      </c>
      <c r="O422" s="89"/>
    </row>
    <row r="423" spans="1:19" s="1" customFormat="1" ht="13.35" customHeight="1" x14ac:dyDescent="0.25">
      <c r="A423" s="87"/>
      <c r="B423" s="87"/>
      <c r="C423" s="87"/>
      <c r="D423" s="87"/>
      <c r="E423" s="87"/>
      <c r="F423" s="87"/>
      <c r="G423" s="17"/>
      <c r="H423" s="6" t="s">
        <v>46</v>
      </c>
      <c r="I423" s="89">
        <v>0</v>
      </c>
      <c r="J423" s="89"/>
      <c r="K423" s="17"/>
      <c r="L423" s="88" t="s">
        <v>47</v>
      </c>
      <c r="M423" s="88"/>
      <c r="N423" s="89">
        <v>159.69999999999999</v>
      </c>
      <c r="O423" s="89"/>
    </row>
    <row r="424" spans="1:19" s="1" customFormat="1" ht="13.35" customHeight="1" x14ac:dyDescent="0.25">
      <c r="A424" s="87"/>
      <c r="B424" s="87"/>
      <c r="C424" s="87"/>
      <c r="D424" s="87"/>
      <c r="E424" s="87"/>
      <c r="F424" s="87"/>
      <c r="G424" s="17"/>
      <c r="H424" s="6" t="s">
        <v>48</v>
      </c>
      <c r="I424" s="89">
        <v>0.03</v>
      </c>
      <c r="J424" s="89"/>
      <c r="K424" s="17"/>
      <c r="L424" s="88" t="s">
        <v>49</v>
      </c>
      <c r="M424" s="88"/>
      <c r="N424" s="89">
        <v>2.33</v>
      </c>
      <c r="O424" s="89"/>
    </row>
    <row r="425" spans="1:19" s="1" customFormat="1" ht="13.35" customHeight="1" x14ac:dyDescent="0.25">
      <c r="A425" s="87"/>
      <c r="B425" s="87"/>
      <c r="C425" s="87"/>
      <c r="D425" s="87"/>
      <c r="E425" s="87"/>
      <c r="F425" s="87"/>
      <c r="G425" s="17"/>
      <c r="H425" s="17"/>
      <c r="I425" s="87"/>
      <c r="J425" s="87"/>
      <c r="K425" s="17"/>
      <c r="L425" s="88" t="s">
        <v>50</v>
      </c>
      <c r="M425" s="88"/>
      <c r="N425" s="89">
        <v>0.01</v>
      </c>
      <c r="O425" s="89"/>
    </row>
    <row r="426" spans="1:19" s="1" customFormat="1" ht="13.35" customHeight="1" x14ac:dyDescent="0.25">
      <c r="A426" s="87"/>
      <c r="B426" s="87"/>
      <c r="C426" s="87"/>
      <c r="D426" s="87"/>
      <c r="E426" s="87"/>
      <c r="F426" s="87"/>
      <c r="G426" s="17"/>
      <c r="H426" s="17"/>
      <c r="I426" s="87"/>
      <c r="J426" s="87"/>
      <c r="K426" s="17"/>
      <c r="L426" s="88" t="s">
        <v>51</v>
      </c>
      <c r="M426" s="88"/>
      <c r="N426" s="89">
        <v>0</v>
      </c>
      <c r="O426" s="89"/>
    </row>
    <row r="427" spans="1:19" s="1" customFormat="1" ht="14.1" customHeight="1" x14ac:dyDescent="0.25">
      <c r="A427" s="86"/>
      <c r="B427" s="86"/>
      <c r="C427" s="86"/>
      <c r="D427" s="86"/>
      <c r="E427" s="86"/>
      <c r="F427" s="86"/>
      <c r="G427" s="86"/>
      <c r="H427" s="86"/>
      <c r="I427" s="86"/>
      <c r="J427" s="86"/>
      <c r="K427" s="86"/>
      <c r="L427" s="86"/>
      <c r="M427" s="86"/>
      <c r="N427" s="86"/>
      <c r="O427" s="86"/>
      <c r="P427" s="86"/>
      <c r="Q427" s="86"/>
      <c r="R427" s="86"/>
      <c r="S427" s="86"/>
    </row>
    <row r="428" spans="1:19" s="1" customFormat="1" ht="14.1" customHeight="1" x14ac:dyDescent="0.25">
      <c r="A428" s="84" t="s">
        <v>52</v>
      </c>
      <c r="B428" s="84"/>
      <c r="C428" s="84"/>
      <c r="D428" s="84"/>
      <c r="E428" s="84"/>
      <c r="F428" s="84"/>
      <c r="G428" s="84"/>
      <c r="H428" s="84"/>
      <c r="I428" s="84"/>
      <c r="J428" s="84"/>
      <c r="K428" s="84"/>
      <c r="L428" s="84"/>
      <c r="M428" s="84"/>
      <c r="N428" s="84"/>
      <c r="O428" s="84"/>
      <c r="P428" s="84"/>
      <c r="Q428" s="84"/>
      <c r="R428" s="84"/>
      <c r="S428" s="84"/>
    </row>
    <row r="429" spans="1:19" s="1" customFormat="1" ht="233.25" customHeight="1" x14ac:dyDescent="0.25">
      <c r="A429" s="85" t="s">
        <v>667</v>
      </c>
      <c r="B429" s="85"/>
      <c r="C429" s="85"/>
      <c r="D429" s="85"/>
      <c r="E429" s="85"/>
      <c r="F429" s="85"/>
      <c r="G429" s="85"/>
      <c r="H429" s="85"/>
      <c r="I429" s="85"/>
      <c r="J429" s="85"/>
      <c r="K429" s="85"/>
      <c r="L429" s="85"/>
      <c r="M429" s="85"/>
      <c r="N429" s="85"/>
      <c r="O429" s="85"/>
      <c r="P429" s="85"/>
      <c r="Q429" s="85"/>
      <c r="R429" s="85"/>
      <c r="S429" s="85"/>
    </row>
    <row r="430" spans="1:19" s="1" customFormat="1" ht="14.1" customHeight="1" x14ac:dyDescent="0.25">
      <c r="A430" s="84" t="s">
        <v>54</v>
      </c>
      <c r="B430" s="84"/>
      <c r="C430" s="84"/>
      <c r="D430" s="84"/>
      <c r="E430" s="84"/>
      <c r="F430" s="84"/>
      <c r="G430" s="84"/>
      <c r="H430" s="84"/>
      <c r="I430" s="84"/>
      <c r="J430" s="84"/>
      <c r="K430" s="84"/>
      <c r="L430" s="84"/>
      <c r="M430" s="84"/>
      <c r="N430" s="84"/>
      <c r="O430" s="84"/>
      <c r="P430" s="84"/>
      <c r="Q430" s="84"/>
      <c r="R430" s="84"/>
      <c r="S430" s="84"/>
    </row>
    <row r="431" spans="1:19" s="1" customFormat="1" ht="12.15" customHeight="1" x14ac:dyDescent="0.25">
      <c r="A431" s="85" t="s">
        <v>656</v>
      </c>
      <c r="B431" s="85"/>
      <c r="C431" s="85"/>
      <c r="D431" s="85"/>
      <c r="E431" s="85"/>
      <c r="F431" s="85"/>
      <c r="G431" s="85"/>
      <c r="H431" s="85"/>
      <c r="I431" s="85"/>
      <c r="J431" s="85"/>
      <c r="K431" s="85"/>
      <c r="L431" s="85"/>
      <c r="M431" s="85"/>
      <c r="N431" s="85"/>
      <c r="O431" s="85"/>
      <c r="P431" s="85"/>
      <c r="Q431" s="85"/>
      <c r="R431" s="85"/>
      <c r="S431" s="85"/>
    </row>
    <row r="432" spans="1:19" s="1" customFormat="1" ht="14.1" customHeight="1" x14ac:dyDescent="0.25">
      <c r="A432" s="86"/>
      <c r="B432" s="86"/>
      <c r="C432" s="86"/>
      <c r="D432" s="86"/>
      <c r="E432" s="86"/>
      <c r="F432" s="86"/>
      <c r="G432" s="86"/>
      <c r="H432" s="86"/>
      <c r="I432" s="86"/>
      <c r="J432" s="86"/>
      <c r="K432" s="86"/>
      <c r="L432" s="86"/>
      <c r="M432" s="86"/>
      <c r="N432" s="86"/>
      <c r="O432" s="86"/>
      <c r="P432" s="86"/>
      <c r="Q432" s="86"/>
      <c r="R432" s="86"/>
      <c r="S432" s="86"/>
    </row>
    <row r="433" spans="1:20" s="1" customFormat="1" ht="14.1" customHeight="1" x14ac:dyDescent="0.25">
      <c r="A433" s="84" t="s">
        <v>56</v>
      </c>
      <c r="B433" s="84"/>
      <c r="C433" s="84"/>
      <c r="D433" s="84"/>
      <c r="E433" s="84"/>
      <c r="F433" s="84"/>
      <c r="G433" s="84"/>
      <c r="H433" s="84"/>
      <c r="I433" s="84"/>
      <c r="J433" s="84"/>
      <c r="K433" s="84"/>
      <c r="L433" s="84"/>
      <c r="M433" s="84"/>
      <c r="N433" s="84"/>
      <c r="O433" s="84"/>
      <c r="P433" s="84"/>
      <c r="Q433" s="84"/>
      <c r="R433" s="84"/>
      <c r="S433" s="84"/>
    </row>
    <row r="434" spans="1:20" s="1" customFormat="1" ht="49.2" customHeight="1" x14ac:dyDescent="0.25">
      <c r="A434" s="85" t="s">
        <v>668</v>
      </c>
      <c r="B434" s="85"/>
      <c r="C434" s="85"/>
      <c r="D434" s="85"/>
      <c r="E434" s="85"/>
      <c r="F434" s="85"/>
      <c r="G434" s="85"/>
      <c r="H434" s="85"/>
      <c r="I434" s="85"/>
      <c r="J434" s="85"/>
      <c r="K434" s="85"/>
      <c r="L434" s="85"/>
      <c r="M434" s="85"/>
      <c r="N434" s="85"/>
      <c r="O434" s="85"/>
      <c r="P434" s="85"/>
      <c r="Q434" s="85"/>
      <c r="R434" s="85"/>
      <c r="S434" s="85"/>
    </row>
    <row r="436" spans="1:20" ht="72.45" customHeight="1" x14ac:dyDescent="0.2">
      <c r="J436" s="174" t="s">
        <v>832</v>
      </c>
      <c r="K436" s="174"/>
      <c r="L436" s="174"/>
      <c r="M436" s="174"/>
      <c r="N436" s="174"/>
      <c r="O436" s="174"/>
      <c r="P436" s="174"/>
      <c r="Q436" s="174"/>
      <c r="R436" s="174"/>
      <c r="S436" s="174"/>
      <c r="T436" s="174"/>
    </row>
    <row r="437" spans="1:20" ht="7.05" customHeight="1" x14ac:dyDescent="0.2"/>
    <row r="438" spans="1:20" ht="14.1" customHeight="1" x14ac:dyDescent="0.2">
      <c r="B438" s="175" t="s">
        <v>833</v>
      </c>
      <c r="C438" s="175"/>
      <c r="D438" s="175"/>
      <c r="E438" s="175"/>
      <c r="F438" s="175"/>
      <c r="G438" s="175"/>
      <c r="H438" s="175"/>
      <c r="I438" s="175"/>
      <c r="J438" s="175"/>
      <c r="K438" s="175"/>
      <c r="L438" s="175"/>
      <c r="M438" s="175"/>
      <c r="N438" s="175"/>
      <c r="O438" s="175"/>
      <c r="P438" s="175"/>
      <c r="Q438" s="175"/>
      <c r="R438" s="175"/>
    </row>
    <row r="439" spans="1:20" ht="14.1" customHeight="1" x14ac:dyDescent="0.2"/>
    <row r="440" spans="1:20" ht="14.1" customHeight="1" x14ac:dyDescent="0.2">
      <c r="A440" s="176" t="s">
        <v>2</v>
      </c>
      <c r="B440" s="176"/>
      <c r="C440" s="176"/>
      <c r="D440" s="152" t="s">
        <v>834</v>
      </c>
      <c r="E440" s="152"/>
      <c r="F440" s="152"/>
      <c r="G440" s="152"/>
      <c r="H440" s="152"/>
      <c r="I440" s="152"/>
      <c r="J440" s="152"/>
      <c r="K440" s="152"/>
      <c r="L440" s="152"/>
      <c r="M440" s="152"/>
      <c r="N440" s="152"/>
      <c r="O440" s="152"/>
      <c r="P440" s="152"/>
      <c r="Q440" s="152"/>
      <c r="R440" s="152"/>
      <c r="S440" s="152"/>
      <c r="T440" s="152"/>
    </row>
    <row r="441" spans="1:20" ht="14.1" customHeight="1" x14ac:dyDescent="0.2">
      <c r="A441" s="176" t="s">
        <v>4</v>
      </c>
      <c r="B441" s="176"/>
      <c r="C441" s="152" t="s">
        <v>835</v>
      </c>
      <c r="D441" s="152"/>
      <c r="E441" s="152"/>
      <c r="F441" s="152"/>
      <c r="G441" s="152"/>
      <c r="H441" s="152"/>
      <c r="I441" s="152"/>
      <c r="J441" s="152"/>
      <c r="K441" s="152"/>
      <c r="L441" s="152"/>
      <c r="M441" s="152"/>
      <c r="N441" s="152"/>
      <c r="O441" s="152"/>
      <c r="P441" s="152"/>
      <c r="Q441" s="152"/>
      <c r="R441" s="152"/>
      <c r="S441" s="152"/>
      <c r="T441" s="152"/>
    </row>
    <row r="442" spans="1:20" ht="14.1" customHeight="1" x14ac:dyDescent="0.2">
      <c r="A442" s="176" t="s">
        <v>6</v>
      </c>
      <c r="B442" s="176"/>
      <c r="C442" s="176"/>
      <c r="D442" s="176"/>
      <c r="E442" s="176"/>
      <c r="F442" s="103" t="s">
        <v>248</v>
      </c>
      <c r="G442" s="103"/>
      <c r="H442" s="103"/>
      <c r="I442" s="103"/>
      <c r="J442" s="103"/>
      <c r="K442" s="103"/>
      <c r="L442" s="103"/>
      <c r="M442" s="103"/>
      <c r="N442" s="103"/>
      <c r="O442" s="103"/>
      <c r="P442" s="103"/>
      <c r="Q442" s="103"/>
      <c r="R442" s="103"/>
      <c r="S442" s="103"/>
      <c r="T442" s="103"/>
    </row>
    <row r="443" spans="1:20" ht="22.35" customHeight="1" x14ac:dyDescent="0.2">
      <c r="F443" s="103"/>
      <c r="G443" s="103"/>
      <c r="H443" s="103"/>
      <c r="I443" s="103"/>
      <c r="J443" s="103"/>
      <c r="K443" s="103"/>
      <c r="L443" s="103"/>
      <c r="M443" s="103"/>
      <c r="N443" s="103"/>
      <c r="O443" s="103"/>
      <c r="P443" s="103"/>
      <c r="Q443" s="103"/>
      <c r="R443" s="103"/>
      <c r="S443" s="103"/>
      <c r="T443" s="103"/>
    </row>
    <row r="444" spans="1:20" ht="7.05" customHeight="1" x14ac:dyDescent="0.2">
      <c r="A444" s="176"/>
      <c r="B444" s="176"/>
      <c r="C444" s="176"/>
      <c r="D444" s="176"/>
      <c r="E444" s="176"/>
      <c r="F444" s="176"/>
      <c r="G444" s="176"/>
      <c r="H444" s="176"/>
      <c r="I444" s="176"/>
      <c r="J444" s="176"/>
      <c r="K444" s="176"/>
      <c r="L444" s="176"/>
      <c r="M444" s="176"/>
      <c r="N444" s="176"/>
      <c r="O444" s="176"/>
      <c r="P444" s="176"/>
      <c r="Q444" s="36"/>
      <c r="R444" s="176"/>
      <c r="S444" s="176"/>
      <c r="T444" s="176"/>
    </row>
    <row r="445" spans="1:20" ht="16.95" customHeight="1" x14ac:dyDescent="0.2">
      <c r="A445" s="177" t="s">
        <v>8</v>
      </c>
      <c r="B445" s="177"/>
      <c r="C445" s="177"/>
      <c r="D445" s="177"/>
      <c r="E445" s="177"/>
      <c r="F445" s="177"/>
      <c r="G445" s="177"/>
      <c r="H445" s="177"/>
      <c r="I445" s="177"/>
      <c r="J445" s="177"/>
      <c r="K445" s="177"/>
      <c r="L445" s="177"/>
      <c r="M445" s="177" t="s">
        <v>9</v>
      </c>
      <c r="N445" s="177"/>
      <c r="O445" s="177"/>
      <c r="P445" s="177"/>
      <c r="Q445" s="177"/>
      <c r="R445" s="177"/>
      <c r="S445" s="177"/>
      <c r="T445" s="177"/>
    </row>
    <row r="446" spans="1:20" ht="16.95" customHeight="1" x14ac:dyDescent="0.2">
      <c r="A446" s="177"/>
      <c r="B446" s="177"/>
      <c r="C446" s="177"/>
      <c r="D446" s="177"/>
      <c r="E446" s="177"/>
      <c r="F446" s="177"/>
      <c r="G446" s="177"/>
      <c r="H446" s="177"/>
      <c r="I446" s="177"/>
      <c r="J446" s="177"/>
      <c r="K446" s="177"/>
      <c r="L446" s="177"/>
      <c r="M446" s="177" t="s">
        <v>10</v>
      </c>
      <c r="N446" s="177"/>
      <c r="O446" s="177"/>
      <c r="P446" s="177"/>
      <c r="Q446" s="177" t="s">
        <v>11</v>
      </c>
      <c r="R446" s="177"/>
      <c r="S446" s="177"/>
      <c r="T446" s="177"/>
    </row>
    <row r="447" spans="1:20" ht="16.95" customHeight="1" x14ac:dyDescent="0.2">
      <c r="A447" s="177"/>
      <c r="B447" s="177"/>
      <c r="C447" s="177"/>
      <c r="D447" s="177"/>
      <c r="E447" s="177"/>
      <c r="F447" s="177"/>
      <c r="G447" s="177"/>
      <c r="H447" s="177"/>
      <c r="I447" s="177"/>
      <c r="J447" s="177"/>
      <c r="K447" s="177"/>
      <c r="L447" s="177"/>
      <c r="M447" s="177" t="s">
        <v>12</v>
      </c>
      <c r="N447" s="177"/>
      <c r="O447" s="177" t="s">
        <v>13</v>
      </c>
      <c r="P447" s="177"/>
      <c r="Q447" s="35" t="s">
        <v>14</v>
      </c>
      <c r="R447" s="177" t="s">
        <v>15</v>
      </c>
      <c r="S447" s="177"/>
      <c r="T447" s="177"/>
    </row>
    <row r="448" spans="1:20" ht="13.35" customHeight="1" x14ac:dyDescent="0.2">
      <c r="A448" s="173" t="s">
        <v>431</v>
      </c>
      <c r="B448" s="173"/>
      <c r="C448" s="173"/>
      <c r="D448" s="173"/>
      <c r="E448" s="173"/>
      <c r="F448" s="173"/>
      <c r="G448" s="173"/>
      <c r="H448" s="173"/>
      <c r="I448" s="173"/>
      <c r="J448" s="173"/>
      <c r="K448" s="173"/>
      <c r="L448" s="173"/>
      <c r="M448" s="173" t="s">
        <v>85</v>
      </c>
      <c r="N448" s="173"/>
      <c r="O448" s="173" t="s">
        <v>85</v>
      </c>
      <c r="P448" s="173"/>
      <c r="Q448" s="34" t="s">
        <v>77</v>
      </c>
      <c r="R448" s="173" t="s">
        <v>77</v>
      </c>
      <c r="S448" s="173"/>
      <c r="T448" s="173"/>
    </row>
    <row r="449" spans="1:20" ht="13.35" customHeight="1" x14ac:dyDescent="0.2">
      <c r="A449" s="173" t="s">
        <v>100</v>
      </c>
      <c r="B449" s="173"/>
      <c r="C449" s="173"/>
      <c r="D449" s="173"/>
      <c r="E449" s="173"/>
      <c r="F449" s="173"/>
      <c r="G449" s="173"/>
      <c r="H449" s="173"/>
      <c r="I449" s="173"/>
      <c r="J449" s="173"/>
      <c r="K449" s="173"/>
      <c r="L449" s="173"/>
      <c r="M449" s="173" t="s">
        <v>167</v>
      </c>
      <c r="N449" s="173"/>
      <c r="O449" s="173" t="s">
        <v>105</v>
      </c>
      <c r="P449" s="173"/>
      <c r="Q449" s="34" t="s">
        <v>177</v>
      </c>
      <c r="R449" s="173" t="s">
        <v>106</v>
      </c>
      <c r="S449" s="173"/>
      <c r="T449" s="173"/>
    </row>
    <row r="450" spans="1:20" ht="13.35" customHeight="1" x14ac:dyDescent="0.2">
      <c r="A450" s="173" t="s">
        <v>21</v>
      </c>
      <c r="B450" s="173"/>
      <c r="C450" s="173"/>
      <c r="D450" s="173"/>
      <c r="E450" s="173"/>
      <c r="F450" s="173"/>
      <c r="G450" s="173"/>
      <c r="H450" s="173"/>
      <c r="I450" s="173"/>
      <c r="J450" s="173"/>
      <c r="K450" s="173"/>
      <c r="L450" s="173"/>
      <c r="M450" s="173" t="s">
        <v>162</v>
      </c>
      <c r="N450" s="173"/>
      <c r="O450" s="173" t="s">
        <v>184</v>
      </c>
      <c r="P450" s="173"/>
      <c r="Q450" s="34" t="s">
        <v>128</v>
      </c>
      <c r="R450" s="173" t="s">
        <v>185</v>
      </c>
      <c r="S450" s="173"/>
      <c r="T450" s="173"/>
    </row>
    <row r="451" spans="1:20" ht="13.35" customHeight="1" x14ac:dyDescent="0.2">
      <c r="A451" s="124" t="s">
        <v>755</v>
      </c>
      <c r="B451" s="173"/>
      <c r="C451" s="173"/>
      <c r="D451" s="173"/>
      <c r="E451" s="173"/>
      <c r="F451" s="173"/>
      <c r="G451" s="173"/>
      <c r="H451" s="173"/>
      <c r="I451" s="173"/>
      <c r="J451" s="173"/>
      <c r="K451" s="173"/>
      <c r="L451" s="173"/>
      <c r="M451" s="173" t="s">
        <v>62</v>
      </c>
      <c r="N451" s="173"/>
      <c r="O451" s="173" t="s">
        <v>62</v>
      </c>
      <c r="P451" s="173"/>
      <c r="Q451" s="34" t="s">
        <v>63</v>
      </c>
      <c r="R451" s="173" t="s">
        <v>63</v>
      </c>
      <c r="S451" s="173"/>
      <c r="T451" s="173"/>
    </row>
    <row r="452" spans="1:20" ht="13.35" customHeight="1" x14ac:dyDescent="0.2">
      <c r="A452" s="173" t="s">
        <v>126</v>
      </c>
      <c r="B452" s="173"/>
      <c r="C452" s="173"/>
      <c r="D452" s="173"/>
      <c r="E452" s="173"/>
      <c r="F452" s="173"/>
      <c r="G452" s="173"/>
      <c r="H452" s="173"/>
      <c r="I452" s="173"/>
      <c r="J452" s="173"/>
      <c r="K452" s="173"/>
      <c r="L452" s="173"/>
      <c r="M452" s="173" t="s">
        <v>241</v>
      </c>
      <c r="N452" s="173"/>
      <c r="O452" s="173" t="s">
        <v>241</v>
      </c>
      <c r="P452" s="173"/>
      <c r="Q452" s="34" t="s">
        <v>263</v>
      </c>
      <c r="R452" s="173" t="s">
        <v>263</v>
      </c>
      <c r="S452" s="173"/>
      <c r="T452" s="173"/>
    </row>
    <row r="453" spans="1:20" ht="13.35" customHeight="1" x14ac:dyDescent="0.2">
      <c r="A453" s="173" t="s">
        <v>70</v>
      </c>
      <c r="B453" s="173"/>
      <c r="C453" s="173"/>
      <c r="D453" s="173"/>
      <c r="E453" s="173"/>
      <c r="F453" s="173"/>
      <c r="G453" s="173"/>
      <c r="H453" s="173"/>
      <c r="I453" s="173"/>
      <c r="J453" s="173"/>
      <c r="K453" s="173"/>
      <c r="L453" s="173"/>
      <c r="M453" s="173" t="s">
        <v>77</v>
      </c>
      <c r="N453" s="173"/>
      <c r="O453" s="173" t="s">
        <v>77</v>
      </c>
      <c r="P453" s="173"/>
      <c r="Q453" s="34" t="s">
        <v>79</v>
      </c>
      <c r="R453" s="173" t="s">
        <v>79</v>
      </c>
      <c r="S453" s="173"/>
      <c r="T453" s="173"/>
    </row>
    <row r="454" spans="1:20" ht="13.35" customHeight="1" x14ac:dyDescent="0.2">
      <c r="A454" s="173" t="s">
        <v>114</v>
      </c>
      <c r="B454" s="173"/>
      <c r="C454" s="173"/>
      <c r="D454" s="173"/>
      <c r="E454" s="173"/>
      <c r="F454" s="173"/>
      <c r="G454" s="173"/>
      <c r="H454" s="173"/>
      <c r="I454" s="173"/>
      <c r="J454" s="173"/>
      <c r="K454" s="173"/>
      <c r="L454" s="173"/>
      <c r="M454" s="173" t="s">
        <v>836</v>
      </c>
      <c r="N454" s="173"/>
      <c r="O454" s="173" t="s">
        <v>836</v>
      </c>
      <c r="P454" s="173"/>
      <c r="Q454" s="34" t="s">
        <v>837</v>
      </c>
      <c r="R454" s="173" t="s">
        <v>837</v>
      </c>
      <c r="S454" s="173"/>
      <c r="T454" s="173"/>
    </row>
    <row r="455" spans="1:20" ht="14.1" customHeight="1" x14ac:dyDescent="0.2">
      <c r="A455" s="153" t="s">
        <v>790</v>
      </c>
      <c r="B455" s="153"/>
      <c r="C455" s="153"/>
      <c r="D455" s="153"/>
      <c r="E455" s="153"/>
      <c r="F455" s="153"/>
      <c r="G455" s="153"/>
      <c r="H455" s="153"/>
      <c r="I455" s="153"/>
      <c r="J455" s="153"/>
      <c r="K455" s="153"/>
      <c r="L455" s="153"/>
      <c r="M455" s="153"/>
      <c r="N455" s="153"/>
      <c r="O455" s="153"/>
      <c r="P455" s="153"/>
      <c r="Q455" s="153"/>
      <c r="R455" s="153"/>
      <c r="S455" s="153"/>
      <c r="T455" s="153"/>
    </row>
    <row r="456" spans="1:20" ht="14.1" customHeight="1" x14ac:dyDescent="0.2"/>
    <row r="457" spans="1:20" ht="14.1" customHeight="1" x14ac:dyDescent="0.2">
      <c r="A457" s="178" t="s">
        <v>33</v>
      </c>
      <c r="B457" s="178"/>
      <c r="C457" s="178"/>
      <c r="D457" s="178"/>
      <c r="E457" s="178"/>
      <c r="F457" s="178"/>
      <c r="G457" s="178"/>
      <c r="H457" s="178"/>
      <c r="I457" s="178"/>
      <c r="J457" s="178"/>
      <c r="K457" s="178"/>
      <c r="L457" s="178"/>
      <c r="M457" s="178"/>
      <c r="N457" s="178"/>
    </row>
    <row r="458" spans="1:20" ht="13.35" customHeight="1" x14ac:dyDescent="0.2">
      <c r="A458" s="173" t="s">
        <v>34</v>
      </c>
      <c r="B458" s="173"/>
      <c r="C458" s="173"/>
      <c r="D458" s="173"/>
      <c r="E458" s="179">
        <v>2.44</v>
      </c>
      <c r="F458" s="179"/>
      <c r="G458" s="37"/>
      <c r="H458" s="34" t="s">
        <v>35</v>
      </c>
      <c r="I458" s="179">
        <v>0.04</v>
      </c>
      <c r="J458" s="179"/>
      <c r="K458" s="37"/>
      <c r="L458" s="173" t="s">
        <v>36</v>
      </c>
      <c r="M458" s="173"/>
      <c r="N458" s="179">
        <v>27.04</v>
      </c>
      <c r="O458" s="179"/>
    </row>
    <row r="459" spans="1:20" ht="13.35" customHeight="1" x14ac:dyDescent="0.2">
      <c r="A459" s="173" t="s">
        <v>37</v>
      </c>
      <c r="B459" s="173"/>
      <c r="C459" s="173"/>
      <c r="D459" s="173"/>
      <c r="E459" s="179">
        <v>5.13</v>
      </c>
      <c r="F459" s="179"/>
      <c r="G459" s="37"/>
      <c r="H459" s="34" t="s">
        <v>38</v>
      </c>
      <c r="I459" s="179">
        <v>0.75</v>
      </c>
      <c r="J459" s="179"/>
      <c r="K459" s="37"/>
      <c r="L459" s="173" t="s">
        <v>39</v>
      </c>
      <c r="M459" s="173"/>
      <c r="N459" s="179">
        <v>10.51</v>
      </c>
      <c r="O459" s="179"/>
    </row>
    <row r="460" spans="1:20" ht="13.35" customHeight="1" x14ac:dyDescent="0.2">
      <c r="A460" s="173" t="s">
        <v>40</v>
      </c>
      <c r="B460" s="173"/>
      <c r="C460" s="173"/>
      <c r="D460" s="173"/>
      <c r="E460" s="179">
        <v>15.29</v>
      </c>
      <c r="F460" s="179"/>
      <c r="G460" s="37"/>
      <c r="H460" s="34" t="s">
        <v>41</v>
      </c>
      <c r="I460" s="179">
        <v>0.18</v>
      </c>
      <c r="J460" s="179"/>
      <c r="K460" s="37"/>
      <c r="L460" s="173" t="s">
        <v>42</v>
      </c>
      <c r="M460" s="173"/>
      <c r="N460" s="179">
        <v>27.96</v>
      </c>
      <c r="O460" s="179"/>
    </row>
    <row r="461" spans="1:20" ht="13.35" customHeight="1" x14ac:dyDescent="0.2">
      <c r="A461" s="173" t="s">
        <v>43</v>
      </c>
      <c r="B461" s="173"/>
      <c r="C461" s="173"/>
      <c r="D461" s="173"/>
      <c r="E461" s="179">
        <v>117.32</v>
      </c>
      <c r="F461" s="179"/>
      <c r="G461" s="37"/>
      <c r="H461" s="34" t="s">
        <v>44</v>
      </c>
      <c r="I461" s="179">
        <v>2.6</v>
      </c>
      <c r="J461" s="179"/>
      <c r="K461" s="37"/>
      <c r="L461" s="173" t="s">
        <v>45</v>
      </c>
      <c r="M461" s="173"/>
      <c r="N461" s="179">
        <v>0.61</v>
      </c>
      <c r="O461" s="179"/>
    </row>
    <row r="462" spans="1:20" ht="13.35" customHeight="1" x14ac:dyDescent="0.2">
      <c r="A462" s="181"/>
      <c r="B462" s="181"/>
      <c r="C462" s="181"/>
      <c r="D462" s="181"/>
      <c r="E462" s="181"/>
      <c r="F462" s="181"/>
      <c r="G462" s="37"/>
      <c r="H462" s="34" t="s">
        <v>46</v>
      </c>
      <c r="I462" s="179">
        <v>0</v>
      </c>
      <c r="J462" s="179"/>
      <c r="K462" s="37"/>
      <c r="L462" s="173" t="s">
        <v>47</v>
      </c>
      <c r="M462" s="173"/>
      <c r="N462" s="179">
        <v>71.94</v>
      </c>
      <c r="O462" s="179"/>
    </row>
    <row r="463" spans="1:20" ht="13.35" customHeight="1" x14ac:dyDescent="0.2">
      <c r="A463" s="181"/>
      <c r="B463" s="181"/>
      <c r="C463" s="181"/>
      <c r="D463" s="181"/>
      <c r="E463" s="181"/>
      <c r="F463" s="181"/>
      <c r="G463" s="37"/>
      <c r="H463" s="34" t="s">
        <v>48</v>
      </c>
      <c r="I463" s="179">
        <v>0.02</v>
      </c>
      <c r="J463" s="179"/>
      <c r="K463" s="37"/>
      <c r="L463" s="173" t="s">
        <v>49</v>
      </c>
      <c r="M463" s="173"/>
      <c r="N463" s="179">
        <v>1.07</v>
      </c>
      <c r="O463" s="179"/>
    </row>
    <row r="464" spans="1:20" ht="13.35" customHeight="1" x14ac:dyDescent="0.2">
      <c r="A464" s="181"/>
      <c r="B464" s="181"/>
      <c r="C464" s="181"/>
      <c r="D464" s="181"/>
      <c r="E464" s="181"/>
      <c r="F464" s="181"/>
      <c r="G464" s="37"/>
      <c r="H464" s="37"/>
      <c r="I464" s="181"/>
      <c r="J464" s="181"/>
      <c r="K464" s="37"/>
      <c r="L464" s="173" t="s">
        <v>50</v>
      </c>
      <c r="M464" s="173"/>
      <c r="N464" s="179">
        <v>0.01</v>
      </c>
      <c r="O464" s="179"/>
    </row>
    <row r="465" spans="1:20" ht="13.35" customHeight="1" x14ac:dyDescent="0.2">
      <c r="A465" s="181"/>
      <c r="B465" s="181"/>
      <c r="C465" s="181"/>
      <c r="D465" s="181"/>
      <c r="E465" s="181"/>
      <c r="F465" s="181"/>
      <c r="G465" s="37"/>
      <c r="H465" s="37"/>
      <c r="I465" s="181"/>
      <c r="J465" s="181"/>
      <c r="K465" s="37"/>
      <c r="L465" s="173" t="s">
        <v>51</v>
      </c>
      <c r="M465" s="173"/>
      <c r="N465" s="179">
        <v>0.01</v>
      </c>
      <c r="O465" s="179"/>
    </row>
    <row r="466" spans="1:20" ht="14.1" customHeight="1" x14ac:dyDescent="0.2">
      <c r="A466" s="176"/>
      <c r="B466" s="176"/>
      <c r="C466" s="176"/>
      <c r="D466" s="176"/>
      <c r="E466" s="176"/>
      <c r="F466" s="176"/>
      <c r="G466" s="176"/>
      <c r="H466" s="176"/>
      <c r="I466" s="176"/>
      <c r="J466" s="176"/>
      <c r="K466" s="176"/>
      <c r="L466" s="176"/>
      <c r="M466" s="176"/>
      <c r="N466" s="176"/>
      <c r="O466" s="176"/>
      <c r="P466" s="176"/>
      <c r="Q466" s="176"/>
      <c r="R466" s="176"/>
      <c r="S466" s="176"/>
    </row>
    <row r="467" spans="1:20" ht="14.1" customHeight="1" x14ac:dyDescent="0.2">
      <c r="A467" s="178" t="s">
        <v>52</v>
      </c>
      <c r="B467" s="178"/>
      <c r="C467" s="178"/>
      <c r="D467" s="178"/>
      <c r="E467" s="178"/>
      <c r="F467" s="178"/>
      <c r="G467" s="178"/>
      <c r="H467" s="178"/>
      <c r="I467" s="178"/>
      <c r="J467" s="178"/>
      <c r="K467" s="178"/>
      <c r="L467" s="178"/>
      <c r="M467" s="178"/>
      <c r="N467" s="178"/>
      <c r="O467" s="178"/>
      <c r="P467" s="178"/>
      <c r="Q467" s="178"/>
      <c r="R467" s="178"/>
      <c r="S467" s="178"/>
    </row>
    <row r="468" spans="1:20" ht="40.049999999999997" customHeight="1" x14ac:dyDescent="0.2">
      <c r="A468" s="180" t="s">
        <v>838</v>
      </c>
      <c r="B468" s="180"/>
      <c r="C468" s="180"/>
      <c r="D468" s="180"/>
      <c r="E468" s="180"/>
      <c r="F468" s="180"/>
      <c r="G468" s="180"/>
      <c r="H468" s="180"/>
      <c r="I468" s="180"/>
      <c r="J468" s="180"/>
      <c r="K468" s="180"/>
      <c r="L468" s="180"/>
      <c r="M468" s="180"/>
      <c r="N468" s="180"/>
      <c r="O468" s="180"/>
      <c r="P468" s="180"/>
      <c r="Q468" s="180"/>
      <c r="R468" s="180"/>
      <c r="S468" s="180"/>
    </row>
    <row r="469" spans="1:20" s="1" customFormat="1" ht="14.1" customHeight="1" x14ac:dyDescent="0.25">
      <c r="A469" s="84" t="s">
        <v>54</v>
      </c>
      <c r="B469" s="84"/>
      <c r="C469" s="84"/>
      <c r="D469" s="84"/>
      <c r="E469" s="84"/>
      <c r="F469" s="84"/>
      <c r="G469" s="84"/>
      <c r="H469" s="84"/>
      <c r="I469" s="84"/>
      <c r="J469" s="84"/>
      <c r="K469" s="84"/>
      <c r="L469" s="84"/>
      <c r="M469" s="84"/>
      <c r="N469" s="84"/>
      <c r="O469" s="84"/>
      <c r="P469" s="84"/>
      <c r="Q469" s="84"/>
      <c r="R469" s="84"/>
      <c r="S469" s="84"/>
    </row>
    <row r="470" spans="1:20" s="1" customFormat="1" ht="12.15" customHeight="1" x14ac:dyDescent="0.25">
      <c r="A470" s="85" t="s">
        <v>656</v>
      </c>
      <c r="B470" s="85"/>
      <c r="C470" s="85"/>
      <c r="D470" s="85"/>
      <c r="E470" s="85"/>
      <c r="F470" s="85"/>
      <c r="G470" s="85"/>
      <c r="H470" s="85"/>
      <c r="I470" s="85"/>
      <c r="J470" s="85"/>
      <c r="K470" s="85"/>
      <c r="L470" s="85"/>
      <c r="M470" s="85"/>
      <c r="N470" s="85"/>
      <c r="O470" s="85"/>
      <c r="P470" s="85"/>
      <c r="Q470" s="85"/>
      <c r="R470" s="85"/>
      <c r="S470" s="85"/>
    </row>
    <row r="471" spans="1:20" ht="14.1" customHeight="1" x14ac:dyDescent="0.2">
      <c r="A471" s="176"/>
      <c r="B471" s="176"/>
      <c r="C471" s="176"/>
      <c r="D471" s="176"/>
      <c r="E471" s="176"/>
      <c r="F471" s="176"/>
      <c r="G471" s="176"/>
      <c r="H471" s="176"/>
      <c r="I471" s="176"/>
      <c r="J471" s="176"/>
      <c r="K471" s="176"/>
      <c r="L471" s="176"/>
      <c r="M471" s="176"/>
      <c r="N471" s="176"/>
      <c r="O471" s="176"/>
      <c r="P471" s="176"/>
      <c r="Q471" s="176"/>
      <c r="R471" s="176"/>
      <c r="S471" s="176"/>
    </row>
    <row r="472" spans="1:20" ht="14.1" customHeight="1" x14ac:dyDescent="0.2">
      <c r="A472" s="178" t="s">
        <v>56</v>
      </c>
      <c r="B472" s="178"/>
      <c r="C472" s="178"/>
      <c r="D472" s="178"/>
      <c r="E472" s="178"/>
      <c r="F472" s="178"/>
      <c r="G472" s="178"/>
      <c r="H472" s="178"/>
      <c r="I472" s="178"/>
      <c r="J472" s="178"/>
      <c r="K472" s="178"/>
      <c r="L472" s="178"/>
      <c r="M472" s="178"/>
      <c r="N472" s="178"/>
      <c r="O472" s="178"/>
      <c r="P472" s="178"/>
      <c r="Q472" s="178"/>
      <c r="R472" s="178"/>
      <c r="S472" s="178"/>
    </row>
    <row r="473" spans="1:20" ht="49.2" customHeight="1" x14ac:dyDescent="0.2">
      <c r="A473" s="180" t="s">
        <v>839</v>
      </c>
      <c r="B473" s="180"/>
      <c r="C473" s="180"/>
      <c r="D473" s="180"/>
      <c r="E473" s="180"/>
      <c r="F473" s="180"/>
      <c r="G473" s="180"/>
      <c r="H473" s="180"/>
      <c r="I473" s="180"/>
      <c r="J473" s="180"/>
      <c r="K473" s="180"/>
      <c r="L473" s="180"/>
      <c r="M473" s="180"/>
      <c r="N473" s="180"/>
      <c r="O473" s="180"/>
      <c r="P473" s="180"/>
      <c r="Q473" s="180"/>
      <c r="R473" s="180"/>
      <c r="S473" s="180"/>
    </row>
    <row r="476" spans="1:20" ht="61.05" customHeight="1" x14ac:dyDescent="0.2">
      <c r="J476" s="182" t="s">
        <v>901</v>
      </c>
      <c r="K476" s="182"/>
      <c r="L476" s="182"/>
      <c r="M476" s="182"/>
      <c r="N476" s="182"/>
      <c r="O476" s="182"/>
      <c r="P476" s="182"/>
      <c r="Q476" s="182"/>
      <c r="R476" s="182"/>
      <c r="S476" s="182"/>
      <c r="T476" s="182"/>
    </row>
    <row r="477" spans="1:20" ht="7.05" customHeight="1" x14ac:dyDescent="0.2"/>
    <row r="478" spans="1:20" ht="14.1" customHeight="1" x14ac:dyDescent="0.2">
      <c r="B478" s="105" t="s">
        <v>925</v>
      </c>
      <c r="C478" s="105"/>
      <c r="D478" s="105"/>
      <c r="E478" s="105"/>
      <c r="F478" s="105"/>
      <c r="G478" s="105"/>
      <c r="H478" s="105"/>
      <c r="I478" s="105"/>
      <c r="J478" s="105"/>
      <c r="K478" s="105"/>
      <c r="L478" s="105"/>
      <c r="M478" s="105"/>
      <c r="N478" s="105"/>
      <c r="O478" s="105"/>
      <c r="P478" s="105"/>
      <c r="Q478" s="105"/>
      <c r="R478" s="105"/>
    </row>
    <row r="479" spans="1:20" ht="14.1" customHeight="1" x14ac:dyDescent="0.2"/>
    <row r="480" spans="1:20" ht="14.1" customHeight="1" x14ac:dyDescent="0.2">
      <c r="A480" s="106" t="s">
        <v>2</v>
      </c>
      <c r="B480" s="106"/>
      <c r="C480" s="106"/>
      <c r="D480" s="107" t="s">
        <v>926</v>
      </c>
      <c r="E480" s="107"/>
      <c r="F480" s="107"/>
      <c r="G480" s="107"/>
      <c r="H480" s="107"/>
      <c r="I480" s="107"/>
      <c r="J480" s="107"/>
      <c r="K480" s="107"/>
      <c r="L480" s="107"/>
      <c r="M480" s="107"/>
      <c r="N480" s="107"/>
      <c r="O480" s="107"/>
      <c r="P480" s="107"/>
      <c r="Q480" s="107"/>
      <c r="R480" s="107"/>
      <c r="S480" s="107"/>
      <c r="T480" s="107"/>
    </row>
    <row r="481" spans="1:20" ht="14.1" customHeight="1" x14ac:dyDescent="0.2">
      <c r="A481" s="106" t="s">
        <v>4</v>
      </c>
      <c r="B481" s="106"/>
      <c r="C481" s="107" t="s">
        <v>927</v>
      </c>
      <c r="D481" s="107"/>
      <c r="E481" s="107"/>
      <c r="F481" s="107"/>
      <c r="G481" s="107"/>
      <c r="H481" s="107"/>
      <c r="I481" s="107"/>
      <c r="J481" s="107"/>
      <c r="K481" s="107"/>
      <c r="L481" s="107"/>
      <c r="M481" s="107"/>
      <c r="N481" s="107"/>
      <c r="O481" s="107"/>
      <c r="P481" s="107"/>
      <c r="Q481" s="107"/>
      <c r="R481" s="107"/>
      <c r="S481" s="107"/>
      <c r="T481" s="107"/>
    </row>
    <row r="482" spans="1:20" ht="14.1" customHeight="1" x14ac:dyDescent="0.2">
      <c r="A482" s="106" t="s">
        <v>6</v>
      </c>
      <c r="B482" s="106"/>
      <c r="C482" s="106"/>
      <c r="D482" s="106"/>
      <c r="E482" s="106"/>
      <c r="F482" s="107" t="s">
        <v>248</v>
      </c>
      <c r="G482" s="107"/>
      <c r="H482" s="107"/>
      <c r="I482" s="107"/>
      <c r="J482" s="107"/>
      <c r="K482" s="107"/>
      <c r="L482" s="107"/>
      <c r="M482" s="107"/>
      <c r="N482" s="107"/>
      <c r="O482" s="107"/>
      <c r="P482" s="107"/>
      <c r="Q482" s="107"/>
      <c r="R482" s="107"/>
      <c r="S482" s="107"/>
      <c r="T482" s="107"/>
    </row>
    <row r="483" spans="1:20" ht="22.35" customHeight="1" x14ac:dyDescent="0.2">
      <c r="F483" s="107"/>
      <c r="G483" s="107"/>
      <c r="H483" s="107"/>
      <c r="I483" s="107"/>
      <c r="J483" s="107"/>
      <c r="K483" s="107"/>
      <c r="L483" s="107"/>
      <c r="M483" s="107"/>
      <c r="N483" s="107"/>
      <c r="O483" s="107"/>
      <c r="P483" s="107"/>
      <c r="Q483" s="107"/>
      <c r="R483" s="107"/>
      <c r="S483" s="107"/>
      <c r="T483" s="107"/>
    </row>
    <row r="484" spans="1:20" ht="7.05" customHeight="1" x14ac:dyDescent="0.2">
      <c r="A484" s="106"/>
      <c r="B484" s="106"/>
      <c r="C484" s="106"/>
      <c r="D484" s="106"/>
      <c r="E484" s="106"/>
      <c r="F484" s="106"/>
      <c r="G484" s="106"/>
      <c r="H484" s="106"/>
      <c r="I484" s="106"/>
      <c r="J484" s="106"/>
      <c r="K484" s="106"/>
      <c r="L484" s="106"/>
      <c r="M484" s="106"/>
      <c r="N484" s="106"/>
      <c r="O484" s="106"/>
      <c r="P484" s="106"/>
      <c r="Q484" s="57"/>
      <c r="R484" s="106"/>
      <c r="S484" s="106"/>
      <c r="T484" s="106"/>
    </row>
    <row r="485" spans="1:20" ht="16.95" customHeight="1" x14ac:dyDescent="0.2">
      <c r="A485" s="108" t="s">
        <v>8</v>
      </c>
      <c r="B485" s="108"/>
      <c r="C485" s="108"/>
      <c r="D485" s="108"/>
      <c r="E485" s="108"/>
      <c r="F485" s="108"/>
      <c r="G485" s="108"/>
      <c r="H485" s="108"/>
      <c r="I485" s="108"/>
      <c r="J485" s="108"/>
      <c r="K485" s="108"/>
      <c r="L485" s="108"/>
      <c r="M485" s="108" t="s">
        <v>9</v>
      </c>
      <c r="N485" s="108"/>
      <c r="O485" s="108"/>
      <c r="P485" s="108"/>
      <c r="Q485" s="108"/>
      <c r="R485" s="108"/>
      <c r="S485" s="108"/>
      <c r="T485" s="108"/>
    </row>
    <row r="486" spans="1:20" ht="16.95" customHeight="1" x14ac:dyDescent="0.2">
      <c r="A486" s="108"/>
      <c r="B486" s="108"/>
      <c r="C486" s="108"/>
      <c r="D486" s="108"/>
      <c r="E486" s="108"/>
      <c r="F486" s="108"/>
      <c r="G486" s="108"/>
      <c r="H486" s="108"/>
      <c r="I486" s="108"/>
      <c r="J486" s="108"/>
      <c r="K486" s="108"/>
      <c r="L486" s="108"/>
      <c r="M486" s="108" t="s">
        <v>10</v>
      </c>
      <c r="N486" s="108"/>
      <c r="O486" s="108"/>
      <c r="P486" s="108"/>
      <c r="Q486" s="108" t="s">
        <v>11</v>
      </c>
      <c r="R486" s="108"/>
      <c r="S486" s="108"/>
      <c r="T486" s="108"/>
    </row>
    <row r="487" spans="1:20" ht="16.95" customHeight="1" x14ac:dyDescent="0.2">
      <c r="A487" s="108"/>
      <c r="B487" s="108"/>
      <c r="C487" s="108"/>
      <c r="D487" s="108"/>
      <c r="E487" s="108"/>
      <c r="F487" s="108"/>
      <c r="G487" s="108"/>
      <c r="H487" s="108"/>
      <c r="I487" s="108"/>
      <c r="J487" s="108"/>
      <c r="K487" s="108"/>
      <c r="L487" s="108"/>
      <c r="M487" s="108" t="s">
        <v>12</v>
      </c>
      <c r="N487" s="108"/>
      <c r="O487" s="108" t="s">
        <v>13</v>
      </c>
      <c r="P487" s="108"/>
      <c r="Q487" s="58" t="s">
        <v>14</v>
      </c>
      <c r="R487" s="108" t="s">
        <v>15</v>
      </c>
      <c r="S487" s="108"/>
      <c r="T487" s="108"/>
    </row>
    <row r="488" spans="1:20" ht="13.35" customHeight="1" x14ac:dyDescent="0.2">
      <c r="A488" s="109" t="s">
        <v>100</v>
      </c>
      <c r="B488" s="109"/>
      <c r="C488" s="109"/>
      <c r="D488" s="109"/>
      <c r="E488" s="109"/>
      <c r="F488" s="109"/>
      <c r="G488" s="109"/>
      <c r="H488" s="109"/>
      <c r="I488" s="109"/>
      <c r="J488" s="109"/>
      <c r="K488" s="109"/>
      <c r="L488" s="109"/>
      <c r="M488" s="109"/>
      <c r="N488" s="109"/>
      <c r="O488" s="109"/>
      <c r="P488" s="109"/>
      <c r="Q488" s="59"/>
      <c r="R488" s="109"/>
      <c r="S488" s="109"/>
      <c r="T488" s="109"/>
    </row>
    <row r="489" spans="1:20" ht="13.35" customHeight="1" x14ac:dyDescent="0.2">
      <c r="A489" s="109" t="s">
        <v>91</v>
      </c>
      <c r="B489" s="109"/>
      <c r="C489" s="109"/>
      <c r="D489" s="109"/>
      <c r="E489" s="109"/>
      <c r="F489" s="109"/>
      <c r="G489" s="109"/>
      <c r="H489" s="109"/>
      <c r="I489" s="109"/>
      <c r="J489" s="109"/>
      <c r="K489" s="109"/>
      <c r="L489" s="109"/>
      <c r="M489" s="109" t="s">
        <v>928</v>
      </c>
      <c r="N489" s="109"/>
      <c r="O489" s="109" t="s">
        <v>105</v>
      </c>
      <c r="P489" s="109"/>
      <c r="Q489" s="59" t="s">
        <v>239</v>
      </c>
      <c r="R489" s="109" t="s">
        <v>106</v>
      </c>
      <c r="S489" s="109"/>
      <c r="T489" s="109"/>
    </row>
    <row r="490" spans="1:20" ht="13.35" customHeight="1" x14ac:dyDescent="0.2">
      <c r="A490" s="109" t="s">
        <v>94</v>
      </c>
      <c r="B490" s="109"/>
      <c r="C490" s="109"/>
      <c r="D490" s="109"/>
      <c r="E490" s="109"/>
      <c r="F490" s="109"/>
      <c r="G490" s="109"/>
      <c r="H490" s="109"/>
      <c r="I490" s="109"/>
      <c r="J490" s="109"/>
      <c r="K490" s="109"/>
      <c r="L490" s="109"/>
      <c r="M490" s="109" t="s">
        <v>167</v>
      </c>
      <c r="N490" s="109"/>
      <c r="O490" s="109" t="s">
        <v>105</v>
      </c>
      <c r="P490" s="109"/>
      <c r="Q490" s="59" t="s">
        <v>177</v>
      </c>
      <c r="R490" s="109" t="s">
        <v>106</v>
      </c>
      <c r="S490" s="109"/>
      <c r="T490" s="109"/>
    </row>
    <row r="491" spans="1:20" ht="13.35" customHeight="1" x14ac:dyDescent="0.2">
      <c r="A491" s="109" t="s">
        <v>21</v>
      </c>
      <c r="B491" s="109"/>
      <c r="C491" s="109"/>
      <c r="D491" s="109"/>
      <c r="E491" s="109"/>
      <c r="F491" s="109"/>
      <c r="G491" s="109"/>
      <c r="H491" s="109"/>
      <c r="I491" s="109"/>
      <c r="J491" s="109"/>
      <c r="K491" s="109"/>
      <c r="L491" s="109"/>
      <c r="M491" s="109" t="s">
        <v>162</v>
      </c>
      <c r="N491" s="109"/>
      <c r="O491" s="109" t="s">
        <v>184</v>
      </c>
      <c r="P491" s="109"/>
      <c r="Q491" s="59" t="s">
        <v>128</v>
      </c>
      <c r="R491" s="109" t="s">
        <v>185</v>
      </c>
      <c r="S491" s="109"/>
      <c r="T491" s="109"/>
    </row>
    <row r="492" spans="1:20" ht="13.35" customHeight="1" x14ac:dyDescent="0.2">
      <c r="A492" s="109" t="s">
        <v>61</v>
      </c>
      <c r="B492" s="109"/>
      <c r="C492" s="109"/>
      <c r="D492" s="109"/>
      <c r="E492" s="109"/>
      <c r="F492" s="109"/>
      <c r="G492" s="109"/>
      <c r="H492" s="109"/>
      <c r="I492" s="109"/>
      <c r="J492" s="109"/>
      <c r="K492" s="109"/>
      <c r="L492" s="109"/>
      <c r="M492" s="109" t="s">
        <v>93</v>
      </c>
      <c r="N492" s="109"/>
      <c r="O492" s="109" t="s">
        <v>93</v>
      </c>
      <c r="P492" s="109"/>
      <c r="Q492" s="59" t="s">
        <v>416</v>
      </c>
      <c r="R492" s="109" t="s">
        <v>416</v>
      </c>
      <c r="S492" s="109"/>
      <c r="T492" s="109"/>
    </row>
    <row r="493" spans="1:20" ht="13.35" customHeight="1" x14ac:dyDescent="0.2">
      <c r="A493" s="183" t="s">
        <v>929</v>
      </c>
      <c r="B493" s="183"/>
      <c r="C493" s="183"/>
      <c r="D493" s="183"/>
      <c r="E493" s="183"/>
      <c r="F493" s="183"/>
      <c r="G493" s="183"/>
      <c r="H493" s="183"/>
      <c r="I493" s="183"/>
      <c r="J493" s="183"/>
      <c r="K493" s="183"/>
      <c r="L493" s="183"/>
      <c r="M493" s="183"/>
      <c r="N493" s="183"/>
      <c r="O493" s="183" t="s">
        <v>98</v>
      </c>
      <c r="P493" s="183"/>
      <c r="Q493" s="61"/>
      <c r="R493" s="183" t="s">
        <v>62</v>
      </c>
      <c r="S493" s="183"/>
      <c r="T493" s="183"/>
    </row>
    <row r="494" spans="1:20" ht="13.35" customHeight="1" x14ac:dyDescent="0.2">
      <c r="A494" s="109" t="s">
        <v>28</v>
      </c>
      <c r="B494" s="109"/>
      <c r="C494" s="109"/>
      <c r="D494" s="109"/>
      <c r="E494" s="109"/>
      <c r="F494" s="109"/>
      <c r="G494" s="109"/>
      <c r="H494" s="109"/>
      <c r="I494" s="109"/>
      <c r="J494" s="109"/>
      <c r="K494" s="109"/>
      <c r="L494" s="109"/>
      <c r="M494" s="109" t="s">
        <v>930</v>
      </c>
      <c r="N494" s="109"/>
      <c r="O494" s="109" t="s">
        <v>930</v>
      </c>
      <c r="P494" s="109"/>
      <c r="Q494" s="59" t="s">
        <v>908</v>
      </c>
      <c r="R494" s="109" t="s">
        <v>908</v>
      </c>
      <c r="S494" s="109"/>
      <c r="T494" s="109"/>
    </row>
    <row r="495" spans="1:20" ht="13.35" customHeight="1" x14ac:dyDescent="0.2">
      <c r="A495" s="109" t="s">
        <v>61</v>
      </c>
      <c r="B495" s="109"/>
      <c r="C495" s="109"/>
      <c r="D495" s="109"/>
      <c r="E495" s="109"/>
      <c r="F495" s="109"/>
      <c r="G495" s="109"/>
      <c r="H495" s="109"/>
      <c r="I495" s="109"/>
      <c r="J495" s="109"/>
      <c r="K495" s="109"/>
      <c r="L495" s="109"/>
      <c r="M495" s="109" t="s">
        <v>78</v>
      </c>
      <c r="N495" s="109"/>
      <c r="O495" s="109" t="s">
        <v>78</v>
      </c>
      <c r="P495" s="109"/>
      <c r="Q495" s="59" t="s">
        <v>80</v>
      </c>
      <c r="R495" s="109" t="s">
        <v>80</v>
      </c>
      <c r="S495" s="109"/>
      <c r="T495" s="109"/>
    </row>
    <row r="496" spans="1:20" ht="13.35" customHeight="1" x14ac:dyDescent="0.2">
      <c r="A496" s="109" t="s">
        <v>183</v>
      </c>
      <c r="B496" s="109"/>
      <c r="C496" s="109"/>
      <c r="D496" s="109"/>
      <c r="E496" s="109"/>
      <c r="F496" s="109"/>
      <c r="G496" s="109"/>
      <c r="H496" s="109"/>
      <c r="I496" s="109"/>
      <c r="J496" s="109"/>
      <c r="K496" s="109"/>
      <c r="L496" s="109"/>
      <c r="M496" s="109" t="s">
        <v>931</v>
      </c>
      <c r="N496" s="109"/>
      <c r="O496" s="109" t="s">
        <v>840</v>
      </c>
      <c r="P496" s="109"/>
      <c r="Q496" s="59" t="s">
        <v>932</v>
      </c>
      <c r="R496" s="109" t="s">
        <v>933</v>
      </c>
      <c r="S496" s="109"/>
      <c r="T496" s="109"/>
    </row>
    <row r="497" spans="1:20" ht="13.35" customHeight="1" x14ac:dyDescent="0.2">
      <c r="A497" s="109" t="s">
        <v>114</v>
      </c>
      <c r="B497" s="109"/>
      <c r="C497" s="109"/>
      <c r="D497" s="109"/>
      <c r="E497" s="109"/>
      <c r="F497" s="109"/>
      <c r="G497" s="109"/>
      <c r="H497" s="109"/>
      <c r="I497" s="109"/>
      <c r="J497" s="109"/>
      <c r="K497" s="109"/>
      <c r="L497" s="109"/>
      <c r="M497" s="109" t="s">
        <v>934</v>
      </c>
      <c r="N497" s="109"/>
      <c r="O497" s="109" t="s">
        <v>934</v>
      </c>
      <c r="P497" s="109"/>
      <c r="Q497" s="59" t="s">
        <v>935</v>
      </c>
      <c r="R497" s="109" t="s">
        <v>935</v>
      </c>
      <c r="S497" s="109"/>
      <c r="T497" s="109"/>
    </row>
    <row r="498" spans="1:20" ht="13.35" customHeight="1" x14ac:dyDescent="0.2">
      <c r="A498" s="109" t="s">
        <v>70</v>
      </c>
      <c r="B498" s="109"/>
      <c r="C498" s="109"/>
      <c r="D498" s="109"/>
      <c r="E498" s="109"/>
      <c r="F498" s="109"/>
      <c r="G498" s="109"/>
      <c r="H498" s="109"/>
      <c r="I498" s="109"/>
      <c r="J498" s="109"/>
      <c r="K498" s="109"/>
      <c r="L498" s="109"/>
      <c r="M498" s="109" t="s">
        <v>69</v>
      </c>
      <c r="N498" s="109"/>
      <c r="O498" s="109" t="s">
        <v>69</v>
      </c>
      <c r="P498" s="109"/>
      <c r="Q498" s="59" t="s">
        <v>392</v>
      </c>
      <c r="R498" s="109" t="s">
        <v>392</v>
      </c>
      <c r="S498" s="109"/>
      <c r="T498" s="109"/>
    </row>
    <row r="499" spans="1:20" ht="13.35" customHeight="1" x14ac:dyDescent="0.2">
      <c r="A499" s="109" t="s">
        <v>70</v>
      </c>
      <c r="B499" s="109"/>
      <c r="C499" s="109"/>
      <c r="D499" s="109"/>
      <c r="E499" s="109"/>
      <c r="F499" s="109"/>
      <c r="G499" s="109"/>
      <c r="H499" s="109"/>
      <c r="I499" s="109"/>
      <c r="J499" s="109"/>
      <c r="K499" s="109"/>
      <c r="L499" s="109"/>
      <c r="M499" s="109" t="s">
        <v>77</v>
      </c>
      <c r="N499" s="109"/>
      <c r="O499" s="109" t="s">
        <v>77</v>
      </c>
      <c r="P499" s="109"/>
      <c r="Q499" s="59" t="s">
        <v>79</v>
      </c>
      <c r="R499" s="109" t="s">
        <v>79</v>
      </c>
      <c r="S499" s="109"/>
      <c r="T499" s="109"/>
    </row>
    <row r="500" spans="1:20" ht="13.35" customHeight="1" x14ac:dyDescent="0.2">
      <c r="A500" s="109" t="s">
        <v>114</v>
      </c>
      <c r="B500" s="109"/>
      <c r="C500" s="109"/>
      <c r="D500" s="109"/>
      <c r="E500" s="109"/>
      <c r="F500" s="109"/>
      <c r="G500" s="109"/>
      <c r="H500" s="109"/>
      <c r="I500" s="109"/>
      <c r="J500" s="109"/>
      <c r="K500" s="109"/>
      <c r="L500" s="109"/>
      <c r="M500" s="109" t="s">
        <v>936</v>
      </c>
      <c r="N500" s="109"/>
      <c r="O500" s="109" t="s">
        <v>936</v>
      </c>
      <c r="P500" s="109"/>
      <c r="Q500" s="59" t="s">
        <v>937</v>
      </c>
      <c r="R500" s="109" t="s">
        <v>937</v>
      </c>
      <c r="S500" s="109"/>
      <c r="T500" s="109"/>
    </row>
    <row r="501" spans="1:20" ht="14.1" customHeight="1" x14ac:dyDescent="0.2">
      <c r="A501" s="110" t="s">
        <v>790</v>
      </c>
      <c r="B501" s="110"/>
      <c r="C501" s="110"/>
      <c r="D501" s="110"/>
      <c r="E501" s="110"/>
      <c r="F501" s="110"/>
      <c r="G501" s="110"/>
      <c r="H501" s="110"/>
      <c r="I501" s="110"/>
      <c r="J501" s="110"/>
      <c r="K501" s="110"/>
      <c r="L501" s="110"/>
      <c r="M501" s="110"/>
      <c r="N501" s="110"/>
      <c r="O501" s="110"/>
      <c r="P501" s="110"/>
      <c r="Q501" s="110"/>
      <c r="R501" s="110"/>
      <c r="S501" s="110"/>
      <c r="T501" s="110"/>
    </row>
    <row r="502" spans="1:20" ht="14.1" customHeight="1" x14ac:dyDescent="0.2"/>
    <row r="503" spans="1:20" ht="14.1" customHeight="1" x14ac:dyDescent="0.2">
      <c r="A503" s="111" t="s">
        <v>33</v>
      </c>
      <c r="B503" s="111"/>
      <c r="C503" s="111"/>
      <c r="D503" s="111"/>
      <c r="E503" s="111"/>
      <c r="F503" s="111"/>
      <c r="G503" s="111"/>
      <c r="H503" s="111"/>
      <c r="I503" s="111"/>
      <c r="J503" s="111"/>
      <c r="K503" s="111"/>
      <c r="L503" s="111"/>
      <c r="M503" s="111"/>
      <c r="N503" s="111"/>
    </row>
    <row r="504" spans="1:20" ht="13.35" customHeight="1" x14ac:dyDescent="0.2">
      <c r="A504" s="109" t="s">
        <v>34</v>
      </c>
      <c r="B504" s="109"/>
      <c r="C504" s="109"/>
      <c r="D504" s="109"/>
      <c r="E504" s="112">
        <v>2.4300000000000002</v>
      </c>
      <c r="F504" s="112"/>
      <c r="G504" s="60"/>
      <c r="H504" s="59" t="s">
        <v>35</v>
      </c>
      <c r="I504" s="112">
        <v>0.04</v>
      </c>
      <c r="J504" s="112"/>
      <c r="K504" s="60"/>
      <c r="L504" s="109" t="s">
        <v>36</v>
      </c>
      <c r="M504" s="109"/>
      <c r="N504" s="112">
        <v>29.73</v>
      </c>
      <c r="O504" s="112"/>
    </row>
    <row r="505" spans="1:20" ht="13.35" customHeight="1" x14ac:dyDescent="0.2">
      <c r="A505" s="109" t="s">
        <v>37</v>
      </c>
      <c r="B505" s="109"/>
      <c r="C505" s="109"/>
      <c r="D505" s="109"/>
      <c r="E505" s="112">
        <v>3.66</v>
      </c>
      <c r="F505" s="112"/>
      <c r="G505" s="60"/>
      <c r="H505" s="59" t="s">
        <v>38</v>
      </c>
      <c r="I505" s="112">
        <v>0.59</v>
      </c>
      <c r="J505" s="112"/>
      <c r="K505" s="60"/>
      <c r="L505" s="109" t="s">
        <v>39</v>
      </c>
      <c r="M505" s="109"/>
      <c r="N505" s="112">
        <v>9.7799999999999994</v>
      </c>
      <c r="O505" s="112"/>
    </row>
    <row r="506" spans="1:20" ht="13.35" customHeight="1" x14ac:dyDescent="0.2">
      <c r="A506" s="109" t="s">
        <v>40</v>
      </c>
      <c r="B506" s="109"/>
      <c r="C506" s="109"/>
      <c r="D506" s="109"/>
      <c r="E506" s="112">
        <v>11.94</v>
      </c>
      <c r="F506" s="112"/>
      <c r="G506" s="60"/>
      <c r="H506" s="59" t="s">
        <v>41</v>
      </c>
      <c r="I506" s="112">
        <v>0.21</v>
      </c>
      <c r="J506" s="112"/>
      <c r="K506" s="60"/>
      <c r="L506" s="109" t="s">
        <v>42</v>
      </c>
      <c r="M506" s="109"/>
      <c r="N506" s="112">
        <v>31.7</v>
      </c>
      <c r="O506" s="112"/>
    </row>
    <row r="507" spans="1:20" ht="13.35" customHeight="1" x14ac:dyDescent="0.2">
      <c r="A507" s="109" t="s">
        <v>43</v>
      </c>
      <c r="B507" s="109"/>
      <c r="C507" s="109"/>
      <c r="D507" s="109"/>
      <c r="E507" s="112">
        <v>94.27</v>
      </c>
      <c r="F507" s="112"/>
      <c r="G507" s="60"/>
      <c r="H507" s="59" t="s">
        <v>44</v>
      </c>
      <c r="I507" s="112">
        <v>0.27</v>
      </c>
      <c r="J507" s="112"/>
      <c r="K507" s="60"/>
      <c r="L507" s="109" t="s">
        <v>45</v>
      </c>
      <c r="M507" s="109"/>
      <c r="N507" s="112">
        <v>0.48</v>
      </c>
      <c r="O507" s="112"/>
    </row>
    <row r="508" spans="1:20" ht="13.35" customHeight="1" x14ac:dyDescent="0.2">
      <c r="A508" s="113"/>
      <c r="B508" s="113"/>
      <c r="C508" s="113"/>
      <c r="D508" s="113"/>
      <c r="E508" s="113"/>
      <c r="F508" s="113"/>
      <c r="G508" s="60"/>
      <c r="H508" s="59" t="s">
        <v>46</v>
      </c>
      <c r="I508" s="112">
        <v>0.17</v>
      </c>
      <c r="J508" s="112"/>
      <c r="K508" s="60"/>
      <c r="L508" s="109" t="s">
        <v>47</v>
      </c>
      <c r="M508" s="109"/>
      <c r="N508" s="112">
        <v>62.92</v>
      </c>
      <c r="O508" s="112"/>
    </row>
    <row r="509" spans="1:20" ht="13.35" customHeight="1" x14ac:dyDescent="0.2">
      <c r="A509" s="113"/>
      <c r="B509" s="113"/>
      <c r="C509" s="113"/>
      <c r="D509" s="113"/>
      <c r="E509" s="113"/>
      <c r="F509" s="113"/>
      <c r="G509" s="60"/>
      <c r="H509" s="59" t="s">
        <v>48</v>
      </c>
      <c r="I509" s="112">
        <v>0.04</v>
      </c>
      <c r="J509" s="112"/>
      <c r="K509" s="60"/>
      <c r="L509" s="109" t="s">
        <v>49</v>
      </c>
      <c r="M509" s="109"/>
      <c r="N509" s="112">
        <v>1.88</v>
      </c>
      <c r="O509" s="112"/>
    </row>
    <row r="510" spans="1:20" ht="13.35" customHeight="1" x14ac:dyDescent="0.2">
      <c r="A510" s="113"/>
      <c r="B510" s="113"/>
      <c r="C510" s="113"/>
      <c r="D510" s="113"/>
      <c r="E510" s="113"/>
      <c r="F510" s="113"/>
      <c r="G510" s="60"/>
      <c r="H510" s="60"/>
      <c r="I510" s="113"/>
      <c r="J510" s="113"/>
      <c r="K510" s="60"/>
      <c r="L510" s="109" t="s">
        <v>50</v>
      </c>
      <c r="M510" s="109"/>
      <c r="N510" s="112">
        <v>0.01</v>
      </c>
      <c r="O510" s="112"/>
    </row>
    <row r="511" spans="1:20" ht="13.35" customHeight="1" x14ac:dyDescent="0.2">
      <c r="A511" s="113"/>
      <c r="B511" s="113"/>
      <c r="C511" s="113"/>
      <c r="D511" s="113"/>
      <c r="E511" s="113"/>
      <c r="F511" s="113"/>
      <c r="G511" s="60"/>
      <c r="H511" s="60"/>
      <c r="I511" s="113"/>
      <c r="J511" s="113"/>
      <c r="K511" s="60"/>
      <c r="L511" s="109" t="s">
        <v>51</v>
      </c>
      <c r="M511" s="109"/>
      <c r="N511" s="112">
        <v>0.01</v>
      </c>
      <c r="O511" s="112"/>
    </row>
    <row r="512" spans="1:20" ht="14.1" customHeight="1" x14ac:dyDescent="0.2">
      <c r="A512" s="106"/>
      <c r="B512" s="106"/>
      <c r="C512" s="106"/>
      <c r="D512" s="106"/>
      <c r="E512" s="106"/>
      <c r="F512" s="106"/>
      <c r="G512" s="106"/>
      <c r="H512" s="106"/>
      <c r="I512" s="106"/>
      <c r="J512" s="106"/>
      <c r="K512" s="106"/>
      <c r="L512" s="106"/>
      <c r="M512" s="106"/>
      <c r="N512" s="106"/>
      <c r="O512" s="106"/>
      <c r="P512" s="106"/>
      <c r="Q512" s="106"/>
      <c r="R512" s="106"/>
      <c r="S512" s="106"/>
    </row>
    <row r="513" spans="1:19" ht="14.1" customHeight="1" x14ac:dyDescent="0.2">
      <c r="A513" s="111" t="s">
        <v>52</v>
      </c>
      <c r="B513" s="111"/>
      <c r="C513" s="111"/>
      <c r="D513" s="111"/>
      <c r="E513" s="111"/>
      <c r="F513" s="111"/>
      <c r="G513" s="111"/>
      <c r="H513" s="111"/>
      <c r="I513" s="111"/>
      <c r="J513" s="111"/>
      <c r="K513" s="111"/>
      <c r="L513" s="111"/>
      <c r="M513" s="111"/>
      <c r="N513" s="111"/>
      <c r="O513" s="111"/>
      <c r="P513" s="111"/>
      <c r="Q513" s="111"/>
      <c r="R513" s="111"/>
      <c r="S513" s="111"/>
    </row>
    <row r="514" spans="1:19" ht="86.1" customHeight="1" x14ac:dyDescent="0.2">
      <c r="A514" s="114" t="s">
        <v>938</v>
      </c>
      <c r="B514" s="114"/>
      <c r="C514" s="114"/>
      <c r="D514" s="114"/>
      <c r="E514" s="114"/>
      <c r="F514" s="114"/>
      <c r="G514" s="114"/>
      <c r="H514" s="114"/>
      <c r="I514" s="114"/>
      <c r="J514" s="114"/>
      <c r="K514" s="114"/>
      <c r="L514" s="114"/>
      <c r="M514" s="114"/>
      <c r="N514" s="114"/>
      <c r="O514" s="114"/>
      <c r="P514" s="114"/>
      <c r="Q514" s="114"/>
      <c r="R514" s="114"/>
      <c r="S514" s="114"/>
    </row>
    <row r="515" spans="1:19" ht="14.1" customHeight="1" x14ac:dyDescent="0.2">
      <c r="A515" s="106"/>
      <c r="B515" s="106"/>
      <c r="C515" s="106"/>
      <c r="D515" s="106"/>
      <c r="E515" s="106"/>
      <c r="F515" s="106"/>
      <c r="G515" s="106"/>
      <c r="H515" s="106"/>
      <c r="I515" s="106"/>
      <c r="J515" s="106"/>
      <c r="K515" s="106"/>
      <c r="L515" s="106"/>
      <c r="M515" s="106"/>
      <c r="N515" s="106"/>
      <c r="O515" s="106"/>
      <c r="P515" s="106"/>
      <c r="Q515" s="106"/>
      <c r="R515" s="106"/>
      <c r="S515" s="106"/>
    </row>
    <row r="516" spans="1:19" ht="14.1" customHeight="1" x14ac:dyDescent="0.2">
      <c r="A516" s="111" t="s">
        <v>56</v>
      </c>
      <c r="B516" s="111"/>
      <c r="C516" s="111"/>
      <c r="D516" s="111"/>
      <c r="E516" s="111"/>
      <c r="F516" s="111"/>
      <c r="G516" s="111"/>
      <c r="H516" s="111"/>
      <c r="I516" s="111"/>
      <c r="J516" s="111"/>
      <c r="K516" s="111"/>
      <c r="L516" s="111"/>
      <c r="M516" s="111"/>
      <c r="N516" s="111"/>
      <c r="O516" s="111"/>
      <c r="P516" s="111"/>
      <c r="Q516" s="111"/>
      <c r="R516" s="111"/>
      <c r="S516" s="111"/>
    </row>
    <row r="517" spans="1:19" ht="49.2" customHeight="1" x14ac:dyDescent="0.2">
      <c r="A517" s="114" t="s">
        <v>939</v>
      </c>
      <c r="B517" s="114"/>
      <c r="C517" s="114"/>
      <c r="D517" s="114"/>
      <c r="E517" s="114"/>
      <c r="F517" s="114"/>
      <c r="G517" s="114"/>
      <c r="H517" s="114"/>
      <c r="I517" s="114"/>
      <c r="J517" s="114"/>
      <c r="K517" s="114"/>
      <c r="L517" s="114"/>
      <c r="M517" s="114"/>
      <c r="N517" s="114"/>
      <c r="O517" s="114"/>
      <c r="P517" s="114"/>
      <c r="Q517" s="114"/>
      <c r="R517" s="114"/>
      <c r="S517" s="114"/>
    </row>
  </sheetData>
  <mergeCells count="1355">
    <mergeCell ref="A514:S514"/>
    <mergeCell ref="A515:S515"/>
    <mergeCell ref="A516:S516"/>
    <mergeCell ref="A517:S517"/>
    <mergeCell ref="A509:D509"/>
    <mergeCell ref="E509:F509"/>
    <mergeCell ref="I509:J509"/>
    <mergeCell ref="L509:M509"/>
    <mergeCell ref="N509:O509"/>
    <mergeCell ref="A510:D510"/>
    <mergeCell ref="E510:F510"/>
    <mergeCell ref="I510:J510"/>
    <mergeCell ref="L510:M510"/>
    <mergeCell ref="N510:O510"/>
    <mergeCell ref="A511:D511"/>
    <mergeCell ref="E511:F511"/>
    <mergeCell ref="I511:J511"/>
    <mergeCell ref="L511:M511"/>
    <mergeCell ref="N511:O511"/>
    <mergeCell ref="A512:S512"/>
    <mergeCell ref="A513:S513"/>
    <mergeCell ref="A505:D505"/>
    <mergeCell ref="E505:F505"/>
    <mergeCell ref="I505:J505"/>
    <mergeCell ref="L505:M505"/>
    <mergeCell ref="N505:O505"/>
    <mergeCell ref="A506:D506"/>
    <mergeCell ref="E506:F506"/>
    <mergeCell ref="I506:J506"/>
    <mergeCell ref="L506:M506"/>
    <mergeCell ref="N506:O506"/>
    <mergeCell ref="A507:D507"/>
    <mergeCell ref="E507:F507"/>
    <mergeCell ref="I507:J507"/>
    <mergeCell ref="L507:M507"/>
    <mergeCell ref="N507:O507"/>
    <mergeCell ref="A508:D508"/>
    <mergeCell ref="E508:F508"/>
    <mergeCell ref="I508:J508"/>
    <mergeCell ref="L508:M508"/>
    <mergeCell ref="N508:O508"/>
    <mergeCell ref="A498:L498"/>
    <mergeCell ref="M498:N498"/>
    <mergeCell ref="O498:P498"/>
    <mergeCell ref="R498:T498"/>
    <mergeCell ref="A499:L499"/>
    <mergeCell ref="M499:N499"/>
    <mergeCell ref="O499:P499"/>
    <mergeCell ref="R499:T499"/>
    <mergeCell ref="A500:L500"/>
    <mergeCell ref="M500:N500"/>
    <mergeCell ref="O500:P500"/>
    <mergeCell ref="R500:T500"/>
    <mergeCell ref="A501:T501"/>
    <mergeCell ref="A503:N503"/>
    <mergeCell ref="A504:D504"/>
    <mergeCell ref="E504:F504"/>
    <mergeCell ref="I504:J504"/>
    <mergeCell ref="L504:M504"/>
    <mergeCell ref="N504:O504"/>
    <mergeCell ref="A493:L493"/>
    <mergeCell ref="M493:N493"/>
    <mergeCell ref="O493:P493"/>
    <mergeCell ref="R493:T493"/>
    <mergeCell ref="A494:L494"/>
    <mergeCell ref="M494:N494"/>
    <mergeCell ref="O494:P494"/>
    <mergeCell ref="R494:T494"/>
    <mergeCell ref="A495:L495"/>
    <mergeCell ref="M495:N495"/>
    <mergeCell ref="O495:P495"/>
    <mergeCell ref="R495:T495"/>
    <mergeCell ref="A496:L496"/>
    <mergeCell ref="M496:N496"/>
    <mergeCell ref="O496:P496"/>
    <mergeCell ref="R496:T496"/>
    <mergeCell ref="A497:L497"/>
    <mergeCell ref="M497:N497"/>
    <mergeCell ref="O497:P497"/>
    <mergeCell ref="R497:T497"/>
    <mergeCell ref="A488:L488"/>
    <mergeCell ref="M488:N488"/>
    <mergeCell ref="O488:P488"/>
    <mergeCell ref="R488:T488"/>
    <mergeCell ref="A489:L489"/>
    <mergeCell ref="M489:N489"/>
    <mergeCell ref="O489:P489"/>
    <mergeCell ref="R489:T489"/>
    <mergeCell ref="A490:L490"/>
    <mergeCell ref="M490:N490"/>
    <mergeCell ref="O490:P490"/>
    <mergeCell ref="R490:T490"/>
    <mergeCell ref="A491:L491"/>
    <mergeCell ref="M491:N491"/>
    <mergeCell ref="O491:P491"/>
    <mergeCell ref="R491:T491"/>
    <mergeCell ref="A492:L492"/>
    <mergeCell ref="M492:N492"/>
    <mergeCell ref="O492:P492"/>
    <mergeCell ref="R492:T492"/>
    <mergeCell ref="J476:T476"/>
    <mergeCell ref="B478:R478"/>
    <mergeCell ref="A480:C480"/>
    <mergeCell ref="D480:T480"/>
    <mergeCell ref="A481:B481"/>
    <mergeCell ref="C481:T481"/>
    <mergeCell ref="A482:E482"/>
    <mergeCell ref="F482:T483"/>
    <mergeCell ref="A484:L484"/>
    <mergeCell ref="M484:N484"/>
    <mergeCell ref="O484:P484"/>
    <mergeCell ref="R484:T484"/>
    <mergeCell ref="A485:L487"/>
    <mergeCell ref="M485:T485"/>
    <mergeCell ref="M486:P486"/>
    <mergeCell ref="Q486:T486"/>
    <mergeCell ref="M487:N487"/>
    <mergeCell ref="O487:P487"/>
    <mergeCell ref="R487:T487"/>
    <mergeCell ref="A466:S466"/>
    <mergeCell ref="A467:S467"/>
    <mergeCell ref="A468:S468"/>
    <mergeCell ref="A471:S471"/>
    <mergeCell ref="A472:S472"/>
    <mergeCell ref="A473:S473"/>
    <mergeCell ref="A469:S469"/>
    <mergeCell ref="A470:S470"/>
    <mergeCell ref="A462:D462"/>
    <mergeCell ref="E462:F462"/>
    <mergeCell ref="I462:J462"/>
    <mergeCell ref="L462:M462"/>
    <mergeCell ref="N462:O462"/>
    <mergeCell ref="A463:D463"/>
    <mergeCell ref="E463:F463"/>
    <mergeCell ref="I463:J463"/>
    <mergeCell ref="L463:M463"/>
    <mergeCell ref="N463:O463"/>
    <mergeCell ref="A464:D464"/>
    <mergeCell ref="E464:F464"/>
    <mergeCell ref="I464:J464"/>
    <mergeCell ref="L464:M464"/>
    <mergeCell ref="N464:O464"/>
    <mergeCell ref="A465:D465"/>
    <mergeCell ref="E465:F465"/>
    <mergeCell ref="I465:J465"/>
    <mergeCell ref="L465:M465"/>
    <mergeCell ref="N465:O465"/>
    <mergeCell ref="A457:N457"/>
    <mergeCell ref="A458:D458"/>
    <mergeCell ref="E458:F458"/>
    <mergeCell ref="I458:J458"/>
    <mergeCell ref="L458:M458"/>
    <mergeCell ref="N458:O458"/>
    <mergeCell ref="A459:D459"/>
    <mergeCell ref="E459:F459"/>
    <mergeCell ref="I459:J459"/>
    <mergeCell ref="L459:M459"/>
    <mergeCell ref="N459:O459"/>
    <mergeCell ref="A460:D460"/>
    <mergeCell ref="E460:F460"/>
    <mergeCell ref="I460:J460"/>
    <mergeCell ref="L460:M460"/>
    <mergeCell ref="N460:O460"/>
    <mergeCell ref="A461:D461"/>
    <mergeCell ref="E461:F461"/>
    <mergeCell ref="I461:J461"/>
    <mergeCell ref="L461:M461"/>
    <mergeCell ref="N461:O461"/>
    <mergeCell ref="A451:L451"/>
    <mergeCell ref="M451:N451"/>
    <mergeCell ref="O451:P451"/>
    <mergeCell ref="R451:T451"/>
    <mergeCell ref="A452:L452"/>
    <mergeCell ref="M452:N452"/>
    <mergeCell ref="O452:P452"/>
    <mergeCell ref="R452:T452"/>
    <mergeCell ref="A453:L453"/>
    <mergeCell ref="M453:N453"/>
    <mergeCell ref="O453:P453"/>
    <mergeCell ref="R453:T453"/>
    <mergeCell ref="A454:L454"/>
    <mergeCell ref="M454:N454"/>
    <mergeCell ref="O454:P454"/>
    <mergeCell ref="R454:T454"/>
    <mergeCell ref="A455:T455"/>
    <mergeCell ref="A448:L448"/>
    <mergeCell ref="M448:N448"/>
    <mergeCell ref="O448:P448"/>
    <mergeCell ref="R448:T448"/>
    <mergeCell ref="A449:L449"/>
    <mergeCell ref="M449:N449"/>
    <mergeCell ref="O449:P449"/>
    <mergeCell ref="R449:T449"/>
    <mergeCell ref="A450:L450"/>
    <mergeCell ref="M450:N450"/>
    <mergeCell ref="O450:P450"/>
    <mergeCell ref="R450:T450"/>
    <mergeCell ref="J436:T436"/>
    <mergeCell ref="B438:R438"/>
    <mergeCell ref="A440:C440"/>
    <mergeCell ref="D440:T440"/>
    <mergeCell ref="A441:B441"/>
    <mergeCell ref="C441:T441"/>
    <mergeCell ref="A442:E442"/>
    <mergeCell ref="F442:T443"/>
    <mergeCell ref="A444:L444"/>
    <mergeCell ref="M444:N444"/>
    <mergeCell ref="O444:P444"/>
    <mergeCell ref="R444:T444"/>
    <mergeCell ref="A445:L447"/>
    <mergeCell ref="M445:T445"/>
    <mergeCell ref="M446:P446"/>
    <mergeCell ref="Q446:T446"/>
    <mergeCell ref="M447:N447"/>
    <mergeCell ref="O447:P447"/>
    <mergeCell ref="R447:T447"/>
    <mergeCell ref="A434:S434"/>
    <mergeCell ref="A428:S428"/>
    <mergeCell ref="A429:S429"/>
    <mergeCell ref="A430:S430"/>
    <mergeCell ref="A431:S431"/>
    <mergeCell ref="A432:S432"/>
    <mergeCell ref="A433:S433"/>
    <mergeCell ref="A426:D426"/>
    <mergeCell ref="E426:F426"/>
    <mergeCell ref="I426:J426"/>
    <mergeCell ref="L426:M426"/>
    <mergeCell ref="N426:O426"/>
    <mergeCell ref="A427:S427"/>
    <mergeCell ref="A424:D424"/>
    <mergeCell ref="E424:F424"/>
    <mergeCell ref="I424:J424"/>
    <mergeCell ref="L424:M424"/>
    <mergeCell ref="N424:O424"/>
    <mergeCell ref="A425:D425"/>
    <mergeCell ref="E425:F425"/>
    <mergeCell ref="I425:J425"/>
    <mergeCell ref="L425:M425"/>
    <mergeCell ref="N425:O425"/>
    <mergeCell ref="A422:D422"/>
    <mergeCell ref="E422:F422"/>
    <mergeCell ref="I422:J422"/>
    <mergeCell ref="L422:M422"/>
    <mergeCell ref="N422:O422"/>
    <mergeCell ref="A423:D423"/>
    <mergeCell ref="E423:F423"/>
    <mergeCell ref="I423:J423"/>
    <mergeCell ref="L423:M423"/>
    <mergeCell ref="N423:O423"/>
    <mergeCell ref="A420:D420"/>
    <mergeCell ref="E420:F420"/>
    <mergeCell ref="I420:J420"/>
    <mergeCell ref="L420:M420"/>
    <mergeCell ref="N420:O420"/>
    <mergeCell ref="A421:D421"/>
    <mergeCell ref="E421:F421"/>
    <mergeCell ref="I421:J421"/>
    <mergeCell ref="L421:M421"/>
    <mergeCell ref="N421:O421"/>
    <mergeCell ref="A416:T416"/>
    <mergeCell ref="A418:N418"/>
    <mergeCell ref="A419:D419"/>
    <mergeCell ref="E419:F419"/>
    <mergeCell ref="I419:J419"/>
    <mergeCell ref="L419:M419"/>
    <mergeCell ref="N419:O419"/>
    <mergeCell ref="A414:L414"/>
    <mergeCell ref="M414:N414"/>
    <mergeCell ref="O414:P414"/>
    <mergeCell ref="R414:T414"/>
    <mergeCell ref="A415:L415"/>
    <mergeCell ref="M415:N415"/>
    <mergeCell ref="O415:P415"/>
    <mergeCell ref="R415:T415"/>
    <mergeCell ref="A411:L411"/>
    <mergeCell ref="M411:N411"/>
    <mergeCell ref="O411:P411"/>
    <mergeCell ref="R411:T411"/>
    <mergeCell ref="A412:L412"/>
    <mergeCell ref="M412:N412"/>
    <mergeCell ref="O412:P412"/>
    <mergeCell ref="R412:T412"/>
    <mergeCell ref="A413:L413"/>
    <mergeCell ref="M413:N413"/>
    <mergeCell ref="O413:P413"/>
    <mergeCell ref="R413:T413"/>
    <mergeCell ref="A409:L409"/>
    <mergeCell ref="M409:N409"/>
    <mergeCell ref="O409:P409"/>
    <mergeCell ref="R409:T409"/>
    <mergeCell ref="A410:L410"/>
    <mergeCell ref="M410:N410"/>
    <mergeCell ref="O410:P410"/>
    <mergeCell ref="R410:T410"/>
    <mergeCell ref="A408:L408"/>
    <mergeCell ref="M408:N408"/>
    <mergeCell ref="O408:P408"/>
    <mergeCell ref="R408:T408"/>
    <mergeCell ref="A406:L406"/>
    <mergeCell ref="M406:N406"/>
    <mergeCell ref="O406:P406"/>
    <mergeCell ref="R406:T406"/>
    <mergeCell ref="A407:L407"/>
    <mergeCell ref="M407:N407"/>
    <mergeCell ref="O407:P407"/>
    <mergeCell ref="R407:T407"/>
    <mergeCell ref="A403:L405"/>
    <mergeCell ref="M403:T403"/>
    <mergeCell ref="M404:P404"/>
    <mergeCell ref="Q404:T404"/>
    <mergeCell ref="M405:N405"/>
    <mergeCell ref="O405:P405"/>
    <mergeCell ref="R405:T405"/>
    <mergeCell ref="A400:E400"/>
    <mergeCell ref="F400:T401"/>
    <mergeCell ref="A402:L402"/>
    <mergeCell ref="M402:N402"/>
    <mergeCell ref="O402:P402"/>
    <mergeCell ref="R402:T402"/>
    <mergeCell ref="A391:S391"/>
    <mergeCell ref="J394:T394"/>
    <mergeCell ref="B396:R396"/>
    <mergeCell ref="A398:C398"/>
    <mergeCell ref="D398:T398"/>
    <mergeCell ref="A399:B399"/>
    <mergeCell ref="C399:T399"/>
    <mergeCell ref="A385:S385"/>
    <mergeCell ref="A386:S386"/>
    <mergeCell ref="A387:S387"/>
    <mergeCell ref="A388:S388"/>
    <mergeCell ref="A389:S389"/>
    <mergeCell ref="A390:S390"/>
    <mergeCell ref="A383:D383"/>
    <mergeCell ref="E383:F383"/>
    <mergeCell ref="I383:J383"/>
    <mergeCell ref="L383:M383"/>
    <mergeCell ref="N383:O383"/>
    <mergeCell ref="A384:S384"/>
    <mergeCell ref="A381:D381"/>
    <mergeCell ref="E381:F381"/>
    <mergeCell ref="I381:J381"/>
    <mergeCell ref="L381:M381"/>
    <mergeCell ref="N381:O381"/>
    <mergeCell ref="A382:D382"/>
    <mergeCell ref="E382:F382"/>
    <mergeCell ref="I382:J382"/>
    <mergeCell ref="L382:M382"/>
    <mergeCell ref="N382:O382"/>
    <mergeCell ref="A379:D379"/>
    <mergeCell ref="E379:F379"/>
    <mergeCell ref="I379:J379"/>
    <mergeCell ref="L379:M379"/>
    <mergeCell ref="N379:O379"/>
    <mergeCell ref="A380:D380"/>
    <mergeCell ref="E380:F380"/>
    <mergeCell ref="I380:J380"/>
    <mergeCell ref="L380:M380"/>
    <mergeCell ref="N380:O380"/>
    <mergeCell ref="A377:D377"/>
    <mergeCell ref="E377:F377"/>
    <mergeCell ref="I377:J377"/>
    <mergeCell ref="L377:M377"/>
    <mergeCell ref="N377:O377"/>
    <mergeCell ref="A378:D378"/>
    <mergeCell ref="E378:F378"/>
    <mergeCell ref="I378:J378"/>
    <mergeCell ref="L378:M378"/>
    <mergeCell ref="N378:O378"/>
    <mergeCell ref="A373:T373"/>
    <mergeCell ref="A375:N375"/>
    <mergeCell ref="A376:D376"/>
    <mergeCell ref="E376:F376"/>
    <mergeCell ref="I376:J376"/>
    <mergeCell ref="L376:M376"/>
    <mergeCell ref="N376:O376"/>
    <mergeCell ref="A371:L371"/>
    <mergeCell ref="M371:N371"/>
    <mergeCell ref="O371:P371"/>
    <mergeCell ref="R371:T371"/>
    <mergeCell ref="A372:L372"/>
    <mergeCell ref="M372:N372"/>
    <mergeCell ref="O372:P372"/>
    <mergeCell ref="R372:T372"/>
    <mergeCell ref="A369:L369"/>
    <mergeCell ref="M369:N369"/>
    <mergeCell ref="O369:P369"/>
    <mergeCell ref="R369:T369"/>
    <mergeCell ref="A370:L370"/>
    <mergeCell ref="M370:N370"/>
    <mergeCell ref="O370:P370"/>
    <mergeCell ref="R370:T370"/>
    <mergeCell ref="A367:L367"/>
    <mergeCell ref="M367:N367"/>
    <mergeCell ref="O367:P367"/>
    <mergeCell ref="R367:T367"/>
    <mergeCell ref="A368:L368"/>
    <mergeCell ref="M368:N368"/>
    <mergeCell ref="O368:P368"/>
    <mergeCell ref="R368:T368"/>
    <mergeCell ref="A365:L365"/>
    <mergeCell ref="M365:N365"/>
    <mergeCell ref="O365:P365"/>
    <mergeCell ref="R365:T365"/>
    <mergeCell ref="A366:L366"/>
    <mergeCell ref="M366:N366"/>
    <mergeCell ref="O366:P366"/>
    <mergeCell ref="R366:T366"/>
    <mergeCell ref="A363:L363"/>
    <mergeCell ref="M363:N363"/>
    <mergeCell ref="O363:P363"/>
    <mergeCell ref="R363:T363"/>
    <mergeCell ref="A364:L364"/>
    <mergeCell ref="M364:N364"/>
    <mergeCell ref="O364:P364"/>
    <mergeCell ref="R364:T364"/>
    <mergeCell ref="A360:L362"/>
    <mergeCell ref="M360:T360"/>
    <mergeCell ref="M361:P361"/>
    <mergeCell ref="Q361:T361"/>
    <mergeCell ref="M362:N362"/>
    <mergeCell ref="O362:P362"/>
    <mergeCell ref="R362:T362"/>
    <mergeCell ref="A357:E357"/>
    <mergeCell ref="F357:T358"/>
    <mergeCell ref="A359:L359"/>
    <mergeCell ref="M359:N359"/>
    <mergeCell ref="O359:P359"/>
    <mergeCell ref="R359:T359"/>
    <mergeCell ref="A350:S350"/>
    <mergeCell ref="J351:T351"/>
    <mergeCell ref="B353:R353"/>
    <mergeCell ref="A355:C355"/>
    <mergeCell ref="D355:T355"/>
    <mergeCell ref="A356:B356"/>
    <mergeCell ref="C356:T356"/>
    <mergeCell ref="A344:S344"/>
    <mergeCell ref="A345:S345"/>
    <mergeCell ref="A346:S346"/>
    <mergeCell ref="A347:S347"/>
    <mergeCell ref="A348:S348"/>
    <mergeCell ref="A349:S349"/>
    <mergeCell ref="A342:D342"/>
    <mergeCell ref="E342:F342"/>
    <mergeCell ref="I342:J342"/>
    <mergeCell ref="L342:M342"/>
    <mergeCell ref="N342:O342"/>
    <mergeCell ref="A343:S343"/>
    <mergeCell ref="A340:D340"/>
    <mergeCell ref="E340:F340"/>
    <mergeCell ref="I340:J340"/>
    <mergeCell ref="L340:M340"/>
    <mergeCell ref="N340:O340"/>
    <mergeCell ref="A341:D341"/>
    <mergeCell ref="E341:F341"/>
    <mergeCell ref="I341:J341"/>
    <mergeCell ref="L341:M341"/>
    <mergeCell ref="N341:O341"/>
    <mergeCell ref="A338:D338"/>
    <mergeCell ref="E338:F338"/>
    <mergeCell ref="I338:J338"/>
    <mergeCell ref="L338:M338"/>
    <mergeCell ref="N338:O338"/>
    <mergeCell ref="A339:D339"/>
    <mergeCell ref="E339:F339"/>
    <mergeCell ref="I339:J339"/>
    <mergeCell ref="L339:M339"/>
    <mergeCell ref="N339:O339"/>
    <mergeCell ref="A336:D336"/>
    <mergeCell ref="E336:F336"/>
    <mergeCell ref="I336:J336"/>
    <mergeCell ref="L336:M336"/>
    <mergeCell ref="N336:O336"/>
    <mergeCell ref="A337:D337"/>
    <mergeCell ref="E337:F337"/>
    <mergeCell ref="I337:J337"/>
    <mergeCell ref="L337:M337"/>
    <mergeCell ref="N337:O337"/>
    <mergeCell ref="A334:N334"/>
    <mergeCell ref="A335:D335"/>
    <mergeCell ref="E335:F335"/>
    <mergeCell ref="I335:J335"/>
    <mergeCell ref="L335:M335"/>
    <mergeCell ref="N335:O335"/>
    <mergeCell ref="A330:L330"/>
    <mergeCell ref="M330:N330"/>
    <mergeCell ref="O330:P330"/>
    <mergeCell ref="R330:T330"/>
    <mergeCell ref="A331:L331"/>
    <mergeCell ref="M331:N331"/>
    <mergeCell ref="O331:P331"/>
    <mergeCell ref="R331:T331"/>
    <mergeCell ref="A327:L327"/>
    <mergeCell ref="M327:N327"/>
    <mergeCell ref="O327:P327"/>
    <mergeCell ref="R327:T327"/>
    <mergeCell ref="A328:L328"/>
    <mergeCell ref="M328:N328"/>
    <mergeCell ref="O328:P328"/>
    <mergeCell ref="R328:T328"/>
    <mergeCell ref="A329:L329"/>
    <mergeCell ref="M329:N329"/>
    <mergeCell ref="O329:P329"/>
    <mergeCell ref="R329:T329"/>
    <mergeCell ref="A326:L326"/>
    <mergeCell ref="M326:N326"/>
    <mergeCell ref="O326:P326"/>
    <mergeCell ref="R326:T326"/>
    <mergeCell ref="A325:L325"/>
    <mergeCell ref="M325:N325"/>
    <mergeCell ref="O325:P325"/>
    <mergeCell ref="R325:T325"/>
    <mergeCell ref="A323:L323"/>
    <mergeCell ref="M323:N323"/>
    <mergeCell ref="O323:P323"/>
    <mergeCell ref="R323:T323"/>
    <mergeCell ref="A324:L324"/>
    <mergeCell ref="M324:N324"/>
    <mergeCell ref="O324:P324"/>
    <mergeCell ref="R324:T324"/>
    <mergeCell ref="A332:T332"/>
    <mergeCell ref="A320:L322"/>
    <mergeCell ref="M320:T320"/>
    <mergeCell ref="M321:P321"/>
    <mergeCell ref="Q321:T321"/>
    <mergeCell ref="M322:N322"/>
    <mergeCell ref="O322:P322"/>
    <mergeCell ref="R322:T322"/>
    <mergeCell ref="A316:B316"/>
    <mergeCell ref="C316:T316"/>
    <mergeCell ref="A317:E317"/>
    <mergeCell ref="F317:T318"/>
    <mergeCell ref="A319:L319"/>
    <mergeCell ref="M319:N319"/>
    <mergeCell ref="O319:P319"/>
    <mergeCell ref="R319:T319"/>
    <mergeCell ref="A308:S308"/>
    <mergeCell ref="A309:S309"/>
    <mergeCell ref="A310:S310"/>
    <mergeCell ref="J311:T311"/>
    <mergeCell ref="B313:R313"/>
    <mergeCell ref="A315:C315"/>
    <mergeCell ref="D315:T315"/>
    <mergeCell ref="A302:S302"/>
    <mergeCell ref="A303:S303"/>
    <mergeCell ref="A304:S304"/>
    <mergeCell ref="A305:S305"/>
    <mergeCell ref="A306:S306"/>
    <mergeCell ref="A307:S307"/>
    <mergeCell ref="A300:D300"/>
    <mergeCell ref="E300:F300"/>
    <mergeCell ref="I300:J300"/>
    <mergeCell ref="L300:M300"/>
    <mergeCell ref="N300:O300"/>
    <mergeCell ref="A301:D301"/>
    <mergeCell ref="E301:F301"/>
    <mergeCell ref="I301:J301"/>
    <mergeCell ref="L301:M301"/>
    <mergeCell ref="N301:O301"/>
    <mergeCell ref="A298:D298"/>
    <mergeCell ref="E298:F298"/>
    <mergeCell ref="I298:J298"/>
    <mergeCell ref="L298:M298"/>
    <mergeCell ref="N298:O298"/>
    <mergeCell ref="A299:D299"/>
    <mergeCell ref="E299:F299"/>
    <mergeCell ref="I299:J299"/>
    <mergeCell ref="L299:M299"/>
    <mergeCell ref="N299:O299"/>
    <mergeCell ref="A296:D296"/>
    <mergeCell ref="E296:F296"/>
    <mergeCell ref="I296:J296"/>
    <mergeCell ref="L296:M296"/>
    <mergeCell ref="N296:O296"/>
    <mergeCell ref="A297:D297"/>
    <mergeCell ref="E297:F297"/>
    <mergeCell ref="I297:J297"/>
    <mergeCell ref="L297:M297"/>
    <mergeCell ref="N297:O297"/>
    <mergeCell ref="A294:D294"/>
    <mergeCell ref="E294:F294"/>
    <mergeCell ref="I294:J294"/>
    <mergeCell ref="L294:M294"/>
    <mergeCell ref="N294:O294"/>
    <mergeCell ref="A295:D295"/>
    <mergeCell ref="E295:F295"/>
    <mergeCell ref="I295:J295"/>
    <mergeCell ref="L295:M295"/>
    <mergeCell ref="N295:O295"/>
    <mergeCell ref="A290:L290"/>
    <mergeCell ref="M290:N290"/>
    <mergeCell ref="O290:P290"/>
    <mergeCell ref="R290:T290"/>
    <mergeCell ref="A291:T291"/>
    <mergeCell ref="A293:N293"/>
    <mergeCell ref="A287:L287"/>
    <mergeCell ref="M287:N287"/>
    <mergeCell ref="O287:P287"/>
    <mergeCell ref="R287:T287"/>
    <mergeCell ref="A289:L289"/>
    <mergeCell ref="M289:N289"/>
    <mergeCell ref="O289:P289"/>
    <mergeCell ref="R289:T289"/>
    <mergeCell ref="A286:L286"/>
    <mergeCell ref="M286:N286"/>
    <mergeCell ref="O286:P286"/>
    <mergeCell ref="R286:T286"/>
    <mergeCell ref="A288:L288"/>
    <mergeCell ref="M288:N288"/>
    <mergeCell ref="O288:P288"/>
    <mergeCell ref="R288:T288"/>
    <mergeCell ref="A284:L284"/>
    <mergeCell ref="M284:N284"/>
    <mergeCell ref="O284:P284"/>
    <mergeCell ref="R284:T284"/>
    <mergeCell ref="A285:L285"/>
    <mergeCell ref="M285:N285"/>
    <mergeCell ref="O285:P285"/>
    <mergeCell ref="R285:T285"/>
    <mergeCell ref="A283:L283"/>
    <mergeCell ref="M283:N283"/>
    <mergeCell ref="O283:P283"/>
    <mergeCell ref="R283:T283"/>
    <mergeCell ref="A280:L282"/>
    <mergeCell ref="M280:T280"/>
    <mergeCell ref="M281:P281"/>
    <mergeCell ref="Q281:T281"/>
    <mergeCell ref="M282:N282"/>
    <mergeCell ref="O282:P282"/>
    <mergeCell ref="R282:T282"/>
    <mergeCell ref="A276:B276"/>
    <mergeCell ref="C276:T276"/>
    <mergeCell ref="A277:E277"/>
    <mergeCell ref="F277:T278"/>
    <mergeCell ref="A279:L279"/>
    <mergeCell ref="M279:N279"/>
    <mergeCell ref="O279:P279"/>
    <mergeCell ref="R279:T279"/>
    <mergeCell ref="A269:S269"/>
    <mergeCell ref="A270:S270"/>
    <mergeCell ref="J271:T271"/>
    <mergeCell ref="B273:R273"/>
    <mergeCell ref="A275:C275"/>
    <mergeCell ref="D275:T275"/>
    <mergeCell ref="A263:S263"/>
    <mergeCell ref="A264:S264"/>
    <mergeCell ref="A265:S265"/>
    <mergeCell ref="A266:S266"/>
    <mergeCell ref="A267:S267"/>
    <mergeCell ref="A268:S268"/>
    <mergeCell ref="A261:D261"/>
    <mergeCell ref="E261:F261"/>
    <mergeCell ref="I261:J261"/>
    <mergeCell ref="L261:M261"/>
    <mergeCell ref="N261:O261"/>
    <mergeCell ref="A262:S262"/>
    <mergeCell ref="A259:D259"/>
    <mergeCell ref="E259:F259"/>
    <mergeCell ref="I259:J259"/>
    <mergeCell ref="L259:M259"/>
    <mergeCell ref="N259:O259"/>
    <mergeCell ref="A260:D260"/>
    <mergeCell ref="E260:F260"/>
    <mergeCell ref="I260:J260"/>
    <mergeCell ref="L260:M260"/>
    <mergeCell ref="N260:O260"/>
    <mergeCell ref="A257:D257"/>
    <mergeCell ref="E257:F257"/>
    <mergeCell ref="I257:J257"/>
    <mergeCell ref="L257:M257"/>
    <mergeCell ref="N257:O257"/>
    <mergeCell ref="A258:D258"/>
    <mergeCell ref="E258:F258"/>
    <mergeCell ref="I258:J258"/>
    <mergeCell ref="L258:M258"/>
    <mergeCell ref="N258:O258"/>
    <mergeCell ref="A255:D255"/>
    <mergeCell ref="E255:F255"/>
    <mergeCell ref="I255:J255"/>
    <mergeCell ref="L255:M255"/>
    <mergeCell ref="N255:O255"/>
    <mergeCell ref="A256:D256"/>
    <mergeCell ref="E256:F256"/>
    <mergeCell ref="I256:J256"/>
    <mergeCell ref="L256:M256"/>
    <mergeCell ref="N256:O256"/>
    <mergeCell ref="A251:T251"/>
    <mergeCell ref="A253:N253"/>
    <mergeCell ref="A254:D254"/>
    <mergeCell ref="E254:F254"/>
    <mergeCell ref="I254:J254"/>
    <mergeCell ref="L254:M254"/>
    <mergeCell ref="N254:O254"/>
    <mergeCell ref="A245:L245"/>
    <mergeCell ref="M245:N245"/>
    <mergeCell ref="O245:P245"/>
    <mergeCell ref="R245:T245"/>
    <mergeCell ref="A243:L243"/>
    <mergeCell ref="M243:N243"/>
    <mergeCell ref="O243:P243"/>
    <mergeCell ref="R243:T243"/>
    <mergeCell ref="A249:L249"/>
    <mergeCell ref="M249:N249"/>
    <mergeCell ref="O249:P249"/>
    <mergeCell ref="R249:T249"/>
    <mergeCell ref="A250:L250"/>
    <mergeCell ref="M250:N250"/>
    <mergeCell ref="O250:P250"/>
    <mergeCell ref="R250:T250"/>
    <mergeCell ref="A246:L246"/>
    <mergeCell ref="M246:N246"/>
    <mergeCell ref="O246:P246"/>
    <mergeCell ref="R246:T246"/>
    <mergeCell ref="A248:L248"/>
    <mergeCell ref="M248:N248"/>
    <mergeCell ref="O248:P248"/>
    <mergeCell ref="R248:T248"/>
    <mergeCell ref="A247:L247"/>
    <mergeCell ref="M247:N247"/>
    <mergeCell ref="O247:P247"/>
    <mergeCell ref="R247:T247"/>
    <mergeCell ref="A241:L241"/>
    <mergeCell ref="M241:N241"/>
    <mergeCell ref="O241:P241"/>
    <mergeCell ref="R241:T241"/>
    <mergeCell ref="A242:L242"/>
    <mergeCell ref="M242:N242"/>
    <mergeCell ref="O242:P242"/>
    <mergeCell ref="R242:T242"/>
    <mergeCell ref="A238:L240"/>
    <mergeCell ref="M238:T238"/>
    <mergeCell ref="M239:P239"/>
    <mergeCell ref="Q239:T239"/>
    <mergeCell ref="M240:N240"/>
    <mergeCell ref="O240:P240"/>
    <mergeCell ref="R240:T240"/>
    <mergeCell ref="A244:L244"/>
    <mergeCell ref="M244:N244"/>
    <mergeCell ref="O244:P244"/>
    <mergeCell ref="R244:T244"/>
    <mergeCell ref="A234:B234"/>
    <mergeCell ref="C234:T234"/>
    <mergeCell ref="A235:E235"/>
    <mergeCell ref="F235:T236"/>
    <mergeCell ref="A237:L237"/>
    <mergeCell ref="M237:N237"/>
    <mergeCell ref="O237:P237"/>
    <mergeCell ref="R237:T237"/>
    <mergeCell ref="A227:S227"/>
    <mergeCell ref="A228:S228"/>
    <mergeCell ref="J229:T229"/>
    <mergeCell ref="B231:R231"/>
    <mergeCell ref="A233:C233"/>
    <mergeCell ref="D233:T233"/>
    <mergeCell ref="A221:S221"/>
    <mergeCell ref="A222:S222"/>
    <mergeCell ref="A223:S223"/>
    <mergeCell ref="A224:S224"/>
    <mergeCell ref="A225:S225"/>
    <mergeCell ref="A226:S226"/>
    <mergeCell ref="A219:D219"/>
    <mergeCell ref="E219:F219"/>
    <mergeCell ref="I219:J219"/>
    <mergeCell ref="L219:M219"/>
    <mergeCell ref="N219:O219"/>
    <mergeCell ref="A220:D220"/>
    <mergeCell ref="E220:F220"/>
    <mergeCell ref="I220:J220"/>
    <mergeCell ref="L220:M220"/>
    <mergeCell ref="N220:O220"/>
    <mergeCell ref="A217:D217"/>
    <mergeCell ref="E217:F217"/>
    <mergeCell ref="I217:J217"/>
    <mergeCell ref="L217:M217"/>
    <mergeCell ref="N217:O217"/>
    <mergeCell ref="A218:D218"/>
    <mergeCell ref="E218:F218"/>
    <mergeCell ref="I218:J218"/>
    <mergeCell ref="L218:M218"/>
    <mergeCell ref="N218:O218"/>
    <mergeCell ref="A215:D215"/>
    <mergeCell ref="E215:F215"/>
    <mergeCell ref="I215:J215"/>
    <mergeCell ref="L215:M215"/>
    <mergeCell ref="N215:O215"/>
    <mergeCell ref="A216:D216"/>
    <mergeCell ref="E216:F216"/>
    <mergeCell ref="I216:J216"/>
    <mergeCell ref="L216:M216"/>
    <mergeCell ref="N216:O216"/>
    <mergeCell ref="A213:D213"/>
    <mergeCell ref="E213:F213"/>
    <mergeCell ref="I213:J213"/>
    <mergeCell ref="L213:M213"/>
    <mergeCell ref="N213:O213"/>
    <mergeCell ref="A214:D214"/>
    <mergeCell ref="E214:F214"/>
    <mergeCell ref="I214:J214"/>
    <mergeCell ref="L214:M214"/>
    <mergeCell ref="N214:O214"/>
    <mergeCell ref="A209:L209"/>
    <mergeCell ref="M209:N209"/>
    <mergeCell ref="O209:P209"/>
    <mergeCell ref="R209:T209"/>
    <mergeCell ref="A210:T210"/>
    <mergeCell ref="A212:N212"/>
    <mergeCell ref="A207:L207"/>
    <mergeCell ref="M207:N207"/>
    <mergeCell ref="O207:P207"/>
    <mergeCell ref="R207:T207"/>
    <mergeCell ref="A208:L208"/>
    <mergeCell ref="M208:N208"/>
    <mergeCell ref="O208:P208"/>
    <mergeCell ref="R208:T208"/>
    <mergeCell ref="A205:L205"/>
    <mergeCell ref="M205:N205"/>
    <mergeCell ref="O205:P205"/>
    <mergeCell ref="R205:T205"/>
    <mergeCell ref="A206:L206"/>
    <mergeCell ref="M206:N206"/>
    <mergeCell ref="O206:P206"/>
    <mergeCell ref="R206:T206"/>
    <mergeCell ref="A203:L203"/>
    <mergeCell ref="M203:N203"/>
    <mergeCell ref="O203:P203"/>
    <mergeCell ref="R203:T203"/>
    <mergeCell ref="A204:L204"/>
    <mergeCell ref="M204:N204"/>
    <mergeCell ref="O204:P204"/>
    <mergeCell ref="R204:T204"/>
    <mergeCell ref="A201:L201"/>
    <mergeCell ref="M201:N201"/>
    <mergeCell ref="O201:P201"/>
    <mergeCell ref="R201:T201"/>
    <mergeCell ref="A202:L202"/>
    <mergeCell ref="M202:N202"/>
    <mergeCell ref="O202:P202"/>
    <mergeCell ref="R202:T202"/>
    <mergeCell ref="A198:L200"/>
    <mergeCell ref="M198:T198"/>
    <mergeCell ref="M199:P199"/>
    <mergeCell ref="Q199:T199"/>
    <mergeCell ref="M200:N200"/>
    <mergeCell ref="O200:P200"/>
    <mergeCell ref="R200:T200"/>
    <mergeCell ref="A194:B194"/>
    <mergeCell ref="C194:T194"/>
    <mergeCell ref="A195:E195"/>
    <mergeCell ref="F195:T196"/>
    <mergeCell ref="A197:L197"/>
    <mergeCell ref="M197:N197"/>
    <mergeCell ref="O197:P197"/>
    <mergeCell ref="R197:T197"/>
    <mergeCell ref="A187:S187"/>
    <mergeCell ref="A188:S188"/>
    <mergeCell ref="J189:T189"/>
    <mergeCell ref="B191:R191"/>
    <mergeCell ref="A193:C193"/>
    <mergeCell ref="D193:T193"/>
    <mergeCell ref="A181:S181"/>
    <mergeCell ref="A182:S182"/>
    <mergeCell ref="A183:S183"/>
    <mergeCell ref="A184:S184"/>
    <mergeCell ref="A185:S185"/>
    <mergeCell ref="A186:S186"/>
    <mergeCell ref="A179:D179"/>
    <mergeCell ref="E179:F179"/>
    <mergeCell ref="I179:J179"/>
    <mergeCell ref="L179:M179"/>
    <mergeCell ref="N179:O179"/>
    <mergeCell ref="A180:S180"/>
    <mergeCell ref="A177:D177"/>
    <mergeCell ref="E177:F177"/>
    <mergeCell ref="I177:J177"/>
    <mergeCell ref="L177:M177"/>
    <mergeCell ref="N177:O177"/>
    <mergeCell ref="A178:D178"/>
    <mergeCell ref="E178:F178"/>
    <mergeCell ref="I178:J178"/>
    <mergeCell ref="L178:M178"/>
    <mergeCell ref="N178:O178"/>
    <mergeCell ref="A175:D175"/>
    <mergeCell ref="E175:F175"/>
    <mergeCell ref="I175:J175"/>
    <mergeCell ref="L175:M175"/>
    <mergeCell ref="N175:O175"/>
    <mergeCell ref="A176:D176"/>
    <mergeCell ref="E176:F176"/>
    <mergeCell ref="I176:J176"/>
    <mergeCell ref="L176:M176"/>
    <mergeCell ref="N176:O176"/>
    <mergeCell ref="A173:D173"/>
    <mergeCell ref="E173:F173"/>
    <mergeCell ref="I173:J173"/>
    <mergeCell ref="L173:M173"/>
    <mergeCell ref="N173:O173"/>
    <mergeCell ref="A174:D174"/>
    <mergeCell ref="E174:F174"/>
    <mergeCell ref="I174:J174"/>
    <mergeCell ref="L174:M174"/>
    <mergeCell ref="N174:O174"/>
    <mergeCell ref="A169:T169"/>
    <mergeCell ref="A171:N171"/>
    <mergeCell ref="A172:D172"/>
    <mergeCell ref="E172:F172"/>
    <mergeCell ref="I172:J172"/>
    <mergeCell ref="L172:M172"/>
    <mergeCell ref="N172:O172"/>
    <mergeCell ref="A168:L168"/>
    <mergeCell ref="M168:N168"/>
    <mergeCell ref="O168:P168"/>
    <mergeCell ref="R168:T168"/>
    <mergeCell ref="A165:L165"/>
    <mergeCell ref="M165:N165"/>
    <mergeCell ref="O165:P165"/>
    <mergeCell ref="R165:T165"/>
    <mergeCell ref="A166:L166"/>
    <mergeCell ref="M166:N166"/>
    <mergeCell ref="O166:P166"/>
    <mergeCell ref="R166:T166"/>
    <mergeCell ref="A163:L163"/>
    <mergeCell ref="M163:N163"/>
    <mergeCell ref="O163:P163"/>
    <mergeCell ref="R163:T163"/>
    <mergeCell ref="A164:L164"/>
    <mergeCell ref="M164:N164"/>
    <mergeCell ref="O164:P164"/>
    <mergeCell ref="R164:T164"/>
    <mergeCell ref="A162:L162"/>
    <mergeCell ref="M162:N162"/>
    <mergeCell ref="O162:P162"/>
    <mergeCell ref="R162:T162"/>
    <mergeCell ref="A159:L159"/>
    <mergeCell ref="M159:N159"/>
    <mergeCell ref="O159:P159"/>
    <mergeCell ref="R159:T159"/>
    <mergeCell ref="A160:L160"/>
    <mergeCell ref="M160:N160"/>
    <mergeCell ref="O160:P160"/>
    <mergeCell ref="R160:T160"/>
    <mergeCell ref="A158:L158"/>
    <mergeCell ref="M158:N158"/>
    <mergeCell ref="O158:P158"/>
    <mergeCell ref="R158:T158"/>
    <mergeCell ref="A167:L167"/>
    <mergeCell ref="M167:N167"/>
    <mergeCell ref="O167:P167"/>
    <mergeCell ref="R167:T167"/>
    <mergeCell ref="A157:L157"/>
    <mergeCell ref="M157:N157"/>
    <mergeCell ref="O157:P157"/>
    <mergeCell ref="R157:T157"/>
    <mergeCell ref="R154:T154"/>
    <mergeCell ref="A155:L155"/>
    <mergeCell ref="M155:N155"/>
    <mergeCell ref="O155:P155"/>
    <mergeCell ref="R155:T155"/>
    <mergeCell ref="A156:L156"/>
    <mergeCell ref="M156:N156"/>
    <mergeCell ref="O156:P156"/>
    <mergeCell ref="R156:T156"/>
    <mergeCell ref="A161:L161"/>
    <mergeCell ref="M161:N161"/>
    <mergeCell ref="O161:P161"/>
    <mergeCell ref="R161:T161"/>
    <mergeCell ref="A151:L151"/>
    <mergeCell ref="M151:N151"/>
    <mergeCell ref="O151:P151"/>
    <mergeCell ref="R151:T151"/>
    <mergeCell ref="A152:L154"/>
    <mergeCell ref="M152:T152"/>
    <mergeCell ref="M153:P153"/>
    <mergeCell ref="Q153:T153"/>
    <mergeCell ref="M154:N154"/>
    <mergeCell ref="O154:P154"/>
    <mergeCell ref="A146:B146"/>
    <mergeCell ref="C146:T146"/>
    <mergeCell ref="A147:E147"/>
    <mergeCell ref="F147:T148"/>
    <mergeCell ref="A149:S149"/>
    <mergeCell ref="A150:S150"/>
    <mergeCell ref="A137:S137"/>
    <mergeCell ref="A138:S138"/>
    <mergeCell ref="A139:S139"/>
    <mergeCell ref="J141:T141"/>
    <mergeCell ref="B143:R143"/>
    <mergeCell ref="A145:C145"/>
    <mergeCell ref="D145:T145"/>
    <mergeCell ref="A131:S131"/>
    <mergeCell ref="A132:S132"/>
    <mergeCell ref="A133:S133"/>
    <mergeCell ref="A134:S134"/>
    <mergeCell ref="A135:S135"/>
    <mergeCell ref="A136:S136"/>
    <mergeCell ref="A129:D129"/>
    <mergeCell ref="E129:F129"/>
    <mergeCell ref="I129:J129"/>
    <mergeCell ref="L129:M129"/>
    <mergeCell ref="N129:O129"/>
    <mergeCell ref="A130:D130"/>
    <mergeCell ref="E130:F130"/>
    <mergeCell ref="I130:J130"/>
    <mergeCell ref="L130:M130"/>
    <mergeCell ref="N130:O130"/>
    <mergeCell ref="A127:D127"/>
    <mergeCell ref="E127:F127"/>
    <mergeCell ref="I127:J127"/>
    <mergeCell ref="L127:M127"/>
    <mergeCell ref="N127:O127"/>
    <mergeCell ref="A128:D128"/>
    <mergeCell ref="E128:F128"/>
    <mergeCell ref="I128:J128"/>
    <mergeCell ref="L128:M128"/>
    <mergeCell ref="N128:O128"/>
    <mergeCell ref="A125:D125"/>
    <mergeCell ref="E125:F125"/>
    <mergeCell ref="I125:J125"/>
    <mergeCell ref="L125:M125"/>
    <mergeCell ref="N125:O125"/>
    <mergeCell ref="A126:D126"/>
    <mergeCell ref="E126:F126"/>
    <mergeCell ref="I126:J126"/>
    <mergeCell ref="L126:M126"/>
    <mergeCell ref="N126:O126"/>
    <mergeCell ref="A123:D123"/>
    <mergeCell ref="E123:F123"/>
    <mergeCell ref="I123:J123"/>
    <mergeCell ref="L123:M123"/>
    <mergeCell ref="N123:O123"/>
    <mergeCell ref="A124:D124"/>
    <mergeCell ref="E124:F124"/>
    <mergeCell ref="I124:J124"/>
    <mergeCell ref="L124:M124"/>
    <mergeCell ref="N124:O124"/>
    <mergeCell ref="A119:L119"/>
    <mergeCell ref="M119:N119"/>
    <mergeCell ref="O119:P119"/>
    <mergeCell ref="R119:T119"/>
    <mergeCell ref="A120:T120"/>
    <mergeCell ref="A122:N122"/>
    <mergeCell ref="A117:L117"/>
    <mergeCell ref="M117:N117"/>
    <mergeCell ref="O117:P117"/>
    <mergeCell ref="R117:T117"/>
    <mergeCell ref="A118:L118"/>
    <mergeCell ref="M118:N118"/>
    <mergeCell ref="O118:P118"/>
    <mergeCell ref="R118:T118"/>
    <mergeCell ref="A114:L114"/>
    <mergeCell ref="M114:N114"/>
    <mergeCell ref="O114:P114"/>
    <mergeCell ref="R114:T114"/>
    <mergeCell ref="A115:L115"/>
    <mergeCell ref="M115:N115"/>
    <mergeCell ref="O115:P115"/>
    <mergeCell ref="R115:T115"/>
    <mergeCell ref="A116:L116"/>
    <mergeCell ref="M116:N116"/>
    <mergeCell ref="O116:P116"/>
    <mergeCell ref="R116:T116"/>
    <mergeCell ref="A113:L113"/>
    <mergeCell ref="M113:N113"/>
    <mergeCell ref="O113:P113"/>
    <mergeCell ref="R113:T113"/>
    <mergeCell ref="A111:L111"/>
    <mergeCell ref="M111:N111"/>
    <mergeCell ref="O111:P111"/>
    <mergeCell ref="R111:T111"/>
    <mergeCell ref="A112:L112"/>
    <mergeCell ref="M112:N112"/>
    <mergeCell ref="O112:P112"/>
    <mergeCell ref="R112:T112"/>
    <mergeCell ref="A110:L110"/>
    <mergeCell ref="M110:N110"/>
    <mergeCell ref="O110:P110"/>
    <mergeCell ref="R110:T110"/>
    <mergeCell ref="A107:L109"/>
    <mergeCell ref="M107:T107"/>
    <mergeCell ref="M108:P108"/>
    <mergeCell ref="Q108:T108"/>
    <mergeCell ref="M109:N109"/>
    <mergeCell ref="O109:P109"/>
    <mergeCell ref="R109:T109"/>
    <mergeCell ref="A103:B103"/>
    <mergeCell ref="C103:T103"/>
    <mergeCell ref="A104:E104"/>
    <mergeCell ref="F104:T105"/>
    <mergeCell ref="A106:L106"/>
    <mergeCell ref="M106:N106"/>
    <mergeCell ref="O106:P106"/>
    <mergeCell ref="R106:T106"/>
    <mergeCell ref="A93:S93"/>
    <mergeCell ref="A94:S94"/>
    <mergeCell ref="A95:S95"/>
    <mergeCell ref="J98:T98"/>
    <mergeCell ref="B100:R100"/>
    <mergeCell ref="A102:C102"/>
    <mergeCell ref="D102:T102"/>
    <mergeCell ref="A87:S87"/>
    <mergeCell ref="A88:S88"/>
    <mergeCell ref="A89:S89"/>
    <mergeCell ref="A90:S90"/>
    <mergeCell ref="A91:S91"/>
    <mergeCell ref="A92:S92"/>
    <mergeCell ref="A85:D85"/>
    <mergeCell ref="E85:F85"/>
    <mergeCell ref="I85:J85"/>
    <mergeCell ref="L85:M85"/>
    <mergeCell ref="N85:O85"/>
    <mergeCell ref="A86:D86"/>
    <mergeCell ref="E86:F86"/>
    <mergeCell ref="I86:J86"/>
    <mergeCell ref="L86:M86"/>
    <mergeCell ref="N86:O86"/>
    <mergeCell ref="A83:D83"/>
    <mergeCell ref="E83:F83"/>
    <mergeCell ref="I83:J83"/>
    <mergeCell ref="L83:M83"/>
    <mergeCell ref="N83:O83"/>
    <mergeCell ref="A84:D84"/>
    <mergeCell ref="E84:F84"/>
    <mergeCell ref="I84:J84"/>
    <mergeCell ref="L84:M84"/>
    <mergeCell ref="N84:O84"/>
    <mergeCell ref="A81:D81"/>
    <mergeCell ref="E81:F81"/>
    <mergeCell ref="I81:J81"/>
    <mergeCell ref="L81:M81"/>
    <mergeCell ref="N81:O81"/>
    <mergeCell ref="A82:D82"/>
    <mergeCell ref="E82:F82"/>
    <mergeCell ref="I82:J82"/>
    <mergeCell ref="L82:M82"/>
    <mergeCell ref="N82:O82"/>
    <mergeCell ref="A79:D79"/>
    <mergeCell ref="E79:F79"/>
    <mergeCell ref="I79:J79"/>
    <mergeCell ref="L79:M79"/>
    <mergeCell ref="N79:O79"/>
    <mergeCell ref="A80:D80"/>
    <mergeCell ref="E80:F80"/>
    <mergeCell ref="I80:J80"/>
    <mergeCell ref="L80:M80"/>
    <mergeCell ref="N80:O80"/>
    <mergeCell ref="A76:T76"/>
    <mergeCell ref="A78:N78"/>
    <mergeCell ref="A73:L73"/>
    <mergeCell ref="M73:N73"/>
    <mergeCell ref="O73:P73"/>
    <mergeCell ref="R73:T73"/>
    <mergeCell ref="A74:L74"/>
    <mergeCell ref="M74:N74"/>
    <mergeCell ref="O74:P74"/>
    <mergeCell ref="R74:T74"/>
    <mergeCell ref="A71:L71"/>
    <mergeCell ref="M71:N71"/>
    <mergeCell ref="O71:P71"/>
    <mergeCell ref="R71:T71"/>
    <mergeCell ref="A72:L72"/>
    <mergeCell ref="M72:N72"/>
    <mergeCell ref="O72:P72"/>
    <mergeCell ref="R72:T72"/>
    <mergeCell ref="A70:L70"/>
    <mergeCell ref="M70:N70"/>
    <mergeCell ref="O70:P70"/>
    <mergeCell ref="R70:T70"/>
    <mergeCell ref="A66:L66"/>
    <mergeCell ref="M66:N66"/>
    <mergeCell ref="O66:P66"/>
    <mergeCell ref="R66:T66"/>
    <mergeCell ref="A67:L67"/>
    <mergeCell ref="M67:N67"/>
    <mergeCell ref="O67:P67"/>
    <mergeCell ref="R67:T67"/>
    <mergeCell ref="A65:L65"/>
    <mergeCell ref="M65:N65"/>
    <mergeCell ref="O65:P65"/>
    <mergeCell ref="R65:T65"/>
    <mergeCell ref="A75:L75"/>
    <mergeCell ref="M75:N75"/>
    <mergeCell ref="O75:P75"/>
    <mergeCell ref="R75:T75"/>
    <mergeCell ref="A69:L69"/>
    <mergeCell ref="M69:N69"/>
    <mergeCell ref="O69:P69"/>
    <mergeCell ref="R69:T69"/>
    <mergeCell ref="M64:N64"/>
    <mergeCell ref="O64:P64"/>
    <mergeCell ref="R64:T64"/>
    <mergeCell ref="A62:L62"/>
    <mergeCell ref="M62:N62"/>
    <mergeCell ref="O62:P62"/>
    <mergeCell ref="R62:T62"/>
    <mergeCell ref="A61:L61"/>
    <mergeCell ref="M61:N61"/>
    <mergeCell ref="O61:P61"/>
    <mergeCell ref="R61:T61"/>
    <mergeCell ref="A64:L64"/>
    <mergeCell ref="A63:L63"/>
    <mergeCell ref="M63:N63"/>
    <mergeCell ref="O63:P63"/>
    <mergeCell ref="R63:T63"/>
    <mergeCell ref="A68:L68"/>
    <mergeCell ref="M68:N68"/>
    <mergeCell ref="O68:P68"/>
    <mergeCell ref="R68:T68"/>
    <mergeCell ref="A58:L60"/>
    <mergeCell ref="M58:T58"/>
    <mergeCell ref="M59:P59"/>
    <mergeCell ref="Q59:T59"/>
    <mergeCell ref="M60:N60"/>
    <mergeCell ref="O60:P60"/>
    <mergeCell ref="R60:T60"/>
    <mergeCell ref="A54:B54"/>
    <mergeCell ref="C54:T54"/>
    <mergeCell ref="A55:E55"/>
    <mergeCell ref="F55:T56"/>
    <mergeCell ref="A57:L57"/>
    <mergeCell ref="M57:N57"/>
    <mergeCell ref="O57:P57"/>
    <mergeCell ref="R57:T57"/>
    <mergeCell ref="A47:S47"/>
    <mergeCell ref="A48:S48"/>
    <mergeCell ref="J49:T49"/>
    <mergeCell ref="B51:R51"/>
    <mergeCell ref="A53:C53"/>
    <mergeCell ref="D53:T53"/>
    <mergeCell ref="A41:S41"/>
    <mergeCell ref="A42:S42"/>
    <mergeCell ref="A43:S43"/>
    <mergeCell ref="A44:S44"/>
    <mergeCell ref="A45:S45"/>
    <mergeCell ref="A46:S46"/>
    <mergeCell ref="A39:D39"/>
    <mergeCell ref="E39:F39"/>
    <mergeCell ref="I39:J39"/>
    <mergeCell ref="L39:M39"/>
    <mergeCell ref="N39:O39"/>
    <mergeCell ref="A40:D40"/>
    <mergeCell ref="E40:F40"/>
    <mergeCell ref="I40:J40"/>
    <mergeCell ref="L40:M40"/>
    <mergeCell ref="N40:O40"/>
    <mergeCell ref="A37:D37"/>
    <mergeCell ref="E37:F37"/>
    <mergeCell ref="I37:J37"/>
    <mergeCell ref="L37:M37"/>
    <mergeCell ref="N37:O37"/>
    <mergeCell ref="A38:D38"/>
    <mergeCell ref="E38:F38"/>
    <mergeCell ref="I38:J38"/>
    <mergeCell ref="L38:M38"/>
    <mergeCell ref="N38:O38"/>
    <mergeCell ref="A35:D35"/>
    <mergeCell ref="E35:F35"/>
    <mergeCell ref="I35:J35"/>
    <mergeCell ref="L35:M35"/>
    <mergeCell ref="N35:O35"/>
    <mergeCell ref="A36:D36"/>
    <mergeCell ref="E36:F36"/>
    <mergeCell ref="I36:J36"/>
    <mergeCell ref="L36:M36"/>
    <mergeCell ref="N36:O36"/>
    <mergeCell ref="A33:D33"/>
    <mergeCell ref="E33:F33"/>
    <mergeCell ref="I33:J33"/>
    <mergeCell ref="L33:M33"/>
    <mergeCell ref="N33:O33"/>
    <mergeCell ref="A34:D34"/>
    <mergeCell ref="E34:F34"/>
    <mergeCell ref="I34:J34"/>
    <mergeCell ref="L34:M34"/>
    <mergeCell ref="N34:O34"/>
    <mergeCell ref="A30:T30"/>
    <mergeCell ref="A32:N32"/>
    <mergeCell ref="A27:L27"/>
    <mergeCell ref="M27:N27"/>
    <mergeCell ref="O27:P27"/>
    <mergeCell ref="R27:T27"/>
    <mergeCell ref="A28:L28"/>
    <mergeCell ref="M28:N28"/>
    <mergeCell ref="O28:P28"/>
    <mergeCell ref="R28:T28"/>
    <mergeCell ref="A24:L24"/>
    <mergeCell ref="M24:N24"/>
    <mergeCell ref="O24:P24"/>
    <mergeCell ref="R24:T24"/>
    <mergeCell ref="A26:L26"/>
    <mergeCell ref="M26:N26"/>
    <mergeCell ref="O26:P26"/>
    <mergeCell ref="R26:T26"/>
    <mergeCell ref="A25:L25"/>
    <mergeCell ref="M25:N25"/>
    <mergeCell ref="O25:P25"/>
    <mergeCell ref="R25:T25"/>
    <mergeCell ref="M21:N21"/>
    <mergeCell ref="O21:P21"/>
    <mergeCell ref="R21:T21"/>
    <mergeCell ref="A20:L20"/>
    <mergeCell ref="M20:N20"/>
    <mergeCell ref="O20:P20"/>
    <mergeCell ref="R20:T20"/>
    <mergeCell ref="A22:L22"/>
    <mergeCell ref="M22:N22"/>
    <mergeCell ref="O22:P22"/>
    <mergeCell ref="R22:T22"/>
    <mergeCell ref="A23:L23"/>
    <mergeCell ref="M23:N23"/>
    <mergeCell ref="O23:P23"/>
    <mergeCell ref="R23:T23"/>
    <mergeCell ref="A21:L21"/>
    <mergeCell ref="A29:L29"/>
    <mergeCell ref="M29:N29"/>
    <mergeCell ref="O29:P29"/>
    <mergeCell ref="R29:T29"/>
    <mergeCell ref="A19:L19"/>
    <mergeCell ref="M19:N19"/>
    <mergeCell ref="O19:P19"/>
    <mergeCell ref="R19:T19"/>
    <mergeCell ref="A17:L17"/>
    <mergeCell ref="M17:N17"/>
    <mergeCell ref="O17:P17"/>
    <mergeCell ref="R17:T17"/>
    <mergeCell ref="A18:L18"/>
    <mergeCell ref="M18:N18"/>
    <mergeCell ref="O18:P18"/>
    <mergeCell ref="R18:T18"/>
    <mergeCell ref="A15:L15"/>
    <mergeCell ref="M15:N15"/>
    <mergeCell ref="O15:P15"/>
    <mergeCell ref="R15:T15"/>
    <mergeCell ref="A16:L16"/>
    <mergeCell ref="M16:N16"/>
    <mergeCell ref="O16:P16"/>
    <mergeCell ref="R16:T16"/>
    <mergeCell ref="A12:L14"/>
    <mergeCell ref="M12:T12"/>
    <mergeCell ref="M13:P13"/>
    <mergeCell ref="Q13:T13"/>
    <mergeCell ref="M14:N14"/>
    <mergeCell ref="O14:P14"/>
    <mergeCell ref="R14:T14"/>
    <mergeCell ref="A7:E7"/>
    <mergeCell ref="F7:T7"/>
    <mergeCell ref="A8:S8"/>
    <mergeCell ref="A9:S9"/>
    <mergeCell ref="A11:L11"/>
    <mergeCell ref="M11:N11"/>
    <mergeCell ref="O11:P11"/>
    <mergeCell ref="R11:T11"/>
    <mergeCell ref="J1:T1"/>
    <mergeCell ref="B3:R3"/>
    <mergeCell ref="A5:C5"/>
    <mergeCell ref="D5:T5"/>
    <mergeCell ref="A6:B6"/>
    <mergeCell ref="C6:T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5"/>
  <sheetViews>
    <sheetView topLeftCell="A31" workbookViewId="0">
      <selection activeCell="A46" sqref="A46:T46"/>
    </sheetView>
  </sheetViews>
  <sheetFormatPr defaultRowHeight="10.199999999999999" x14ac:dyDescent="0.2"/>
  <sheetData>
    <row r="1" spans="1:20" s="1" customFormat="1" ht="72.45" customHeight="1" x14ac:dyDescent="0.25">
      <c r="J1" s="100" t="s">
        <v>0</v>
      </c>
      <c r="K1" s="100"/>
      <c r="L1" s="100"/>
      <c r="M1" s="100"/>
      <c r="N1" s="100"/>
      <c r="O1" s="100"/>
      <c r="P1" s="100"/>
      <c r="Q1" s="100"/>
      <c r="R1" s="100"/>
      <c r="S1" s="100"/>
      <c r="T1" s="100"/>
    </row>
    <row r="2" spans="1:20" s="1" customFormat="1" ht="7.05" customHeight="1" x14ac:dyDescent="0.25"/>
    <row r="3" spans="1:20" s="1" customFormat="1" ht="14.1" customHeight="1" x14ac:dyDescent="0.25">
      <c r="B3" s="101" t="s">
        <v>788</v>
      </c>
      <c r="C3" s="101"/>
      <c r="D3" s="101"/>
      <c r="E3" s="101"/>
      <c r="F3" s="101"/>
      <c r="G3" s="101"/>
      <c r="H3" s="101"/>
      <c r="I3" s="101"/>
      <c r="J3" s="101"/>
      <c r="K3" s="101"/>
      <c r="L3" s="101"/>
      <c r="M3" s="101"/>
      <c r="N3" s="101"/>
      <c r="O3" s="101"/>
      <c r="P3" s="101"/>
      <c r="Q3" s="101"/>
      <c r="R3" s="101"/>
    </row>
    <row r="4" spans="1:20" s="1" customFormat="1" ht="14.1" customHeight="1" x14ac:dyDescent="0.25"/>
    <row r="5" spans="1:20" s="1" customFormat="1" ht="14.1" customHeight="1" x14ac:dyDescent="0.25">
      <c r="A5" s="102" t="s">
        <v>2</v>
      </c>
      <c r="B5" s="102"/>
      <c r="C5" s="102"/>
      <c r="D5" s="103" t="s">
        <v>675</v>
      </c>
      <c r="E5" s="103"/>
      <c r="F5" s="103"/>
      <c r="G5" s="103"/>
      <c r="H5" s="103"/>
      <c r="I5" s="103"/>
      <c r="J5" s="103"/>
      <c r="K5" s="103"/>
      <c r="L5" s="103"/>
      <c r="M5" s="103"/>
      <c r="N5" s="103"/>
      <c r="O5" s="103"/>
      <c r="P5" s="103"/>
      <c r="Q5" s="103"/>
      <c r="R5" s="103"/>
      <c r="S5" s="103"/>
      <c r="T5" s="103"/>
    </row>
    <row r="6" spans="1:20" s="1" customFormat="1" ht="14.1" customHeight="1" x14ac:dyDescent="0.25">
      <c r="A6" s="102" t="s">
        <v>4</v>
      </c>
      <c r="B6" s="102"/>
      <c r="C6" s="103" t="s">
        <v>712</v>
      </c>
      <c r="D6" s="103"/>
      <c r="E6" s="103"/>
      <c r="F6" s="103"/>
      <c r="G6" s="103"/>
      <c r="H6" s="103"/>
      <c r="I6" s="103"/>
      <c r="J6" s="103"/>
      <c r="K6" s="103"/>
      <c r="L6" s="103"/>
      <c r="M6" s="103"/>
      <c r="N6" s="103"/>
      <c r="O6" s="103"/>
      <c r="P6" s="103"/>
      <c r="Q6" s="103"/>
      <c r="R6" s="103"/>
      <c r="S6" s="103"/>
      <c r="T6" s="103"/>
    </row>
    <row r="7" spans="1:20" s="1" customFormat="1" ht="14.1" customHeight="1" x14ac:dyDescent="0.25">
      <c r="A7" s="102" t="s">
        <v>6</v>
      </c>
      <c r="B7" s="102"/>
      <c r="C7" s="102"/>
      <c r="D7" s="102"/>
      <c r="E7" s="102"/>
      <c r="F7" s="103" t="s">
        <v>677</v>
      </c>
      <c r="G7" s="103"/>
      <c r="H7" s="103"/>
      <c r="I7" s="103"/>
      <c r="J7" s="103"/>
      <c r="K7" s="103"/>
      <c r="L7" s="103"/>
      <c r="M7" s="103"/>
      <c r="N7" s="103"/>
      <c r="O7" s="103"/>
      <c r="P7" s="103"/>
      <c r="Q7" s="103"/>
      <c r="R7" s="103"/>
      <c r="S7" s="103"/>
      <c r="T7" s="103"/>
    </row>
    <row r="8" spans="1:20" s="1" customFormat="1" ht="22.35" customHeight="1" x14ac:dyDescent="0.25">
      <c r="F8" s="103"/>
      <c r="G8" s="103"/>
      <c r="H8" s="103"/>
      <c r="I8" s="103"/>
      <c r="J8" s="103"/>
      <c r="K8" s="103"/>
      <c r="L8" s="103"/>
      <c r="M8" s="103"/>
      <c r="N8" s="103"/>
      <c r="O8" s="103"/>
      <c r="P8" s="103"/>
      <c r="Q8" s="103"/>
      <c r="R8" s="103"/>
      <c r="S8" s="103"/>
      <c r="T8" s="103"/>
    </row>
    <row r="9" spans="1:20" s="1" customFormat="1" ht="7.05" customHeight="1" x14ac:dyDescent="0.25">
      <c r="A9" s="86"/>
      <c r="B9" s="86"/>
      <c r="C9" s="86"/>
      <c r="D9" s="86"/>
      <c r="E9" s="86"/>
      <c r="F9" s="86"/>
      <c r="G9" s="86"/>
      <c r="H9" s="86"/>
      <c r="I9" s="86"/>
      <c r="J9" s="86"/>
      <c r="K9" s="86"/>
      <c r="L9" s="86"/>
      <c r="M9" s="86"/>
      <c r="N9" s="86"/>
      <c r="O9" s="86"/>
      <c r="P9" s="86"/>
      <c r="Q9" s="16"/>
      <c r="R9" s="86"/>
      <c r="S9" s="86"/>
      <c r="T9" s="86"/>
    </row>
    <row r="10" spans="1:20" s="1" customFormat="1" ht="16.95" customHeight="1" x14ac:dyDescent="0.25">
      <c r="A10" s="94" t="s">
        <v>8</v>
      </c>
      <c r="B10" s="94"/>
      <c r="C10" s="94"/>
      <c r="D10" s="94"/>
      <c r="E10" s="94"/>
      <c r="F10" s="94"/>
      <c r="G10" s="94"/>
      <c r="H10" s="94"/>
      <c r="I10" s="94"/>
      <c r="J10" s="94"/>
      <c r="K10" s="94"/>
      <c r="L10" s="94"/>
      <c r="M10" s="95" t="s">
        <v>9</v>
      </c>
      <c r="N10" s="95"/>
      <c r="O10" s="95"/>
      <c r="P10" s="95"/>
      <c r="Q10" s="95"/>
      <c r="R10" s="95"/>
      <c r="S10" s="95"/>
      <c r="T10" s="95"/>
    </row>
    <row r="11" spans="1:20" s="1" customFormat="1" ht="16.95" customHeight="1" x14ac:dyDescent="0.25">
      <c r="A11" s="94"/>
      <c r="B11" s="94"/>
      <c r="C11" s="94"/>
      <c r="D11" s="94"/>
      <c r="E11" s="94"/>
      <c r="F11" s="94"/>
      <c r="G11" s="94"/>
      <c r="H11" s="94"/>
      <c r="I11" s="94"/>
      <c r="J11" s="94"/>
      <c r="K11" s="94"/>
      <c r="L11" s="94"/>
      <c r="M11" s="96" t="s">
        <v>10</v>
      </c>
      <c r="N11" s="96"/>
      <c r="O11" s="96"/>
      <c r="P11" s="96"/>
      <c r="Q11" s="97" t="s">
        <v>11</v>
      </c>
      <c r="R11" s="97"/>
      <c r="S11" s="97"/>
      <c r="T11" s="97"/>
    </row>
    <row r="12" spans="1:20" s="1" customFormat="1" ht="16.95" customHeight="1" x14ac:dyDescent="0.25">
      <c r="A12" s="94"/>
      <c r="B12" s="94"/>
      <c r="C12" s="94"/>
      <c r="D12" s="94"/>
      <c r="E12" s="94"/>
      <c r="F12" s="94"/>
      <c r="G12" s="94"/>
      <c r="H12" s="94"/>
      <c r="I12" s="94"/>
      <c r="J12" s="94"/>
      <c r="K12" s="94"/>
      <c r="L12" s="94"/>
      <c r="M12" s="98" t="s">
        <v>12</v>
      </c>
      <c r="N12" s="98"/>
      <c r="O12" s="98" t="s">
        <v>13</v>
      </c>
      <c r="P12" s="98"/>
      <c r="Q12" s="13" t="s">
        <v>14</v>
      </c>
      <c r="R12" s="99" t="s">
        <v>15</v>
      </c>
      <c r="S12" s="99"/>
      <c r="T12" s="99"/>
    </row>
    <row r="13" spans="1:20" s="1" customFormat="1" ht="13.35" customHeight="1" x14ac:dyDescent="0.25">
      <c r="A13" s="88" t="s">
        <v>787</v>
      </c>
      <c r="B13" s="88"/>
      <c r="C13" s="88"/>
      <c r="D13" s="88"/>
      <c r="E13" s="88"/>
      <c r="F13" s="88"/>
      <c r="G13" s="88"/>
      <c r="H13" s="88"/>
      <c r="I13" s="88"/>
      <c r="J13" s="88"/>
      <c r="K13" s="88"/>
      <c r="L13" s="88"/>
      <c r="M13" s="88" t="s">
        <v>103</v>
      </c>
      <c r="N13" s="88"/>
      <c r="O13" s="88" t="s">
        <v>103</v>
      </c>
      <c r="P13" s="88"/>
      <c r="Q13" s="6" t="s">
        <v>133</v>
      </c>
      <c r="R13" s="88" t="s">
        <v>133</v>
      </c>
      <c r="S13" s="88"/>
      <c r="T13" s="88"/>
    </row>
    <row r="14" spans="1:20" s="1" customFormat="1" ht="14.1" customHeight="1" x14ac:dyDescent="0.25">
      <c r="A14" s="90" t="s">
        <v>134</v>
      </c>
      <c r="B14" s="90"/>
      <c r="C14" s="90"/>
      <c r="D14" s="90"/>
      <c r="E14" s="90"/>
      <c r="F14" s="90"/>
      <c r="G14" s="90"/>
      <c r="H14" s="90"/>
      <c r="I14" s="90"/>
      <c r="J14" s="90"/>
      <c r="K14" s="90"/>
      <c r="L14" s="90"/>
      <c r="M14" s="90"/>
      <c r="N14" s="90"/>
      <c r="O14" s="90"/>
      <c r="P14" s="90"/>
      <c r="Q14" s="90"/>
      <c r="R14" s="90"/>
      <c r="S14" s="90"/>
      <c r="T14" s="90"/>
    </row>
    <row r="15" spans="1:20" s="1" customFormat="1" ht="21.3" customHeight="1" x14ac:dyDescent="0.25"/>
    <row r="16" spans="1:20" s="1" customFormat="1" ht="14.1" customHeight="1" x14ac:dyDescent="0.25">
      <c r="A16" s="91" t="s">
        <v>33</v>
      </c>
      <c r="B16" s="91"/>
      <c r="C16" s="91"/>
      <c r="D16" s="91"/>
      <c r="E16" s="91"/>
      <c r="F16" s="91"/>
      <c r="G16" s="91"/>
      <c r="H16" s="91"/>
      <c r="I16" s="91"/>
      <c r="J16" s="91"/>
      <c r="K16" s="91"/>
      <c r="L16" s="91"/>
      <c r="M16" s="91"/>
      <c r="N16" s="91"/>
    </row>
    <row r="17" spans="1:20" s="1" customFormat="1" ht="13.35" customHeight="1" x14ac:dyDescent="0.25">
      <c r="A17" s="88" t="s">
        <v>34</v>
      </c>
      <c r="B17" s="88"/>
      <c r="C17" s="88"/>
      <c r="D17" s="88"/>
      <c r="E17" s="89">
        <v>5.58</v>
      </c>
      <c r="F17" s="89"/>
      <c r="G17" s="17"/>
      <c r="H17" s="6" t="s">
        <v>35</v>
      </c>
      <c r="I17" s="89">
        <v>0</v>
      </c>
      <c r="J17" s="89"/>
      <c r="K17" s="17"/>
      <c r="L17" s="88" t="s">
        <v>36</v>
      </c>
      <c r="M17" s="88"/>
      <c r="N17" s="89">
        <v>0.19</v>
      </c>
      <c r="O17" s="89"/>
    </row>
    <row r="18" spans="1:20" s="1" customFormat="1" ht="13.35" customHeight="1" x14ac:dyDescent="0.25">
      <c r="A18" s="88" t="s">
        <v>37</v>
      </c>
      <c r="B18" s="88"/>
      <c r="C18" s="88"/>
      <c r="D18" s="88"/>
      <c r="E18" s="89">
        <v>6.58</v>
      </c>
      <c r="F18" s="89"/>
      <c r="G18" s="17"/>
      <c r="H18" s="6" t="s">
        <v>38</v>
      </c>
      <c r="I18" s="89">
        <v>0</v>
      </c>
      <c r="J18" s="89"/>
      <c r="K18" s="17"/>
      <c r="L18" s="88" t="s">
        <v>39</v>
      </c>
      <c r="M18" s="88"/>
      <c r="N18" s="89">
        <v>0.28999999999999998</v>
      </c>
      <c r="O18" s="89"/>
    </row>
    <row r="19" spans="1:20" s="1" customFormat="1" ht="13.35" customHeight="1" x14ac:dyDescent="0.25">
      <c r="A19" s="88" t="s">
        <v>40</v>
      </c>
      <c r="B19" s="88"/>
      <c r="C19" s="88"/>
      <c r="D19" s="88"/>
      <c r="E19" s="89">
        <v>20.73</v>
      </c>
      <c r="F19" s="89"/>
      <c r="G19" s="17"/>
      <c r="H19" s="6" t="s">
        <v>41</v>
      </c>
      <c r="I19" s="89">
        <v>0</v>
      </c>
      <c r="J19" s="89"/>
      <c r="K19" s="17"/>
      <c r="L19" s="88" t="s">
        <v>42</v>
      </c>
      <c r="M19" s="88"/>
      <c r="N19" s="89">
        <v>0.77</v>
      </c>
      <c r="O19" s="89"/>
    </row>
    <row r="20" spans="1:20" s="1" customFormat="1" ht="13.35" customHeight="1" x14ac:dyDescent="0.25">
      <c r="A20" s="88" t="s">
        <v>43</v>
      </c>
      <c r="B20" s="88"/>
      <c r="C20" s="88"/>
      <c r="D20" s="88"/>
      <c r="E20" s="89">
        <v>165.18</v>
      </c>
      <c r="F20" s="89"/>
      <c r="G20" s="17"/>
      <c r="H20" s="6" t="s">
        <v>44</v>
      </c>
      <c r="I20" s="89">
        <v>0.04</v>
      </c>
      <c r="J20" s="89"/>
      <c r="K20" s="17"/>
      <c r="L20" s="88" t="s">
        <v>45</v>
      </c>
      <c r="M20" s="88"/>
      <c r="N20" s="89">
        <v>0.02</v>
      </c>
      <c r="O20" s="89"/>
    </row>
    <row r="21" spans="1:20" s="1" customFormat="1" ht="13.35" customHeight="1" x14ac:dyDescent="0.25">
      <c r="A21" s="87"/>
      <c r="B21" s="87"/>
      <c r="C21" s="87"/>
      <c r="D21" s="87"/>
      <c r="E21" s="87"/>
      <c r="F21" s="87"/>
      <c r="G21" s="17"/>
      <c r="H21" s="6" t="s">
        <v>46</v>
      </c>
      <c r="I21" s="89">
        <v>0</v>
      </c>
      <c r="J21" s="89"/>
      <c r="K21" s="17"/>
      <c r="L21" s="88" t="s">
        <v>47</v>
      </c>
      <c r="M21" s="88"/>
      <c r="N21" s="89">
        <v>1.32</v>
      </c>
      <c r="O21" s="89"/>
    </row>
    <row r="22" spans="1:20" s="1" customFormat="1" ht="13.35" customHeight="1" x14ac:dyDescent="0.25">
      <c r="A22" s="87"/>
      <c r="B22" s="87"/>
      <c r="C22" s="87"/>
      <c r="D22" s="87"/>
      <c r="E22" s="87"/>
      <c r="F22" s="87"/>
      <c r="G22" s="17"/>
      <c r="H22" s="6" t="s">
        <v>48</v>
      </c>
      <c r="I22" s="89">
        <v>0</v>
      </c>
      <c r="J22" s="89"/>
      <c r="K22" s="17"/>
      <c r="L22" s="88" t="s">
        <v>49</v>
      </c>
      <c r="M22" s="88"/>
      <c r="N22" s="89">
        <v>0.03</v>
      </c>
      <c r="O22" s="89"/>
    </row>
    <row r="23" spans="1:20" s="1" customFormat="1" ht="13.35" customHeight="1" x14ac:dyDescent="0.25">
      <c r="A23" s="87"/>
      <c r="B23" s="87"/>
      <c r="C23" s="87"/>
      <c r="D23" s="87"/>
      <c r="E23" s="87"/>
      <c r="F23" s="87"/>
      <c r="G23" s="17"/>
      <c r="H23" s="17"/>
      <c r="I23" s="87"/>
      <c r="J23" s="87"/>
      <c r="K23" s="17"/>
      <c r="L23" s="88" t="s">
        <v>50</v>
      </c>
      <c r="M23" s="88"/>
      <c r="N23" s="89">
        <v>0</v>
      </c>
      <c r="O23" s="89"/>
    </row>
    <row r="24" spans="1:20" s="1" customFormat="1" ht="13.35" customHeight="1" x14ac:dyDescent="0.25">
      <c r="A24" s="87"/>
      <c r="B24" s="87"/>
      <c r="C24" s="87"/>
      <c r="D24" s="87"/>
      <c r="E24" s="87"/>
      <c r="F24" s="87"/>
      <c r="G24" s="17"/>
      <c r="H24" s="17"/>
      <c r="I24" s="87"/>
      <c r="J24" s="87"/>
      <c r="K24" s="17"/>
      <c r="L24" s="88" t="s">
        <v>51</v>
      </c>
      <c r="M24" s="88"/>
      <c r="N24" s="89">
        <v>0</v>
      </c>
      <c r="O24" s="89"/>
    </row>
    <row r="25" spans="1:20" s="1" customFormat="1" ht="14.1" customHeight="1" x14ac:dyDescent="0.25">
      <c r="A25" s="86"/>
      <c r="B25" s="86"/>
      <c r="C25" s="86"/>
      <c r="D25" s="86"/>
      <c r="E25" s="86"/>
      <c r="F25" s="86"/>
      <c r="G25" s="86"/>
      <c r="H25" s="86"/>
      <c r="I25" s="86"/>
      <c r="J25" s="86"/>
      <c r="K25" s="86"/>
      <c r="L25" s="86"/>
      <c r="M25" s="86"/>
      <c r="N25" s="86"/>
      <c r="O25" s="86"/>
      <c r="P25" s="86"/>
      <c r="Q25" s="86"/>
      <c r="R25" s="86"/>
      <c r="S25" s="86"/>
    </row>
    <row r="26" spans="1:20" s="1" customFormat="1" ht="14.1" customHeight="1" x14ac:dyDescent="0.25">
      <c r="A26" s="84" t="s">
        <v>52</v>
      </c>
      <c r="B26" s="84"/>
      <c r="C26" s="84"/>
      <c r="D26" s="84"/>
      <c r="E26" s="84"/>
      <c r="F26" s="84"/>
      <c r="G26" s="84"/>
      <c r="H26" s="84"/>
      <c r="I26" s="84"/>
      <c r="J26" s="84"/>
      <c r="K26" s="84"/>
      <c r="L26" s="84"/>
      <c r="M26" s="84"/>
      <c r="N26" s="84"/>
      <c r="O26" s="84"/>
      <c r="P26" s="84"/>
      <c r="Q26" s="84"/>
      <c r="R26" s="84"/>
      <c r="S26" s="84"/>
    </row>
    <row r="27" spans="1:20" s="1" customFormat="1" ht="76.8" customHeight="1" x14ac:dyDescent="0.25">
      <c r="A27" s="85" t="s">
        <v>135</v>
      </c>
      <c r="B27" s="85"/>
      <c r="C27" s="85"/>
      <c r="D27" s="85"/>
      <c r="E27" s="85"/>
      <c r="F27" s="85"/>
      <c r="G27" s="85"/>
      <c r="H27" s="85"/>
      <c r="I27" s="85"/>
      <c r="J27" s="85"/>
      <c r="K27" s="85"/>
      <c r="L27" s="85"/>
      <c r="M27" s="85"/>
      <c r="N27" s="85"/>
      <c r="O27" s="85"/>
      <c r="P27" s="85"/>
      <c r="Q27" s="85"/>
      <c r="R27" s="85"/>
      <c r="S27" s="85"/>
    </row>
    <row r="28" spans="1:20" s="1" customFormat="1" ht="14.1" customHeight="1" x14ac:dyDescent="0.25">
      <c r="A28" s="86"/>
      <c r="B28" s="86"/>
      <c r="C28" s="86"/>
      <c r="D28" s="86"/>
      <c r="E28" s="86"/>
      <c r="F28" s="86"/>
      <c r="G28" s="86"/>
      <c r="H28" s="86"/>
      <c r="I28" s="86"/>
      <c r="J28" s="86"/>
      <c r="K28" s="86"/>
      <c r="L28" s="86"/>
      <c r="M28" s="86"/>
      <c r="N28" s="86"/>
      <c r="O28" s="86"/>
      <c r="P28" s="86"/>
      <c r="Q28" s="86"/>
      <c r="R28" s="86"/>
      <c r="S28" s="86"/>
    </row>
    <row r="29" spans="1:20" s="1" customFormat="1" ht="14.1" customHeight="1" x14ac:dyDescent="0.25">
      <c r="A29" s="84" t="s">
        <v>56</v>
      </c>
      <c r="B29" s="84"/>
      <c r="C29" s="84"/>
      <c r="D29" s="84"/>
      <c r="E29" s="84"/>
      <c r="F29" s="84"/>
      <c r="G29" s="84"/>
      <c r="H29" s="84"/>
      <c r="I29" s="84"/>
      <c r="J29" s="84"/>
      <c r="K29" s="84"/>
      <c r="L29" s="84"/>
      <c r="M29" s="84"/>
      <c r="N29" s="84"/>
      <c r="O29" s="84"/>
      <c r="P29" s="84"/>
      <c r="Q29" s="84"/>
      <c r="R29" s="84"/>
      <c r="S29" s="84"/>
    </row>
    <row r="30" spans="1:20" s="1" customFormat="1" ht="49.2" customHeight="1" x14ac:dyDescent="0.25">
      <c r="A30" s="85" t="s">
        <v>136</v>
      </c>
      <c r="B30" s="85"/>
      <c r="C30" s="85"/>
      <c r="D30" s="85"/>
      <c r="E30" s="85"/>
      <c r="F30" s="85"/>
      <c r="G30" s="85"/>
      <c r="H30" s="85"/>
      <c r="I30" s="85"/>
      <c r="J30" s="85"/>
      <c r="K30" s="85"/>
      <c r="L30" s="85"/>
      <c r="M30" s="85"/>
      <c r="N30" s="85"/>
      <c r="O30" s="85"/>
      <c r="P30" s="85"/>
      <c r="Q30" s="85"/>
      <c r="R30" s="85"/>
      <c r="S30" s="85"/>
    </row>
    <row r="31" spans="1:20" s="1" customFormat="1" ht="72.45" customHeight="1" x14ac:dyDescent="0.25">
      <c r="J31" s="100" t="s">
        <v>0</v>
      </c>
      <c r="K31" s="100"/>
      <c r="L31" s="100"/>
      <c r="M31" s="100"/>
      <c r="N31" s="100"/>
      <c r="O31" s="100"/>
      <c r="P31" s="100"/>
      <c r="Q31" s="100"/>
      <c r="R31" s="100"/>
      <c r="S31" s="100"/>
      <c r="T31" s="100"/>
    </row>
    <row r="32" spans="1:20" s="1" customFormat="1" ht="7.05" customHeight="1" x14ac:dyDescent="0.25"/>
    <row r="33" spans="1:20" s="1" customFormat="1" ht="14.1" customHeight="1" x14ac:dyDescent="0.25">
      <c r="B33" s="101" t="s">
        <v>138</v>
      </c>
      <c r="C33" s="101"/>
      <c r="D33" s="101"/>
      <c r="E33" s="101"/>
      <c r="F33" s="101"/>
      <c r="G33" s="101"/>
      <c r="H33" s="101"/>
      <c r="I33" s="101"/>
      <c r="J33" s="101"/>
      <c r="K33" s="101"/>
      <c r="L33" s="101"/>
      <c r="M33" s="101"/>
      <c r="N33" s="101"/>
      <c r="O33" s="101"/>
      <c r="P33" s="101"/>
      <c r="Q33" s="101"/>
      <c r="R33" s="101"/>
    </row>
    <row r="34" spans="1:20" s="1" customFormat="1" ht="14.1" customHeight="1" x14ac:dyDescent="0.25"/>
    <row r="35" spans="1:20" s="1" customFormat="1" ht="14.1" customHeight="1" x14ac:dyDescent="0.25">
      <c r="A35" s="102" t="s">
        <v>2</v>
      </c>
      <c r="B35" s="102"/>
      <c r="C35" s="102"/>
      <c r="D35" s="103" t="s">
        <v>139</v>
      </c>
      <c r="E35" s="103"/>
      <c r="F35" s="103"/>
      <c r="G35" s="103"/>
      <c r="H35" s="103"/>
      <c r="I35" s="103"/>
      <c r="J35" s="103"/>
      <c r="K35" s="103"/>
      <c r="L35" s="103"/>
      <c r="M35" s="103"/>
      <c r="N35" s="103"/>
      <c r="O35" s="103"/>
      <c r="P35" s="103"/>
      <c r="Q35" s="103"/>
      <c r="R35" s="103"/>
      <c r="S35" s="103"/>
      <c r="T35" s="103"/>
    </row>
    <row r="36" spans="1:20" s="1" customFormat="1" ht="14.1" customHeight="1" x14ac:dyDescent="0.25">
      <c r="A36" s="102" t="s">
        <v>4</v>
      </c>
      <c r="B36" s="102"/>
      <c r="C36" s="103" t="s">
        <v>97</v>
      </c>
      <c r="D36" s="103"/>
      <c r="E36" s="103"/>
      <c r="F36" s="103"/>
      <c r="G36" s="103"/>
      <c r="H36" s="103"/>
      <c r="I36" s="103"/>
      <c r="J36" s="103"/>
      <c r="K36" s="103"/>
      <c r="L36" s="103"/>
      <c r="M36" s="103"/>
      <c r="N36" s="103"/>
      <c r="O36" s="103"/>
      <c r="P36" s="103"/>
      <c r="Q36" s="103"/>
      <c r="R36" s="103"/>
      <c r="S36" s="103"/>
      <c r="T36" s="103"/>
    </row>
    <row r="37" spans="1:20" s="1" customFormat="1" ht="14.1" customHeight="1" x14ac:dyDescent="0.25">
      <c r="A37" s="102" t="s">
        <v>6</v>
      </c>
      <c r="B37" s="102"/>
      <c r="C37" s="102"/>
      <c r="D37" s="102"/>
      <c r="E37" s="102"/>
      <c r="F37" s="103" t="s">
        <v>60</v>
      </c>
      <c r="G37" s="103"/>
      <c r="H37" s="103"/>
      <c r="I37" s="103"/>
      <c r="J37" s="103"/>
      <c r="K37" s="103"/>
      <c r="L37" s="103"/>
      <c r="M37" s="103"/>
      <c r="N37" s="103"/>
      <c r="O37" s="103"/>
      <c r="P37" s="103"/>
      <c r="Q37" s="103"/>
      <c r="R37" s="103"/>
      <c r="S37" s="103"/>
      <c r="T37" s="103"/>
    </row>
    <row r="38" spans="1:20" s="1" customFormat="1" ht="22.35" customHeight="1" x14ac:dyDescent="0.25">
      <c r="F38" s="103"/>
      <c r="G38" s="103"/>
      <c r="H38" s="103"/>
      <c r="I38" s="103"/>
      <c r="J38" s="103"/>
      <c r="K38" s="103"/>
      <c r="L38" s="103"/>
      <c r="M38" s="103"/>
      <c r="N38" s="103"/>
      <c r="O38" s="103"/>
      <c r="P38" s="103"/>
      <c r="Q38" s="103"/>
      <c r="R38" s="103"/>
      <c r="S38" s="103"/>
      <c r="T38" s="103"/>
    </row>
    <row r="39" spans="1:20" s="1" customFormat="1" ht="7.05" customHeight="1" x14ac:dyDescent="0.25">
      <c r="A39" s="86"/>
      <c r="B39" s="86"/>
      <c r="C39" s="86"/>
      <c r="D39" s="86"/>
      <c r="E39" s="86"/>
      <c r="F39" s="86"/>
      <c r="G39" s="86"/>
      <c r="H39" s="86"/>
      <c r="I39" s="86"/>
      <c r="J39" s="86"/>
      <c r="K39" s="86"/>
      <c r="L39" s="86"/>
      <c r="M39" s="86"/>
      <c r="N39" s="86"/>
      <c r="O39" s="86"/>
      <c r="P39" s="86"/>
      <c r="Q39" s="16"/>
      <c r="R39" s="86"/>
      <c r="S39" s="86"/>
      <c r="T39" s="86"/>
    </row>
    <row r="40" spans="1:20" s="1" customFormat="1" ht="16.95" customHeight="1" x14ac:dyDescent="0.25">
      <c r="A40" s="94" t="s">
        <v>8</v>
      </c>
      <c r="B40" s="94"/>
      <c r="C40" s="94"/>
      <c r="D40" s="94"/>
      <c r="E40" s="94"/>
      <c r="F40" s="94"/>
      <c r="G40" s="94"/>
      <c r="H40" s="94"/>
      <c r="I40" s="94"/>
      <c r="J40" s="94"/>
      <c r="K40" s="94"/>
      <c r="L40" s="94"/>
      <c r="M40" s="95" t="s">
        <v>9</v>
      </c>
      <c r="N40" s="95"/>
      <c r="O40" s="95"/>
      <c r="P40" s="95"/>
      <c r="Q40" s="95"/>
      <c r="R40" s="95"/>
      <c r="S40" s="95"/>
      <c r="T40" s="95"/>
    </row>
    <row r="41" spans="1:20" s="1" customFormat="1" ht="16.95" customHeight="1" x14ac:dyDescent="0.25">
      <c r="A41" s="94"/>
      <c r="B41" s="94"/>
      <c r="C41" s="94"/>
      <c r="D41" s="94"/>
      <c r="E41" s="94"/>
      <c r="F41" s="94"/>
      <c r="G41" s="94"/>
      <c r="H41" s="94"/>
      <c r="I41" s="94"/>
      <c r="J41" s="94"/>
      <c r="K41" s="94"/>
      <c r="L41" s="94"/>
      <c r="M41" s="96" t="s">
        <v>10</v>
      </c>
      <c r="N41" s="96"/>
      <c r="O41" s="96"/>
      <c r="P41" s="96"/>
      <c r="Q41" s="97" t="s">
        <v>11</v>
      </c>
      <c r="R41" s="97"/>
      <c r="S41" s="97"/>
      <c r="T41" s="97"/>
    </row>
    <row r="42" spans="1:20" s="1" customFormat="1" ht="16.95" customHeight="1" x14ac:dyDescent="0.25">
      <c r="A42" s="94"/>
      <c r="B42" s="94"/>
      <c r="C42" s="94"/>
      <c r="D42" s="94"/>
      <c r="E42" s="94"/>
      <c r="F42" s="94"/>
      <c r="G42" s="94"/>
      <c r="H42" s="94"/>
      <c r="I42" s="94"/>
      <c r="J42" s="94"/>
      <c r="K42" s="94"/>
      <c r="L42" s="94"/>
      <c r="M42" s="98">
        <v>5</v>
      </c>
      <c r="N42" s="98"/>
      <c r="O42" s="98">
        <v>5</v>
      </c>
      <c r="P42" s="98"/>
      <c r="Q42" s="13" t="s">
        <v>14</v>
      </c>
      <c r="R42" s="99" t="s">
        <v>15</v>
      </c>
      <c r="S42" s="99"/>
      <c r="T42" s="99"/>
    </row>
    <row r="43" spans="1:20" s="1" customFormat="1" ht="13.35" customHeight="1" x14ac:dyDescent="0.25">
      <c r="A43" s="88" t="s">
        <v>61</v>
      </c>
      <c r="B43" s="88"/>
      <c r="C43" s="88"/>
      <c r="D43" s="88"/>
      <c r="E43" s="88"/>
      <c r="F43" s="88"/>
      <c r="G43" s="88"/>
      <c r="H43" s="88"/>
      <c r="I43" s="88"/>
      <c r="J43" s="88"/>
      <c r="K43" s="88"/>
      <c r="L43" s="88"/>
      <c r="M43" s="88">
        <v>10</v>
      </c>
      <c r="N43" s="88"/>
      <c r="O43" s="88">
        <v>10</v>
      </c>
      <c r="P43" s="88"/>
      <c r="Q43" s="6">
        <v>1</v>
      </c>
      <c r="R43" s="88">
        <v>1</v>
      </c>
      <c r="S43" s="88"/>
      <c r="T43" s="88"/>
    </row>
    <row r="44" spans="1:20" s="1" customFormat="1" ht="13.35" customHeight="1" x14ac:dyDescent="0.25">
      <c r="A44" s="88" t="s">
        <v>140</v>
      </c>
      <c r="B44" s="88"/>
      <c r="C44" s="88"/>
      <c r="D44" s="88"/>
      <c r="E44" s="88"/>
      <c r="F44" s="88"/>
      <c r="G44" s="88"/>
      <c r="H44" s="88"/>
      <c r="I44" s="88"/>
      <c r="J44" s="88"/>
      <c r="K44" s="88"/>
      <c r="L44" s="88"/>
      <c r="M44" s="88">
        <v>21</v>
      </c>
      <c r="N44" s="88"/>
      <c r="O44" s="88">
        <v>20</v>
      </c>
      <c r="P44" s="88"/>
      <c r="Q44" s="6">
        <v>2.1</v>
      </c>
      <c r="R44" s="88">
        <v>2</v>
      </c>
      <c r="S44" s="88"/>
      <c r="T44" s="88"/>
    </row>
    <row r="45" spans="1:20" s="1" customFormat="1" ht="13.35" customHeight="1" x14ac:dyDescent="0.25">
      <c r="A45" s="88" t="s">
        <v>65</v>
      </c>
      <c r="B45" s="88"/>
      <c r="C45" s="88"/>
      <c r="D45" s="88"/>
      <c r="E45" s="88"/>
      <c r="F45" s="88"/>
      <c r="G45" s="88"/>
      <c r="H45" s="88"/>
      <c r="I45" s="88"/>
      <c r="J45" s="88"/>
      <c r="K45" s="88"/>
      <c r="L45" s="88"/>
      <c r="M45" s="88" t="s">
        <v>95</v>
      </c>
      <c r="N45" s="88"/>
      <c r="O45" s="88" t="s">
        <v>95</v>
      </c>
      <c r="P45" s="88"/>
      <c r="Q45" s="6" t="s">
        <v>97</v>
      </c>
      <c r="R45" s="88" t="s">
        <v>97</v>
      </c>
      <c r="S45" s="88"/>
      <c r="T45" s="88"/>
    </row>
    <row r="46" spans="1:20" s="1" customFormat="1" ht="14.1" customHeight="1" x14ac:dyDescent="0.25">
      <c r="A46" s="90" t="s">
        <v>137</v>
      </c>
      <c r="B46" s="90"/>
      <c r="C46" s="90"/>
      <c r="D46" s="90"/>
      <c r="E46" s="90"/>
      <c r="F46" s="90"/>
      <c r="G46" s="90"/>
      <c r="H46" s="90"/>
      <c r="I46" s="90"/>
      <c r="J46" s="90"/>
      <c r="K46" s="90"/>
      <c r="L46" s="90"/>
      <c r="M46" s="90"/>
      <c r="N46" s="90"/>
      <c r="O46" s="90"/>
      <c r="P46" s="90"/>
      <c r="Q46" s="90"/>
      <c r="R46" s="90"/>
      <c r="S46" s="90"/>
      <c r="T46" s="90"/>
    </row>
    <row r="47" spans="1:20" s="1" customFormat="1" ht="21.3" customHeight="1" x14ac:dyDescent="0.25"/>
    <row r="48" spans="1:20" s="1" customFormat="1" ht="14.1" customHeight="1" x14ac:dyDescent="0.25">
      <c r="A48" s="91" t="s">
        <v>33</v>
      </c>
      <c r="B48" s="91"/>
      <c r="C48" s="91"/>
      <c r="D48" s="91"/>
      <c r="E48" s="91"/>
      <c r="F48" s="91"/>
      <c r="G48" s="91"/>
      <c r="H48" s="91"/>
      <c r="I48" s="91"/>
      <c r="J48" s="91"/>
      <c r="K48" s="91"/>
      <c r="L48" s="91"/>
      <c r="M48" s="91"/>
      <c r="N48" s="91"/>
    </row>
    <row r="49" spans="1:19" s="1" customFormat="1" ht="13.35" customHeight="1" x14ac:dyDescent="0.25">
      <c r="A49" s="88" t="s">
        <v>34</v>
      </c>
      <c r="B49" s="88"/>
      <c r="C49" s="88"/>
      <c r="D49" s="88"/>
      <c r="E49" s="89">
        <v>6.27</v>
      </c>
      <c r="F49" s="89"/>
      <c r="G49" s="17"/>
      <c r="H49" s="6" t="s">
        <v>35</v>
      </c>
      <c r="I49" s="89">
        <v>0.05</v>
      </c>
      <c r="J49" s="89"/>
      <c r="K49" s="17"/>
      <c r="L49" s="88" t="s">
        <v>36</v>
      </c>
      <c r="M49" s="88"/>
      <c r="N49" s="89">
        <v>95.92</v>
      </c>
      <c r="O49" s="89"/>
    </row>
    <row r="50" spans="1:19" s="1" customFormat="1" ht="13.35" customHeight="1" x14ac:dyDescent="0.25">
      <c r="A50" s="88" t="s">
        <v>37</v>
      </c>
      <c r="B50" s="88"/>
      <c r="C50" s="88"/>
      <c r="D50" s="88"/>
      <c r="E50" s="89">
        <v>7.86</v>
      </c>
      <c r="F50" s="89"/>
      <c r="G50" s="17"/>
      <c r="H50" s="6" t="s">
        <v>38</v>
      </c>
      <c r="I50" s="89">
        <v>7.0000000000000007E-2</v>
      </c>
      <c r="J50" s="89"/>
      <c r="K50" s="17"/>
      <c r="L50" s="88" t="s">
        <v>39</v>
      </c>
      <c r="M50" s="88"/>
      <c r="N50" s="89">
        <v>13.4</v>
      </c>
      <c r="O50" s="89"/>
    </row>
    <row r="51" spans="1:19" s="1" customFormat="1" ht="13.35" customHeight="1" x14ac:dyDescent="0.25">
      <c r="A51" s="88" t="s">
        <v>40</v>
      </c>
      <c r="B51" s="88"/>
      <c r="C51" s="88"/>
      <c r="D51" s="88"/>
      <c r="E51" s="89">
        <v>14.83</v>
      </c>
      <c r="F51" s="89"/>
      <c r="G51" s="17"/>
      <c r="H51" s="6" t="s">
        <v>41</v>
      </c>
      <c r="I51" s="89">
        <v>7.0000000000000007E-2</v>
      </c>
      <c r="J51" s="89"/>
      <c r="K51" s="17"/>
      <c r="L51" s="88" t="s">
        <v>42</v>
      </c>
      <c r="M51" s="88"/>
      <c r="N51" s="89">
        <v>76.72</v>
      </c>
      <c r="O51" s="89"/>
    </row>
    <row r="52" spans="1:19" s="1" customFormat="1" ht="13.35" customHeight="1" x14ac:dyDescent="0.25">
      <c r="A52" s="88" t="s">
        <v>43</v>
      </c>
      <c r="B52" s="88"/>
      <c r="C52" s="88"/>
      <c r="D52" s="88"/>
      <c r="E52" s="89">
        <v>180</v>
      </c>
      <c r="F52" s="89"/>
      <c r="G52" s="17"/>
      <c r="H52" s="6" t="s">
        <v>44</v>
      </c>
      <c r="I52" s="89">
        <v>0.84</v>
      </c>
      <c r="J52" s="89"/>
      <c r="K52" s="17"/>
      <c r="L52" s="88" t="s">
        <v>45</v>
      </c>
      <c r="M52" s="88"/>
      <c r="N52" s="89">
        <v>0.72</v>
      </c>
      <c r="O52" s="89"/>
    </row>
    <row r="53" spans="1:19" s="1" customFormat="1" ht="13.35" customHeight="1" x14ac:dyDescent="0.25">
      <c r="A53" s="87"/>
      <c r="B53" s="87"/>
      <c r="C53" s="87"/>
      <c r="D53" s="87"/>
      <c r="E53" s="87"/>
      <c r="F53" s="87"/>
      <c r="G53" s="17"/>
      <c r="H53" s="6" t="s">
        <v>46</v>
      </c>
      <c r="I53" s="89">
        <v>0.15</v>
      </c>
      <c r="J53" s="89"/>
      <c r="K53" s="17"/>
      <c r="L53" s="88" t="s">
        <v>47</v>
      </c>
      <c r="M53" s="88"/>
      <c r="N53" s="89">
        <v>49</v>
      </c>
      <c r="O53" s="89"/>
    </row>
    <row r="54" spans="1:19" s="1" customFormat="1" ht="13.35" customHeight="1" x14ac:dyDescent="0.25">
      <c r="A54" s="87"/>
      <c r="B54" s="87"/>
      <c r="C54" s="87"/>
      <c r="D54" s="87"/>
      <c r="E54" s="87"/>
      <c r="F54" s="87"/>
      <c r="G54" s="17"/>
      <c r="H54" s="6" t="s">
        <v>48</v>
      </c>
      <c r="I54" s="89">
        <v>0.06</v>
      </c>
      <c r="J54" s="89"/>
      <c r="K54" s="17"/>
      <c r="L54" s="88" t="s">
        <v>49</v>
      </c>
      <c r="M54" s="88"/>
      <c r="N54" s="89">
        <v>0</v>
      </c>
      <c r="O54" s="89"/>
    </row>
    <row r="55" spans="1:19" s="1" customFormat="1" ht="13.35" customHeight="1" x14ac:dyDescent="0.25">
      <c r="A55" s="87"/>
      <c r="B55" s="87"/>
      <c r="C55" s="87"/>
      <c r="D55" s="87"/>
      <c r="E55" s="87"/>
      <c r="F55" s="87"/>
      <c r="G55" s="17"/>
      <c r="H55" s="17"/>
      <c r="I55" s="87"/>
      <c r="J55" s="87"/>
      <c r="K55" s="17"/>
      <c r="L55" s="88" t="s">
        <v>50</v>
      </c>
      <c r="M55" s="88"/>
      <c r="N55" s="89">
        <v>0</v>
      </c>
      <c r="O55" s="89"/>
    </row>
    <row r="56" spans="1:19" s="1" customFormat="1" ht="13.35" customHeight="1" x14ac:dyDescent="0.25">
      <c r="A56" s="87"/>
      <c r="B56" s="87"/>
      <c r="C56" s="87"/>
      <c r="D56" s="87"/>
      <c r="E56" s="87"/>
      <c r="F56" s="87"/>
      <c r="G56" s="17"/>
      <c r="H56" s="17"/>
      <c r="I56" s="87"/>
      <c r="J56" s="87"/>
      <c r="K56" s="17"/>
      <c r="L56" s="88" t="s">
        <v>51</v>
      </c>
      <c r="M56" s="88"/>
      <c r="N56" s="89">
        <v>0</v>
      </c>
      <c r="O56" s="89"/>
    </row>
    <row r="57" spans="1:19" s="1" customFormat="1" ht="14.1" customHeight="1" x14ac:dyDescent="0.25">
      <c r="A57" s="86"/>
      <c r="B57" s="86"/>
      <c r="C57" s="86"/>
      <c r="D57" s="86"/>
      <c r="E57" s="86"/>
      <c r="F57" s="86"/>
      <c r="G57" s="86"/>
      <c r="H57" s="86"/>
      <c r="I57" s="86"/>
      <c r="J57" s="86"/>
      <c r="K57" s="86"/>
      <c r="L57" s="86"/>
      <c r="M57" s="86"/>
      <c r="N57" s="86"/>
      <c r="O57" s="86"/>
      <c r="P57" s="86"/>
      <c r="Q57" s="86"/>
      <c r="R57" s="86"/>
      <c r="S57" s="86"/>
    </row>
    <row r="58" spans="1:19" s="1" customFormat="1" ht="14.1" customHeight="1" x14ac:dyDescent="0.25">
      <c r="A58" s="84" t="s">
        <v>52</v>
      </c>
      <c r="B58" s="84"/>
      <c r="C58" s="84"/>
      <c r="D58" s="84"/>
      <c r="E58" s="84"/>
      <c r="F58" s="84"/>
      <c r="G58" s="84"/>
      <c r="H58" s="84"/>
      <c r="I58" s="84"/>
      <c r="J58" s="84"/>
      <c r="K58" s="84"/>
      <c r="L58" s="84"/>
      <c r="M58" s="84"/>
      <c r="N58" s="84"/>
      <c r="O58" s="84"/>
      <c r="P58" s="84"/>
      <c r="Q58" s="84"/>
      <c r="R58" s="84"/>
      <c r="S58" s="84"/>
    </row>
    <row r="59" spans="1:19" s="1" customFormat="1" ht="12.45" customHeight="1" x14ac:dyDescent="0.25">
      <c r="A59" s="85" t="s">
        <v>142</v>
      </c>
      <c r="B59" s="85"/>
      <c r="C59" s="85"/>
      <c r="D59" s="85"/>
      <c r="E59" s="85"/>
      <c r="F59" s="85"/>
      <c r="G59" s="85"/>
      <c r="H59" s="85"/>
      <c r="I59" s="85"/>
      <c r="J59" s="85"/>
      <c r="K59" s="85"/>
      <c r="L59" s="85"/>
      <c r="M59" s="85"/>
      <c r="N59" s="85"/>
      <c r="O59" s="85"/>
      <c r="P59" s="85"/>
      <c r="Q59" s="85"/>
      <c r="R59" s="85"/>
      <c r="S59" s="85"/>
    </row>
    <row r="60" spans="1:19" s="1" customFormat="1" ht="14.1" customHeight="1" x14ac:dyDescent="0.25">
      <c r="A60" s="86"/>
      <c r="B60" s="86"/>
      <c r="C60" s="86"/>
      <c r="D60" s="86"/>
      <c r="E60" s="86"/>
      <c r="F60" s="86"/>
      <c r="G60" s="86"/>
      <c r="H60" s="86"/>
      <c r="I60" s="86"/>
      <c r="J60" s="86"/>
      <c r="K60" s="86"/>
      <c r="L60" s="86"/>
      <c r="M60" s="86"/>
      <c r="N60" s="86"/>
      <c r="O60" s="86"/>
      <c r="P60" s="86"/>
      <c r="Q60" s="86"/>
      <c r="R60" s="86"/>
      <c r="S60" s="86"/>
    </row>
    <row r="61" spans="1:19" s="1" customFormat="1" ht="14.1" customHeight="1" x14ac:dyDescent="0.25">
      <c r="A61" s="84" t="s">
        <v>54</v>
      </c>
      <c r="B61" s="84"/>
      <c r="C61" s="84"/>
      <c r="D61" s="84"/>
      <c r="E61" s="84"/>
      <c r="F61" s="84"/>
      <c r="G61" s="84"/>
      <c r="H61" s="84"/>
      <c r="I61" s="84"/>
      <c r="J61" s="84"/>
      <c r="K61" s="84"/>
      <c r="L61" s="84"/>
      <c r="M61" s="84"/>
      <c r="N61" s="84"/>
      <c r="O61" s="84"/>
      <c r="P61" s="84"/>
      <c r="Q61" s="84"/>
      <c r="R61" s="84"/>
      <c r="S61" s="84"/>
    </row>
    <row r="62" spans="1:19" s="1" customFormat="1" ht="12.45" customHeight="1" x14ac:dyDescent="0.25">
      <c r="A62" s="85" t="s">
        <v>143</v>
      </c>
      <c r="B62" s="85"/>
      <c r="C62" s="85"/>
      <c r="D62" s="85"/>
      <c r="E62" s="85"/>
      <c r="F62" s="85"/>
      <c r="G62" s="85"/>
      <c r="H62" s="85"/>
      <c r="I62" s="85"/>
      <c r="J62" s="85"/>
      <c r="K62" s="85"/>
      <c r="L62" s="85"/>
      <c r="M62" s="85"/>
      <c r="N62" s="85"/>
      <c r="O62" s="85"/>
      <c r="P62" s="85"/>
      <c r="Q62" s="85"/>
      <c r="R62" s="85"/>
      <c r="S62" s="85"/>
    </row>
    <row r="63" spans="1:19" s="1" customFormat="1" ht="14.1" customHeight="1" x14ac:dyDescent="0.25">
      <c r="A63" s="86"/>
      <c r="B63" s="86"/>
      <c r="C63" s="86"/>
      <c r="D63" s="86"/>
      <c r="E63" s="86"/>
      <c r="F63" s="86"/>
      <c r="G63" s="86"/>
      <c r="H63" s="86"/>
      <c r="I63" s="86"/>
      <c r="J63" s="86"/>
      <c r="K63" s="86"/>
      <c r="L63" s="86"/>
      <c r="M63" s="86"/>
      <c r="N63" s="86"/>
      <c r="O63" s="86"/>
      <c r="P63" s="86"/>
      <c r="Q63" s="86"/>
      <c r="R63" s="86"/>
      <c r="S63" s="86"/>
    </row>
    <row r="64" spans="1:19" s="1" customFormat="1" ht="14.1" customHeight="1" x14ac:dyDescent="0.25">
      <c r="A64" s="84" t="s">
        <v>56</v>
      </c>
      <c r="B64" s="84"/>
      <c r="C64" s="84"/>
      <c r="D64" s="84"/>
      <c r="E64" s="84"/>
      <c r="F64" s="84"/>
      <c r="G64" s="84"/>
      <c r="H64" s="84"/>
      <c r="I64" s="84"/>
      <c r="J64" s="84"/>
      <c r="K64" s="84"/>
      <c r="L64" s="84"/>
      <c r="M64" s="84"/>
      <c r="N64" s="84"/>
      <c r="O64" s="84"/>
      <c r="P64" s="84"/>
      <c r="Q64" s="84"/>
      <c r="R64" s="84"/>
      <c r="S64" s="84"/>
    </row>
    <row r="65" spans="1:20" s="1" customFormat="1" ht="30.9" customHeight="1" x14ac:dyDescent="0.25">
      <c r="A65" s="85" t="s">
        <v>144</v>
      </c>
      <c r="B65" s="85"/>
      <c r="C65" s="85"/>
      <c r="D65" s="85"/>
      <c r="E65" s="85"/>
      <c r="F65" s="85"/>
      <c r="G65" s="85"/>
      <c r="H65" s="85"/>
      <c r="I65" s="85"/>
      <c r="J65" s="85"/>
      <c r="K65" s="85"/>
      <c r="L65" s="85"/>
      <c r="M65" s="85"/>
      <c r="N65" s="85"/>
      <c r="O65" s="85"/>
      <c r="P65" s="85"/>
      <c r="Q65" s="85"/>
      <c r="R65" s="85"/>
      <c r="S65" s="85"/>
    </row>
    <row r="66" spans="1:20" s="1" customFormat="1" ht="72.45" customHeight="1" x14ac:dyDescent="0.25">
      <c r="J66" s="100" t="s">
        <v>0</v>
      </c>
      <c r="K66" s="100"/>
      <c r="L66" s="100"/>
      <c r="M66" s="100"/>
      <c r="N66" s="100"/>
      <c r="O66" s="100"/>
      <c r="P66" s="100"/>
      <c r="Q66" s="100"/>
      <c r="R66" s="100"/>
      <c r="S66" s="100"/>
      <c r="T66" s="100"/>
    </row>
    <row r="67" spans="1:20" s="1" customFormat="1" ht="7.05" customHeight="1" x14ac:dyDescent="0.25"/>
    <row r="68" spans="1:20" s="1" customFormat="1" ht="14.1" customHeight="1" x14ac:dyDescent="0.25">
      <c r="B68" s="101" t="s">
        <v>146</v>
      </c>
      <c r="C68" s="101"/>
      <c r="D68" s="101"/>
      <c r="E68" s="101"/>
      <c r="F68" s="101"/>
      <c r="G68" s="101"/>
      <c r="H68" s="101"/>
      <c r="I68" s="101"/>
      <c r="J68" s="101"/>
      <c r="K68" s="101"/>
      <c r="L68" s="101"/>
      <c r="M68" s="101"/>
      <c r="N68" s="101"/>
      <c r="O68" s="101"/>
      <c r="P68" s="101"/>
      <c r="Q68" s="101"/>
      <c r="R68" s="101"/>
    </row>
    <row r="69" spans="1:20" s="1" customFormat="1" ht="14.1" customHeight="1" x14ac:dyDescent="0.25"/>
    <row r="70" spans="1:20" s="1" customFormat="1" ht="14.1" customHeight="1" x14ac:dyDescent="0.25">
      <c r="A70" s="102" t="s">
        <v>2</v>
      </c>
      <c r="B70" s="102"/>
      <c r="C70" s="102"/>
      <c r="D70" s="103" t="s">
        <v>147</v>
      </c>
      <c r="E70" s="103"/>
      <c r="F70" s="103"/>
      <c r="G70" s="103"/>
      <c r="H70" s="103"/>
      <c r="I70" s="103"/>
      <c r="J70" s="103"/>
      <c r="K70" s="103"/>
      <c r="L70" s="103"/>
      <c r="M70" s="103"/>
      <c r="N70" s="103"/>
      <c r="O70" s="103"/>
      <c r="P70" s="103"/>
      <c r="Q70" s="103"/>
      <c r="R70" s="103"/>
      <c r="S70" s="103"/>
      <c r="T70" s="103"/>
    </row>
    <row r="71" spans="1:20" s="1" customFormat="1" ht="14.1" customHeight="1" x14ac:dyDescent="0.25">
      <c r="A71" s="102" t="s">
        <v>4</v>
      </c>
      <c r="B71" s="102"/>
      <c r="C71" s="103" t="s">
        <v>77</v>
      </c>
      <c r="D71" s="103"/>
      <c r="E71" s="103"/>
      <c r="F71" s="103"/>
      <c r="G71" s="103"/>
      <c r="H71" s="103"/>
      <c r="I71" s="103"/>
      <c r="J71" s="103"/>
      <c r="K71" s="103"/>
      <c r="L71" s="103"/>
      <c r="M71" s="103"/>
      <c r="N71" s="103"/>
      <c r="O71" s="103"/>
      <c r="P71" s="103"/>
      <c r="Q71" s="103"/>
      <c r="R71" s="103"/>
      <c r="S71" s="103"/>
      <c r="T71" s="103"/>
    </row>
    <row r="72" spans="1:20" s="1" customFormat="1" ht="14.1" customHeight="1" x14ac:dyDescent="0.25">
      <c r="A72" s="102" t="s">
        <v>6</v>
      </c>
      <c r="B72" s="102"/>
      <c r="C72" s="102"/>
      <c r="D72" s="102"/>
      <c r="E72" s="102"/>
      <c r="F72" s="103" t="s">
        <v>60</v>
      </c>
      <c r="G72" s="103"/>
      <c r="H72" s="103"/>
      <c r="I72" s="103"/>
      <c r="J72" s="103"/>
      <c r="K72" s="103"/>
      <c r="L72" s="103"/>
      <c r="M72" s="103"/>
      <c r="N72" s="103"/>
      <c r="O72" s="103"/>
      <c r="P72" s="103"/>
      <c r="Q72" s="103"/>
      <c r="R72" s="103"/>
      <c r="S72" s="103"/>
      <c r="T72" s="103"/>
    </row>
    <row r="73" spans="1:20" s="1" customFormat="1" ht="22.35" customHeight="1" x14ac:dyDescent="0.25">
      <c r="F73" s="103"/>
      <c r="G73" s="103"/>
      <c r="H73" s="103"/>
      <c r="I73" s="103"/>
      <c r="J73" s="103"/>
      <c r="K73" s="103"/>
      <c r="L73" s="103"/>
      <c r="M73" s="103"/>
      <c r="N73" s="103"/>
      <c r="O73" s="103"/>
      <c r="P73" s="103"/>
      <c r="Q73" s="103"/>
      <c r="R73" s="103"/>
      <c r="S73" s="103"/>
      <c r="T73" s="103"/>
    </row>
    <row r="74" spans="1:20" s="1" customFormat="1" ht="7.05" customHeight="1" x14ac:dyDescent="0.25">
      <c r="A74" s="86"/>
      <c r="B74" s="86"/>
      <c r="C74" s="86"/>
      <c r="D74" s="86"/>
      <c r="E74" s="86"/>
      <c r="F74" s="86"/>
      <c r="G74" s="86"/>
      <c r="H74" s="86"/>
      <c r="I74" s="86"/>
      <c r="J74" s="86"/>
      <c r="K74" s="86"/>
      <c r="L74" s="86"/>
      <c r="M74" s="86"/>
      <c r="N74" s="86"/>
      <c r="O74" s="86"/>
      <c r="P74" s="86"/>
      <c r="Q74" s="16"/>
      <c r="R74" s="86"/>
      <c r="S74" s="86"/>
      <c r="T74" s="86"/>
    </row>
    <row r="75" spans="1:20" s="1" customFormat="1" ht="16.95" customHeight="1" x14ac:dyDescent="0.25">
      <c r="A75" s="94" t="s">
        <v>8</v>
      </c>
      <c r="B75" s="94"/>
      <c r="C75" s="94"/>
      <c r="D75" s="94"/>
      <c r="E75" s="94"/>
      <c r="F75" s="94"/>
      <c r="G75" s="94"/>
      <c r="H75" s="94"/>
      <c r="I75" s="94"/>
      <c r="J75" s="94"/>
      <c r="K75" s="94"/>
      <c r="L75" s="94"/>
      <c r="M75" s="95" t="s">
        <v>9</v>
      </c>
      <c r="N75" s="95"/>
      <c r="O75" s="95"/>
      <c r="P75" s="95"/>
      <c r="Q75" s="95"/>
      <c r="R75" s="95"/>
      <c r="S75" s="95"/>
      <c r="T75" s="95"/>
    </row>
    <row r="76" spans="1:20" s="1" customFormat="1" ht="16.95" customHeight="1" x14ac:dyDescent="0.25">
      <c r="A76" s="94"/>
      <c r="B76" s="94"/>
      <c r="C76" s="94"/>
      <c r="D76" s="94"/>
      <c r="E76" s="94"/>
      <c r="F76" s="94"/>
      <c r="G76" s="94"/>
      <c r="H76" s="94"/>
      <c r="I76" s="94"/>
      <c r="J76" s="94"/>
      <c r="K76" s="94"/>
      <c r="L76" s="94"/>
      <c r="M76" s="96" t="s">
        <v>10</v>
      </c>
      <c r="N76" s="96"/>
      <c r="O76" s="96"/>
      <c r="P76" s="96"/>
      <c r="Q76" s="97" t="s">
        <v>11</v>
      </c>
      <c r="R76" s="97"/>
      <c r="S76" s="97"/>
      <c r="T76" s="97"/>
    </row>
    <row r="77" spans="1:20" s="1" customFormat="1" ht="16.95" customHeight="1" x14ac:dyDescent="0.25">
      <c r="A77" s="94"/>
      <c r="B77" s="94"/>
      <c r="C77" s="94"/>
      <c r="D77" s="94"/>
      <c r="E77" s="94"/>
      <c r="F77" s="94"/>
      <c r="G77" s="94"/>
      <c r="H77" s="94"/>
      <c r="I77" s="94"/>
      <c r="J77" s="94"/>
      <c r="K77" s="94"/>
      <c r="L77" s="94"/>
      <c r="M77" s="98" t="s">
        <v>12</v>
      </c>
      <c r="N77" s="98"/>
      <c r="O77" s="98" t="s">
        <v>13</v>
      </c>
      <c r="P77" s="98"/>
      <c r="Q77" s="13" t="s">
        <v>14</v>
      </c>
      <c r="R77" s="99" t="s">
        <v>15</v>
      </c>
      <c r="S77" s="99"/>
      <c r="T77" s="99"/>
    </row>
    <row r="78" spans="1:20" s="1" customFormat="1" ht="13.35" customHeight="1" x14ac:dyDescent="0.25">
      <c r="A78" s="88" t="s">
        <v>221</v>
      </c>
      <c r="B78" s="88"/>
      <c r="C78" s="88"/>
      <c r="D78" s="88"/>
      <c r="E78" s="88"/>
      <c r="F78" s="88"/>
      <c r="G78" s="88"/>
      <c r="H78" s="88"/>
      <c r="I78" s="88"/>
      <c r="J78" s="88"/>
      <c r="K78" s="88"/>
      <c r="L78" s="88"/>
      <c r="M78" s="88">
        <v>25</v>
      </c>
      <c r="N78" s="88"/>
      <c r="O78" s="88">
        <v>20</v>
      </c>
      <c r="P78" s="88"/>
      <c r="Q78" s="6">
        <v>2</v>
      </c>
      <c r="R78" s="88">
        <v>2</v>
      </c>
      <c r="S78" s="88"/>
      <c r="T78" s="88"/>
    </row>
    <row r="79" spans="1:20" s="1" customFormat="1" ht="13.35" customHeight="1" x14ac:dyDescent="0.25">
      <c r="A79" s="88" t="s">
        <v>61</v>
      </c>
      <c r="B79" s="88"/>
      <c r="C79" s="88"/>
      <c r="D79" s="88"/>
      <c r="E79" s="88"/>
      <c r="F79" s="88"/>
      <c r="G79" s="88"/>
      <c r="H79" s="88"/>
      <c r="I79" s="88"/>
      <c r="J79" s="88"/>
      <c r="K79" s="88"/>
      <c r="L79" s="88"/>
      <c r="M79" s="88">
        <v>15</v>
      </c>
      <c r="N79" s="88"/>
      <c r="O79" s="88">
        <v>15</v>
      </c>
      <c r="P79" s="88"/>
      <c r="Q79" s="6">
        <v>1.5</v>
      </c>
      <c r="R79" s="88">
        <v>1.5</v>
      </c>
      <c r="S79" s="88"/>
      <c r="T79" s="88"/>
    </row>
    <row r="80" spans="1:20" s="1" customFormat="1" ht="24" customHeight="1" x14ac:dyDescent="0.25">
      <c r="A80" s="88" t="s">
        <v>702</v>
      </c>
      <c r="B80" s="88"/>
      <c r="C80" s="88"/>
      <c r="D80" s="88"/>
      <c r="E80" s="88"/>
      <c r="F80" s="88"/>
      <c r="G80" s="88"/>
      <c r="H80" s="88"/>
      <c r="I80" s="88"/>
      <c r="J80" s="88"/>
      <c r="K80" s="88"/>
      <c r="L80" s="88"/>
      <c r="M80" s="88">
        <v>40</v>
      </c>
      <c r="N80" s="88"/>
      <c r="O80" s="88">
        <v>40</v>
      </c>
      <c r="P80" s="88"/>
      <c r="Q80" s="6">
        <v>4</v>
      </c>
      <c r="R80" s="88">
        <v>4</v>
      </c>
      <c r="S80" s="88"/>
      <c r="T80" s="88"/>
    </row>
    <row r="81" spans="1:20" s="1" customFormat="1" ht="14.1" customHeight="1" x14ac:dyDescent="0.25">
      <c r="A81" s="90" t="s">
        <v>811</v>
      </c>
      <c r="B81" s="90"/>
      <c r="C81" s="90"/>
      <c r="D81" s="90"/>
      <c r="E81" s="90"/>
      <c r="F81" s="90"/>
      <c r="G81" s="90"/>
      <c r="H81" s="90"/>
      <c r="I81" s="90"/>
      <c r="J81" s="90"/>
      <c r="K81" s="90"/>
      <c r="L81" s="90"/>
      <c r="M81" s="90"/>
      <c r="N81" s="90"/>
      <c r="O81" s="90"/>
      <c r="P81" s="90"/>
      <c r="Q81" s="90"/>
      <c r="R81" s="90"/>
      <c r="S81" s="90"/>
      <c r="T81" s="90"/>
    </row>
    <row r="82" spans="1:20" s="1" customFormat="1" ht="21.3" customHeight="1" x14ac:dyDescent="0.25"/>
    <row r="83" spans="1:20" s="1" customFormat="1" ht="14.1" customHeight="1" x14ac:dyDescent="0.25">
      <c r="A83" s="91" t="s">
        <v>33</v>
      </c>
      <c r="B83" s="91"/>
      <c r="C83" s="91"/>
      <c r="D83" s="91"/>
      <c r="E83" s="91"/>
      <c r="F83" s="91"/>
      <c r="G83" s="91"/>
      <c r="H83" s="91"/>
      <c r="I83" s="91"/>
      <c r="J83" s="91"/>
      <c r="K83" s="91"/>
      <c r="L83" s="91"/>
      <c r="M83" s="91"/>
      <c r="N83" s="91"/>
    </row>
    <row r="84" spans="1:20" s="1" customFormat="1" ht="13.35" customHeight="1" x14ac:dyDescent="0.25">
      <c r="A84" s="88" t="s">
        <v>34</v>
      </c>
      <c r="B84" s="88"/>
      <c r="C84" s="88"/>
      <c r="D84" s="88"/>
      <c r="E84" s="89">
        <f>3.2*80/75</f>
        <v>3.4133333333333336</v>
      </c>
      <c r="F84" s="89"/>
      <c r="G84" s="17"/>
      <c r="H84" s="6" t="s">
        <v>35</v>
      </c>
      <c r="I84" s="89">
        <v>0.03</v>
      </c>
      <c r="J84" s="89"/>
      <c r="K84" s="17"/>
      <c r="L84" s="88" t="s">
        <v>36</v>
      </c>
      <c r="M84" s="88"/>
      <c r="N84" s="89">
        <v>12.4</v>
      </c>
      <c r="O84" s="89"/>
    </row>
    <row r="85" spans="1:20" s="1" customFormat="1" ht="13.35" customHeight="1" x14ac:dyDescent="0.25">
      <c r="A85" s="88" t="s">
        <v>37</v>
      </c>
      <c r="B85" s="88"/>
      <c r="C85" s="88"/>
      <c r="D85" s="88"/>
      <c r="E85" s="89">
        <f>3.85*80/75</f>
        <v>4.1066666666666665</v>
      </c>
      <c r="F85" s="89"/>
      <c r="G85" s="17"/>
      <c r="H85" s="6" t="s">
        <v>38</v>
      </c>
      <c r="I85" s="89">
        <v>10</v>
      </c>
      <c r="J85" s="89"/>
      <c r="K85" s="17"/>
      <c r="L85" s="88" t="s">
        <v>39</v>
      </c>
      <c r="M85" s="88"/>
      <c r="N85" s="89">
        <v>7.4</v>
      </c>
      <c r="O85" s="89"/>
    </row>
    <row r="86" spans="1:20" s="1" customFormat="1" ht="13.35" customHeight="1" x14ac:dyDescent="0.25">
      <c r="A86" s="88" t="s">
        <v>40</v>
      </c>
      <c r="B86" s="88"/>
      <c r="C86" s="88"/>
      <c r="D86" s="88"/>
      <c r="E86" s="89">
        <f>29.3*80/75</f>
        <v>31.253333333333334</v>
      </c>
      <c r="F86" s="89"/>
      <c r="G86" s="17"/>
      <c r="H86" s="6" t="s">
        <v>41</v>
      </c>
      <c r="I86" s="89">
        <v>7.0000000000000007E-2</v>
      </c>
      <c r="J86" s="89"/>
      <c r="K86" s="17"/>
      <c r="L86" s="88" t="s">
        <v>42</v>
      </c>
      <c r="M86" s="88"/>
      <c r="N86" s="89">
        <v>25.4</v>
      </c>
      <c r="O86" s="89"/>
    </row>
    <row r="87" spans="1:20" s="1" customFormat="1" ht="13.35" customHeight="1" x14ac:dyDescent="0.25">
      <c r="A87" s="88" t="s">
        <v>43</v>
      </c>
      <c r="B87" s="88"/>
      <c r="C87" s="88"/>
      <c r="D87" s="88"/>
      <c r="E87" s="89">
        <f>185*80/75</f>
        <v>197.33333333333334</v>
      </c>
      <c r="F87" s="89"/>
      <c r="G87" s="17"/>
      <c r="H87" s="6" t="s">
        <v>44</v>
      </c>
      <c r="I87" s="89">
        <v>0.22</v>
      </c>
      <c r="J87" s="89"/>
      <c r="K87" s="17"/>
      <c r="L87" s="88" t="s">
        <v>45</v>
      </c>
      <c r="M87" s="88"/>
      <c r="N87" s="89">
        <v>0.45</v>
      </c>
      <c r="O87" s="89"/>
    </row>
    <row r="88" spans="1:20" s="1" customFormat="1" ht="13.35" customHeight="1" x14ac:dyDescent="0.25">
      <c r="A88" s="87"/>
      <c r="B88" s="87"/>
      <c r="C88" s="87"/>
      <c r="D88" s="87"/>
      <c r="E88" s="87"/>
      <c r="F88" s="87"/>
      <c r="G88" s="17"/>
      <c r="H88" s="6" t="s">
        <v>46</v>
      </c>
      <c r="I88" s="89">
        <v>0.15</v>
      </c>
      <c r="J88" s="89"/>
      <c r="K88" s="17"/>
      <c r="L88" s="88" t="s">
        <v>47</v>
      </c>
      <c r="M88" s="88"/>
      <c r="N88" s="89">
        <v>64.099999999999994</v>
      </c>
      <c r="O88" s="89"/>
    </row>
    <row r="89" spans="1:20" s="1" customFormat="1" ht="13.35" customHeight="1" x14ac:dyDescent="0.25">
      <c r="A89" s="87"/>
      <c r="B89" s="87"/>
      <c r="C89" s="87"/>
      <c r="D89" s="87"/>
      <c r="E89" s="87"/>
      <c r="F89" s="87"/>
      <c r="G89" s="17"/>
      <c r="H89" s="6" t="s">
        <v>48</v>
      </c>
      <c r="I89" s="89">
        <v>0.02</v>
      </c>
      <c r="J89" s="89"/>
      <c r="K89" s="17"/>
      <c r="L89" s="88" t="s">
        <v>49</v>
      </c>
      <c r="M89" s="88"/>
      <c r="N89" s="89">
        <v>0</v>
      </c>
      <c r="O89" s="89"/>
    </row>
    <row r="90" spans="1:20" s="1" customFormat="1" ht="13.35" customHeight="1" x14ac:dyDescent="0.25">
      <c r="A90" s="87"/>
      <c r="B90" s="87"/>
      <c r="C90" s="87"/>
      <c r="D90" s="87"/>
      <c r="E90" s="87"/>
      <c r="F90" s="87"/>
      <c r="G90" s="17"/>
      <c r="H90" s="17"/>
      <c r="I90" s="87"/>
      <c r="J90" s="87"/>
      <c r="K90" s="17"/>
      <c r="L90" s="88" t="s">
        <v>50</v>
      </c>
      <c r="M90" s="88"/>
      <c r="N90" s="89">
        <v>0</v>
      </c>
      <c r="O90" s="89"/>
    </row>
    <row r="91" spans="1:20" s="1" customFormat="1" ht="13.35" customHeight="1" x14ac:dyDescent="0.25">
      <c r="A91" s="87"/>
      <c r="B91" s="87"/>
      <c r="C91" s="87"/>
      <c r="D91" s="87"/>
      <c r="E91" s="87"/>
      <c r="F91" s="87"/>
      <c r="G91" s="17"/>
      <c r="H91" s="17"/>
      <c r="I91" s="87"/>
      <c r="J91" s="87"/>
      <c r="K91" s="17"/>
      <c r="L91" s="88" t="s">
        <v>51</v>
      </c>
      <c r="M91" s="88"/>
      <c r="N91" s="89">
        <v>0</v>
      </c>
      <c r="O91" s="89"/>
    </row>
    <row r="92" spans="1:20" s="1" customFormat="1" ht="14.1" customHeight="1" x14ac:dyDescent="0.25">
      <c r="A92" s="86"/>
      <c r="B92" s="86"/>
      <c r="C92" s="86"/>
      <c r="D92" s="86"/>
      <c r="E92" s="86"/>
      <c r="F92" s="86"/>
      <c r="G92" s="86"/>
      <c r="H92" s="86"/>
      <c r="I92" s="86"/>
      <c r="J92" s="86"/>
      <c r="K92" s="86"/>
      <c r="L92" s="86"/>
      <c r="M92" s="86"/>
      <c r="N92" s="86"/>
      <c r="O92" s="86"/>
      <c r="P92" s="86"/>
      <c r="Q92" s="86"/>
      <c r="R92" s="86"/>
      <c r="S92" s="86"/>
    </row>
    <row r="93" spans="1:20" s="1" customFormat="1" ht="14.1" customHeight="1" x14ac:dyDescent="0.25">
      <c r="A93" s="84" t="s">
        <v>52</v>
      </c>
      <c r="B93" s="84"/>
      <c r="C93" s="84"/>
      <c r="D93" s="84"/>
      <c r="E93" s="84"/>
      <c r="F93" s="84"/>
      <c r="G93" s="84"/>
      <c r="H93" s="84"/>
      <c r="I93" s="84"/>
      <c r="J93" s="84"/>
      <c r="K93" s="84"/>
      <c r="L93" s="84"/>
      <c r="M93" s="84"/>
      <c r="N93" s="84"/>
      <c r="O93" s="84"/>
      <c r="P93" s="84"/>
      <c r="Q93" s="84"/>
      <c r="R93" s="84"/>
      <c r="S93" s="84"/>
    </row>
    <row r="94" spans="1:20" s="1" customFormat="1" ht="12.15" customHeight="1" x14ac:dyDescent="0.25">
      <c r="A94" s="85" t="s">
        <v>149</v>
      </c>
      <c r="B94" s="85"/>
      <c r="C94" s="85"/>
      <c r="D94" s="85"/>
      <c r="E94" s="85"/>
      <c r="F94" s="85"/>
      <c r="G94" s="85"/>
      <c r="H94" s="85"/>
      <c r="I94" s="85"/>
      <c r="J94" s="85"/>
      <c r="K94" s="85"/>
      <c r="L94" s="85"/>
      <c r="M94" s="85"/>
      <c r="N94" s="85"/>
      <c r="O94" s="85"/>
      <c r="P94" s="85"/>
      <c r="Q94" s="85"/>
      <c r="R94" s="85"/>
      <c r="S94" s="85"/>
    </row>
    <row r="95" spans="1:20" s="1" customFormat="1" ht="14.1" customHeight="1" x14ac:dyDescent="0.25">
      <c r="A95" s="84" t="s">
        <v>54</v>
      </c>
      <c r="B95" s="84"/>
      <c r="C95" s="84"/>
      <c r="D95" s="84"/>
      <c r="E95" s="84"/>
      <c r="F95" s="84"/>
      <c r="G95" s="84"/>
      <c r="H95" s="84"/>
      <c r="I95" s="84"/>
      <c r="J95" s="84"/>
      <c r="K95" s="84"/>
      <c r="L95" s="84"/>
      <c r="M95" s="84"/>
      <c r="N95" s="84"/>
      <c r="O95" s="84"/>
      <c r="P95" s="84"/>
      <c r="Q95" s="84"/>
      <c r="R95" s="84"/>
      <c r="S95" s="84"/>
    </row>
    <row r="96" spans="1:20" s="1" customFormat="1" ht="12.45" customHeight="1" x14ac:dyDescent="0.25">
      <c r="A96" s="85" t="s">
        <v>143</v>
      </c>
      <c r="B96" s="85"/>
      <c r="C96" s="85"/>
      <c r="D96" s="85"/>
      <c r="E96" s="85"/>
      <c r="F96" s="85"/>
      <c r="G96" s="85"/>
      <c r="H96" s="85"/>
      <c r="I96" s="85"/>
      <c r="J96" s="85"/>
      <c r="K96" s="85"/>
      <c r="L96" s="85"/>
      <c r="M96" s="85"/>
      <c r="N96" s="85"/>
      <c r="O96" s="85"/>
      <c r="P96" s="85"/>
      <c r="Q96" s="85"/>
      <c r="R96" s="85"/>
      <c r="S96" s="85"/>
    </row>
    <row r="97" spans="1:20" s="1" customFormat="1" ht="14.1" customHeight="1" x14ac:dyDescent="0.25">
      <c r="A97" s="86"/>
      <c r="B97" s="86"/>
      <c r="C97" s="86"/>
      <c r="D97" s="86"/>
      <c r="E97" s="86"/>
      <c r="F97" s="86"/>
      <c r="G97" s="86"/>
      <c r="H97" s="86"/>
      <c r="I97" s="86"/>
      <c r="J97" s="86"/>
      <c r="K97" s="86"/>
      <c r="L97" s="86"/>
      <c r="M97" s="86"/>
      <c r="N97" s="86"/>
      <c r="O97" s="86"/>
      <c r="P97" s="86"/>
      <c r="Q97" s="86"/>
      <c r="R97" s="86"/>
      <c r="S97" s="86"/>
    </row>
    <row r="98" spans="1:20" s="1" customFormat="1" ht="14.1" customHeight="1" x14ac:dyDescent="0.25">
      <c r="A98" s="84" t="s">
        <v>56</v>
      </c>
      <c r="B98" s="84"/>
      <c r="C98" s="84"/>
      <c r="D98" s="84"/>
      <c r="E98" s="84"/>
      <c r="F98" s="84"/>
      <c r="G98" s="84"/>
      <c r="H98" s="84"/>
      <c r="I98" s="84"/>
      <c r="J98" s="84"/>
      <c r="K98" s="84"/>
      <c r="L98" s="84"/>
      <c r="M98" s="84"/>
      <c r="N98" s="84"/>
      <c r="O98" s="84"/>
      <c r="P98" s="84"/>
      <c r="Q98" s="84"/>
      <c r="R98" s="84"/>
      <c r="S98" s="84"/>
    </row>
    <row r="99" spans="1:20" s="1" customFormat="1" ht="49.2" customHeight="1" x14ac:dyDescent="0.25">
      <c r="A99" s="85" t="s">
        <v>150</v>
      </c>
      <c r="B99" s="85"/>
      <c r="C99" s="85"/>
      <c r="D99" s="85"/>
      <c r="E99" s="85"/>
      <c r="F99" s="85"/>
      <c r="G99" s="85"/>
      <c r="H99" s="85"/>
      <c r="I99" s="85"/>
      <c r="J99" s="85"/>
      <c r="K99" s="85"/>
      <c r="L99" s="85"/>
      <c r="M99" s="85"/>
      <c r="N99" s="85"/>
      <c r="O99" s="85"/>
      <c r="P99" s="85"/>
      <c r="Q99" s="85"/>
      <c r="R99" s="85"/>
      <c r="S99" s="85"/>
    </row>
    <row r="102" spans="1:20" s="1" customFormat="1" ht="72.45" customHeight="1" x14ac:dyDescent="0.25">
      <c r="J102" s="100" t="s">
        <v>0</v>
      </c>
      <c r="K102" s="100"/>
      <c r="L102" s="100"/>
      <c r="M102" s="100"/>
      <c r="N102" s="100"/>
      <c r="O102" s="100"/>
      <c r="P102" s="100"/>
      <c r="Q102" s="100"/>
      <c r="R102" s="100"/>
      <c r="S102" s="100"/>
      <c r="T102" s="100"/>
    </row>
    <row r="103" spans="1:20" s="1" customFormat="1" ht="7.05" customHeight="1" x14ac:dyDescent="0.25"/>
    <row r="104" spans="1:20" s="1" customFormat="1" ht="14.1" customHeight="1" x14ac:dyDescent="0.25">
      <c r="B104" s="101" t="s">
        <v>380</v>
      </c>
      <c r="C104" s="101"/>
      <c r="D104" s="101"/>
      <c r="E104" s="101"/>
      <c r="F104" s="101"/>
      <c r="G104" s="101"/>
      <c r="H104" s="101"/>
      <c r="I104" s="101"/>
      <c r="J104" s="101"/>
      <c r="K104" s="101"/>
      <c r="L104" s="101"/>
      <c r="M104" s="101"/>
      <c r="N104" s="101"/>
      <c r="O104" s="101"/>
      <c r="P104" s="101"/>
      <c r="Q104" s="101"/>
      <c r="R104" s="101"/>
    </row>
    <row r="105" spans="1:20" s="1" customFormat="1" ht="14.1" customHeight="1" x14ac:dyDescent="0.25"/>
    <row r="106" spans="1:20" s="1" customFormat="1" ht="14.1" customHeight="1" x14ac:dyDescent="0.25">
      <c r="A106" s="102" t="s">
        <v>2</v>
      </c>
      <c r="B106" s="102"/>
      <c r="C106" s="102"/>
      <c r="D106" s="103" t="s">
        <v>381</v>
      </c>
      <c r="E106" s="103"/>
      <c r="F106" s="103"/>
      <c r="G106" s="103"/>
      <c r="H106" s="103"/>
      <c r="I106" s="103"/>
      <c r="J106" s="103"/>
      <c r="K106" s="103"/>
      <c r="L106" s="103"/>
      <c r="M106" s="103"/>
      <c r="N106" s="103"/>
      <c r="O106" s="103"/>
      <c r="P106" s="103"/>
      <c r="Q106" s="103"/>
      <c r="R106" s="103"/>
      <c r="S106" s="103"/>
      <c r="T106" s="103"/>
    </row>
    <row r="107" spans="1:20" s="1" customFormat="1" ht="14.1" customHeight="1" x14ac:dyDescent="0.25">
      <c r="A107" s="102" t="s">
        <v>4</v>
      </c>
      <c r="B107" s="102"/>
      <c r="C107" s="103"/>
      <c r="D107" s="103"/>
      <c r="E107" s="103"/>
      <c r="F107" s="103"/>
      <c r="G107" s="103"/>
      <c r="H107" s="103"/>
      <c r="I107" s="103"/>
      <c r="J107" s="103"/>
      <c r="K107" s="103"/>
      <c r="L107" s="103"/>
      <c r="M107" s="103"/>
      <c r="N107" s="103"/>
      <c r="O107" s="103"/>
      <c r="P107" s="103"/>
      <c r="Q107" s="103"/>
      <c r="R107" s="103"/>
      <c r="S107" s="103"/>
      <c r="T107" s="103"/>
    </row>
    <row r="108" spans="1:20" s="1" customFormat="1" ht="14.1" customHeight="1" x14ac:dyDescent="0.25">
      <c r="A108" s="102" t="s">
        <v>6</v>
      </c>
      <c r="B108" s="102"/>
      <c r="C108" s="102"/>
      <c r="D108" s="102"/>
      <c r="E108" s="102"/>
      <c r="F108" s="103"/>
      <c r="G108" s="103"/>
      <c r="H108" s="103"/>
      <c r="I108" s="103"/>
      <c r="J108" s="103"/>
      <c r="K108" s="103"/>
      <c r="L108" s="103"/>
      <c r="M108" s="103"/>
      <c r="N108" s="103"/>
      <c r="O108" s="103"/>
      <c r="P108" s="103"/>
      <c r="Q108" s="103"/>
      <c r="R108" s="103"/>
      <c r="S108" s="103"/>
      <c r="T108" s="103"/>
    </row>
    <row r="109" spans="1:20" s="1" customFormat="1" ht="1.35" customHeight="1" x14ac:dyDescent="0.25"/>
    <row r="110" spans="1:20" s="1" customFormat="1" ht="7.05" customHeight="1" x14ac:dyDescent="0.25">
      <c r="A110" s="86"/>
      <c r="B110" s="86"/>
      <c r="C110" s="86"/>
      <c r="D110" s="86"/>
      <c r="E110" s="86"/>
      <c r="F110" s="86"/>
      <c r="G110" s="86"/>
      <c r="H110" s="86"/>
      <c r="I110" s="86"/>
      <c r="J110" s="86"/>
      <c r="K110" s="86"/>
      <c r="L110" s="86"/>
      <c r="M110" s="86"/>
      <c r="N110" s="86"/>
      <c r="O110" s="86"/>
      <c r="P110" s="86"/>
      <c r="Q110" s="16"/>
      <c r="R110" s="86"/>
      <c r="S110" s="86"/>
      <c r="T110" s="86"/>
    </row>
    <row r="111" spans="1:20" s="1" customFormat="1" ht="16.95" customHeight="1" x14ac:dyDescent="0.25">
      <c r="A111" s="94" t="s">
        <v>8</v>
      </c>
      <c r="B111" s="94"/>
      <c r="C111" s="94"/>
      <c r="D111" s="94"/>
      <c r="E111" s="94"/>
      <c r="F111" s="94"/>
      <c r="G111" s="94"/>
      <c r="H111" s="94"/>
      <c r="I111" s="94"/>
      <c r="J111" s="94"/>
      <c r="K111" s="94"/>
      <c r="L111" s="94"/>
      <c r="M111" s="95" t="s">
        <v>9</v>
      </c>
      <c r="N111" s="95"/>
      <c r="O111" s="95"/>
      <c r="P111" s="95"/>
      <c r="Q111" s="95"/>
      <c r="R111" s="95"/>
      <c r="S111" s="95"/>
      <c r="T111" s="95"/>
    </row>
    <row r="112" spans="1:20" s="1" customFormat="1" ht="16.95" customHeight="1" x14ac:dyDescent="0.25">
      <c r="A112" s="94"/>
      <c r="B112" s="94"/>
      <c r="C112" s="94"/>
      <c r="D112" s="94"/>
      <c r="E112" s="94"/>
      <c r="F112" s="94"/>
      <c r="G112" s="94"/>
      <c r="H112" s="94"/>
      <c r="I112" s="94"/>
      <c r="J112" s="94"/>
      <c r="K112" s="94"/>
      <c r="L112" s="94"/>
      <c r="M112" s="96" t="s">
        <v>10</v>
      </c>
      <c r="N112" s="96"/>
      <c r="O112" s="96"/>
      <c r="P112" s="96"/>
      <c r="Q112" s="97" t="s">
        <v>11</v>
      </c>
      <c r="R112" s="97"/>
      <c r="S112" s="97"/>
      <c r="T112" s="97"/>
    </row>
    <row r="113" spans="1:20" s="1" customFormat="1" ht="16.95" customHeight="1" x14ac:dyDescent="0.25">
      <c r="A113" s="94"/>
      <c r="B113" s="94"/>
      <c r="C113" s="94"/>
      <c r="D113" s="94"/>
      <c r="E113" s="94"/>
      <c r="F113" s="94"/>
      <c r="G113" s="94"/>
      <c r="H113" s="94"/>
      <c r="I113" s="94"/>
      <c r="J113" s="94"/>
      <c r="K113" s="94"/>
      <c r="L113" s="94"/>
      <c r="M113" s="98" t="s">
        <v>12</v>
      </c>
      <c r="N113" s="98"/>
      <c r="O113" s="98" t="s">
        <v>13</v>
      </c>
      <c r="P113" s="98"/>
      <c r="Q113" s="13" t="s">
        <v>14</v>
      </c>
      <c r="R113" s="99" t="s">
        <v>15</v>
      </c>
      <c r="S113" s="99"/>
      <c r="T113" s="99"/>
    </row>
    <row r="114" spans="1:20" s="1" customFormat="1" ht="13.35" customHeight="1" x14ac:dyDescent="0.25">
      <c r="A114" s="88" t="s">
        <v>382</v>
      </c>
      <c r="B114" s="88"/>
      <c r="C114" s="88"/>
      <c r="D114" s="88"/>
      <c r="E114" s="88"/>
      <c r="F114" s="88"/>
      <c r="G114" s="88"/>
      <c r="H114" s="88"/>
      <c r="I114" s="88"/>
      <c r="J114" s="88"/>
      <c r="K114" s="88"/>
      <c r="L114" s="88"/>
      <c r="M114" s="88" t="s">
        <v>85</v>
      </c>
      <c r="N114" s="88"/>
      <c r="O114" s="88" t="s">
        <v>85</v>
      </c>
      <c r="P114" s="88"/>
      <c r="Q114" s="6" t="s">
        <v>77</v>
      </c>
      <c r="R114" s="88" t="s">
        <v>77</v>
      </c>
      <c r="S114" s="88"/>
      <c r="T114" s="88"/>
    </row>
    <row r="115" spans="1:20" s="1" customFormat="1" ht="14.1" customHeight="1" x14ac:dyDescent="0.25">
      <c r="A115" s="90" t="s">
        <v>383</v>
      </c>
      <c r="B115" s="90"/>
      <c r="C115" s="90"/>
      <c r="D115" s="90"/>
      <c r="E115" s="90"/>
      <c r="F115" s="90"/>
      <c r="G115" s="90"/>
      <c r="H115" s="90"/>
      <c r="I115" s="90"/>
      <c r="J115" s="90"/>
      <c r="K115" s="90"/>
      <c r="L115" s="90"/>
      <c r="M115" s="90"/>
      <c r="N115" s="90"/>
      <c r="O115" s="90"/>
      <c r="P115" s="90"/>
      <c r="Q115" s="90"/>
      <c r="R115" s="90"/>
      <c r="S115" s="90"/>
      <c r="T115" s="90"/>
    </row>
    <row r="116" spans="1:20" s="1" customFormat="1" ht="21.3" customHeight="1" x14ac:dyDescent="0.25"/>
    <row r="117" spans="1:20" s="1" customFormat="1" ht="14.1" customHeight="1" x14ac:dyDescent="0.25">
      <c r="A117" s="91" t="s">
        <v>33</v>
      </c>
      <c r="B117" s="91"/>
      <c r="C117" s="91"/>
      <c r="D117" s="91"/>
      <c r="E117" s="91"/>
      <c r="F117" s="91"/>
      <c r="G117" s="91"/>
      <c r="H117" s="91"/>
      <c r="I117" s="91"/>
      <c r="J117" s="91"/>
      <c r="K117" s="91"/>
      <c r="L117" s="91"/>
      <c r="M117" s="91"/>
      <c r="N117" s="91"/>
    </row>
    <row r="118" spans="1:20" s="1" customFormat="1" ht="13.35" customHeight="1" x14ac:dyDescent="0.25">
      <c r="A118" s="88" t="s">
        <v>34</v>
      </c>
      <c r="B118" s="88"/>
      <c r="C118" s="88"/>
      <c r="D118" s="88"/>
      <c r="E118" s="89">
        <v>1.5</v>
      </c>
      <c r="F118" s="89"/>
      <c r="G118" s="17"/>
      <c r="H118" s="6" t="s">
        <v>35</v>
      </c>
      <c r="I118" s="89">
        <v>0.02</v>
      </c>
      <c r="J118" s="89"/>
      <c r="K118" s="17"/>
      <c r="L118" s="88" t="s">
        <v>36</v>
      </c>
      <c r="M118" s="88"/>
      <c r="N118" s="89">
        <v>5.8</v>
      </c>
      <c r="O118" s="89"/>
    </row>
    <row r="119" spans="1:20" s="1" customFormat="1" ht="13.35" customHeight="1" x14ac:dyDescent="0.25">
      <c r="A119" s="88" t="s">
        <v>37</v>
      </c>
      <c r="B119" s="88"/>
      <c r="C119" s="88"/>
      <c r="D119" s="88"/>
      <c r="E119" s="89">
        <v>1.96</v>
      </c>
      <c r="F119" s="89"/>
      <c r="G119" s="17"/>
      <c r="H119" s="6" t="s">
        <v>38</v>
      </c>
      <c r="I119" s="89">
        <v>0</v>
      </c>
      <c r="J119" s="89"/>
      <c r="K119" s="17"/>
      <c r="L119" s="88" t="s">
        <v>39</v>
      </c>
      <c r="M119" s="88"/>
      <c r="N119" s="89">
        <v>4</v>
      </c>
      <c r="O119" s="89"/>
    </row>
    <row r="120" spans="1:20" s="1" customFormat="1" ht="13.35" customHeight="1" x14ac:dyDescent="0.25">
      <c r="A120" s="88" t="s">
        <v>40</v>
      </c>
      <c r="B120" s="88"/>
      <c r="C120" s="88"/>
      <c r="D120" s="88"/>
      <c r="E120" s="89">
        <v>14.88</v>
      </c>
      <c r="F120" s="89"/>
      <c r="G120" s="17"/>
      <c r="H120" s="6" t="s">
        <v>41</v>
      </c>
      <c r="I120" s="89">
        <v>0</v>
      </c>
      <c r="J120" s="89"/>
      <c r="K120" s="17"/>
      <c r="L120" s="88" t="s">
        <v>42</v>
      </c>
      <c r="M120" s="88"/>
      <c r="N120" s="89">
        <v>18</v>
      </c>
      <c r="O120" s="89"/>
    </row>
    <row r="121" spans="1:20" s="1" customFormat="1" ht="13.35" customHeight="1" x14ac:dyDescent="0.25">
      <c r="A121" s="88" t="s">
        <v>43</v>
      </c>
      <c r="B121" s="88"/>
      <c r="C121" s="88"/>
      <c r="D121" s="88"/>
      <c r="E121" s="89">
        <v>83.4</v>
      </c>
      <c r="F121" s="89"/>
      <c r="G121" s="17"/>
      <c r="H121" s="6" t="s">
        <v>44</v>
      </c>
      <c r="I121" s="89">
        <v>0</v>
      </c>
      <c r="J121" s="89"/>
      <c r="K121" s="17"/>
      <c r="L121" s="88" t="s">
        <v>45</v>
      </c>
      <c r="M121" s="88"/>
      <c r="N121" s="89">
        <v>0.42</v>
      </c>
      <c r="O121" s="89"/>
    </row>
    <row r="122" spans="1:20" s="1" customFormat="1" ht="13.35" customHeight="1" x14ac:dyDescent="0.25">
      <c r="A122" s="87"/>
      <c r="B122" s="87"/>
      <c r="C122" s="87"/>
      <c r="D122" s="87"/>
      <c r="E122" s="87"/>
      <c r="F122" s="87"/>
      <c r="G122" s="17"/>
      <c r="H122" s="6" t="s">
        <v>46</v>
      </c>
      <c r="I122" s="89">
        <v>0</v>
      </c>
      <c r="J122" s="89"/>
      <c r="K122" s="17"/>
      <c r="L122" s="88" t="s">
        <v>47</v>
      </c>
      <c r="M122" s="88"/>
      <c r="N122" s="89">
        <v>22</v>
      </c>
      <c r="O122" s="89"/>
    </row>
    <row r="123" spans="1:20" s="1" customFormat="1" ht="13.35" customHeight="1" x14ac:dyDescent="0.25">
      <c r="A123" s="87"/>
      <c r="B123" s="87"/>
      <c r="C123" s="87"/>
      <c r="D123" s="87"/>
      <c r="E123" s="87"/>
      <c r="F123" s="87"/>
      <c r="G123" s="17"/>
      <c r="H123" s="6" t="s">
        <v>48</v>
      </c>
      <c r="I123" s="89">
        <v>0.01</v>
      </c>
      <c r="J123" s="89"/>
      <c r="K123" s="17"/>
      <c r="L123" s="88" t="s">
        <v>49</v>
      </c>
      <c r="M123" s="88"/>
      <c r="N123" s="89">
        <v>0</v>
      </c>
      <c r="O123" s="89"/>
    </row>
    <row r="124" spans="1:20" s="1" customFormat="1" ht="13.35" customHeight="1" x14ac:dyDescent="0.25">
      <c r="A124" s="87"/>
      <c r="B124" s="87"/>
      <c r="C124" s="87"/>
      <c r="D124" s="87"/>
      <c r="E124" s="87"/>
      <c r="F124" s="87"/>
      <c r="G124" s="17"/>
      <c r="H124" s="17"/>
      <c r="I124" s="87"/>
      <c r="J124" s="87"/>
      <c r="K124" s="17"/>
      <c r="L124" s="88" t="s">
        <v>50</v>
      </c>
      <c r="M124" s="88"/>
      <c r="N124" s="89">
        <v>0</v>
      </c>
      <c r="O124" s="89"/>
    </row>
    <row r="125" spans="1:20" s="1" customFormat="1" ht="13.35" customHeight="1" x14ac:dyDescent="0.25">
      <c r="A125" s="87"/>
      <c r="B125" s="87"/>
      <c r="C125" s="87"/>
      <c r="D125" s="87"/>
      <c r="E125" s="87"/>
      <c r="F125" s="87"/>
      <c r="G125" s="17"/>
      <c r="H125" s="17"/>
      <c r="I125" s="87"/>
      <c r="J125" s="87"/>
      <c r="K125" s="17"/>
      <c r="L125" s="88" t="s">
        <v>51</v>
      </c>
      <c r="M125" s="88"/>
      <c r="N125" s="89">
        <v>0</v>
      </c>
      <c r="O125" s="89"/>
    </row>
    <row r="126" spans="1:20" s="1" customFormat="1" ht="14.1" customHeight="1" x14ac:dyDescent="0.25">
      <c r="A126" s="86"/>
      <c r="B126" s="86"/>
      <c r="C126" s="86"/>
      <c r="D126" s="86"/>
      <c r="E126" s="86"/>
      <c r="F126" s="86"/>
      <c r="G126" s="86"/>
      <c r="H126" s="86"/>
      <c r="I126" s="86"/>
      <c r="J126" s="86"/>
      <c r="K126" s="86"/>
      <c r="L126" s="86"/>
      <c r="M126" s="86"/>
      <c r="N126" s="86"/>
      <c r="O126" s="86"/>
      <c r="P126" s="86"/>
      <c r="Q126" s="86"/>
      <c r="R126" s="86"/>
      <c r="S126" s="86"/>
    </row>
    <row r="127" spans="1:20" s="1" customFormat="1" ht="14.1" customHeight="1" x14ac:dyDescent="0.25">
      <c r="A127" s="84" t="s">
        <v>54</v>
      </c>
      <c r="B127" s="84"/>
      <c r="C127" s="84"/>
      <c r="D127" s="84"/>
      <c r="E127" s="84"/>
      <c r="F127" s="84"/>
      <c r="G127" s="84"/>
      <c r="H127" s="84"/>
      <c r="I127" s="84"/>
      <c r="J127" s="84"/>
      <c r="K127" s="84"/>
      <c r="L127" s="84"/>
      <c r="M127" s="84"/>
      <c r="N127" s="84"/>
      <c r="O127" s="84"/>
      <c r="P127" s="84"/>
      <c r="Q127" s="84"/>
      <c r="R127" s="84"/>
      <c r="S127" s="84"/>
    </row>
    <row r="128" spans="1:20" s="1" customFormat="1" ht="12.15" customHeight="1" x14ac:dyDescent="0.25">
      <c r="A128" s="85" t="s">
        <v>384</v>
      </c>
      <c r="B128" s="85"/>
      <c r="C128" s="85"/>
      <c r="D128" s="85"/>
      <c r="E128" s="85"/>
      <c r="F128" s="85"/>
      <c r="G128" s="85"/>
      <c r="H128" s="85"/>
      <c r="I128" s="85"/>
      <c r="J128" s="85"/>
      <c r="K128" s="85"/>
      <c r="L128" s="85"/>
      <c r="M128" s="85"/>
      <c r="N128" s="85"/>
      <c r="O128" s="85"/>
      <c r="P128" s="85"/>
      <c r="Q128" s="85"/>
      <c r="R128" s="85"/>
      <c r="S128" s="85"/>
    </row>
    <row r="129" spans="1:20" s="1" customFormat="1" ht="72.45" customHeight="1" x14ac:dyDescent="0.25">
      <c r="J129" s="100" t="s">
        <v>0</v>
      </c>
      <c r="K129" s="100"/>
      <c r="L129" s="100"/>
      <c r="M129" s="100"/>
      <c r="N129" s="100"/>
      <c r="O129" s="100"/>
      <c r="P129" s="100"/>
      <c r="Q129" s="100"/>
      <c r="R129" s="100"/>
      <c r="S129" s="100"/>
      <c r="T129" s="100"/>
    </row>
    <row r="130" spans="1:20" s="1" customFormat="1" ht="7.05" customHeight="1" x14ac:dyDescent="0.25"/>
    <row r="131" spans="1:20" s="1" customFormat="1" ht="14.1" customHeight="1" x14ac:dyDescent="0.25">
      <c r="B131" s="101" t="s">
        <v>380</v>
      </c>
      <c r="C131" s="101"/>
      <c r="D131" s="101"/>
      <c r="E131" s="101"/>
      <c r="F131" s="101"/>
      <c r="G131" s="101"/>
      <c r="H131" s="101"/>
      <c r="I131" s="101"/>
      <c r="J131" s="101"/>
      <c r="K131" s="101"/>
      <c r="L131" s="101"/>
      <c r="M131" s="101"/>
      <c r="N131" s="101"/>
      <c r="O131" s="101"/>
      <c r="P131" s="101"/>
      <c r="Q131" s="101"/>
      <c r="R131" s="101"/>
    </row>
    <row r="132" spans="1:20" s="1" customFormat="1" ht="14.1" customHeight="1" x14ac:dyDescent="0.25"/>
    <row r="133" spans="1:20" s="1" customFormat="1" ht="14.1" customHeight="1" x14ac:dyDescent="0.25">
      <c r="A133" s="102" t="s">
        <v>2</v>
      </c>
      <c r="B133" s="102"/>
      <c r="C133" s="102"/>
      <c r="D133" s="103" t="s">
        <v>381</v>
      </c>
      <c r="E133" s="103"/>
      <c r="F133" s="103"/>
      <c r="G133" s="103"/>
      <c r="H133" s="103"/>
      <c r="I133" s="103"/>
      <c r="J133" s="103"/>
      <c r="K133" s="103"/>
      <c r="L133" s="103"/>
      <c r="M133" s="103"/>
      <c r="N133" s="103"/>
      <c r="O133" s="103"/>
      <c r="P133" s="103"/>
      <c r="Q133" s="103"/>
      <c r="R133" s="103"/>
      <c r="S133" s="103"/>
      <c r="T133" s="103"/>
    </row>
    <row r="134" spans="1:20" s="1" customFormat="1" ht="14.1" customHeight="1" x14ac:dyDescent="0.25">
      <c r="A134" s="102" t="s">
        <v>4</v>
      </c>
      <c r="B134" s="102"/>
      <c r="C134" s="103"/>
      <c r="D134" s="103"/>
      <c r="E134" s="103"/>
      <c r="F134" s="103"/>
      <c r="G134" s="103"/>
      <c r="H134" s="103"/>
      <c r="I134" s="103"/>
      <c r="J134" s="103"/>
      <c r="K134" s="103"/>
      <c r="L134" s="103"/>
      <c r="M134" s="103"/>
      <c r="N134" s="103"/>
      <c r="O134" s="103"/>
      <c r="P134" s="103"/>
      <c r="Q134" s="103"/>
      <c r="R134" s="103"/>
      <c r="S134" s="103"/>
      <c r="T134" s="103"/>
    </row>
    <row r="135" spans="1:20" s="1" customFormat="1" ht="14.1" customHeight="1" x14ac:dyDescent="0.25">
      <c r="A135" s="102" t="s">
        <v>6</v>
      </c>
      <c r="B135" s="102"/>
      <c r="C135" s="102"/>
      <c r="D135" s="102"/>
      <c r="E135" s="102"/>
      <c r="F135" s="103"/>
      <c r="G135" s="103"/>
      <c r="H135" s="103"/>
      <c r="I135" s="103"/>
      <c r="J135" s="103"/>
      <c r="K135" s="103"/>
      <c r="L135" s="103"/>
      <c r="M135" s="103"/>
      <c r="N135" s="103"/>
      <c r="O135" s="103"/>
      <c r="P135" s="103"/>
      <c r="Q135" s="103"/>
      <c r="R135" s="103"/>
      <c r="S135" s="103"/>
      <c r="T135" s="103"/>
    </row>
    <row r="136" spans="1:20" s="1" customFormat="1" ht="1.35" customHeight="1" x14ac:dyDescent="0.25"/>
    <row r="137" spans="1:20" s="1" customFormat="1" ht="7.05" customHeight="1" x14ac:dyDescent="0.25">
      <c r="A137" s="86"/>
      <c r="B137" s="86"/>
      <c r="C137" s="86"/>
      <c r="D137" s="86"/>
      <c r="E137" s="86"/>
      <c r="F137" s="86"/>
      <c r="G137" s="86"/>
      <c r="H137" s="86"/>
      <c r="I137" s="86"/>
      <c r="J137" s="86"/>
      <c r="K137" s="86"/>
      <c r="L137" s="86"/>
      <c r="M137" s="86"/>
      <c r="N137" s="86"/>
      <c r="O137" s="86"/>
      <c r="P137" s="86"/>
      <c r="Q137" s="16"/>
      <c r="R137" s="86"/>
      <c r="S137" s="86"/>
      <c r="T137" s="86"/>
    </row>
    <row r="138" spans="1:20" s="1" customFormat="1" ht="16.95" customHeight="1" x14ac:dyDescent="0.25">
      <c r="A138" s="94" t="s">
        <v>8</v>
      </c>
      <c r="B138" s="94"/>
      <c r="C138" s="94"/>
      <c r="D138" s="94"/>
      <c r="E138" s="94"/>
      <c r="F138" s="94"/>
      <c r="G138" s="94"/>
      <c r="H138" s="94"/>
      <c r="I138" s="94"/>
      <c r="J138" s="94"/>
      <c r="K138" s="94"/>
      <c r="L138" s="94"/>
      <c r="M138" s="95" t="s">
        <v>9</v>
      </c>
      <c r="N138" s="95"/>
      <c r="O138" s="95"/>
      <c r="P138" s="95"/>
      <c r="Q138" s="95"/>
      <c r="R138" s="95"/>
      <c r="S138" s="95"/>
      <c r="T138" s="95"/>
    </row>
    <row r="139" spans="1:20" s="1" customFormat="1" ht="16.95" customHeight="1" x14ac:dyDescent="0.25">
      <c r="A139" s="94"/>
      <c r="B139" s="94"/>
      <c r="C139" s="94"/>
      <c r="D139" s="94"/>
      <c r="E139" s="94"/>
      <c r="F139" s="94"/>
      <c r="G139" s="94"/>
      <c r="H139" s="94"/>
      <c r="I139" s="94"/>
      <c r="J139" s="94"/>
      <c r="K139" s="94"/>
      <c r="L139" s="94"/>
      <c r="M139" s="96" t="s">
        <v>10</v>
      </c>
      <c r="N139" s="96"/>
      <c r="O139" s="96"/>
      <c r="P139" s="96"/>
      <c r="Q139" s="97" t="s">
        <v>11</v>
      </c>
      <c r="R139" s="97"/>
      <c r="S139" s="97"/>
      <c r="T139" s="97"/>
    </row>
    <row r="140" spans="1:20" s="1" customFormat="1" ht="16.95" customHeight="1" x14ac:dyDescent="0.25">
      <c r="A140" s="94"/>
      <c r="B140" s="94"/>
      <c r="C140" s="94"/>
      <c r="D140" s="94"/>
      <c r="E140" s="94"/>
      <c r="F140" s="94"/>
      <c r="G140" s="94"/>
      <c r="H140" s="94"/>
      <c r="I140" s="94"/>
      <c r="J140" s="94"/>
      <c r="K140" s="94"/>
      <c r="L140" s="94"/>
      <c r="M140" s="98" t="s">
        <v>12</v>
      </c>
      <c r="N140" s="98"/>
      <c r="O140" s="98" t="s">
        <v>13</v>
      </c>
      <c r="P140" s="98"/>
      <c r="Q140" s="13" t="s">
        <v>14</v>
      </c>
      <c r="R140" s="99" t="s">
        <v>15</v>
      </c>
      <c r="S140" s="99"/>
      <c r="T140" s="99"/>
    </row>
    <row r="141" spans="1:20" s="1" customFormat="1" ht="13.35" customHeight="1" x14ac:dyDescent="0.25">
      <c r="A141" s="88" t="s">
        <v>382</v>
      </c>
      <c r="B141" s="88"/>
      <c r="C141" s="88"/>
      <c r="D141" s="88"/>
      <c r="E141" s="88"/>
      <c r="F141" s="88"/>
      <c r="G141" s="88"/>
      <c r="H141" s="88"/>
      <c r="I141" s="88"/>
      <c r="J141" s="88"/>
      <c r="K141" s="88"/>
      <c r="L141" s="88"/>
      <c r="M141" s="88" t="s">
        <v>95</v>
      </c>
      <c r="N141" s="88"/>
      <c r="O141" s="88" t="s">
        <v>95</v>
      </c>
      <c r="P141" s="88"/>
      <c r="Q141" s="6" t="s">
        <v>97</v>
      </c>
      <c r="R141" s="88" t="s">
        <v>97</v>
      </c>
      <c r="S141" s="88"/>
      <c r="T141" s="88"/>
    </row>
    <row r="142" spans="1:20" s="1" customFormat="1" ht="14.1" customHeight="1" x14ac:dyDescent="0.25">
      <c r="A142" s="90" t="s">
        <v>385</v>
      </c>
      <c r="B142" s="90"/>
      <c r="C142" s="90"/>
      <c r="D142" s="90"/>
      <c r="E142" s="90"/>
      <c r="F142" s="90"/>
      <c r="G142" s="90"/>
      <c r="H142" s="90"/>
      <c r="I142" s="90"/>
      <c r="J142" s="90"/>
      <c r="K142" s="90"/>
      <c r="L142" s="90"/>
      <c r="M142" s="90"/>
      <c r="N142" s="90"/>
      <c r="O142" s="90"/>
      <c r="P142" s="90"/>
      <c r="Q142" s="90"/>
      <c r="R142" s="90"/>
      <c r="S142" s="90"/>
      <c r="T142" s="90"/>
    </row>
    <row r="143" spans="1:20" s="1" customFormat="1" ht="21.3" customHeight="1" x14ac:dyDescent="0.25"/>
    <row r="144" spans="1:20" s="1" customFormat="1" ht="14.1" customHeight="1" x14ac:dyDescent="0.25">
      <c r="A144" s="91" t="s">
        <v>33</v>
      </c>
      <c r="B144" s="91"/>
      <c r="C144" s="91"/>
      <c r="D144" s="91"/>
      <c r="E144" s="91"/>
      <c r="F144" s="91"/>
      <c r="G144" s="91"/>
      <c r="H144" s="91"/>
      <c r="I144" s="91"/>
      <c r="J144" s="91"/>
      <c r="K144" s="91"/>
      <c r="L144" s="91"/>
      <c r="M144" s="91"/>
      <c r="N144" s="91"/>
    </row>
    <row r="145" spans="1:20" s="1" customFormat="1" ht="13.35" customHeight="1" x14ac:dyDescent="0.25">
      <c r="A145" s="88" t="s">
        <v>34</v>
      </c>
      <c r="B145" s="88"/>
      <c r="C145" s="88"/>
      <c r="D145" s="88"/>
      <c r="E145" s="89">
        <v>2.25</v>
      </c>
      <c r="F145" s="89"/>
      <c r="G145" s="17"/>
      <c r="H145" s="6" t="s">
        <v>35</v>
      </c>
      <c r="I145" s="89">
        <v>0.02</v>
      </c>
      <c r="J145" s="89"/>
      <c r="K145" s="17"/>
      <c r="L145" s="88" t="s">
        <v>36</v>
      </c>
      <c r="M145" s="88"/>
      <c r="N145" s="89">
        <v>8.6999999999999993</v>
      </c>
      <c r="O145" s="89"/>
    </row>
    <row r="146" spans="1:20" s="1" customFormat="1" ht="13.35" customHeight="1" x14ac:dyDescent="0.25">
      <c r="A146" s="88" t="s">
        <v>37</v>
      </c>
      <c r="B146" s="88"/>
      <c r="C146" s="88"/>
      <c r="D146" s="88"/>
      <c r="E146" s="89">
        <v>2.94</v>
      </c>
      <c r="F146" s="89"/>
      <c r="G146" s="17"/>
      <c r="H146" s="6" t="s">
        <v>38</v>
      </c>
      <c r="I146" s="89">
        <v>0</v>
      </c>
      <c r="J146" s="89"/>
      <c r="K146" s="17"/>
      <c r="L146" s="88" t="s">
        <v>39</v>
      </c>
      <c r="M146" s="88"/>
      <c r="N146" s="89">
        <v>6</v>
      </c>
      <c r="O146" s="89"/>
    </row>
    <row r="147" spans="1:20" s="1" customFormat="1" ht="13.35" customHeight="1" x14ac:dyDescent="0.25">
      <c r="A147" s="88" t="s">
        <v>40</v>
      </c>
      <c r="B147" s="88"/>
      <c r="C147" s="88"/>
      <c r="D147" s="88"/>
      <c r="E147" s="89">
        <v>26.3</v>
      </c>
      <c r="F147" s="89"/>
      <c r="G147" s="17"/>
      <c r="H147" s="6" t="s">
        <v>41</v>
      </c>
      <c r="I147" s="89">
        <v>0</v>
      </c>
      <c r="J147" s="89"/>
      <c r="K147" s="17"/>
      <c r="L147" s="88" t="s">
        <v>42</v>
      </c>
      <c r="M147" s="88"/>
      <c r="N147" s="89">
        <v>27</v>
      </c>
      <c r="O147" s="89"/>
    </row>
    <row r="148" spans="1:20" s="1" customFormat="1" ht="13.35" customHeight="1" x14ac:dyDescent="0.25">
      <c r="A148" s="88" t="s">
        <v>43</v>
      </c>
      <c r="B148" s="88"/>
      <c r="C148" s="88"/>
      <c r="D148" s="88"/>
      <c r="E148" s="89">
        <v>125.1</v>
      </c>
      <c r="F148" s="89"/>
      <c r="G148" s="17"/>
      <c r="H148" s="6" t="s">
        <v>44</v>
      </c>
      <c r="I148" s="89">
        <v>0</v>
      </c>
      <c r="J148" s="89"/>
      <c r="K148" s="17"/>
      <c r="L148" s="88" t="s">
        <v>45</v>
      </c>
      <c r="M148" s="88"/>
      <c r="N148" s="89">
        <v>0.63</v>
      </c>
      <c r="O148" s="89"/>
    </row>
    <row r="149" spans="1:20" s="1" customFormat="1" ht="13.35" customHeight="1" x14ac:dyDescent="0.25">
      <c r="A149" s="87"/>
      <c r="B149" s="87"/>
      <c r="C149" s="87"/>
      <c r="D149" s="87"/>
      <c r="E149" s="87"/>
      <c r="F149" s="87"/>
      <c r="G149" s="17"/>
      <c r="H149" s="6" t="s">
        <v>46</v>
      </c>
      <c r="I149" s="89">
        <v>0</v>
      </c>
      <c r="J149" s="89"/>
      <c r="K149" s="17"/>
      <c r="L149" s="88" t="s">
        <v>47</v>
      </c>
      <c r="M149" s="88"/>
      <c r="N149" s="89">
        <v>33</v>
      </c>
      <c r="O149" s="89"/>
    </row>
    <row r="150" spans="1:20" s="1" customFormat="1" ht="13.35" customHeight="1" x14ac:dyDescent="0.25">
      <c r="A150" s="87"/>
      <c r="B150" s="87"/>
      <c r="C150" s="87"/>
      <c r="D150" s="87"/>
      <c r="E150" s="87"/>
      <c r="F150" s="87"/>
      <c r="G150" s="17"/>
      <c r="H150" s="6" t="s">
        <v>48</v>
      </c>
      <c r="I150" s="89">
        <v>0.02</v>
      </c>
      <c r="J150" s="89"/>
      <c r="K150" s="17"/>
      <c r="L150" s="88" t="s">
        <v>49</v>
      </c>
      <c r="M150" s="88"/>
      <c r="N150" s="89">
        <v>0</v>
      </c>
      <c r="O150" s="89"/>
    </row>
    <row r="151" spans="1:20" s="1" customFormat="1" ht="13.35" customHeight="1" x14ac:dyDescent="0.25">
      <c r="A151" s="87"/>
      <c r="B151" s="87"/>
      <c r="C151" s="87"/>
      <c r="D151" s="87"/>
      <c r="E151" s="87"/>
      <c r="F151" s="87"/>
      <c r="G151" s="17"/>
      <c r="H151" s="17"/>
      <c r="I151" s="87"/>
      <c r="J151" s="87"/>
      <c r="K151" s="17"/>
      <c r="L151" s="88" t="s">
        <v>50</v>
      </c>
      <c r="M151" s="88"/>
      <c r="N151" s="89">
        <v>0</v>
      </c>
      <c r="O151" s="89"/>
    </row>
    <row r="152" spans="1:20" s="1" customFormat="1" ht="13.35" customHeight="1" x14ac:dyDescent="0.25">
      <c r="A152" s="87"/>
      <c r="B152" s="87"/>
      <c r="C152" s="87"/>
      <c r="D152" s="87"/>
      <c r="E152" s="87"/>
      <c r="F152" s="87"/>
      <c r="G152" s="17"/>
      <c r="H152" s="17"/>
      <c r="I152" s="87"/>
      <c r="J152" s="87"/>
      <c r="K152" s="17"/>
      <c r="L152" s="88" t="s">
        <v>51</v>
      </c>
      <c r="M152" s="88"/>
      <c r="N152" s="89">
        <v>0</v>
      </c>
      <c r="O152" s="89"/>
    </row>
    <row r="153" spans="1:20" s="1" customFormat="1" ht="14.1" customHeight="1" x14ac:dyDescent="0.25">
      <c r="A153" s="86"/>
      <c r="B153" s="86"/>
      <c r="C153" s="86"/>
      <c r="D153" s="86"/>
      <c r="E153" s="86"/>
      <c r="F153" s="86"/>
      <c r="G153" s="86"/>
      <c r="H153" s="86"/>
      <c r="I153" s="86"/>
      <c r="J153" s="86"/>
      <c r="K153" s="86"/>
      <c r="L153" s="86"/>
      <c r="M153" s="86"/>
      <c r="N153" s="86"/>
      <c r="O153" s="86"/>
      <c r="P153" s="86"/>
      <c r="Q153" s="86"/>
      <c r="R153" s="86"/>
      <c r="S153" s="86"/>
    </row>
    <row r="154" spans="1:20" s="1" customFormat="1" ht="14.1" customHeight="1" x14ac:dyDescent="0.25">
      <c r="A154" s="84" t="s">
        <v>54</v>
      </c>
      <c r="B154" s="84"/>
      <c r="C154" s="84"/>
      <c r="D154" s="84"/>
      <c r="E154" s="84"/>
      <c r="F154" s="84"/>
      <c r="G154" s="84"/>
      <c r="H154" s="84"/>
      <c r="I154" s="84"/>
      <c r="J154" s="84"/>
      <c r="K154" s="84"/>
      <c r="L154" s="84"/>
      <c r="M154" s="84"/>
      <c r="N154" s="84"/>
      <c r="O154" s="84"/>
      <c r="P154" s="84"/>
      <c r="Q154" s="84"/>
      <c r="R154" s="84"/>
      <c r="S154" s="84"/>
    </row>
    <row r="155" spans="1:20" s="1" customFormat="1" ht="12.15" customHeight="1" x14ac:dyDescent="0.25">
      <c r="A155" s="85" t="s">
        <v>384</v>
      </c>
      <c r="B155" s="85"/>
      <c r="C155" s="85"/>
      <c r="D155" s="85"/>
      <c r="E155" s="85"/>
      <c r="F155" s="85"/>
      <c r="G155" s="85"/>
      <c r="H155" s="85"/>
      <c r="I155" s="85"/>
      <c r="J155" s="85"/>
      <c r="K155" s="85"/>
      <c r="L155" s="85"/>
      <c r="M155" s="85"/>
      <c r="N155" s="85"/>
      <c r="O155" s="85"/>
      <c r="P155" s="85"/>
      <c r="Q155" s="85"/>
      <c r="R155" s="85"/>
      <c r="S155" s="85"/>
    </row>
    <row r="156" spans="1:20" s="1" customFormat="1" ht="72.45" customHeight="1" x14ac:dyDescent="0.25">
      <c r="J156" s="100" t="s">
        <v>0</v>
      </c>
      <c r="K156" s="100"/>
      <c r="L156" s="100"/>
      <c r="M156" s="100"/>
      <c r="N156" s="100"/>
      <c r="O156" s="100"/>
      <c r="P156" s="100"/>
      <c r="Q156" s="100"/>
      <c r="R156" s="100"/>
      <c r="S156" s="100"/>
      <c r="T156" s="100"/>
    </row>
    <row r="157" spans="1:20" s="1" customFormat="1" ht="7.05" customHeight="1" x14ac:dyDescent="0.25"/>
    <row r="158" spans="1:20" s="1" customFormat="1" ht="14.1" customHeight="1" x14ac:dyDescent="0.25">
      <c r="B158" s="101" t="s">
        <v>380</v>
      </c>
      <c r="C158" s="101"/>
      <c r="D158" s="101"/>
      <c r="E158" s="101"/>
      <c r="F158" s="101"/>
      <c r="G158" s="101"/>
      <c r="H158" s="101"/>
      <c r="I158" s="101"/>
      <c r="J158" s="101"/>
      <c r="K158" s="101"/>
      <c r="L158" s="101"/>
      <c r="M158" s="101"/>
      <c r="N158" s="101"/>
      <c r="O158" s="101"/>
      <c r="P158" s="101"/>
      <c r="Q158" s="101"/>
      <c r="R158" s="101"/>
    </row>
    <row r="159" spans="1:20" s="1" customFormat="1" ht="14.1" customHeight="1" x14ac:dyDescent="0.25"/>
    <row r="160" spans="1:20" s="1" customFormat="1" ht="14.1" customHeight="1" x14ac:dyDescent="0.25">
      <c r="A160" s="102" t="s">
        <v>2</v>
      </c>
      <c r="B160" s="102"/>
      <c r="C160" s="102"/>
      <c r="D160" s="103" t="s">
        <v>381</v>
      </c>
      <c r="E160" s="103"/>
      <c r="F160" s="103"/>
      <c r="G160" s="103"/>
      <c r="H160" s="103"/>
      <c r="I160" s="103"/>
      <c r="J160" s="103"/>
      <c r="K160" s="103"/>
      <c r="L160" s="103"/>
      <c r="M160" s="103"/>
      <c r="N160" s="103"/>
      <c r="O160" s="103"/>
      <c r="P160" s="103"/>
      <c r="Q160" s="103"/>
      <c r="R160" s="103"/>
      <c r="S160" s="103"/>
      <c r="T160" s="103"/>
    </row>
    <row r="161" spans="1:20" s="1" customFormat="1" ht="14.1" customHeight="1" x14ac:dyDescent="0.25">
      <c r="A161" s="102" t="s">
        <v>4</v>
      </c>
      <c r="B161" s="102"/>
      <c r="C161" s="103"/>
      <c r="D161" s="103"/>
      <c r="E161" s="103"/>
      <c r="F161" s="103"/>
      <c r="G161" s="103"/>
      <c r="H161" s="103"/>
      <c r="I161" s="103"/>
      <c r="J161" s="103"/>
      <c r="K161" s="103"/>
      <c r="L161" s="103"/>
      <c r="M161" s="103"/>
      <c r="N161" s="103"/>
      <c r="O161" s="103"/>
      <c r="P161" s="103"/>
      <c r="Q161" s="103"/>
      <c r="R161" s="103"/>
      <c r="S161" s="103"/>
      <c r="T161" s="103"/>
    </row>
    <row r="162" spans="1:20" s="1" customFormat="1" ht="14.1" customHeight="1" x14ac:dyDescent="0.25">
      <c r="A162" s="102" t="s">
        <v>6</v>
      </c>
      <c r="B162" s="102"/>
      <c r="C162" s="102"/>
      <c r="D162" s="102"/>
      <c r="E162" s="102"/>
      <c r="F162" s="103"/>
      <c r="G162" s="103"/>
      <c r="H162" s="103"/>
      <c r="I162" s="103"/>
      <c r="J162" s="103"/>
      <c r="K162" s="103"/>
      <c r="L162" s="103"/>
      <c r="M162" s="103"/>
      <c r="N162" s="103"/>
      <c r="O162" s="103"/>
      <c r="P162" s="103"/>
      <c r="Q162" s="103"/>
      <c r="R162" s="103"/>
      <c r="S162" s="103"/>
      <c r="T162" s="103"/>
    </row>
    <row r="163" spans="1:20" s="1" customFormat="1" ht="1.35" customHeight="1" x14ac:dyDescent="0.25"/>
    <row r="164" spans="1:20" s="1" customFormat="1" ht="7.05" customHeight="1" x14ac:dyDescent="0.25">
      <c r="A164" s="86"/>
      <c r="B164" s="86"/>
      <c r="C164" s="86"/>
      <c r="D164" s="86"/>
      <c r="E164" s="86"/>
      <c r="F164" s="86"/>
      <c r="G164" s="86"/>
      <c r="H164" s="86"/>
      <c r="I164" s="86"/>
      <c r="J164" s="86"/>
      <c r="K164" s="86"/>
      <c r="L164" s="86"/>
      <c r="M164" s="86"/>
      <c r="N164" s="86"/>
      <c r="O164" s="86"/>
      <c r="P164" s="86"/>
      <c r="Q164" s="53"/>
      <c r="R164" s="86"/>
      <c r="S164" s="86"/>
      <c r="T164" s="86"/>
    </row>
    <row r="165" spans="1:20" s="1" customFormat="1" ht="16.95" customHeight="1" x14ac:dyDescent="0.25">
      <c r="A165" s="94" t="s">
        <v>8</v>
      </c>
      <c r="B165" s="94"/>
      <c r="C165" s="94"/>
      <c r="D165" s="94"/>
      <c r="E165" s="94"/>
      <c r="F165" s="94"/>
      <c r="G165" s="94"/>
      <c r="H165" s="94"/>
      <c r="I165" s="94"/>
      <c r="J165" s="94"/>
      <c r="K165" s="94"/>
      <c r="L165" s="94"/>
      <c r="M165" s="95" t="s">
        <v>9</v>
      </c>
      <c r="N165" s="95"/>
      <c r="O165" s="95"/>
      <c r="P165" s="95"/>
      <c r="Q165" s="95"/>
      <c r="R165" s="95"/>
      <c r="S165" s="95"/>
      <c r="T165" s="95"/>
    </row>
    <row r="166" spans="1:20" s="1" customFormat="1" ht="16.95" customHeight="1" x14ac:dyDescent="0.25">
      <c r="A166" s="94"/>
      <c r="B166" s="94"/>
      <c r="C166" s="94"/>
      <c r="D166" s="94"/>
      <c r="E166" s="94"/>
      <c r="F166" s="94"/>
      <c r="G166" s="94"/>
      <c r="H166" s="94"/>
      <c r="I166" s="94"/>
      <c r="J166" s="94"/>
      <c r="K166" s="94"/>
      <c r="L166" s="94"/>
      <c r="M166" s="96" t="s">
        <v>10</v>
      </c>
      <c r="N166" s="96"/>
      <c r="O166" s="96"/>
      <c r="P166" s="96"/>
      <c r="Q166" s="97" t="s">
        <v>11</v>
      </c>
      <c r="R166" s="97"/>
      <c r="S166" s="97"/>
      <c r="T166" s="97"/>
    </row>
    <row r="167" spans="1:20" s="1" customFormat="1" ht="16.95" customHeight="1" x14ac:dyDescent="0.25">
      <c r="A167" s="94"/>
      <c r="B167" s="94"/>
      <c r="C167" s="94"/>
      <c r="D167" s="94"/>
      <c r="E167" s="94"/>
      <c r="F167" s="94"/>
      <c r="G167" s="94"/>
      <c r="H167" s="94"/>
      <c r="I167" s="94"/>
      <c r="J167" s="94"/>
      <c r="K167" s="94"/>
      <c r="L167" s="94"/>
      <c r="M167" s="98" t="s">
        <v>12</v>
      </c>
      <c r="N167" s="98"/>
      <c r="O167" s="98" t="s">
        <v>13</v>
      </c>
      <c r="P167" s="98"/>
      <c r="Q167" s="56" t="s">
        <v>14</v>
      </c>
      <c r="R167" s="99" t="s">
        <v>15</v>
      </c>
      <c r="S167" s="99"/>
      <c r="T167" s="99"/>
    </row>
    <row r="168" spans="1:20" s="1" customFormat="1" ht="13.35" customHeight="1" x14ac:dyDescent="0.25">
      <c r="A168" s="88" t="s">
        <v>940</v>
      </c>
      <c r="B168" s="88"/>
      <c r="C168" s="88"/>
      <c r="D168" s="88"/>
      <c r="E168" s="88"/>
      <c r="F168" s="88"/>
      <c r="G168" s="88"/>
      <c r="H168" s="88"/>
      <c r="I168" s="88"/>
      <c r="J168" s="88"/>
      <c r="K168" s="88"/>
      <c r="L168" s="88"/>
      <c r="M168" s="88" t="s">
        <v>95</v>
      </c>
      <c r="N168" s="88"/>
      <c r="O168" s="88" t="s">
        <v>95</v>
      </c>
      <c r="P168" s="88"/>
      <c r="Q168" s="54" t="s">
        <v>97</v>
      </c>
      <c r="R168" s="88" t="s">
        <v>97</v>
      </c>
      <c r="S168" s="88"/>
      <c r="T168" s="88"/>
    </row>
    <row r="169" spans="1:20" s="1" customFormat="1" ht="14.1" customHeight="1" x14ac:dyDescent="0.25">
      <c r="A169" s="90" t="s">
        <v>385</v>
      </c>
      <c r="B169" s="90"/>
      <c r="C169" s="90"/>
      <c r="D169" s="90"/>
      <c r="E169" s="90"/>
      <c r="F169" s="90"/>
      <c r="G169" s="90"/>
      <c r="H169" s="90"/>
      <c r="I169" s="90"/>
      <c r="J169" s="90"/>
      <c r="K169" s="90"/>
      <c r="L169" s="90"/>
      <c r="M169" s="90"/>
      <c r="N169" s="90"/>
      <c r="O169" s="90"/>
      <c r="P169" s="90"/>
      <c r="Q169" s="90"/>
      <c r="R169" s="90"/>
      <c r="S169" s="90"/>
      <c r="T169" s="90"/>
    </row>
    <row r="170" spans="1:20" s="1" customFormat="1" ht="21.3" customHeight="1" x14ac:dyDescent="0.25"/>
    <row r="171" spans="1:20" s="1" customFormat="1" ht="14.1" customHeight="1" x14ac:dyDescent="0.25">
      <c r="A171" s="91" t="s">
        <v>33</v>
      </c>
      <c r="B171" s="91"/>
      <c r="C171" s="91"/>
      <c r="D171" s="91"/>
      <c r="E171" s="91"/>
      <c r="F171" s="91"/>
      <c r="G171" s="91"/>
      <c r="H171" s="91"/>
      <c r="I171" s="91"/>
      <c r="J171" s="91"/>
      <c r="K171" s="91"/>
      <c r="L171" s="91"/>
      <c r="M171" s="91"/>
      <c r="N171" s="91"/>
    </row>
    <row r="172" spans="1:20" s="1" customFormat="1" ht="13.35" customHeight="1" x14ac:dyDescent="0.25">
      <c r="A172" s="88" t="s">
        <v>34</v>
      </c>
      <c r="B172" s="88"/>
      <c r="C172" s="88"/>
      <c r="D172" s="88"/>
      <c r="E172" s="89">
        <v>1.3</v>
      </c>
      <c r="F172" s="89"/>
      <c r="G172" s="55"/>
      <c r="H172" s="54" t="s">
        <v>35</v>
      </c>
      <c r="I172" s="89">
        <v>0.02</v>
      </c>
      <c r="J172" s="89"/>
      <c r="K172" s="55"/>
      <c r="L172" s="88" t="s">
        <v>36</v>
      </c>
      <c r="M172" s="88"/>
      <c r="N172" s="89">
        <v>8.6999999999999993</v>
      </c>
      <c r="O172" s="89"/>
    </row>
    <row r="173" spans="1:20" s="1" customFormat="1" ht="13.35" customHeight="1" x14ac:dyDescent="0.25">
      <c r="A173" s="88" t="s">
        <v>37</v>
      </c>
      <c r="B173" s="88"/>
      <c r="C173" s="88"/>
      <c r="D173" s="88"/>
      <c r="E173" s="89">
        <v>2.94</v>
      </c>
      <c r="F173" s="89"/>
      <c r="G173" s="55"/>
      <c r="H173" s="54" t="s">
        <v>38</v>
      </c>
      <c r="I173" s="89">
        <v>0</v>
      </c>
      <c r="J173" s="89"/>
      <c r="K173" s="55"/>
      <c r="L173" s="88" t="s">
        <v>39</v>
      </c>
      <c r="M173" s="88"/>
      <c r="N173" s="89">
        <v>6</v>
      </c>
      <c r="O173" s="89"/>
    </row>
    <row r="174" spans="1:20" s="1" customFormat="1" ht="13.35" customHeight="1" x14ac:dyDescent="0.25">
      <c r="A174" s="88" t="s">
        <v>40</v>
      </c>
      <c r="B174" s="88"/>
      <c r="C174" s="88"/>
      <c r="D174" s="88"/>
      <c r="E174" s="89">
        <v>16.3</v>
      </c>
      <c r="F174" s="89"/>
      <c r="G174" s="55"/>
      <c r="H174" s="54" t="s">
        <v>41</v>
      </c>
      <c r="I174" s="89">
        <v>0</v>
      </c>
      <c r="J174" s="89"/>
      <c r="K174" s="55"/>
      <c r="L174" s="88" t="s">
        <v>42</v>
      </c>
      <c r="M174" s="88"/>
      <c r="N174" s="89">
        <v>27</v>
      </c>
      <c r="O174" s="89"/>
    </row>
    <row r="175" spans="1:20" s="1" customFormat="1" ht="13.35" customHeight="1" x14ac:dyDescent="0.25">
      <c r="A175" s="88" t="s">
        <v>43</v>
      </c>
      <c r="B175" s="88"/>
      <c r="C175" s="88"/>
      <c r="D175" s="88"/>
      <c r="E175" s="89">
        <v>85.01</v>
      </c>
      <c r="F175" s="89"/>
      <c r="G175" s="55"/>
      <c r="H175" s="54" t="s">
        <v>44</v>
      </c>
      <c r="I175" s="89">
        <v>0</v>
      </c>
      <c r="J175" s="89"/>
      <c r="K175" s="55"/>
      <c r="L175" s="88" t="s">
        <v>45</v>
      </c>
      <c r="M175" s="88"/>
      <c r="N175" s="89">
        <v>0.63</v>
      </c>
      <c r="O175" s="89"/>
    </row>
    <row r="176" spans="1:20" s="1" customFormat="1" ht="13.35" customHeight="1" x14ac:dyDescent="0.25">
      <c r="A176" s="87"/>
      <c r="B176" s="87"/>
      <c r="C176" s="87"/>
      <c r="D176" s="87"/>
      <c r="E176" s="87"/>
      <c r="F176" s="87"/>
      <c r="G176" s="55"/>
      <c r="H176" s="54" t="s">
        <v>46</v>
      </c>
      <c r="I176" s="89">
        <v>0</v>
      </c>
      <c r="J176" s="89"/>
      <c r="K176" s="55"/>
      <c r="L176" s="88" t="s">
        <v>47</v>
      </c>
      <c r="M176" s="88"/>
      <c r="N176" s="89">
        <v>33</v>
      </c>
      <c r="O176" s="89"/>
    </row>
    <row r="177" spans="1:20" s="1" customFormat="1" ht="13.35" customHeight="1" x14ac:dyDescent="0.25">
      <c r="A177" s="87"/>
      <c r="B177" s="87"/>
      <c r="C177" s="87"/>
      <c r="D177" s="87"/>
      <c r="E177" s="87"/>
      <c r="F177" s="87"/>
      <c r="G177" s="55"/>
      <c r="H177" s="54" t="s">
        <v>48</v>
      </c>
      <c r="I177" s="89">
        <v>0.02</v>
      </c>
      <c r="J177" s="89"/>
      <c r="K177" s="55"/>
      <c r="L177" s="88" t="s">
        <v>49</v>
      </c>
      <c r="M177" s="88"/>
      <c r="N177" s="89">
        <v>0</v>
      </c>
      <c r="O177" s="89"/>
    </row>
    <row r="178" spans="1:20" s="1" customFormat="1" ht="13.35" customHeight="1" x14ac:dyDescent="0.25">
      <c r="A178" s="87"/>
      <c r="B178" s="87"/>
      <c r="C178" s="87"/>
      <c r="D178" s="87"/>
      <c r="E178" s="87"/>
      <c r="F178" s="87"/>
      <c r="G178" s="55"/>
      <c r="H178" s="55"/>
      <c r="I178" s="87"/>
      <c r="J178" s="87"/>
      <c r="K178" s="55"/>
      <c r="L178" s="88" t="s">
        <v>50</v>
      </c>
      <c r="M178" s="88"/>
      <c r="N178" s="89">
        <v>0</v>
      </c>
      <c r="O178" s="89"/>
    </row>
    <row r="179" spans="1:20" s="1" customFormat="1" ht="13.35" customHeight="1" x14ac:dyDescent="0.25">
      <c r="A179" s="87"/>
      <c r="B179" s="87"/>
      <c r="C179" s="87"/>
      <c r="D179" s="87"/>
      <c r="E179" s="87"/>
      <c r="F179" s="87"/>
      <c r="G179" s="55"/>
      <c r="H179" s="55"/>
      <c r="I179" s="87"/>
      <c r="J179" s="87"/>
      <c r="K179" s="55"/>
      <c r="L179" s="88" t="s">
        <v>51</v>
      </c>
      <c r="M179" s="88"/>
      <c r="N179" s="89">
        <v>0</v>
      </c>
      <c r="O179" s="89"/>
    </row>
    <row r="180" spans="1:20" s="1" customFormat="1" ht="14.1" customHeight="1" x14ac:dyDescent="0.25">
      <c r="A180" s="86"/>
      <c r="B180" s="86"/>
      <c r="C180" s="86"/>
      <c r="D180" s="86"/>
      <c r="E180" s="86"/>
      <c r="F180" s="86"/>
      <c r="G180" s="86"/>
      <c r="H180" s="86"/>
      <c r="I180" s="86"/>
      <c r="J180" s="86"/>
      <c r="K180" s="86"/>
      <c r="L180" s="86"/>
      <c r="M180" s="86"/>
      <c r="N180" s="86"/>
      <c r="O180" s="86"/>
      <c r="P180" s="86"/>
      <c r="Q180" s="86"/>
      <c r="R180" s="86"/>
      <c r="S180" s="86"/>
    </row>
    <row r="181" spans="1:20" s="1" customFormat="1" ht="14.1" customHeight="1" x14ac:dyDescent="0.25">
      <c r="A181" s="84" t="s">
        <v>54</v>
      </c>
      <c r="B181" s="84"/>
      <c r="C181" s="84"/>
      <c r="D181" s="84"/>
      <c r="E181" s="84"/>
      <c r="F181" s="84"/>
      <c r="G181" s="84"/>
      <c r="H181" s="84"/>
      <c r="I181" s="84"/>
      <c r="J181" s="84"/>
      <c r="K181" s="84"/>
      <c r="L181" s="84"/>
      <c r="M181" s="84"/>
      <c r="N181" s="84"/>
      <c r="O181" s="84"/>
      <c r="P181" s="84"/>
      <c r="Q181" s="84"/>
      <c r="R181" s="84"/>
      <c r="S181" s="84"/>
    </row>
    <row r="182" spans="1:20" s="1" customFormat="1" ht="12.15" customHeight="1" x14ac:dyDescent="0.25">
      <c r="A182" s="85" t="s">
        <v>384</v>
      </c>
      <c r="B182" s="85"/>
      <c r="C182" s="85"/>
      <c r="D182" s="85"/>
      <c r="E182" s="85"/>
      <c r="F182" s="85"/>
      <c r="G182" s="85"/>
      <c r="H182" s="85"/>
      <c r="I182" s="85"/>
      <c r="J182" s="85"/>
      <c r="K182" s="85"/>
      <c r="L182" s="85"/>
      <c r="M182" s="85"/>
      <c r="N182" s="85"/>
      <c r="O182" s="85"/>
      <c r="P182" s="85"/>
      <c r="Q182" s="85"/>
      <c r="R182" s="85"/>
      <c r="S182" s="85"/>
    </row>
    <row r="184" spans="1:20" ht="72.45" customHeight="1" x14ac:dyDescent="0.2">
      <c r="J184" s="151" t="s">
        <v>0</v>
      </c>
      <c r="K184" s="151"/>
      <c r="L184" s="151"/>
      <c r="M184" s="151"/>
      <c r="N184" s="151"/>
      <c r="O184" s="151"/>
      <c r="P184" s="151"/>
      <c r="Q184" s="151"/>
      <c r="R184" s="151"/>
      <c r="S184" s="151"/>
      <c r="T184" s="151"/>
    </row>
    <row r="185" spans="1:20" ht="7.05" customHeight="1" x14ac:dyDescent="0.2"/>
    <row r="186" spans="1:20" ht="14.1" customHeight="1" x14ac:dyDescent="0.2">
      <c r="B186" s="130" t="s">
        <v>766</v>
      </c>
      <c r="C186" s="130"/>
      <c r="D186" s="130"/>
      <c r="E186" s="130"/>
      <c r="F186" s="130"/>
      <c r="G186" s="130"/>
      <c r="H186" s="130"/>
      <c r="I186" s="130"/>
      <c r="J186" s="130"/>
      <c r="K186" s="130"/>
      <c r="L186" s="130"/>
      <c r="M186" s="130"/>
      <c r="N186" s="130"/>
      <c r="O186" s="130"/>
      <c r="P186" s="130"/>
      <c r="Q186" s="130"/>
      <c r="R186" s="130"/>
    </row>
    <row r="187" spans="1:20" ht="14.1" customHeight="1" x14ac:dyDescent="0.2"/>
    <row r="188" spans="1:20" ht="14.1" customHeight="1" x14ac:dyDescent="0.2">
      <c r="A188" s="120" t="s">
        <v>2</v>
      </c>
      <c r="B188" s="120"/>
      <c r="C188" s="120"/>
      <c r="D188" s="129" t="s">
        <v>767</v>
      </c>
      <c r="E188" s="129"/>
      <c r="F188" s="129"/>
      <c r="G188" s="129"/>
      <c r="H188" s="129"/>
      <c r="I188" s="129"/>
      <c r="J188" s="129"/>
      <c r="K188" s="129"/>
      <c r="L188" s="129"/>
      <c r="M188" s="129"/>
      <c r="N188" s="129"/>
      <c r="O188" s="129"/>
      <c r="P188" s="129"/>
      <c r="Q188" s="129"/>
      <c r="R188" s="129"/>
      <c r="S188" s="129"/>
      <c r="T188" s="129"/>
    </row>
    <row r="189" spans="1:20" ht="14.1" customHeight="1" x14ac:dyDescent="0.2">
      <c r="A189" s="120" t="s">
        <v>4</v>
      </c>
      <c r="B189" s="120"/>
      <c r="C189" s="129" t="s">
        <v>768</v>
      </c>
      <c r="D189" s="129"/>
      <c r="E189" s="129"/>
      <c r="F189" s="129"/>
      <c r="G189" s="129"/>
      <c r="H189" s="129"/>
      <c r="I189" s="129"/>
      <c r="J189" s="129"/>
      <c r="K189" s="129"/>
      <c r="L189" s="129"/>
      <c r="M189" s="129"/>
      <c r="N189" s="129"/>
      <c r="O189" s="129"/>
      <c r="P189" s="129"/>
      <c r="Q189" s="129"/>
      <c r="R189" s="129"/>
      <c r="S189" s="129"/>
      <c r="T189" s="129"/>
    </row>
    <row r="190" spans="1:20" ht="14.1" customHeight="1" x14ac:dyDescent="0.2">
      <c r="A190" s="120" t="s">
        <v>6</v>
      </c>
      <c r="B190" s="120"/>
      <c r="C190" s="120"/>
      <c r="D190" s="120"/>
      <c r="E190" s="120"/>
      <c r="F190" s="129" t="s">
        <v>7</v>
      </c>
      <c r="G190" s="129"/>
      <c r="H190" s="129"/>
      <c r="I190" s="129"/>
      <c r="J190" s="129"/>
      <c r="K190" s="129"/>
      <c r="L190" s="129"/>
      <c r="M190" s="129"/>
      <c r="N190" s="129"/>
      <c r="O190" s="129"/>
      <c r="P190" s="129"/>
      <c r="Q190" s="129"/>
      <c r="R190" s="129"/>
      <c r="S190" s="129"/>
      <c r="T190" s="129"/>
    </row>
    <row r="191" spans="1:20" ht="22.35" customHeight="1" x14ac:dyDescent="0.2">
      <c r="F191" s="129"/>
      <c r="G191" s="129"/>
      <c r="H191" s="129"/>
      <c r="I191" s="129"/>
      <c r="J191" s="129"/>
      <c r="K191" s="129"/>
      <c r="L191" s="129"/>
      <c r="M191" s="129"/>
      <c r="N191" s="129"/>
      <c r="O191" s="129"/>
      <c r="P191" s="129"/>
      <c r="Q191" s="129"/>
      <c r="R191" s="129"/>
      <c r="S191" s="129"/>
      <c r="T191" s="129"/>
    </row>
    <row r="192" spans="1:20" ht="7.05" customHeight="1" x14ac:dyDescent="0.2">
      <c r="A192" s="120"/>
      <c r="B192" s="120"/>
      <c r="C192" s="120"/>
      <c r="D192" s="120"/>
      <c r="E192" s="120"/>
      <c r="F192" s="120"/>
      <c r="G192" s="120"/>
      <c r="H192" s="120"/>
      <c r="I192" s="120"/>
      <c r="J192" s="120"/>
      <c r="K192" s="120"/>
      <c r="L192" s="120"/>
      <c r="M192" s="120"/>
      <c r="N192" s="120"/>
      <c r="O192" s="120"/>
      <c r="P192" s="120"/>
      <c r="Q192" s="18"/>
      <c r="R192" s="120"/>
      <c r="S192" s="120"/>
      <c r="T192" s="120"/>
    </row>
    <row r="193" spans="1:20" ht="16.95" customHeight="1" x14ac:dyDescent="0.2">
      <c r="A193" s="128" t="s">
        <v>8</v>
      </c>
      <c r="B193" s="128"/>
      <c r="C193" s="128"/>
      <c r="D193" s="128"/>
      <c r="E193" s="128"/>
      <c r="F193" s="128"/>
      <c r="G193" s="128"/>
      <c r="H193" s="128"/>
      <c r="I193" s="128"/>
      <c r="J193" s="128"/>
      <c r="K193" s="128"/>
      <c r="L193" s="128"/>
      <c r="M193" s="128" t="s">
        <v>9</v>
      </c>
      <c r="N193" s="128"/>
      <c r="O193" s="128"/>
      <c r="P193" s="128"/>
      <c r="Q193" s="128"/>
      <c r="R193" s="128"/>
      <c r="S193" s="128"/>
      <c r="T193" s="128"/>
    </row>
    <row r="194" spans="1:20" ht="16.95" customHeight="1" x14ac:dyDescent="0.2">
      <c r="A194" s="128"/>
      <c r="B194" s="128"/>
      <c r="C194" s="128"/>
      <c r="D194" s="128"/>
      <c r="E194" s="128"/>
      <c r="F194" s="128"/>
      <c r="G194" s="128"/>
      <c r="H194" s="128"/>
      <c r="I194" s="128"/>
      <c r="J194" s="128"/>
      <c r="K194" s="128"/>
      <c r="L194" s="128"/>
      <c r="M194" s="128" t="s">
        <v>10</v>
      </c>
      <c r="N194" s="128"/>
      <c r="O194" s="128"/>
      <c r="P194" s="128"/>
      <c r="Q194" s="128" t="s">
        <v>11</v>
      </c>
      <c r="R194" s="128"/>
      <c r="S194" s="128"/>
      <c r="T194" s="128"/>
    </row>
    <row r="195" spans="1:20" ht="16.95" customHeight="1" x14ac:dyDescent="0.2">
      <c r="A195" s="128"/>
      <c r="B195" s="128"/>
      <c r="C195" s="128"/>
      <c r="D195" s="128"/>
      <c r="E195" s="128"/>
      <c r="F195" s="128"/>
      <c r="G195" s="128"/>
      <c r="H195" s="128"/>
      <c r="I195" s="128"/>
      <c r="J195" s="128"/>
      <c r="K195" s="128"/>
      <c r="L195" s="128"/>
      <c r="M195" s="128" t="s">
        <v>12</v>
      </c>
      <c r="N195" s="128"/>
      <c r="O195" s="128" t="s">
        <v>13</v>
      </c>
      <c r="P195" s="128"/>
      <c r="Q195" s="19" t="s">
        <v>14</v>
      </c>
      <c r="R195" s="128" t="s">
        <v>15</v>
      </c>
      <c r="S195" s="128"/>
      <c r="T195" s="128"/>
    </row>
    <row r="196" spans="1:20" ht="13.35" customHeight="1" x14ac:dyDescent="0.2">
      <c r="A196" s="127" t="s">
        <v>769</v>
      </c>
      <c r="B196" s="127"/>
      <c r="C196" s="127"/>
      <c r="D196" s="127"/>
      <c r="E196" s="127"/>
      <c r="F196" s="127"/>
      <c r="G196" s="127"/>
      <c r="H196" s="127"/>
      <c r="I196" s="127"/>
      <c r="J196" s="127"/>
      <c r="K196" s="127"/>
      <c r="L196" s="127"/>
      <c r="M196" s="127"/>
      <c r="N196" s="127"/>
      <c r="O196" s="127" t="s">
        <v>770</v>
      </c>
      <c r="P196" s="127"/>
      <c r="Q196" s="22"/>
      <c r="R196" s="127" t="s">
        <v>506</v>
      </c>
      <c r="S196" s="127"/>
      <c r="T196" s="127"/>
    </row>
    <row r="197" spans="1:20" ht="13.35" customHeight="1" x14ac:dyDescent="0.2">
      <c r="A197" s="124" t="s">
        <v>129</v>
      </c>
      <c r="B197" s="124"/>
      <c r="C197" s="124"/>
      <c r="D197" s="124"/>
      <c r="E197" s="124"/>
      <c r="F197" s="124"/>
      <c r="G197" s="124"/>
      <c r="H197" s="124"/>
      <c r="I197" s="124"/>
      <c r="J197" s="124"/>
      <c r="K197" s="124"/>
      <c r="L197" s="124"/>
      <c r="M197" s="124" t="s">
        <v>458</v>
      </c>
      <c r="N197" s="124"/>
      <c r="O197" s="124" t="s">
        <v>458</v>
      </c>
      <c r="P197" s="124"/>
      <c r="Q197" s="20" t="s">
        <v>459</v>
      </c>
      <c r="R197" s="124" t="s">
        <v>459</v>
      </c>
      <c r="S197" s="124"/>
      <c r="T197" s="124"/>
    </row>
    <row r="198" spans="1:20" ht="13.35" customHeight="1" x14ac:dyDescent="0.2">
      <c r="A198" s="124" t="s">
        <v>28</v>
      </c>
      <c r="B198" s="124"/>
      <c r="C198" s="124"/>
      <c r="D198" s="124"/>
      <c r="E198" s="124"/>
      <c r="F198" s="124"/>
      <c r="G198" s="124"/>
      <c r="H198" s="124"/>
      <c r="I198" s="124"/>
      <c r="J198" s="124"/>
      <c r="K198" s="124"/>
      <c r="L198" s="124"/>
      <c r="M198" s="124" t="s">
        <v>771</v>
      </c>
      <c r="N198" s="124"/>
      <c r="O198" s="124" t="s">
        <v>771</v>
      </c>
      <c r="P198" s="124"/>
      <c r="Q198" s="20" t="s">
        <v>279</v>
      </c>
      <c r="R198" s="124" t="s">
        <v>279</v>
      </c>
      <c r="S198" s="124"/>
      <c r="T198" s="124"/>
    </row>
    <row r="199" spans="1:20" ht="13.35" customHeight="1" x14ac:dyDescent="0.2">
      <c r="A199" s="124" t="s">
        <v>109</v>
      </c>
      <c r="B199" s="124"/>
      <c r="C199" s="124"/>
      <c r="D199" s="124"/>
      <c r="E199" s="124"/>
      <c r="F199" s="124"/>
      <c r="G199" s="124"/>
      <c r="H199" s="124"/>
      <c r="I199" s="124"/>
      <c r="J199" s="124"/>
      <c r="K199" s="124"/>
      <c r="L199" s="124"/>
      <c r="M199" s="124" t="s">
        <v>26</v>
      </c>
      <c r="N199" s="124"/>
      <c r="O199" s="124" t="s">
        <v>26</v>
      </c>
      <c r="P199" s="124"/>
      <c r="Q199" s="20" t="s">
        <v>27</v>
      </c>
      <c r="R199" s="124" t="s">
        <v>27</v>
      </c>
      <c r="S199" s="124"/>
      <c r="T199" s="124"/>
    </row>
    <row r="200" spans="1:20" ht="13.35" customHeight="1" x14ac:dyDescent="0.2">
      <c r="A200" s="124" t="s">
        <v>18</v>
      </c>
      <c r="B200" s="124"/>
      <c r="C200" s="124"/>
      <c r="D200" s="124"/>
      <c r="E200" s="124"/>
      <c r="F200" s="124"/>
      <c r="G200" s="124"/>
      <c r="H200" s="124"/>
      <c r="I200" s="124"/>
      <c r="J200" s="124"/>
      <c r="K200" s="124"/>
      <c r="L200" s="124"/>
      <c r="M200" s="124" t="s">
        <v>24</v>
      </c>
      <c r="N200" s="124"/>
      <c r="O200" s="124" t="s">
        <v>24</v>
      </c>
      <c r="P200" s="124"/>
      <c r="Q200" s="20" t="s">
        <v>648</v>
      </c>
      <c r="R200" s="124" t="s">
        <v>648</v>
      </c>
      <c r="S200" s="124"/>
      <c r="T200" s="124"/>
    </row>
    <row r="201" spans="1:20" ht="13.35" customHeight="1" x14ac:dyDescent="0.2">
      <c r="A201" s="124" t="s">
        <v>70</v>
      </c>
      <c r="B201" s="124"/>
      <c r="C201" s="124"/>
      <c r="D201" s="124"/>
      <c r="E201" s="124"/>
      <c r="F201" s="124"/>
      <c r="G201" s="124"/>
      <c r="H201" s="124"/>
      <c r="I201" s="124"/>
      <c r="J201" s="124"/>
      <c r="K201" s="124"/>
      <c r="L201" s="124"/>
      <c r="M201" s="124" t="s">
        <v>63</v>
      </c>
      <c r="N201" s="124"/>
      <c r="O201" s="124" t="s">
        <v>63</v>
      </c>
      <c r="P201" s="124"/>
      <c r="Q201" s="20" t="s">
        <v>210</v>
      </c>
      <c r="R201" s="124" t="s">
        <v>210</v>
      </c>
      <c r="S201" s="124"/>
      <c r="T201" s="124"/>
    </row>
    <row r="202" spans="1:20" ht="13.35" customHeight="1" x14ac:dyDescent="0.2">
      <c r="A202" s="124" t="s">
        <v>772</v>
      </c>
      <c r="B202" s="124"/>
      <c r="C202" s="124"/>
      <c r="D202" s="124"/>
      <c r="E202" s="124"/>
      <c r="F202" s="124"/>
      <c r="G202" s="124"/>
      <c r="H202" s="124"/>
      <c r="I202" s="124"/>
      <c r="J202" s="124"/>
      <c r="K202" s="124"/>
      <c r="L202" s="124"/>
      <c r="M202" s="124" t="s">
        <v>24</v>
      </c>
      <c r="N202" s="124"/>
      <c r="O202" s="124" t="s">
        <v>24</v>
      </c>
      <c r="P202" s="124"/>
      <c r="Q202" s="20" t="s">
        <v>648</v>
      </c>
      <c r="R202" s="124" t="s">
        <v>648</v>
      </c>
      <c r="S202" s="124"/>
      <c r="T202" s="124"/>
    </row>
    <row r="203" spans="1:20" ht="13.35" customHeight="1" x14ac:dyDescent="0.2">
      <c r="A203" s="124" t="s">
        <v>114</v>
      </c>
      <c r="B203" s="124"/>
      <c r="C203" s="124"/>
      <c r="D203" s="124"/>
      <c r="E203" s="124"/>
      <c r="F203" s="124"/>
      <c r="G203" s="124"/>
      <c r="H203" s="124"/>
      <c r="I203" s="124"/>
      <c r="J203" s="124"/>
      <c r="K203" s="124"/>
      <c r="L203" s="124"/>
      <c r="M203" s="124" t="s">
        <v>773</v>
      </c>
      <c r="N203" s="124"/>
      <c r="O203" s="124" t="s">
        <v>773</v>
      </c>
      <c r="P203" s="124"/>
      <c r="Q203" s="20" t="s">
        <v>177</v>
      </c>
      <c r="R203" s="124" t="s">
        <v>177</v>
      </c>
      <c r="S203" s="124"/>
      <c r="T203" s="124"/>
    </row>
    <row r="204" spans="1:20" ht="13.35" customHeight="1" x14ac:dyDescent="0.2">
      <c r="A204" s="127" t="s">
        <v>774</v>
      </c>
      <c r="B204" s="127"/>
      <c r="C204" s="127"/>
      <c r="D204" s="127"/>
      <c r="E204" s="127"/>
      <c r="F204" s="127"/>
      <c r="G204" s="127"/>
      <c r="H204" s="127"/>
      <c r="I204" s="127"/>
      <c r="J204" s="127"/>
      <c r="K204" s="127"/>
      <c r="L204" s="127"/>
      <c r="M204" s="127"/>
      <c r="N204" s="127"/>
      <c r="O204" s="127" t="s">
        <v>775</v>
      </c>
      <c r="P204" s="127"/>
      <c r="Q204" s="22"/>
      <c r="R204" s="127" t="s">
        <v>458</v>
      </c>
      <c r="S204" s="127"/>
      <c r="T204" s="127"/>
    </row>
    <row r="205" spans="1:20" ht="13.35" customHeight="1" x14ac:dyDescent="0.2">
      <c r="A205" s="124" t="s">
        <v>84</v>
      </c>
      <c r="B205" s="124"/>
      <c r="C205" s="124"/>
      <c r="D205" s="124"/>
      <c r="E205" s="124"/>
      <c r="F205" s="124"/>
      <c r="G205" s="124"/>
      <c r="H205" s="124"/>
      <c r="I205" s="124"/>
      <c r="J205" s="124"/>
      <c r="K205" s="124"/>
      <c r="L205" s="124"/>
      <c r="M205" s="124" t="s">
        <v>776</v>
      </c>
      <c r="N205" s="124"/>
      <c r="O205" s="124" t="s">
        <v>777</v>
      </c>
      <c r="P205" s="124"/>
      <c r="Q205" s="20" t="s">
        <v>778</v>
      </c>
      <c r="R205" s="124" t="s">
        <v>447</v>
      </c>
      <c r="S205" s="124"/>
      <c r="T205" s="124"/>
    </row>
    <row r="206" spans="1:20" ht="13.35" customHeight="1" x14ac:dyDescent="0.2">
      <c r="A206" s="124" t="s">
        <v>18</v>
      </c>
      <c r="B206" s="124"/>
      <c r="C206" s="124"/>
      <c r="D206" s="124"/>
      <c r="E206" s="124"/>
      <c r="F206" s="124"/>
      <c r="G206" s="124"/>
      <c r="H206" s="124"/>
      <c r="I206" s="124"/>
      <c r="J206" s="124"/>
      <c r="K206" s="124"/>
      <c r="L206" s="124"/>
      <c r="M206" s="124" t="s">
        <v>335</v>
      </c>
      <c r="N206" s="124"/>
      <c r="O206" s="124" t="s">
        <v>335</v>
      </c>
      <c r="P206" s="124"/>
      <c r="Q206" s="20" t="s">
        <v>779</v>
      </c>
      <c r="R206" s="124" t="s">
        <v>779</v>
      </c>
      <c r="S206" s="124"/>
      <c r="T206" s="124"/>
    </row>
    <row r="207" spans="1:20" ht="13.35" customHeight="1" x14ac:dyDescent="0.2">
      <c r="A207" s="124" t="s">
        <v>183</v>
      </c>
      <c r="B207" s="124"/>
      <c r="C207" s="124"/>
      <c r="D207" s="124"/>
      <c r="E207" s="124"/>
      <c r="F207" s="124"/>
      <c r="G207" s="124"/>
      <c r="H207" s="124"/>
      <c r="I207" s="124"/>
      <c r="J207" s="124"/>
      <c r="K207" s="124"/>
      <c r="L207" s="124"/>
      <c r="M207" s="124" t="s">
        <v>780</v>
      </c>
      <c r="N207" s="124"/>
      <c r="O207" s="124" t="s">
        <v>458</v>
      </c>
      <c r="P207" s="124"/>
      <c r="Q207" s="20" t="s">
        <v>781</v>
      </c>
      <c r="R207" s="124" t="s">
        <v>782</v>
      </c>
      <c r="S207" s="124"/>
      <c r="T207" s="124"/>
    </row>
    <row r="208" spans="1:20" ht="13.35" customHeight="1" x14ac:dyDescent="0.2">
      <c r="A208" s="124" t="s">
        <v>81</v>
      </c>
      <c r="B208" s="124"/>
      <c r="C208" s="124"/>
      <c r="D208" s="124"/>
      <c r="E208" s="124"/>
      <c r="F208" s="124"/>
      <c r="G208" s="124"/>
      <c r="H208" s="124"/>
      <c r="I208" s="124"/>
      <c r="J208" s="124"/>
      <c r="K208" s="124"/>
      <c r="L208" s="124"/>
      <c r="M208" s="124" t="s">
        <v>63</v>
      </c>
      <c r="N208" s="124"/>
      <c r="O208" s="124" t="s">
        <v>69</v>
      </c>
      <c r="P208" s="124"/>
      <c r="Q208" s="20" t="s">
        <v>210</v>
      </c>
      <c r="R208" s="124" t="s">
        <v>392</v>
      </c>
      <c r="S208" s="124"/>
      <c r="T208" s="124"/>
    </row>
    <row r="209" spans="1:20" ht="13.35" customHeight="1" x14ac:dyDescent="0.2">
      <c r="A209" s="124" t="s">
        <v>70</v>
      </c>
      <c r="B209" s="124"/>
      <c r="C209" s="124"/>
      <c r="D209" s="124"/>
      <c r="E209" s="124"/>
      <c r="F209" s="124"/>
      <c r="G209" s="124"/>
      <c r="H209" s="124"/>
      <c r="I209" s="124"/>
      <c r="J209" s="124"/>
      <c r="K209" s="124"/>
      <c r="L209" s="124"/>
      <c r="M209" s="124" t="s">
        <v>176</v>
      </c>
      <c r="N209" s="124"/>
      <c r="O209" s="124" t="s">
        <v>176</v>
      </c>
      <c r="P209" s="124"/>
      <c r="Q209" s="20" t="s">
        <v>783</v>
      </c>
      <c r="R209" s="124" t="s">
        <v>783</v>
      </c>
      <c r="S209" s="124"/>
      <c r="T209" s="124"/>
    </row>
    <row r="210" spans="1:20" ht="14.1" customHeight="1" x14ac:dyDescent="0.2">
      <c r="A210" s="126" t="s">
        <v>148</v>
      </c>
      <c r="B210" s="126"/>
      <c r="C210" s="126"/>
      <c r="D210" s="126"/>
      <c r="E210" s="126"/>
      <c r="F210" s="126"/>
      <c r="G210" s="126"/>
      <c r="H210" s="126"/>
      <c r="I210" s="126"/>
      <c r="J210" s="126"/>
      <c r="K210" s="126"/>
      <c r="L210" s="126"/>
      <c r="M210" s="126"/>
      <c r="N210" s="126"/>
      <c r="O210" s="126"/>
      <c r="P210" s="126"/>
      <c r="Q210" s="126"/>
      <c r="R210" s="126"/>
      <c r="S210" s="126"/>
      <c r="T210" s="126"/>
    </row>
    <row r="211" spans="1:20" ht="14.1" customHeight="1" x14ac:dyDescent="0.2"/>
    <row r="212" spans="1:20" ht="14.1" customHeight="1" x14ac:dyDescent="0.2">
      <c r="A212" s="121" t="s">
        <v>33</v>
      </c>
      <c r="B212" s="121"/>
      <c r="C212" s="121"/>
      <c r="D212" s="121"/>
      <c r="E212" s="121"/>
      <c r="F212" s="121"/>
      <c r="G212" s="121"/>
      <c r="H212" s="121"/>
      <c r="I212" s="121"/>
      <c r="J212" s="121"/>
      <c r="K212" s="121"/>
      <c r="L212" s="121"/>
      <c r="M212" s="121"/>
      <c r="N212" s="121"/>
    </row>
    <row r="213" spans="1:20" ht="13.35" customHeight="1" x14ac:dyDescent="0.2">
      <c r="A213" s="124" t="s">
        <v>34</v>
      </c>
      <c r="B213" s="124"/>
      <c r="C213" s="124"/>
      <c r="D213" s="124"/>
      <c r="E213" s="125">
        <v>4.51</v>
      </c>
      <c r="F213" s="125"/>
      <c r="G213" s="21"/>
      <c r="H213" s="20" t="s">
        <v>35</v>
      </c>
      <c r="I213" s="125">
        <v>0.06</v>
      </c>
      <c r="J213" s="125"/>
      <c r="K213" s="21"/>
      <c r="L213" s="124" t="s">
        <v>36</v>
      </c>
      <c r="M213" s="124"/>
      <c r="N213" s="125">
        <v>30.72</v>
      </c>
      <c r="O213" s="125"/>
    </row>
    <row r="214" spans="1:20" ht="13.35" customHeight="1" x14ac:dyDescent="0.2">
      <c r="A214" s="124" t="s">
        <v>37</v>
      </c>
      <c r="B214" s="124"/>
      <c r="C214" s="124"/>
      <c r="D214" s="124"/>
      <c r="E214" s="125">
        <v>4.5199999999999996</v>
      </c>
      <c r="F214" s="125"/>
      <c r="G214" s="21"/>
      <c r="H214" s="20" t="s">
        <v>38</v>
      </c>
      <c r="I214" s="125">
        <v>7.48</v>
      </c>
      <c r="J214" s="125"/>
      <c r="K214" s="21"/>
      <c r="L214" s="124" t="s">
        <v>39</v>
      </c>
      <c r="M214" s="124"/>
      <c r="N214" s="125">
        <v>11.74</v>
      </c>
      <c r="O214" s="125"/>
    </row>
    <row r="215" spans="1:20" ht="13.35" customHeight="1" x14ac:dyDescent="0.2">
      <c r="A215" s="124" t="s">
        <v>40</v>
      </c>
      <c r="B215" s="124"/>
      <c r="C215" s="124"/>
      <c r="D215" s="124"/>
      <c r="E215" s="125">
        <v>20.67</v>
      </c>
      <c r="F215" s="125"/>
      <c r="G215" s="21"/>
      <c r="H215" s="20" t="s">
        <v>41</v>
      </c>
      <c r="I215" s="125">
        <v>0.02</v>
      </c>
      <c r="J215" s="125"/>
      <c r="K215" s="21"/>
      <c r="L215" s="124" t="s">
        <v>42</v>
      </c>
      <c r="M215" s="124"/>
      <c r="N215" s="125">
        <v>46.45</v>
      </c>
      <c r="O215" s="125"/>
    </row>
    <row r="216" spans="1:20" ht="13.35" customHeight="1" x14ac:dyDescent="0.2">
      <c r="A216" s="124" t="s">
        <v>43</v>
      </c>
      <c r="B216" s="124"/>
      <c r="C216" s="124"/>
      <c r="D216" s="124"/>
      <c r="E216" s="125">
        <v>159.15</v>
      </c>
      <c r="F216" s="125"/>
      <c r="G216" s="21"/>
      <c r="H216" s="20" t="s">
        <v>44</v>
      </c>
      <c r="I216" s="125">
        <v>1.49</v>
      </c>
      <c r="J216" s="125"/>
      <c r="K216" s="21"/>
      <c r="L216" s="124" t="s">
        <v>45</v>
      </c>
      <c r="M216" s="124"/>
      <c r="N216" s="125">
        <v>0.78</v>
      </c>
      <c r="O216" s="125"/>
    </row>
    <row r="217" spans="1:20" ht="13.35" customHeight="1" x14ac:dyDescent="0.2">
      <c r="A217" s="123"/>
      <c r="B217" s="123"/>
      <c r="C217" s="123"/>
      <c r="D217" s="123"/>
      <c r="E217" s="123"/>
      <c r="F217" s="123"/>
      <c r="G217" s="21"/>
      <c r="H217" s="20" t="s">
        <v>46</v>
      </c>
      <c r="I217" s="125">
        <v>7.0000000000000007E-2</v>
      </c>
      <c r="J217" s="125"/>
      <c r="K217" s="21"/>
      <c r="L217" s="124" t="s">
        <v>47</v>
      </c>
      <c r="M217" s="124"/>
      <c r="N217" s="125">
        <v>128.62</v>
      </c>
      <c r="O217" s="125"/>
    </row>
    <row r="218" spans="1:20" ht="13.35" customHeight="1" x14ac:dyDescent="0.2">
      <c r="A218" s="123"/>
      <c r="B218" s="123"/>
      <c r="C218" s="123"/>
      <c r="D218" s="123"/>
      <c r="E218" s="123"/>
      <c r="F218" s="123"/>
      <c r="G218" s="21"/>
      <c r="H218" s="20" t="s">
        <v>48</v>
      </c>
      <c r="I218" s="125">
        <v>0.05</v>
      </c>
      <c r="J218" s="125"/>
      <c r="K218" s="21"/>
      <c r="L218" s="124" t="s">
        <v>49</v>
      </c>
      <c r="M218" s="124"/>
      <c r="N218" s="125">
        <v>2.7</v>
      </c>
      <c r="O218" s="125"/>
    </row>
    <row r="219" spans="1:20" ht="13.35" customHeight="1" x14ac:dyDescent="0.2">
      <c r="A219" s="123"/>
      <c r="B219" s="123"/>
      <c r="C219" s="123"/>
      <c r="D219" s="123"/>
      <c r="E219" s="123"/>
      <c r="F219" s="123"/>
      <c r="G219" s="21"/>
      <c r="H219" s="21"/>
      <c r="I219" s="123"/>
      <c r="J219" s="123"/>
      <c r="K219" s="21"/>
      <c r="L219" s="124" t="s">
        <v>50</v>
      </c>
      <c r="M219" s="124"/>
      <c r="N219" s="125">
        <v>0.01</v>
      </c>
      <c r="O219" s="125"/>
    </row>
    <row r="220" spans="1:20" ht="13.35" customHeight="1" x14ac:dyDescent="0.2">
      <c r="A220" s="123"/>
      <c r="B220" s="123"/>
      <c r="C220" s="123"/>
      <c r="D220" s="123"/>
      <c r="E220" s="123"/>
      <c r="F220" s="123"/>
      <c r="G220" s="21"/>
      <c r="H220" s="21"/>
      <c r="I220" s="123"/>
      <c r="J220" s="123"/>
      <c r="K220" s="21"/>
      <c r="L220" s="124" t="s">
        <v>51</v>
      </c>
      <c r="M220" s="124"/>
      <c r="N220" s="125">
        <v>0.01</v>
      </c>
      <c r="O220" s="125"/>
    </row>
    <row r="221" spans="1:20" ht="14.1" customHeight="1" x14ac:dyDescent="0.2">
      <c r="A221" s="120"/>
      <c r="B221" s="120"/>
      <c r="C221" s="120"/>
      <c r="D221" s="120"/>
      <c r="E221" s="120"/>
      <c r="F221" s="120"/>
      <c r="G221" s="120"/>
      <c r="H221" s="120"/>
      <c r="I221" s="120"/>
      <c r="J221" s="120"/>
      <c r="K221" s="120"/>
      <c r="L221" s="120"/>
      <c r="M221" s="120"/>
      <c r="N221" s="120"/>
      <c r="O221" s="120"/>
      <c r="P221" s="120"/>
      <c r="Q221" s="120"/>
      <c r="R221" s="120"/>
      <c r="S221" s="120"/>
    </row>
    <row r="222" spans="1:20" ht="14.1" customHeight="1" x14ac:dyDescent="0.2">
      <c r="A222" s="121" t="s">
        <v>52</v>
      </c>
      <c r="B222" s="121"/>
      <c r="C222" s="121"/>
      <c r="D222" s="121"/>
      <c r="E222" s="121"/>
      <c r="F222" s="121"/>
      <c r="G222" s="121"/>
      <c r="H222" s="121"/>
      <c r="I222" s="121"/>
      <c r="J222" s="121"/>
      <c r="K222" s="121"/>
      <c r="L222" s="121"/>
      <c r="M222" s="121"/>
      <c r="N222" s="121"/>
      <c r="O222" s="121"/>
      <c r="P222" s="121"/>
      <c r="Q222" s="121"/>
      <c r="R222" s="121"/>
      <c r="S222" s="121"/>
    </row>
    <row r="223" spans="1:20" ht="389.7" customHeight="1" x14ac:dyDescent="0.2">
      <c r="A223" s="122" t="s">
        <v>784</v>
      </c>
      <c r="B223" s="122"/>
      <c r="C223" s="122"/>
      <c r="D223" s="122"/>
      <c r="E223" s="122"/>
      <c r="F223" s="122"/>
      <c r="G223" s="122"/>
      <c r="H223" s="122"/>
      <c r="I223" s="122"/>
      <c r="J223" s="122"/>
      <c r="K223" s="122"/>
      <c r="L223" s="122"/>
      <c r="M223" s="122"/>
      <c r="N223" s="122"/>
      <c r="O223" s="122"/>
      <c r="P223" s="122"/>
      <c r="Q223" s="122"/>
      <c r="R223" s="122"/>
      <c r="S223" s="122"/>
    </row>
    <row r="224" spans="1:20" ht="14.1" customHeight="1" x14ac:dyDescent="0.2">
      <c r="A224" s="120"/>
      <c r="B224" s="120"/>
      <c r="C224" s="120"/>
      <c r="D224" s="120"/>
      <c r="E224" s="120"/>
      <c r="F224" s="120"/>
      <c r="G224" s="120"/>
      <c r="H224" s="120"/>
      <c r="I224" s="120"/>
      <c r="J224" s="120"/>
      <c r="K224" s="120"/>
      <c r="L224" s="120"/>
      <c r="M224" s="120"/>
      <c r="N224" s="120"/>
      <c r="O224" s="120"/>
      <c r="P224" s="120"/>
      <c r="Q224" s="120"/>
      <c r="R224" s="120"/>
      <c r="S224" s="120"/>
    </row>
    <row r="225" spans="1:20" ht="14.1" customHeight="1" x14ac:dyDescent="0.2">
      <c r="A225" s="121" t="s">
        <v>54</v>
      </c>
      <c r="B225" s="121"/>
      <c r="C225" s="121"/>
      <c r="D225" s="121"/>
      <c r="E225" s="121"/>
      <c r="F225" s="121"/>
      <c r="G225" s="121"/>
      <c r="H225" s="121"/>
      <c r="I225" s="121"/>
      <c r="J225" s="121"/>
      <c r="K225" s="121"/>
      <c r="L225" s="121"/>
      <c r="M225" s="121"/>
      <c r="N225" s="121"/>
      <c r="O225" s="121"/>
      <c r="P225" s="121"/>
      <c r="Q225" s="121"/>
      <c r="R225" s="121"/>
      <c r="S225" s="121"/>
    </row>
    <row r="226" spans="1:20" ht="12.15" customHeight="1" x14ac:dyDescent="0.2">
      <c r="A226" s="122" t="s">
        <v>785</v>
      </c>
      <c r="B226" s="122"/>
      <c r="C226" s="122"/>
      <c r="D226" s="122"/>
      <c r="E226" s="122"/>
      <c r="F226" s="122"/>
      <c r="G226" s="122"/>
      <c r="H226" s="122"/>
      <c r="I226" s="122"/>
      <c r="J226" s="122"/>
      <c r="K226" s="122"/>
      <c r="L226" s="122"/>
      <c r="M226" s="122"/>
      <c r="N226" s="122"/>
      <c r="O226" s="122"/>
      <c r="P226" s="122"/>
      <c r="Q226" s="122"/>
      <c r="R226" s="122"/>
      <c r="S226" s="122"/>
    </row>
    <row r="227" spans="1:20" ht="14.1" customHeight="1" x14ac:dyDescent="0.2">
      <c r="A227" s="120"/>
      <c r="B227" s="120"/>
      <c r="C227" s="120"/>
      <c r="D227" s="120"/>
      <c r="E227" s="120"/>
      <c r="F227" s="120"/>
      <c r="G227" s="120"/>
      <c r="H227" s="120"/>
      <c r="I227" s="120"/>
      <c r="J227" s="120"/>
      <c r="K227" s="120"/>
      <c r="L227" s="120"/>
      <c r="M227" s="120"/>
      <c r="N227" s="120"/>
      <c r="O227" s="120"/>
      <c r="P227" s="120"/>
      <c r="Q227" s="120"/>
      <c r="R227" s="120"/>
      <c r="S227" s="120"/>
    </row>
    <row r="228" spans="1:20" ht="14.1" customHeight="1" x14ac:dyDescent="0.2">
      <c r="A228" s="121" t="s">
        <v>56</v>
      </c>
      <c r="B228" s="121"/>
      <c r="C228" s="121"/>
      <c r="D228" s="121"/>
      <c r="E228" s="121"/>
      <c r="F228" s="121"/>
      <c r="G228" s="121"/>
      <c r="H228" s="121"/>
      <c r="I228" s="121"/>
      <c r="J228" s="121"/>
      <c r="K228" s="121"/>
      <c r="L228" s="121"/>
      <c r="M228" s="121"/>
      <c r="N228" s="121"/>
      <c r="O228" s="121"/>
      <c r="P228" s="121"/>
      <c r="Q228" s="121"/>
      <c r="R228" s="121"/>
      <c r="S228" s="121"/>
    </row>
    <row r="229" spans="1:20" ht="49.2" customHeight="1" x14ac:dyDescent="0.2">
      <c r="A229" s="122" t="s">
        <v>786</v>
      </c>
      <c r="B229" s="122"/>
      <c r="C229" s="122"/>
      <c r="D229" s="122"/>
      <c r="E229" s="122"/>
      <c r="F229" s="122"/>
      <c r="G229" s="122"/>
      <c r="H229" s="122"/>
      <c r="I229" s="122"/>
      <c r="J229" s="122"/>
      <c r="K229" s="122"/>
      <c r="L229" s="122"/>
      <c r="M229" s="122"/>
      <c r="N229" s="122"/>
      <c r="O229" s="122"/>
      <c r="P229" s="122"/>
      <c r="Q229" s="122"/>
      <c r="R229" s="122"/>
      <c r="S229" s="122"/>
    </row>
    <row r="232" spans="1:20" s="1" customFormat="1" ht="72.45" customHeight="1" x14ac:dyDescent="0.25">
      <c r="J232" s="100" t="s">
        <v>0</v>
      </c>
      <c r="K232" s="100"/>
      <c r="L232" s="100"/>
      <c r="M232" s="100"/>
      <c r="N232" s="100"/>
      <c r="O232" s="100"/>
      <c r="P232" s="100"/>
      <c r="Q232" s="100"/>
      <c r="R232" s="100"/>
      <c r="S232" s="100"/>
      <c r="T232" s="100"/>
    </row>
    <row r="233" spans="1:20" s="1" customFormat="1" ht="7.05" customHeight="1" x14ac:dyDescent="0.25"/>
    <row r="234" spans="1:20" s="1" customFormat="1" ht="14.1" customHeight="1" x14ac:dyDescent="0.25">
      <c r="B234" s="101" t="s">
        <v>585</v>
      </c>
      <c r="C234" s="101"/>
      <c r="D234" s="101"/>
      <c r="E234" s="101"/>
      <c r="F234" s="101"/>
      <c r="G234" s="101"/>
      <c r="H234" s="101"/>
      <c r="I234" s="101"/>
      <c r="J234" s="101"/>
      <c r="K234" s="101"/>
      <c r="L234" s="101"/>
      <c r="M234" s="101"/>
      <c r="N234" s="101"/>
      <c r="O234" s="101"/>
      <c r="P234" s="101"/>
      <c r="Q234" s="101"/>
      <c r="R234" s="101"/>
    </row>
    <row r="235" spans="1:20" s="1" customFormat="1" ht="14.1" customHeight="1" x14ac:dyDescent="0.25"/>
    <row r="236" spans="1:20" s="1" customFormat="1" ht="14.1" customHeight="1" x14ac:dyDescent="0.25">
      <c r="A236" s="102" t="s">
        <v>2</v>
      </c>
      <c r="B236" s="102"/>
      <c r="C236" s="102"/>
      <c r="D236" s="103" t="s">
        <v>586</v>
      </c>
      <c r="E236" s="103"/>
      <c r="F236" s="103"/>
      <c r="G236" s="103"/>
      <c r="H236" s="103"/>
      <c r="I236" s="103"/>
      <c r="J236" s="103"/>
      <c r="K236" s="103"/>
      <c r="L236" s="103"/>
      <c r="M236" s="103"/>
      <c r="N236" s="103"/>
      <c r="O236" s="103"/>
      <c r="P236" s="103"/>
      <c r="Q236" s="103"/>
      <c r="R236" s="103"/>
      <c r="S236" s="103"/>
      <c r="T236" s="103"/>
    </row>
    <row r="237" spans="1:20" s="1" customFormat="1" ht="14.1" customHeight="1" x14ac:dyDescent="0.25">
      <c r="A237" s="102" t="s">
        <v>4</v>
      </c>
      <c r="B237" s="102"/>
      <c r="C237" s="103" t="s">
        <v>240</v>
      </c>
      <c r="D237" s="103"/>
      <c r="E237" s="103"/>
      <c r="F237" s="103"/>
      <c r="G237" s="103"/>
      <c r="H237" s="103"/>
      <c r="I237" s="103"/>
      <c r="J237" s="103"/>
      <c r="K237" s="103"/>
      <c r="L237" s="103"/>
      <c r="M237" s="103"/>
      <c r="N237" s="103"/>
      <c r="O237" s="103"/>
      <c r="P237" s="103"/>
      <c r="Q237" s="103"/>
      <c r="R237" s="103"/>
      <c r="S237" s="103"/>
      <c r="T237" s="103"/>
    </row>
    <row r="238" spans="1:20" s="1" customFormat="1" ht="14.1" customHeight="1" x14ac:dyDescent="0.25">
      <c r="A238" s="102" t="s">
        <v>6</v>
      </c>
      <c r="B238" s="102"/>
      <c r="C238" s="102"/>
      <c r="D238" s="102"/>
      <c r="E238" s="102"/>
      <c r="F238" s="103" t="s">
        <v>60</v>
      </c>
      <c r="G238" s="103"/>
      <c r="H238" s="103"/>
      <c r="I238" s="103"/>
      <c r="J238" s="103"/>
      <c r="K238" s="103"/>
      <c r="L238" s="103"/>
      <c r="M238" s="103"/>
      <c r="N238" s="103"/>
      <c r="O238" s="103"/>
      <c r="P238" s="103"/>
      <c r="Q238" s="103"/>
      <c r="R238" s="103"/>
      <c r="S238" s="103"/>
      <c r="T238" s="103"/>
    </row>
    <row r="239" spans="1:20" s="1" customFormat="1" ht="22.35" customHeight="1" x14ac:dyDescent="0.25">
      <c r="F239" s="103"/>
      <c r="G239" s="103"/>
      <c r="H239" s="103"/>
      <c r="I239" s="103"/>
      <c r="J239" s="103"/>
      <c r="K239" s="103"/>
      <c r="L239" s="103"/>
      <c r="M239" s="103"/>
      <c r="N239" s="103"/>
      <c r="O239" s="103"/>
      <c r="P239" s="103"/>
      <c r="Q239" s="103"/>
      <c r="R239" s="103"/>
      <c r="S239" s="103"/>
      <c r="T239" s="103"/>
    </row>
    <row r="240" spans="1:20" s="1" customFormat="1" ht="7.05" customHeight="1" x14ac:dyDescent="0.25">
      <c r="A240" s="86"/>
      <c r="B240" s="86"/>
      <c r="C240" s="86"/>
      <c r="D240" s="86"/>
      <c r="E240" s="86"/>
      <c r="F240" s="86"/>
      <c r="G240" s="86"/>
      <c r="H240" s="86"/>
      <c r="I240" s="86"/>
      <c r="J240" s="86"/>
      <c r="K240" s="86"/>
      <c r="L240" s="86"/>
      <c r="M240" s="86"/>
      <c r="N240" s="86"/>
      <c r="O240" s="86"/>
      <c r="P240" s="86"/>
      <c r="Q240" s="16"/>
      <c r="R240" s="86"/>
      <c r="S240" s="86"/>
      <c r="T240" s="86"/>
    </row>
    <row r="241" spans="1:20" s="1" customFormat="1" ht="16.95" customHeight="1" x14ac:dyDescent="0.25">
      <c r="A241" s="94" t="s">
        <v>8</v>
      </c>
      <c r="B241" s="94"/>
      <c r="C241" s="94"/>
      <c r="D241" s="94"/>
      <c r="E241" s="94"/>
      <c r="F241" s="94"/>
      <c r="G241" s="94"/>
      <c r="H241" s="94"/>
      <c r="I241" s="94"/>
      <c r="J241" s="94"/>
      <c r="K241" s="94"/>
      <c r="L241" s="94"/>
      <c r="M241" s="95" t="s">
        <v>9</v>
      </c>
      <c r="N241" s="95"/>
      <c r="O241" s="95"/>
      <c r="P241" s="95"/>
      <c r="Q241" s="95"/>
      <c r="R241" s="95"/>
      <c r="S241" s="95"/>
      <c r="T241" s="95"/>
    </row>
    <row r="242" spans="1:20" s="1" customFormat="1" ht="16.95" customHeight="1" x14ac:dyDescent="0.25">
      <c r="A242" s="94"/>
      <c r="B242" s="94"/>
      <c r="C242" s="94"/>
      <c r="D242" s="94"/>
      <c r="E242" s="94"/>
      <c r="F242" s="94"/>
      <c r="G242" s="94"/>
      <c r="H242" s="94"/>
      <c r="I242" s="94"/>
      <c r="J242" s="94"/>
      <c r="K242" s="94"/>
      <c r="L242" s="94"/>
      <c r="M242" s="96" t="s">
        <v>10</v>
      </c>
      <c r="N242" s="96"/>
      <c r="O242" s="96"/>
      <c r="P242" s="96"/>
      <c r="Q242" s="97" t="s">
        <v>11</v>
      </c>
      <c r="R242" s="97"/>
      <c r="S242" s="97"/>
      <c r="T242" s="97"/>
    </row>
    <row r="243" spans="1:20" s="1" customFormat="1" ht="16.95" customHeight="1" x14ac:dyDescent="0.25">
      <c r="A243" s="94"/>
      <c r="B243" s="94"/>
      <c r="C243" s="94"/>
      <c r="D243" s="94"/>
      <c r="E243" s="94"/>
      <c r="F243" s="94"/>
      <c r="G243" s="94"/>
      <c r="H243" s="94"/>
      <c r="I243" s="94"/>
      <c r="J243" s="94"/>
      <c r="K243" s="94"/>
      <c r="L243" s="94"/>
      <c r="M243" s="98" t="s">
        <v>12</v>
      </c>
      <c r="N243" s="98"/>
      <c r="O243" s="98" t="s">
        <v>13</v>
      </c>
      <c r="P243" s="98"/>
      <c r="Q243" s="13" t="s">
        <v>14</v>
      </c>
      <c r="R243" s="99" t="s">
        <v>15</v>
      </c>
      <c r="S243" s="99"/>
      <c r="T243" s="99"/>
    </row>
    <row r="244" spans="1:20" s="1" customFormat="1" ht="13.35" customHeight="1" x14ac:dyDescent="0.25">
      <c r="A244" s="88" t="s">
        <v>140</v>
      </c>
      <c r="B244" s="88"/>
      <c r="C244" s="88"/>
      <c r="D244" s="88"/>
      <c r="E244" s="88"/>
      <c r="F244" s="88"/>
      <c r="G244" s="88"/>
      <c r="H244" s="88"/>
      <c r="I244" s="88"/>
      <c r="J244" s="88"/>
      <c r="K244" s="88"/>
      <c r="L244" s="88"/>
      <c r="M244" s="88">
        <f>33/2</f>
        <v>16.5</v>
      </c>
      <c r="N244" s="88"/>
      <c r="O244" s="88">
        <v>15</v>
      </c>
      <c r="P244" s="88"/>
      <c r="Q244" s="6">
        <v>1.65</v>
      </c>
      <c r="R244" s="88">
        <v>1.5</v>
      </c>
      <c r="S244" s="88"/>
      <c r="T244" s="88"/>
    </row>
    <row r="245" spans="1:20" s="1" customFormat="1" ht="14.1" customHeight="1" x14ac:dyDescent="0.25">
      <c r="A245" s="90" t="s">
        <v>587</v>
      </c>
      <c r="B245" s="90"/>
      <c r="C245" s="90"/>
      <c r="D245" s="90"/>
      <c r="E245" s="90"/>
      <c r="F245" s="90"/>
      <c r="G245" s="90"/>
      <c r="H245" s="90"/>
      <c r="I245" s="90"/>
      <c r="J245" s="90"/>
      <c r="K245" s="90"/>
      <c r="L245" s="90"/>
      <c r="M245" s="90"/>
      <c r="N245" s="90"/>
      <c r="O245" s="90"/>
      <c r="P245" s="90"/>
      <c r="Q245" s="90"/>
      <c r="R245" s="90"/>
      <c r="S245" s="90"/>
      <c r="T245" s="90"/>
    </row>
    <row r="246" spans="1:20" s="1" customFormat="1" ht="21.3" customHeight="1" x14ac:dyDescent="0.25"/>
    <row r="247" spans="1:20" s="1" customFormat="1" ht="14.1" customHeight="1" x14ac:dyDescent="0.25">
      <c r="A247" s="91" t="s">
        <v>33</v>
      </c>
      <c r="B247" s="91"/>
      <c r="C247" s="91"/>
      <c r="D247" s="91"/>
      <c r="E247" s="91"/>
      <c r="F247" s="91"/>
      <c r="G247" s="91"/>
      <c r="H247" s="91"/>
      <c r="I247" s="91"/>
      <c r="J247" s="91"/>
      <c r="K247" s="91"/>
      <c r="L247" s="91"/>
      <c r="M247" s="91"/>
      <c r="N247" s="91"/>
    </row>
    <row r="248" spans="1:20" s="1" customFormat="1" ht="13.35" customHeight="1" x14ac:dyDescent="0.25">
      <c r="A248" s="88" t="s">
        <v>34</v>
      </c>
      <c r="B248" s="88"/>
      <c r="C248" s="88"/>
      <c r="D248" s="88"/>
      <c r="E248" s="89">
        <v>3.48</v>
      </c>
      <c r="F248" s="89"/>
      <c r="G248" s="17"/>
      <c r="H248" s="6" t="s">
        <v>35</v>
      </c>
      <c r="I248" s="89">
        <v>0</v>
      </c>
      <c r="J248" s="89"/>
      <c r="K248" s="17"/>
      <c r="L248" s="88" t="s">
        <v>36</v>
      </c>
      <c r="M248" s="88"/>
      <c r="N248" s="89">
        <v>99.44</v>
      </c>
      <c r="O248" s="89"/>
    </row>
    <row r="249" spans="1:20" s="1" customFormat="1" ht="13.35" customHeight="1" x14ac:dyDescent="0.25">
      <c r="A249" s="88" t="s">
        <v>37</v>
      </c>
      <c r="B249" s="88"/>
      <c r="C249" s="88"/>
      <c r="D249" s="88"/>
      <c r="E249" s="89">
        <v>4.42</v>
      </c>
      <c r="F249" s="89"/>
      <c r="G249" s="17"/>
      <c r="H249" s="6" t="s">
        <v>38</v>
      </c>
      <c r="I249" s="89">
        <v>0.08</v>
      </c>
      <c r="J249" s="89"/>
      <c r="K249" s="17"/>
      <c r="L249" s="88" t="s">
        <v>39</v>
      </c>
      <c r="M249" s="88"/>
      <c r="N249" s="89">
        <v>3.96</v>
      </c>
      <c r="O249" s="89"/>
    </row>
    <row r="250" spans="1:20" s="1" customFormat="1" ht="13.35" customHeight="1" x14ac:dyDescent="0.25">
      <c r="A250" s="88" t="s">
        <v>40</v>
      </c>
      <c r="B250" s="88"/>
      <c r="C250" s="88"/>
      <c r="D250" s="88"/>
      <c r="E250" s="89">
        <v>6.5000000000000002E-2</v>
      </c>
      <c r="F250" s="89"/>
      <c r="G250" s="17"/>
      <c r="H250" s="6" t="s">
        <v>41</v>
      </c>
      <c r="I250" s="89">
        <v>0.04</v>
      </c>
      <c r="J250" s="89"/>
      <c r="K250" s="17"/>
      <c r="L250" s="88" t="s">
        <v>42</v>
      </c>
      <c r="M250" s="88"/>
      <c r="N250" s="89">
        <v>56.5</v>
      </c>
      <c r="O250" s="89"/>
    </row>
    <row r="251" spans="1:20" s="1" customFormat="1" ht="13.35" customHeight="1" x14ac:dyDescent="0.25">
      <c r="A251" s="88" t="s">
        <v>43</v>
      </c>
      <c r="B251" s="88"/>
      <c r="C251" s="88"/>
      <c r="D251" s="88"/>
      <c r="E251" s="89">
        <v>54</v>
      </c>
      <c r="F251" s="89"/>
      <c r="G251" s="17"/>
      <c r="H251" s="6" t="s">
        <v>44</v>
      </c>
      <c r="I251" s="89">
        <v>0.03</v>
      </c>
      <c r="J251" s="89"/>
      <c r="K251" s="17"/>
      <c r="L251" s="88" t="s">
        <v>45</v>
      </c>
      <c r="M251" s="88"/>
      <c r="N251" s="89">
        <v>0.11</v>
      </c>
      <c r="O251" s="89"/>
    </row>
    <row r="252" spans="1:20" s="1" customFormat="1" ht="13.35" customHeight="1" x14ac:dyDescent="0.25">
      <c r="A252" s="87"/>
      <c r="B252" s="87"/>
      <c r="C252" s="87"/>
      <c r="D252" s="87"/>
      <c r="E252" s="87"/>
      <c r="F252" s="87"/>
      <c r="G252" s="17"/>
      <c r="H252" s="6" t="s">
        <v>46</v>
      </c>
      <c r="I252" s="89">
        <v>0</v>
      </c>
      <c r="J252" s="89"/>
      <c r="K252" s="17"/>
      <c r="L252" s="88" t="s">
        <v>47</v>
      </c>
      <c r="M252" s="88"/>
      <c r="N252" s="89">
        <v>9.94</v>
      </c>
      <c r="O252" s="89"/>
    </row>
    <row r="253" spans="1:20" s="1" customFormat="1" ht="13.35" customHeight="1" x14ac:dyDescent="0.25">
      <c r="A253" s="87"/>
      <c r="B253" s="87"/>
      <c r="C253" s="87"/>
      <c r="D253" s="87"/>
      <c r="E253" s="87"/>
      <c r="F253" s="87"/>
      <c r="G253" s="17"/>
      <c r="H253" s="6" t="s">
        <v>48</v>
      </c>
      <c r="I253" s="89">
        <v>0.03</v>
      </c>
      <c r="J253" s="89"/>
      <c r="K253" s="17"/>
      <c r="L253" s="88" t="s">
        <v>49</v>
      </c>
      <c r="M253" s="88"/>
      <c r="N253" s="89">
        <v>0</v>
      </c>
      <c r="O253" s="89"/>
    </row>
    <row r="254" spans="1:20" s="1" customFormat="1" ht="13.35" customHeight="1" x14ac:dyDescent="0.25">
      <c r="A254" s="87"/>
      <c r="B254" s="87"/>
      <c r="C254" s="87"/>
      <c r="D254" s="87"/>
      <c r="E254" s="87"/>
      <c r="F254" s="87"/>
      <c r="G254" s="17"/>
      <c r="H254" s="17"/>
      <c r="I254" s="87"/>
      <c r="J254" s="87"/>
      <c r="K254" s="17"/>
      <c r="L254" s="88" t="s">
        <v>50</v>
      </c>
      <c r="M254" s="88"/>
      <c r="N254" s="89">
        <v>0</v>
      </c>
      <c r="O254" s="89"/>
    </row>
    <row r="255" spans="1:20" s="1" customFormat="1" ht="13.35" customHeight="1" x14ac:dyDescent="0.25">
      <c r="A255" s="87"/>
      <c r="B255" s="87"/>
      <c r="C255" s="87"/>
      <c r="D255" s="87"/>
      <c r="E255" s="87"/>
      <c r="F255" s="87"/>
      <c r="G255" s="17"/>
      <c r="H255" s="17"/>
      <c r="I255" s="87"/>
      <c r="J255" s="87"/>
      <c r="K255" s="17"/>
      <c r="L255" s="88" t="s">
        <v>51</v>
      </c>
      <c r="M255" s="88"/>
      <c r="N255" s="89">
        <v>0</v>
      </c>
      <c r="O255" s="89"/>
    </row>
    <row r="256" spans="1:20" s="1" customFormat="1" ht="14.1" customHeight="1" x14ac:dyDescent="0.25">
      <c r="A256" s="86"/>
      <c r="B256" s="86"/>
      <c r="C256" s="86"/>
      <c r="D256" s="86"/>
      <c r="E256" s="86"/>
      <c r="F256" s="86"/>
      <c r="G256" s="86"/>
      <c r="H256" s="86"/>
      <c r="I256" s="86"/>
      <c r="J256" s="86"/>
      <c r="K256" s="86"/>
      <c r="L256" s="86"/>
      <c r="M256" s="86"/>
      <c r="N256" s="86"/>
      <c r="O256" s="86"/>
      <c r="P256" s="86"/>
      <c r="Q256" s="86"/>
      <c r="R256" s="86"/>
      <c r="S256" s="86"/>
    </row>
    <row r="257" spans="1:20" s="1" customFormat="1" ht="14.1" customHeight="1" x14ac:dyDescent="0.25">
      <c r="A257" s="84" t="s">
        <v>52</v>
      </c>
      <c r="B257" s="84"/>
      <c r="C257" s="84"/>
      <c r="D257" s="84"/>
      <c r="E257" s="84"/>
      <c r="F257" s="84"/>
      <c r="G257" s="84"/>
      <c r="H257" s="84"/>
      <c r="I257" s="84"/>
      <c r="J257" s="84"/>
      <c r="K257" s="84"/>
      <c r="L257" s="84"/>
      <c r="M257" s="84"/>
      <c r="N257" s="84"/>
      <c r="O257" s="84"/>
      <c r="P257" s="84"/>
      <c r="Q257" s="84"/>
      <c r="R257" s="84"/>
      <c r="S257" s="84"/>
    </row>
    <row r="258" spans="1:20" s="1" customFormat="1" ht="12.15" customHeight="1" x14ac:dyDescent="0.25">
      <c r="A258" s="85" t="s">
        <v>588</v>
      </c>
      <c r="B258" s="85"/>
      <c r="C258" s="85"/>
      <c r="D258" s="85"/>
      <c r="E258" s="85"/>
      <c r="F258" s="85"/>
      <c r="G258" s="85"/>
      <c r="H258" s="85"/>
      <c r="I258" s="85"/>
      <c r="J258" s="85"/>
      <c r="K258" s="85"/>
      <c r="L258" s="85"/>
      <c r="M258" s="85"/>
      <c r="N258" s="85"/>
      <c r="O258" s="85"/>
      <c r="P258" s="85"/>
      <c r="Q258" s="85"/>
      <c r="R258" s="85"/>
      <c r="S258" s="85"/>
    </row>
    <row r="259" spans="1:20" s="1" customFormat="1" ht="14.1" customHeight="1" x14ac:dyDescent="0.25">
      <c r="A259" s="86"/>
      <c r="B259" s="86"/>
      <c r="C259" s="86"/>
      <c r="D259" s="86"/>
      <c r="E259" s="86"/>
      <c r="F259" s="86"/>
      <c r="G259" s="86"/>
      <c r="H259" s="86"/>
      <c r="I259" s="86"/>
      <c r="J259" s="86"/>
      <c r="K259" s="86"/>
      <c r="L259" s="86"/>
      <c r="M259" s="86"/>
      <c r="N259" s="86"/>
      <c r="O259" s="86"/>
      <c r="P259" s="86"/>
      <c r="Q259" s="86"/>
      <c r="R259" s="86"/>
      <c r="S259" s="86"/>
    </row>
    <row r="260" spans="1:20" s="1" customFormat="1" ht="14.1" customHeight="1" x14ac:dyDescent="0.25">
      <c r="A260" s="84" t="s">
        <v>56</v>
      </c>
      <c r="B260" s="84"/>
      <c r="C260" s="84"/>
      <c r="D260" s="84"/>
      <c r="E260" s="84"/>
      <c r="F260" s="84"/>
      <c r="G260" s="84"/>
      <c r="H260" s="84"/>
      <c r="I260" s="84"/>
      <c r="J260" s="84"/>
      <c r="K260" s="84"/>
      <c r="L260" s="84"/>
      <c r="M260" s="84"/>
      <c r="N260" s="84"/>
      <c r="O260" s="84"/>
      <c r="P260" s="84"/>
      <c r="Q260" s="84"/>
      <c r="R260" s="84"/>
      <c r="S260" s="84"/>
    </row>
    <row r="261" spans="1:20" s="1" customFormat="1" ht="49.2" customHeight="1" x14ac:dyDescent="0.25">
      <c r="A261" s="85" t="s">
        <v>589</v>
      </c>
      <c r="B261" s="85"/>
      <c r="C261" s="85"/>
      <c r="D261" s="85"/>
      <c r="E261" s="85"/>
      <c r="F261" s="85"/>
      <c r="G261" s="85"/>
      <c r="H261" s="85"/>
      <c r="I261" s="85"/>
      <c r="J261" s="85"/>
      <c r="K261" s="85"/>
      <c r="L261" s="85"/>
      <c r="M261" s="85"/>
      <c r="N261" s="85"/>
      <c r="O261" s="85"/>
      <c r="P261" s="85"/>
      <c r="Q261" s="85"/>
      <c r="R261" s="85"/>
      <c r="S261" s="85"/>
    </row>
    <row r="263" spans="1:20" s="1" customFormat="1" ht="72.45" customHeight="1" x14ac:dyDescent="0.25">
      <c r="J263" s="100" t="s">
        <v>0</v>
      </c>
      <c r="K263" s="100"/>
      <c r="L263" s="100"/>
      <c r="M263" s="100"/>
      <c r="N263" s="100"/>
      <c r="O263" s="100"/>
      <c r="P263" s="100"/>
      <c r="Q263" s="100"/>
      <c r="R263" s="100"/>
      <c r="S263" s="100"/>
      <c r="T263" s="100"/>
    </row>
    <row r="264" spans="1:20" s="1" customFormat="1" ht="7.05" customHeight="1" x14ac:dyDescent="0.25"/>
    <row r="265" spans="1:20" s="1" customFormat="1" ht="14.1" customHeight="1" x14ac:dyDescent="0.25">
      <c r="B265" s="101" t="s">
        <v>380</v>
      </c>
      <c r="C265" s="101"/>
      <c r="D265" s="101"/>
      <c r="E265" s="101"/>
      <c r="F265" s="101"/>
      <c r="G265" s="101"/>
      <c r="H265" s="101"/>
      <c r="I265" s="101"/>
      <c r="J265" s="101"/>
      <c r="K265" s="101"/>
      <c r="L265" s="101"/>
      <c r="M265" s="101"/>
      <c r="N265" s="101"/>
      <c r="O265" s="101"/>
      <c r="P265" s="101"/>
      <c r="Q265" s="101"/>
      <c r="R265" s="101"/>
    </row>
    <row r="266" spans="1:20" s="1" customFormat="1" ht="14.1" customHeight="1" x14ac:dyDescent="0.25"/>
    <row r="267" spans="1:20" s="1" customFormat="1" ht="14.1" customHeight="1" x14ac:dyDescent="0.25">
      <c r="A267" s="102" t="s">
        <v>2</v>
      </c>
      <c r="B267" s="102"/>
      <c r="C267" s="102"/>
      <c r="D267" s="103" t="s">
        <v>623</v>
      </c>
      <c r="E267" s="103"/>
      <c r="F267" s="103"/>
      <c r="G267" s="103"/>
      <c r="H267" s="103"/>
      <c r="I267" s="103"/>
      <c r="J267" s="103"/>
      <c r="K267" s="103"/>
      <c r="L267" s="103"/>
      <c r="M267" s="103"/>
      <c r="N267" s="103"/>
      <c r="O267" s="103"/>
      <c r="P267" s="103"/>
      <c r="Q267" s="103"/>
      <c r="R267" s="103"/>
      <c r="S267" s="103"/>
      <c r="T267" s="103"/>
    </row>
    <row r="268" spans="1:20" s="1" customFormat="1" ht="14.1" customHeight="1" x14ac:dyDescent="0.25">
      <c r="A268" s="102" t="s">
        <v>4</v>
      </c>
      <c r="B268" s="102"/>
      <c r="C268" s="103"/>
      <c r="D268" s="103"/>
      <c r="E268" s="103"/>
      <c r="F268" s="103"/>
      <c r="G268" s="103"/>
      <c r="H268" s="103"/>
      <c r="I268" s="103"/>
      <c r="J268" s="103"/>
      <c r="K268" s="103"/>
      <c r="L268" s="103"/>
      <c r="M268" s="103"/>
      <c r="N268" s="103"/>
      <c r="O268" s="103"/>
      <c r="P268" s="103"/>
      <c r="Q268" s="103"/>
      <c r="R268" s="103"/>
      <c r="S268" s="103"/>
      <c r="T268" s="103"/>
    </row>
    <row r="269" spans="1:20" s="1" customFormat="1" ht="14.1" customHeight="1" x14ac:dyDescent="0.25">
      <c r="A269" s="102" t="s">
        <v>6</v>
      </c>
      <c r="B269" s="102"/>
      <c r="C269" s="102"/>
      <c r="D269" s="102"/>
      <c r="E269" s="102"/>
      <c r="F269" s="103" t="s">
        <v>7</v>
      </c>
      <c r="G269" s="103"/>
      <c r="H269" s="103"/>
      <c r="I269" s="103"/>
      <c r="J269" s="103"/>
      <c r="K269" s="103"/>
      <c r="L269" s="103"/>
      <c r="M269" s="103"/>
      <c r="N269" s="103"/>
      <c r="O269" s="103"/>
      <c r="P269" s="103"/>
      <c r="Q269" s="103"/>
      <c r="R269" s="103"/>
      <c r="S269" s="103"/>
      <c r="T269" s="103"/>
    </row>
    <row r="270" spans="1:20" s="1" customFormat="1" ht="22.35" customHeight="1" x14ac:dyDescent="0.25">
      <c r="F270" s="103"/>
      <c r="G270" s="103"/>
      <c r="H270" s="103"/>
      <c r="I270" s="103"/>
      <c r="J270" s="103"/>
      <c r="K270" s="103"/>
      <c r="L270" s="103"/>
      <c r="M270" s="103"/>
      <c r="N270" s="103"/>
      <c r="O270" s="103"/>
      <c r="P270" s="103"/>
      <c r="Q270" s="103"/>
      <c r="R270" s="103"/>
      <c r="S270" s="103"/>
      <c r="T270" s="103"/>
    </row>
    <row r="271" spans="1:20" s="1" customFormat="1" ht="7.05" customHeight="1" x14ac:dyDescent="0.25">
      <c r="A271" s="86"/>
      <c r="B271" s="86"/>
      <c r="C271" s="86"/>
      <c r="D271" s="86"/>
      <c r="E271" s="86"/>
      <c r="F271" s="86"/>
      <c r="G271" s="86"/>
      <c r="H271" s="86"/>
      <c r="I271" s="86"/>
      <c r="J271" s="86"/>
      <c r="K271" s="86"/>
      <c r="L271" s="86"/>
      <c r="M271" s="86"/>
      <c r="N271" s="86"/>
      <c r="O271" s="86"/>
      <c r="P271" s="86"/>
      <c r="Q271" s="16"/>
      <c r="R271" s="86"/>
      <c r="S271" s="86"/>
      <c r="T271" s="86"/>
    </row>
    <row r="272" spans="1:20" s="1" customFormat="1" ht="16.95" customHeight="1" x14ac:dyDescent="0.25">
      <c r="A272" s="94" t="s">
        <v>8</v>
      </c>
      <c r="B272" s="94"/>
      <c r="C272" s="94"/>
      <c r="D272" s="94"/>
      <c r="E272" s="94"/>
      <c r="F272" s="94"/>
      <c r="G272" s="94"/>
      <c r="H272" s="94"/>
      <c r="I272" s="94"/>
      <c r="J272" s="94"/>
      <c r="K272" s="94"/>
      <c r="L272" s="94"/>
      <c r="M272" s="95" t="s">
        <v>9</v>
      </c>
      <c r="N272" s="95"/>
      <c r="O272" s="95"/>
      <c r="P272" s="95"/>
      <c r="Q272" s="95"/>
      <c r="R272" s="95"/>
      <c r="S272" s="95"/>
      <c r="T272" s="95"/>
    </row>
    <row r="273" spans="1:20" s="1" customFormat="1" ht="16.95" customHeight="1" x14ac:dyDescent="0.25">
      <c r="A273" s="94"/>
      <c r="B273" s="94"/>
      <c r="C273" s="94"/>
      <c r="D273" s="94"/>
      <c r="E273" s="94"/>
      <c r="F273" s="94"/>
      <c r="G273" s="94"/>
      <c r="H273" s="94"/>
      <c r="I273" s="94"/>
      <c r="J273" s="94"/>
      <c r="K273" s="94"/>
      <c r="L273" s="94"/>
      <c r="M273" s="96" t="s">
        <v>10</v>
      </c>
      <c r="N273" s="96"/>
      <c r="O273" s="96"/>
      <c r="P273" s="96"/>
      <c r="Q273" s="97" t="s">
        <v>11</v>
      </c>
      <c r="R273" s="97"/>
      <c r="S273" s="97"/>
      <c r="T273" s="97"/>
    </row>
    <row r="274" spans="1:20" s="1" customFormat="1" ht="16.95" customHeight="1" x14ac:dyDescent="0.25">
      <c r="A274" s="94"/>
      <c r="B274" s="94"/>
      <c r="C274" s="94"/>
      <c r="D274" s="94"/>
      <c r="E274" s="94"/>
      <c r="F274" s="94"/>
      <c r="G274" s="94"/>
      <c r="H274" s="94"/>
      <c r="I274" s="94"/>
      <c r="J274" s="94"/>
      <c r="K274" s="94"/>
      <c r="L274" s="94"/>
      <c r="M274" s="98" t="s">
        <v>12</v>
      </c>
      <c r="N274" s="98"/>
      <c r="O274" s="98" t="s">
        <v>13</v>
      </c>
      <c r="P274" s="98"/>
      <c r="Q274" s="13" t="s">
        <v>14</v>
      </c>
      <c r="R274" s="99" t="s">
        <v>15</v>
      </c>
      <c r="S274" s="99"/>
      <c r="T274" s="99"/>
    </row>
    <row r="275" spans="1:20" s="1" customFormat="1" ht="13.35" customHeight="1" x14ac:dyDescent="0.25">
      <c r="A275" s="88" t="s">
        <v>65</v>
      </c>
      <c r="B275" s="88"/>
      <c r="C275" s="88"/>
      <c r="D275" s="88"/>
      <c r="E275" s="88"/>
      <c r="F275" s="88"/>
      <c r="G275" s="88"/>
      <c r="H275" s="88"/>
      <c r="I275" s="88"/>
      <c r="J275" s="88"/>
      <c r="K275" s="88"/>
      <c r="L275" s="88"/>
      <c r="M275" s="88" t="s">
        <v>85</v>
      </c>
      <c r="N275" s="88"/>
      <c r="O275" s="88" t="s">
        <v>85</v>
      </c>
      <c r="P275" s="88"/>
      <c r="Q275" s="6" t="s">
        <v>77</v>
      </c>
      <c r="R275" s="88" t="s">
        <v>77</v>
      </c>
      <c r="S275" s="88"/>
      <c r="T275" s="88"/>
    </row>
    <row r="276" spans="1:20" s="1" customFormat="1" ht="14.1" customHeight="1" x14ac:dyDescent="0.25">
      <c r="A276" s="90" t="s">
        <v>383</v>
      </c>
      <c r="B276" s="90"/>
      <c r="C276" s="90"/>
      <c r="D276" s="90"/>
      <c r="E276" s="90"/>
      <c r="F276" s="90"/>
      <c r="G276" s="90"/>
      <c r="H276" s="90"/>
      <c r="I276" s="90"/>
      <c r="J276" s="90"/>
      <c r="K276" s="90"/>
      <c r="L276" s="90"/>
      <c r="M276" s="90"/>
      <c r="N276" s="90"/>
      <c r="O276" s="90"/>
      <c r="P276" s="90"/>
      <c r="Q276" s="90"/>
      <c r="R276" s="90"/>
      <c r="S276" s="90"/>
      <c r="T276" s="90"/>
    </row>
    <row r="277" spans="1:20" s="1" customFormat="1" ht="21.3" customHeight="1" x14ac:dyDescent="0.25"/>
    <row r="278" spans="1:20" s="1" customFormat="1" ht="14.1" customHeight="1" x14ac:dyDescent="0.25">
      <c r="A278" s="91" t="s">
        <v>33</v>
      </c>
      <c r="B278" s="91"/>
      <c r="C278" s="91"/>
      <c r="D278" s="91"/>
      <c r="E278" s="91"/>
      <c r="F278" s="91"/>
      <c r="G278" s="91"/>
      <c r="H278" s="91"/>
      <c r="I278" s="91"/>
      <c r="J278" s="91"/>
      <c r="K278" s="91"/>
      <c r="L278" s="91"/>
      <c r="M278" s="91"/>
      <c r="N278" s="91"/>
    </row>
    <row r="279" spans="1:20" s="1" customFormat="1" ht="13.35" customHeight="1" x14ac:dyDescent="0.25">
      <c r="A279" s="88" t="s">
        <v>34</v>
      </c>
      <c r="B279" s="88"/>
      <c r="C279" s="88"/>
      <c r="D279" s="88"/>
      <c r="E279" s="89">
        <v>1.53</v>
      </c>
      <c r="F279" s="89"/>
      <c r="G279" s="17"/>
      <c r="H279" s="6" t="s">
        <v>35</v>
      </c>
      <c r="I279" s="89">
        <v>0.03</v>
      </c>
      <c r="J279" s="89"/>
      <c r="K279" s="17"/>
      <c r="L279" s="88" t="s">
        <v>36</v>
      </c>
      <c r="M279" s="88"/>
      <c r="N279" s="89">
        <v>4.5999999999999996</v>
      </c>
      <c r="O279" s="89"/>
    </row>
    <row r="280" spans="1:20" s="1" customFormat="1" ht="13.35" customHeight="1" x14ac:dyDescent="0.25">
      <c r="A280" s="88" t="s">
        <v>37</v>
      </c>
      <c r="B280" s="88"/>
      <c r="C280" s="88"/>
      <c r="D280" s="88"/>
      <c r="E280" s="89">
        <v>0.12</v>
      </c>
      <c r="F280" s="89"/>
      <c r="G280" s="17"/>
      <c r="H280" s="6" t="s">
        <v>38</v>
      </c>
      <c r="I280" s="89">
        <v>0</v>
      </c>
      <c r="J280" s="89"/>
      <c r="K280" s="17"/>
      <c r="L280" s="88" t="s">
        <v>39</v>
      </c>
      <c r="M280" s="88"/>
      <c r="N280" s="89">
        <v>6.6</v>
      </c>
      <c r="O280" s="89"/>
    </row>
    <row r="281" spans="1:20" s="1" customFormat="1" ht="13.35" customHeight="1" x14ac:dyDescent="0.25">
      <c r="A281" s="88" t="s">
        <v>40</v>
      </c>
      <c r="B281" s="88"/>
      <c r="C281" s="88"/>
      <c r="D281" s="88"/>
      <c r="E281" s="89">
        <v>10.039999999999999</v>
      </c>
      <c r="F281" s="89"/>
      <c r="G281" s="17"/>
      <c r="H281" s="6" t="s">
        <v>41</v>
      </c>
      <c r="I281" s="89">
        <v>0</v>
      </c>
      <c r="J281" s="89"/>
      <c r="K281" s="17"/>
      <c r="L281" s="88" t="s">
        <v>42</v>
      </c>
      <c r="M281" s="88"/>
      <c r="N281" s="89">
        <v>16.8</v>
      </c>
      <c r="O281" s="89"/>
    </row>
    <row r="282" spans="1:20" s="1" customFormat="1" ht="13.35" customHeight="1" x14ac:dyDescent="0.25">
      <c r="A282" s="88" t="s">
        <v>43</v>
      </c>
      <c r="B282" s="88"/>
      <c r="C282" s="88"/>
      <c r="D282" s="88"/>
      <c r="E282" s="89">
        <v>47.36</v>
      </c>
      <c r="F282" s="89"/>
      <c r="G282" s="17"/>
      <c r="H282" s="6" t="s">
        <v>44</v>
      </c>
      <c r="I282" s="89">
        <v>0.39</v>
      </c>
      <c r="J282" s="89"/>
      <c r="K282" s="17"/>
      <c r="L282" s="88" t="s">
        <v>45</v>
      </c>
      <c r="M282" s="88"/>
      <c r="N282" s="89">
        <v>0.4</v>
      </c>
      <c r="O282" s="89"/>
    </row>
    <row r="283" spans="1:20" s="1" customFormat="1" ht="13.35" customHeight="1" x14ac:dyDescent="0.25">
      <c r="A283" s="87"/>
      <c r="B283" s="87"/>
      <c r="C283" s="87"/>
      <c r="D283" s="87"/>
      <c r="E283" s="87"/>
      <c r="F283" s="87"/>
      <c r="G283" s="17"/>
      <c r="H283" s="6" t="s">
        <v>46</v>
      </c>
      <c r="I283" s="89">
        <v>0</v>
      </c>
      <c r="J283" s="89"/>
      <c r="K283" s="17"/>
      <c r="L283" s="88" t="s">
        <v>47</v>
      </c>
      <c r="M283" s="88"/>
      <c r="N283" s="89">
        <v>25.8</v>
      </c>
      <c r="O283" s="89"/>
    </row>
    <row r="284" spans="1:20" s="1" customFormat="1" ht="13.35" customHeight="1" x14ac:dyDescent="0.25">
      <c r="A284" s="87"/>
      <c r="B284" s="87"/>
      <c r="C284" s="87"/>
      <c r="D284" s="87"/>
      <c r="E284" s="87"/>
      <c r="F284" s="87"/>
      <c r="G284" s="17"/>
      <c r="H284" s="6" t="s">
        <v>48</v>
      </c>
      <c r="I284" s="89">
        <v>0.01</v>
      </c>
      <c r="J284" s="89"/>
      <c r="K284" s="17"/>
      <c r="L284" s="88" t="s">
        <v>49</v>
      </c>
      <c r="M284" s="88"/>
      <c r="N284" s="89">
        <v>0</v>
      </c>
      <c r="O284" s="89"/>
    </row>
    <row r="285" spans="1:20" s="1" customFormat="1" ht="13.35" customHeight="1" x14ac:dyDescent="0.25">
      <c r="A285" s="87"/>
      <c r="B285" s="87"/>
      <c r="C285" s="87"/>
      <c r="D285" s="87"/>
      <c r="E285" s="87"/>
      <c r="F285" s="87"/>
      <c r="G285" s="17"/>
      <c r="H285" s="17"/>
      <c r="I285" s="87"/>
      <c r="J285" s="87"/>
      <c r="K285" s="17"/>
      <c r="L285" s="88" t="s">
        <v>50</v>
      </c>
      <c r="M285" s="88"/>
      <c r="N285" s="89">
        <v>0</v>
      </c>
      <c r="O285" s="89"/>
    </row>
    <row r="286" spans="1:20" s="1" customFormat="1" ht="13.35" customHeight="1" x14ac:dyDescent="0.25">
      <c r="A286" s="87"/>
      <c r="B286" s="87"/>
      <c r="C286" s="87"/>
      <c r="D286" s="87"/>
      <c r="E286" s="87"/>
      <c r="F286" s="87"/>
      <c r="G286" s="17"/>
      <c r="H286" s="17"/>
      <c r="I286" s="87"/>
      <c r="J286" s="87"/>
      <c r="K286" s="17"/>
      <c r="L286" s="88" t="s">
        <v>51</v>
      </c>
      <c r="M286" s="88"/>
      <c r="N286" s="89">
        <v>0</v>
      </c>
      <c r="O286" s="89"/>
    </row>
    <row r="287" spans="1:20" s="1" customFormat="1" ht="72.45" customHeight="1" x14ac:dyDescent="0.25">
      <c r="J287" s="100" t="s">
        <v>0</v>
      </c>
      <c r="K287" s="100"/>
      <c r="L287" s="100"/>
      <c r="M287" s="100"/>
      <c r="N287" s="100"/>
      <c r="O287" s="100"/>
      <c r="P287" s="100"/>
      <c r="Q287" s="100"/>
      <c r="R287" s="100"/>
      <c r="S287" s="100"/>
      <c r="T287" s="100"/>
    </row>
    <row r="288" spans="1:20" s="1" customFormat="1" ht="7.05" customHeight="1" x14ac:dyDescent="0.25"/>
    <row r="289" spans="1:20" s="1" customFormat="1" ht="14.1" customHeight="1" x14ac:dyDescent="0.25">
      <c r="B289" s="101" t="s">
        <v>380</v>
      </c>
      <c r="C289" s="101"/>
      <c r="D289" s="101"/>
      <c r="E289" s="101"/>
      <c r="F289" s="101"/>
      <c r="G289" s="101"/>
      <c r="H289" s="101"/>
      <c r="I289" s="101"/>
      <c r="J289" s="101"/>
      <c r="K289" s="101"/>
      <c r="L289" s="101"/>
      <c r="M289" s="101"/>
      <c r="N289" s="101"/>
      <c r="O289" s="101"/>
      <c r="P289" s="101"/>
      <c r="Q289" s="101"/>
      <c r="R289" s="101"/>
    </row>
    <row r="290" spans="1:20" s="1" customFormat="1" ht="14.1" customHeight="1" x14ac:dyDescent="0.25"/>
    <row r="291" spans="1:20" s="1" customFormat="1" ht="14.1" customHeight="1" x14ac:dyDescent="0.25">
      <c r="A291" s="102" t="s">
        <v>2</v>
      </c>
      <c r="B291" s="102"/>
      <c r="C291" s="102"/>
      <c r="D291" s="103" t="s">
        <v>623</v>
      </c>
      <c r="E291" s="103"/>
      <c r="F291" s="103"/>
      <c r="G291" s="103"/>
      <c r="H291" s="103"/>
      <c r="I291" s="103"/>
      <c r="J291" s="103"/>
      <c r="K291" s="103"/>
      <c r="L291" s="103"/>
      <c r="M291" s="103"/>
      <c r="N291" s="103"/>
      <c r="O291" s="103"/>
      <c r="P291" s="103"/>
      <c r="Q291" s="103"/>
      <c r="R291" s="103"/>
      <c r="S291" s="103"/>
      <c r="T291" s="103"/>
    </row>
    <row r="292" spans="1:20" s="1" customFormat="1" ht="14.1" customHeight="1" x14ac:dyDescent="0.25">
      <c r="A292" s="102" t="s">
        <v>4</v>
      </c>
      <c r="B292" s="102"/>
      <c r="C292" s="103"/>
      <c r="D292" s="103"/>
      <c r="E292" s="103"/>
      <c r="F292" s="103"/>
      <c r="G292" s="103"/>
      <c r="H292" s="103"/>
      <c r="I292" s="103"/>
      <c r="J292" s="103"/>
      <c r="K292" s="103"/>
      <c r="L292" s="103"/>
      <c r="M292" s="103"/>
      <c r="N292" s="103"/>
      <c r="O292" s="103"/>
      <c r="P292" s="103"/>
      <c r="Q292" s="103"/>
      <c r="R292" s="103"/>
      <c r="S292" s="103"/>
      <c r="T292" s="103"/>
    </row>
    <row r="293" spans="1:20" s="1" customFormat="1" ht="14.1" customHeight="1" x14ac:dyDescent="0.25">
      <c r="A293" s="102" t="s">
        <v>6</v>
      </c>
      <c r="B293" s="102"/>
      <c r="C293" s="102"/>
      <c r="D293" s="102"/>
      <c r="E293" s="102"/>
      <c r="F293" s="103" t="s">
        <v>624</v>
      </c>
      <c r="G293" s="103"/>
      <c r="H293" s="103"/>
      <c r="I293" s="103"/>
      <c r="J293" s="103"/>
      <c r="K293" s="103"/>
      <c r="L293" s="103"/>
      <c r="M293" s="103"/>
      <c r="N293" s="103"/>
      <c r="O293" s="103"/>
      <c r="P293" s="103"/>
      <c r="Q293" s="103"/>
      <c r="R293" s="103"/>
      <c r="S293" s="103"/>
      <c r="T293" s="103"/>
    </row>
    <row r="294" spans="1:20" s="1" customFormat="1" ht="33.75" customHeight="1" x14ac:dyDescent="0.25">
      <c r="F294" s="103"/>
      <c r="G294" s="103"/>
      <c r="H294" s="103"/>
      <c r="I294" s="103"/>
      <c r="J294" s="103"/>
      <c r="K294" s="103"/>
      <c r="L294" s="103"/>
      <c r="M294" s="103"/>
      <c r="N294" s="103"/>
      <c r="O294" s="103"/>
      <c r="P294" s="103"/>
      <c r="Q294" s="103"/>
      <c r="R294" s="103"/>
      <c r="S294" s="103"/>
      <c r="T294" s="103"/>
    </row>
    <row r="295" spans="1:20" s="1" customFormat="1" ht="7.05" customHeight="1" x14ac:dyDescent="0.25">
      <c r="A295" s="86"/>
      <c r="B295" s="86"/>
      <c r="C295" s="86"/>
      <c r="D295" s="86"/>
      <c r="E295" s="86"/>
      <c r="F295" s="86"/>
      <c r="G295" s="86"/>
      <c r="H295" s="86"/>
      <c r="I295" s="86"/>
      <c r="J295" s="86"/>
      <c r="K295" s="86"/>
      <c r="L295" s="86"/>
      <c r="M295" s="86"/>
      <c r="N295" s="86"/>
      <c r="O295" s="86"/>
      <c r="P295" s="86"/>
      <c r="Q295" s="16"/>
      <c r="R295" s="86"/>
      <c r="S295" s="86"/>
      <c r="T295" s="86"/>
    </row>
    <row r="296" spans="1:20" s="1" customFormat="1" ht="16.95" customHeight="1" x14ac:dyDescent="0.25">
      <c r="A296" s="94" t="s">
        <v>8</v>
      </c>
      <c r="B296" s="94"/>
      <c r="C296" s="94"/>
      <c r="D296" s="94"/>
      <c r="E296" s="94"/>
      <c r="F296" s="94"/>
      <c r="G296" s="94"/>
      <c r="H296" s="94"/>
      <c r="I296" s="94"/>
      <c r="J296" s="94"/>
      <c r="K296" s="94"/>
      <c r="L296" s="94"/>
      <c r="M296" s="95" t="s">
        <v>9</v>
      </c>
      <c r="N296" s="95"/>
      <c r="O296" s="95"/>
      <c r="P296" s="95"/>
      <c r="Q296" s="95"/>
      <c r="R296" s="95"/>
      <c r="S296" s="95"/>
      <c r="T296" s="95"/>
    </row>
    <row r="297" spans="1:20" s="1" customFormat="1" ht="16.95" customHeight="1" x14ac:dyDescent="0.25">
      <c r="A297" s="94"/>
      <c r="B297" s="94"/>
      <c r="C297" s="94"/>
      <c r="D297" s="94"/>
      <c r="E297" s="94"/>
      <c r="F297" s="94"/>
      <c r="G297" s="94"/>
      <c r="H297" s="94"/>
      <c r="I297" s="94"/>
      <c r="J297" s="94"/>
      <c r="K297" s="94"/>
      <c r="L297" s="94"/>
      <c r="M297" s="96" t="s">
        <v>10</v>
      </c>
      <c r="N297" s="96"/>
      <c r="O297" s="96"/>
      <c r="P297" s="96"/>
      <c r="Q297" s="97" t="s">
        <v>11</v>
      </c>
      <c r="R297" s="97"/>
      <c r="S297" s="97"/>
      <c r="T297" s="97"/>
    </row>
    <row r="298" spans="1:20" s="1" customFormat="1" ht="16.95" customHeight="1" x14ac:dyDescent="0.25">
      <c r="A298" s="94"/>
      <c r="B298" s="94"/>
      <c r="C298" s="94"/>
      <c r="D298" s="94"/>
      <c r="E298" s="94"/>
      <c r="F298" s="94"/>
      <c r="G298" s="94"/>
      <c r="H298" s="94"/>
      <c r="I298" s="94"/>
      <c r="J298" s="94"/>
      <c r="K298" s="94"/>
      <c r="L298" s="94"/>
      <c r="M298" s="98" t="s">
        <v>12</v>
      </c>
      <c r="N298" s="98"/>
      <c r="O298" s="98" t="s">
        <v>13</v>
      </c>
      <c r="P298" s="98"/>
      <c r="Q298" s="13" t="s">
        <v>14</v>
      </c>
      <c r="R298" s="99" t="s">
        <v>15</v>
      </c>
      <c r="S298" s="99"/>
      <c r="T298" s="99"/>
    </row>
    <row r="299" spans="1:20" s="1" customFormat="1" ht="13.35" customHeight="1" x14ac:dyDescent="0.25">
      <c r="A299" s="88" t="s">
        <v>65</v>
      </c>
      <c r="B299" s="88"/>
      <c r="C299" s="88"/>
      <c r="D299" s="88"/>
      <c r="E299" s="88"/>
      <c r="F299" s="88"/>
      <c r="G299" s="88"/>
      <c r="H299" s="88"/>
      <c r="I299" s="88"/>
      <c r="J299" s="88"/>
      <c r="K299" s="88"/>
      <c r="L299" s="88"/>
      <c r="M299" s="88" t="s">
        <v>95</v>
      </c>
      <c r="N299" s="88"/>
      <c r="O299" s="88" t="s">
        <v>95</v>
      </c>
      <c r="P299" s="88"/>
      <c r="Q299" s="6" t="s">
        <v>97</v>
      </c>
      <c r="R299" s="88" t="s">
        <v>97</v>
      </c>
      <c r="S299" s="88"/>
      <c r="T299" s="88"/>
    </row>
    <row r="300" spans="1:20" s="1" customFormat="1" ht="14.1" customHeight="1" x14ac:dyDescent="0.25">
      <c r="A300" s="90" t="s">
        <v>385</v>
      </c>
      <c r="B300" s="90"/>
      <c r="C300" s="90"/>
      <c r="D300" s="90"/>
      <c r="E300" s="90"/>
      <c r="F300" s="90"/>
      <c r="G300" s="90"/>
      <c r="H300" s="90"/>
      <c r="I300" s="90"/>
      <c r="J300" s="90"/>
      <c r="K300" s="90"/>
      <c r="L300" s="90"/>
      <c r="M300" s="90"/>
      <c r="N300" s="90"/>
      <c r="O300" s="90"/>
      <c r="P300" s="90"/>
      <c r="Q300" s="90"/>
      <c r="R300" s="90"/>
      <c r="S300" s="90"/>
      <c r="T300" s="90"/>
    </row>
    <row r="301" spans="1:20" s="1" customFormat="1" ht="21.3" customHeight="1" x14ac:dyDescent="0.25"/>
    <row r="302" spans="1:20" s="1" customFormat="1" ht="14.1" customHeight="1" x14ac:dyDescent="0.25">
      <c r="A302" s="91" t="s">
        <v>33</v>
      </c>
      <c r="B302" s="91"/>
      <c r="C302" s="91"/>
      <c r="D302" s="91"/>
      <c r="E302" s="91"/>
      <c r="F302" s="91"/>
      <c r="G302" s="91"/>
      <c r="H302" s="91"/>
      <c r="I302" s="91"/>
      <c r="J302" s="91"/>
      <c r="K302" s="91"/>
      <c r="L302" s="91"/>
      <c r="M302" s="91"/>
      <c r="N302" s="91"/>
    </row>
    <row r="303" spans="1:20" s="1" customFormat="1" ht="13.35" customHeight="1" x14ac:dyDescent="0.25">
      <c r="A303" s="88" t="s">
        <v>34</v>
      </c>
      <c r="B303" s="88"/>
      <c r="C303" s="88"/>
      <c r="D303" s="88"/>
      <c r="E303" s="89">
        <v>2.29</v>
      </c>
      <c r="F303" s="89"/>
      <c r="G303" s="17"/>
      <c r="H303" s="6" t="s">
        <v>35</v>
      </c>
      <c r="I303" s="89">
        <v>0.05</v>
      </c>
      <c r="J303" s="89"/>
      <c r="K303" s="17"/>
      <c r="L303" s="88" t="s">
        <v>36</v>
      </c>
      <c r="M303" s="88"/>
      <c r="N303" s="89">
        <v>6.9</v>
      </c>
      <c r="O303" s="89"/>
    </row>
    <row r="304" spans="1:20" s="1" customFormat="1" ht="13.35" customHeight="1" x14ac:dyDescent="0.25">
      <c r="A304" s="88" t="s">
        <v>37</v>
      </c>
      <c r="B304" s="88"/>
      <c r="C304" s="88"/>
      <c r="D304" s="88"/>
      <c r="E304" s="89">
        <v>0.19</v>
      </c>
      <c r="F304" s="89"/>
      <c r="G304" s="17"/>
      <c r="H304" s="6" t="s">
        <v>38</v>
      </c>
      <c r="I304" s="89">
        <v>0</v>
      </c>
      <c r="J304" s="89"/>
      <c r="K304" s="17"/>
      <c r="L304" s="88" t="s">
        <v>39</v>
      </c>
      <c r="M304" s="88"/>
      <c r="N304" s="89">
        <v>9.9</v>
      </c>
      <c r="O304" s="89"/>
    </row>
    <row r="305" spans="1:20" s="1" customFormat="1" ht="13.35" customHeight="1" x14ac:dyDescent="0.25">
      <c r="A305" s="88" t="s">
        <v>40</v>
      </c>
      <c r="B305" s="88"/>
      <c r="C305" s="88"/>
      <c r="D305" s="88"/>
      <c r="E305" s="89">
        <v>15.05</v>
      </c>
      <c r="F305" s="89"/>
      <c r="G305" s="17"/>
      <c r="H305" s="6" t="s">
        <v>41</v>
      </c>
      <c r="I305" s="89">
        <v>0</v>
      </c>
      <c r="J305" s="89"/>
      <c r="K305" s="17"/>
      <c r="L305" s="88" t="s">
        <v>42</v>
      </c>
      <c r="M305" s="88"/>
      <c r="N305" s="89">
        <v>25.2</v>
      </c>
      <c r="O305" s="89"/>
    </row>
    <row r="306" spans="1:20" s="1" customFormat="1" ht="13.35" customHeight="1" x14ac:dyDescent="0.25">
      <c r="A306" s="88" t="s">
        <v>43</v>
      </c>
      <c r="B306" s="88"/>
      <c r="C306" s="88"/>
      <c r="D306" s="88"/>
      <c r="E306" s="89">
        <v>71.05</v>
      </c>
      <c r="F306" s="89"/>
      <c r="G306" s="17"/>
      <c r="H306" s="6" t="s">
        <v>44</v>
      </c>
      <c r="I306" s="89">
        <v>0.59</v>
      </c>
      <c r="J306" s="89"/>
      <c r="K306" s="17"/>
      <c r="L306" s="88" t="s">
        <v>45</v>
      </c>
      <c r="M306" s="88"/>
      <c r="N306" s="89">
        <v>0.6</v>
      </c>
      <c r="O306" s="89"/>
    </row>
    <row r="307" spans="1:20" s="1" customFormat="1" ht="13.35" customHeight="1" x14ac:dyDescent="0.25">
      <c r="A307" s="87"/>
      <c r="B307" s="87"/>
      <c r="C307" s="87"/>
      <c r="D307" s="87"/>
      <c r="E307" s="87"/>
      <c r="F307" s="87"/>
      <c r="G307" s="17"/>
      <c r="H307" s="6" t="s">
        <v>46</v>
      </c>
      <c r="I307" s="89">
        <v>0</v>
      </c>
      <c r="J307" s="89"/>
      <c r="K307" s="17"/>
      <c r="L307" s="88" t="s">
        <v>47</v>
      </c>
      <c r="M307" s="88"/>
      <c r="N307" s="89">
        <v>38.700000000000003</v>
      </c>
      <c r="O307" s="89"/>
    </row>
    <row r="308" spans="1:20" s="1" customFormat="1" ht="13.35" customHeight="1" x14ac:dyDescent="0.25">
      <c r="A308" s="87"/>
      <c r="B308" s="87"/>
      <c r="C308" s="87"/>
      <c r="D308" s="87"/>
      <c r="E308" s="87"/>
      <c r="F308" s="87"/>
      <c r="G308" s="17"/>
      <c r="H308" s="6" t="s">
        <v>48</v>
      </c>
      <c r="I308" s="89">
        <v>0.02</v>
      </c>
      <c r="J308" s="89"/>
      <c r="K308" s="17"/>
      <c r="L308" s="88" t="s">
        <v>49</v>
      </c>
      <c r="M308" s="88"/>
      <c r="N308" s="89">
        <v>0</v>
      </c>
      <c r="O308" s="89"/>
    </row>
    <row r="309" spans="1:20" s="1" customFormat="1" ht="13.35" customHeight="1" x14ac:dyDescent="0.25">
      <c r="A309" s="87"/>
      <c r="B309" s="87"/>
      <c r="C309" s="87"/>
      <c r="D309" s="87"/>
      <c r="E309" s="87"/>
      <c r="F309" s="87"/>
      <c r="G309" s="17"/>
      <c r="H309" s="17"/>
      <c r="I309" s="87"/>
      <c r="J309" s="87"/>
      <c r="K309" s="17"/>
      <c r="L309" s="88" t="s">
        <v>50</v>
      </c>
      <c r="M309" s="88"/>
      <c r="N309" s="89">
        <v>0</v>
      </c>
      <c r="O309" s="89"/>
    </row>
    <row r="310" spans="1:20" s="1" customFormat="1" ht="13.35" customHeight="1" x14ac:dyDescent="0.25">
      <c r="A310" s="87"/>
      <c r="B310" s="87"/>
      <c r="C310" s="87"/>
      <c r="D310" s="87"/>
      <c r="E310" s="87"/>
      <c r="F310" s="87"/>
      <c r="G310" s="17"/>
      <c r="H310" s="17"/>
      <c r="I310" s="87"/>
      <c r="J310" s="87"/>
      <c r="K310" s="17"/>
      <c r="L310" s="88" t="s">
        <v>51</v>
      </c>
      <c r="M310" s="88"/>
      <c r="N310" s="89">
        <v>0</v>
      </c>
      <c r="O310" s="89"/>
    </row>
    <row r="311" spans="1:20" s="1" customFormat="1" ht="14.1" customHeight="1" x14ac:dyDescent="0.25">
      <c r="A311" s="86"/>
      <c r="B311" s="86"/>
      <c r="C311" s="86"/>
      <c r="D311" s="86"/>
      <c r="E311" s="86"/>
      <c r="F311" s="86"/>
      <c r="G311" s="86"/>
      <c r="H311" s="86"/>
      <c r="I311" s="86"/>
      <c r="J311" s="86"/>
      <c r="K311" s="86"/>
      <c r="L311" s="86"/>
      <c r="M311" s="86"/>
      <c r="N311" s="86"/>
      <c r="O311" s="86"/>
      <c r="P311" s="86"/>
      <c r="Q311" s="86"/>
      <c r="R311" s="86"/>
      <c r="S311" s="86"/>
    </row>
    <row r="312" spans="1:20" s="1" customFormat="1" ht="14.1" customHeight="1" x14ac:dyDescent="0.25">
      <c r="A312" s="84" t="s">
        <v>52</v>
      </c>
      <c r="B312" s="84"/>
      <c r="C312" s="84"/>
      <c r="D312" s="84"/>
      <c r="E312" s="84"/>
      <c r="F312" s="84"/>
      <c r="G312" s="84"/>
      <c r="H312" s="84"/>
      <c r="I312" s="84"/>
      <c r="J312" s="84"/>
      <c r="K312" s="84"/>
      <c r="L312" s="84"/>
      <c r="M312" s="84"/>
      <c r="N312" s="84"/>
      <c r="O312" s="84"/>
      <c r="P312" s="84"/>
      <c r="Q312" s="84"/>
      <c r="R312" s="84"/>
      <c r="S312" s="84"/>
    </row>
    <row r="313" spans="1:20" s="1" customFormat="1" ht="12.15" customHeight="1" x14ac:dyDescent="0.25">
      <c r="A313" s="85" t="s">
        <v>625</v>
      </c>
      <c r="B313" s="85"/>
      <c r="C313" s="85"/>
      <c r="D313" s="85"/>
      <c r="E313" s="85"/>
      <c r="F313" s="85"/>
      <c r="G313" s="85"/>
      <c r="H313" s="85"/>
      <c r="I313" s="85"/>
      <c r="J313" s="85"/>
      <c r="K313" s="85"/>
      <c r="L313" s="85"/>
      <c r="M313" s="85"/>
      <c r="N313" s="85"/>
      <c r="O313" s="85"/>
      <c r="P313" s="85"/>
      <c r="Q313" s="85"/>
      <c r="R313" s="85"/>
      <c r="S313" s="85"/>
    </row>
    <row r="314" spans="1:20" s="1" customFormat="1" ht="72.45" customHeight="1" x14ac:dyDescent="0.25">
      <c r="J314" s="100" t="s">
        <v>0</v>
      </c>
      <c r="K314" s="100"/>
      <c r="L314" s="100"/>
      <c r="M314" s="100"/>
      <c r="N314" s="100"/>
      <c r="O314" s="100"/>
      <c r="P314" s="100"/>
      <c r="Q314" s="100"/>
      <c r="R314" s="100"/>
      <c r="S314" s="100"/>
      <c r="T314" s="100"/>
    </row>
    <row r="315" spans="1:20" s="1" customFormat="1" ht="7.05" customHeight="1" x14ac:dyDescent="0.25"/>
    <row r="316" spans="1:20" s="1" customFormat="1" ht="14.1" customHeight="1" x14ac:dyDescent="0.25">
      <c r="B316" s="101" t="s">
        <v>380</v>
      </c>
      <c r="C316" s="101"/>
      <c r="D316" s="101"/>
      <c r="E316" s="101"/>
      <c r="F316" s="101"/>
      <c r="G316" s="101"/>
      <c r="H316" s="101"/>
      <c r="I316" s="101"/>
      <c r="J316" s="101"/>
      <c r="K316" s="101"/>
      <c r="L316" s="101"/>
      <c r="M316" s="101"/>
      <c r="N316" s="101"/>
      <c r="O316" s="101"/>
      <c r="P316" s="101"/>
      <c r="Q316" s="101"/>
      <c r="R316" s="101"/>
    </row>
    <row r="317" spans="1:20" s="1" customFormat="1" ht="14.1" customHeight="1" x14ac:dyDescent="0.25"/>
    <row r="318" spans="1:20" s="1" customFormat="1" ht="14.1" customHeight="1" x14ac:dyDescent="0.25">
      <c r="A318" s="102" t="s">
        <v>2</v>
      </c>
      <c r="B318" s="102"/>
      <c r="C318" s="102"/>
      <c r="D318" s="103" t="s">
        <v>623</v>
      </c>
      <c r="E318" s="103"/>
      <c r="F318" s="103"/>
      <c r="G318" s="103"/>
      <c r="H318" s="103"/>
      <c r="I318" s="103"/>
      <c r="J318" s="103"/>
      <c r="K318" s="103"/>
      <c r="L318" s="103"/>
      <c r="M318" s="103"/>
      <c r="N318" s="103"/>
      <c r="O318" s="103"/>
      <c r="P318" s="103"/>
      <c r="Q318" s="103"/>
      <c r="R318" s="103"/>
      <c r="S318" s="103"/>
      <c r="T318" s="103"/>
    </row>
    <row r="319" spans="1:20" s="1" customFormat="1" ht="14.1" customHeight="1" x14ac:dyDescent="0.25">
      <c r="A319" s="102" t="s">
        <v>4</v>
      </c>
      <c r="B319" s="102"/>
      <c r="C319" s="103"/>
      <c r="D319" s="103"/>
      <c r="E319" s="103"/>
      <c r="F319" s="103"/>
      <c r="G319" s="103"/>
      <c r="H319" s="103"/>
      <c r="I319" s="103"/>
      <c r="J319" s="103"/>
      <c r="K319" s="103"/>
      <c r="L319" s="103"/>
      <c r="M319" s="103"/>
      <c r="N319" s="103"/>
      <c r="O319" s="103"/>
      <c r="P319" s="103"/>
      <c r="Q319" s="103"/>
      <c r="R319" s="103"/>
      <c r="S319" s="103"/>
      <c r="T319" s="103"/>
    </row>
    <row r="320" spans="1:20" s="1" customFormat="1" ht="14.1" customHeight="1" x14ac:dyDescent="0.25">
      <c r="A320" s="102" t="s">
        <v>6</v>
      </c>
      <c r="B320" s="102"/>
      <c r="C320" s="102"/>
      <c r="D320" s="102"/>
      <c r="E320" s="102"/>
      <c r="F320" s="103" t="s">
        <v>624</v>
      </c>
      <c r="G320" s="103"/>
      <c r="H320" s="103"/>
      <c r="I320" s="103"/>
      <c r="J320" s="103"/>
      <c r="K320" s="103"/>
      <c r="L320" s="103"/>
      <c r="M320" s="103"/>
      <c r="N320" s="103"/>
      <c r="O320" s="103"/>
      <c r="P320" s="103"/>
      <c r="Q320" s="103"/>
      <c r="R320" s="103"/>
      <c r="S320" s="103"/>
      <c r="T320" s="103"/>
    </row>
    <row r="321" spans="1:20" s="1" customFormat="1" ht="33.75" customHeight="1" x14ac:dyDescent="0.25">
      <c r="F321" s="103"/>
      <c r="G321" s="103"/>
      <c r="H321" s="103"/>
      <c r="I321" s="103"/>
      <c r="J321" s="103"/>
      <c r="K321" s="103"/>
      <c r="L321" s="103"/>
      <c r="M321" s="103"/>
      <c r="N321" s="103"/>
      <c r="O321" s="103"/>
      <c r="P321" s="103"/>
      <c r="Q321" s="103"/>
      <c r="R321" s="103"/>
      <c r="S321" s="103"/>
      <c r="T321" s="103"/>
    </row>
    <row r="322" spans="1:20" s="1" customFormat="1" ht="7.05" customHeight="1" x14ac:dyDescent="0.25">
      <c r="A322" s="86"/>
      <c r="B322" s="86"/>
      <c r="C322" s="86"/>
      <c r="D322" s="86"/>
      <c r="E322" s="86"/>
      <c r="F322" s="86"/>
      <c r="G322" s="86"/>
      <c r="H322" s="86"/>
      <c r="I322" s="86"/>
      <c r="J322" s="86"/>
      <c r="K322" s="86"/>
      <c r="L322" s="86"/>
      <c r="M322" s="86"/>
      <c r="N322" s="86"/>
      <c r="O322" s="86"/>
      <c r="P322" s="86"/>
      <c r="Q322" s="16"/>
      <c r="R322" s="86"/>
      <c r="S322" s="86"/>
      <c r="T322" s="86"/>
    </row>
    <row r="323" spans="1:20" s="1" customFormat="1" ht="16.95" customHeight="1" x14ac:dyDescent="0.25">
      <c r="A323" s="94" t="s">
        <v>8</v>
      </c>
      <c r="B323" s="94"/>
      <c r="C323" s="94"/>
      <c r="D323" s="94"/>
      <c r="E323" s="94"/>
      <c r="F323" s="94"/>
      <c r="G323" s="94"/>
      <c r="H323" s="94"/>
      <c r="I323" s="94"/>
      <c r="J323" s="94"/>
      <c r="K323" s="94"/>
      <c r="L323" s="94"/>
      <c r="M323" s="95" t="s">
        <v>9</v>
      </c>
      <c r="N323" s="95"/>
      <c r="O323" s="95"/>
      <c r="P323" s="95"/>
      <c r="Q323" s="95"/>
      <c r="R323" s="95"/>
      <c r="S323" s="95"/>
      <c r="T323" s="95"/>
    </row>
    <row r="324" spans="1:20" s="1" customFormat="1" ht="16.95" customHeight="1" x14ac:dyDescent="0.25">
      <c r="A324" s="94"/>
      <c r="B324" s="94"/>
      <c r="C324" s="94"/>
      <c r="D324" s="94"/>
      <c r="E324" s="94"/>
      <c r="F324" s="94"/>
      <c r="G324" s="94"/>
      <c r="H324" s="94"/>
      <c r="I324" s="94"/>
      <c r="J324" s="94"/>
      <c r="K324" s="94"/>
      <c r="L324" s="94"/>
      <c r="M324" s="96" t="s">
        <v>10</v>
      </c>
      <c r="N324" s="96"/>
      <c r="O324" s="96"/>
      <c r="P324" s="96"/>
      <c r="Q324" s="97" t="s">
        <v>11</v>
      </c>
      <c r="R324" s="97"/>
      <c r="S324" s="97"/>
      <c r="T324" s="97"/>
    </row>
    <row r="325" spans="1:20" s="1" customFormat="1" ht="16.95" customHeight="1" x14ac:dyDescent="0.25">
      <c r="A325" s="94"/>
      <c r="B325" s="94"/>
      <c r="C325" s="94"/>
      <c r="D325" s="94"/>
      <c r="E325" s="94"/>
      <c r="F325" s="94"/>
      <c r="G325" s="94"/>
      <c r="H325" s="94"/>
      <c r="I325" s="94"/>
      <c r="J325" s="94"/>
      <c r="K325" s="94"/>
      <c r="L325" s="94"/>
      <c r="M325" s="98" t="s">
        <v>12</v>
      </c>
      <c r="N325" s="98"/>
      <c r="O325" s="98" t="s">
        <v>13</v>
      </c>
      <c r="P325" s="98"/>
      <c r="Q325" s="13" t="s">
        <v>14</v>
      </c>
      <c r="R325" s="99" t="s">
        <v>15</v>
      </c>
      <c r="S325" s="99"/>
      <c r="T325" s="99"/>
    </row>
    <row r="326" spans="1:20" s="1" customFormat="1" ht="13.35" customHeight="1" x14ac:dyDescent="0.25">
      <c r="A326" s="88" t="s">
        <v>65</v>
      </c>
      <c r="B326" s="88"/>
      <c r="C326" s="88"/>
      <c r="D326" s="88"/>
      <c r="E326" s="88"/>
      <c r="F326" s="88"/>
      <c r="G326" s="88"/>
      <c r="H326" s="88"/>
      <c r="I326" s="88"/>
      <c r="J326" s="88"/>
      <c r="K326" s="88"/>
      <c r="L326" s="88"/>
      <c r="M326" s="88" t="s">
        <v>99</v>
      </c>
      <c r="N326" s="88"/>
      <c r="O326" s="88" t="s">
        <v>99</v>
      </c>
      <c r="P326" s="88"/>
      <c r="Q326" s="6" t="s">
        <v>68</v>
      </c>
      <c r="R326" s="88" t="s">
        <v>68</v>
      </c>
      <c r="S326" s="88"/>
      <c r="T326" s="88"/>
    </row>
    <row r="327" spans="1:20" s="1" customFormat="1" ht="14.1" customHeight="1" x14ac:dyDescent="0.25">
      <c r="A327" s="90" t="s">
        <v>626</v>
      </c>
      <c r="B327" s="90"/>
      <c r="C327" s="90"/>
      <c r="D327" s="90"/>
      <c r="E327" s="90"/>
      <c r="F327" s="90"/>
      <c r="G327" s="90"/>
      <c r="H327" s="90"/>
      <c r="I327" s="90"/>
      <c r="J327" s="90"/>
      <c r="K327" s="90"/>
      <c r="L327" s="90"/>
      <c r="M327" s="90"/>
      <c r="N327" s="90"/>
      <c r="O327" s="90"/>
      <c r="P327" s="90"/>
      <c r="Q327" s="90"/>
      <c r="R327" s="90"/>
      <c r="S327" s="90"/>
      <c r="T327" s="90"/>
    </row>
    <row r="328" spans="1:20" s="1" customFormat="1" ht="21.3" customHeight="1" x14ac:dyDescent="0.25"/>
    <row r="329" spans="1:20" s="1" customFormat="1" ht="14.1" customHeight="1" x14ac:dyDescent="0.25">
      <c r="A329" s="91" t="s">
        <v>33</v>
      </c>
      <c r="B329" s="91"/>
      <c r="C329" s="91"/>
      <c r="D329" s="91"/>
      <c r="E329" s="91"/>
      <c r="F329" s="91"/>
      <c r="G329" s="91"/>
      <c r="H329" s="91"/>
      <c r="I329" s="91"/>
      <c r="J329" s="91"/>
      <c r="K329" s="91"/>
      <c r="L329" s="91"/>
      <c r="M329" s="91"/>
      <c r="N329" s="91"/>
    </row>
    <row r="330" spans="1:20" s="1" customFormat="1" ht="13.35" customHeight="1" x14ac:dyDescent="0.25">
      <c r="A330" s="88" t="s">
        <v>34</v>
      </c>
      <c r="B330" s="88"/>
      <c r="C330" s="88"/>
      <c r="D330" s="88"/>
      <c r="E330" s="89">
        <v>3.05</v>
      </c>
      <c r="F330" s="89"/>
      <c r="G330" s="17"/>
      <c r="H330" s="6" t="s">
        <v>35</v>
      </c>
      <c r="I330" s="89">
        <v>0.06</v>
      </c>
      <c r="J330" s="89"/>
      <c r="K330" s="17"/>
      <c r="L330" s="88" t="s">
        <v>36</v>
      </c>
      <c r="M330" s="88"/>
      <c r="N330" s="89">
        <v>9.1999999999999993</v>
      </c>
      <c r="O330" s="89"/>
    </row>
    <row r="331" spans="1:20" s="1" customFormat="1" ht="13.35" customHeight="1" x14ac:dyDescent="0.25">
      <c r="A331" s="88" t="s">
        <v>37</v>
      </c>
      <c r="B331" s="88"/>
      <c r="C331" s="88"/>
      <c r="D331" s="88"/>
      <c r="E331" s="89">
        <v>0.25</v>
      </c>
      <c r="F331" s="89"/>
      <c r="G331" s="17"/>
      <c r="H331" s="6" t="s">
        <v>38</v>
      </c>
      <c r="I331" s="89">
        <v>0</v>
      </c>
      <c r="J331" s="89"/>
      <c r="K331" s="17"/>
      <c r="L331" s="88" t="s">
        <v>39</v>
      </c>
      <c r="M331" s="88"/>
      <c r="N331" s="89">
        <v>13.2</v>
      </c>
      <c r="O331" s="89"/>
    </row>
    <row r="332" spans="1:20" s="1" customFormat="1" ht="13.35" customHeight="1" x14ac:dyDescent="0.25">
      <c r="A332" s="88" t="s">
        <v>40</v>
      </c>
      <c r="B332" s="88"/>
      <c r="C332" s="88"/>
      <c r="D332" s="88"/>
      <c r="E332" s="89">
        <v>20.07</v>
      </c>
      <c r="F332" s="89"/>
      <c r="G332" s="17"/>
      <c r="H332" s="6" t="s">
        <v>41</v>
      </c>
      <c r="I332" s="89">
        <v>0</v>
      </c>
      <c r="J332" s="89"/>
      <c r="K332" s="17"/>
      <c r="L332" s="88" t="s">
        <v>42</v>
      </c>
      <c r="M332" s="88"/>
      <c r="N332" s="89">
        <v>33.6</v>
      </c>
      <c r="O332" s="89"/>
    </row>
    <row r="333" spans="1:20" s="1" customFormat="1" ht="13.35" customHeight="1" x14ac:dyDescent="0.25">
      <c r="A333" s="88" t="s">
        <v>43</v>
      </c>
      <c r="B333" s="88"/>
      <c r="C333" s="88"/>
      <c r="D333" s="88"/>
      <c r="E333" s="89">
        <v>94.73</v>
      </c>
      <c r="F333" s="89"/>
      <c r="G333" s="17"/>
      <c r="H333" s="6" t="s">
        <v>44</v>
      </c>
      <c r="I333" s="89">
        <v>0.78</v>
      </c>
      <c r="J333" s="89"/>
      <c r="K333" s="17"/>
      <c r="L333" s="88" t="s">
        <v>45</v>
      </c>
      <c r="M333" s="88"/>
      <c r="N333" s="89">
        <v>0.8</v>
      </c>
      <c r="O333" s="89"/>
    </row>
    <row r="334" spans="1:20" s="1" customFormat="1" ht="13.35" customHeight="1" x14ac:dyDescent="0.25">
      <c r="A334" s="87"/>
      <c r="B334" s="87"/>
      <c r="C334" s="87"/>
      <c r="D334" s="87"/>
      <c r="E334" s="87"/>
      <c r="F334" s="87"/>
      <c r="G334" s="17"/>
      <c r="H334" s="6" t="s">
        <v>46</v>
      </c>
      <c r="I334" s="89">
        <v>0</v>
      </c>
      <c r="J334" s="89"/>
      <c r="K334" s="17"/>
      <c r="L334" s="88" t="s">
        <v>47</v>
      </c>
      <c r="M334" s="88"/>
      <c r="N334" s="89">
        <v>51.6</v>
      </c>
      <c r="O334" s="89"/>
    </row>
    <row r="335" spans="1:20" s="1" customFormat="1" ht="13.35" customHeight="1" x14ac:dyDescent="0.25">
      <c r="A335" s="87"/>
      <c r="B335" s="87"/>
      <c r="C335" s="87"/>
      <c r="D335" s="87"/>
      <c r="E335" s="87"/>
      <c r="F335" s="87"/>
      <c r="G335" s="17"/>
      <c r="H335" s="6" t="s">
        <v>48</v>
      </c>
      <c r="I335" s="89">
        <v>0.02</v>
      </c>
      <c r="J335" s="89"/>
      <c r="K335" s="17"/>
      <c r="L335" s="88" t="s">
        <v>49</v>
      </c>
      <c r="M335" s="88"/>
      <c r="N335" s="89">
        <v>0</v>
      </c>
      <c r="O335" s="89"/>
    </row>
    <row r="336" spans="1:20" s="1" customFormat="1" ht="13.35" customHeight="1" x14ac:dyDescent="0.25">
      <c r="A336" s="87"/>
      <c r="B336" s="87"/>
      <c r="C336" s="87"/>
      <c r="D336" s="87"/>
      <c r="E336" s="87"/>
      <c r="F336" s="87"/>
      <c r="G336" s="17"/>
      <c r="H336" s="17"/>
      <c r="I336" s="87"/>
      <c r="J336" s="87"/>
      <c r="K336" s="17"/>
      <c r="L336" s="88" t="s">
        <v>50</v>
      </c>
      <c r="M336" s="88"/>
      <c r="N336" s="89">
        <v>0.01</v>
      </c>
      <c r="O336" s="89"/>
    </row>
    <row r="337" spans="1:20" s="1" customFormat="1" ht="13.35" customHeight="1" x14ac:dyDescent="0.25">
      <c r="A337" s="87"/>
      <c r="B337" s="87"/>
      <c r="C337" s="87"/>
      <c r="D337" s="87"/>
      <c r="E337" s="87"/>
      <c r="F337" s="87"/>
      <c r="G337" s="17"/>
      <c r="H337" s="17"/>
      <c r="I337" s="87"/>
      <c r="J337" s="87"/>
      <c r="K337" s="17"/>
      <c r="L337" s="88" t="s">
        <v>51</v>
      </c>
      <c r="M337" s="88"/>
      <c r="N337" s="89">
        <v>0</v>
      </c>
      <c r="O337" s="89"/>
    </row>
    <row r="338" spans="1:20" s="1" customFormat="1" ht="14.1" customHeight="1" x14ac:dyDescent="0.25">
      <c r="A338" s="86"/>
      <c r="B338" s="86"/>
      <c r="C338" s="86"/>
      <c r="D338" s="86"/>
      <c r="E338" s="86"/>
      <c r="F338" s="86"/>
      <c r="G338" s="86"/>
      <c r="H338" s="86"/>
      <c r="I338" s="86"/>
      <c r="J338" s="86"/>
      <c r="K338" s="86"/>
      <c r="L338" s="86"/>
      <c r="M338" s="86"/>
      <c r="N338" s="86"/>
      <c r="O338" s="86"/>
      <c r="P338" s="86"/>
      <c r="Q338" s="86"/>
      <c r="R338" s="86"/>
      <c r="S338" s="86"/>
    </row>
    <row r="339" spans="1:20" s="1" customFormat="1" ht="14.1" customHeight="1" x14ac:dyDescent="0.25">
      <c r="A339" s="84" t="s">
        <v>52</v>
      </c>
      <c r="B339" s="84"/>
      <c r="C339" s="84"/>
      <c r="D339" s="84"/>
      <c r="E339" s="84"/>
      <c r="F339" s="84"/>
      <c r="G339" s="84"/>
      <c r="H339" s="84"/>
      <c r="I339" s="84"/>
      <c r="J339" s="84"/>
      <c r="K339" s="84"/>
      <c r="L339" s="84"/>
      <c r="M339" s="84"/>
      <c r="N339" s="84"/>
      <c r="O339" s="84"/>
      <c r="P339" s="84"/>
      <c r="Q339" s="84"/>
      <c r="R339" s="84"/>
      <c r="S339" s="84"/>
    </row>
    <row r="340" spans="1:20" s="1" customFormat="1" ht="12.15" customHeight="1" x14ac:dyDescent="0.25">
      <c r="A340" s="85" t="s">
        <v>627</v>
      </c>
      <c r="B340" s="85"/>
      <c r="C340" s="85"/>
      <c r="D340" s="85"/>
      <c r="E340" s="85"/>
      <c r="F340" s="85"/>
      <c r="G340" s="85"/>
      <c r="H340" s="85"/>
      <c r="I340" s="85"/>
      <c r="J340" s="85"/>
      <c r="K340" s="85"/>
      <c r="L340" s="85"/>
      <c r="M340" s="85"/>
      <c r="N340" s="85"/>
      <c r="O340" s="85"/>
      <c r="P340" s="85"/>
      <c r="Q340" s="85"/>
      <c r="R340" s="85"/>
      <c r="S340" s="85"/>
    </row>
    <row r="341" spans="1:20" s="1" customFormat="1" ht="72.45" customHeight="1" x14ac:dyDescent="0.25">
      <c r="J341" s="100" t="s">
        <v>0</v>
      </c>
      <c r="K341" s="100"/>
      <c r="L341" s="100"/>
      <c r="M341" s="100"/>
      <c r="N341" s="100"/>
      <c r="O341" s="100"/>
      <c r="P341" s="100"/>
      <c r="Q341" s="100"/>
      <c r="R341" s="100"/>
      <c r="S341" s="100"/>
      <c r="T341" s="100"/>
    </row>
    <row r="342" spans="1:20" s="1" customFormat="1" ht="7.05" customHeight="1" x14ac:dyDescent="0.25"/>
    <row r="343" spans="1:20" s="1" customFormat="1" ht="14.1" customHeight="1" x14ac:dyDescent="0.25">
      <c r="B343" s="101" t="s">
        <v>380</v>
      </c>
      <c r="C343" s="101"/>
      <c r="D343" s="101"/>
      <c r="E343" s="101"/>
      <c r="F343" s="101"/>
      <c r="G343" s="101"/>
      <c r="H343" s="101"/>
      <c r="I343" s="101"/>
      <c r="J343" s="101"/>
      <c r="K343" s="101"/>
      <c r="L343" s="101"/>
      <c r="M343" s="101"/>
      <c r="N343" s="101"/>
      <c r="O343" s="101"/>
      <c r="P343" s="101"/>
      <c r="Q343" s="101"/>
      <c r="R343" s="101"/>
    </row>
    <row r="344" spans="1:20" s="1" customFormat="1" ht="14.1" customHeight="1" x14ac:dyDescent="0.25"/>
    <row r="345" spans="1:20" s="1" customFormat="1" ht="14.1" customHeight="1" x14ac:dyDescent="0.25">
      <c r="A345" s="102" t="s">
        <v>2</v>
      </c>
      <c r="B345" s="102"/>
      <c r="C345" s="102"/>
      <c r="D345" s="103" t="s">
        <v>623</v>
      </c>
      <c r="E345" s="103"/>
      <c r="F345" s="103"/>
      <c r="G345" s="103"/>
      <c r="H345" s="103"/>
      <c r="I345" s="103"/>
      <c r="J345" s="103"/>
      <c r="K345" s="103"/>
      <c r="L345" s="103"/>
      <c r="M345" s="103"/>
      <c r="N345" s="103"/>
      <c r="O345" s="103"/>
      <c r="P345" s="103"/>
      <c r="Q345" s="103"/>
      <c r="R345" s="103"/>
      <c r="S345" s="103"/>
      <c r="T345" s="103"/>
    </row>
    <row r="346" spans="1:20" s="1" customFormat="1" ht="14.1" customHeight="1" x14ac:dyDescent="0.25">
      <c r="A346" s="102" t="s">
        <v>4</v>
      </c>
      <c r="B346" s="102"/>
      <c r="C346" s="103"/>
      <c r="D346" s="103"/>
      <c r="E346" s="103"/>
      <c r="F346" s="103"/>
      <c r="G346" s="103"/>
      <c r="H346" s="103"/>
      <c r="I346" s="103"/>
      <c r="J346" s="103"/>
      <c r="K346" s="103"/>
      <c r="L346" s="103"/>
      <c r="M346" s="103"/>
      <c r="N346" s="103"/>
      <c r="O346" s="103"/>
      <c r="P346" s="103"/>
      <c r="Q346" s="103"/>
      <c r="R346" s="103"/>
      <c r="S346" s="103"/>
      <c r="T346" s="103"/>
    </row>
    <row r="347" spans="1:20" s="1" customFormat="1" ht="14.1" customHeight="1" x14ac:dyDescent="0.25">
      <c r="A347" s="102" t="s">
        <v>6</v>
      </c>
      <c r="B347" s="102"/>
      <c r="C347" s="102"/>
      <c r="D347" s="102"/>
      <c r="E347" s="102"/>
      <c r="F347" s="103" t="s">
        <v>624</v>
      </c>
      <c r="G347" s="103"/>
      <c r="H347" s="103"/>
      <c r="I347" s="103"/>
      <c r="J347" s="103"/>
      <c r="K347" s="103"/>
      <c r="L347" s="103"/>
      <c r="M347" s="103"/>
      <c r="N347" s="103"/>
      <c r="O347" s="103"/>
      <c r="P347" s="103"/>
      <c r="Q347" s="103"/>
      <c r="R347" s="103"/>
      <c r="S347" s="103"/>
      <c r="T347" s="103"/>
    </row>
    <row r="348" spans="1:20" s="1" customFormat="1" ht="33.75" customHeight="1" x14ac:dyDescent="0.25">
      <c r="F348" s="103"/>
      <c r="G348" s="103"/>
      <c r="H348" s="103"/>
      <c r="I348" s="103"/>
      <c r="J348" s="103"/>
      <c r="K348" s="103"/>
      <c r="L348" s="103"/>
      <c r="M348" s="103"/>
      <c r="N348" s="103"/>
      <c r="O348" s="103"/>
      <c r="P348" s="103"/>
      <c r="Q348" s="103"/>
      <c r="R348" s="103"/>
      <c r="S348" s="103"/>
      <c r="T348" s="103"/>
    </row>
    <row r="349" spans="1:20" s="1" customFormat="1" ht="7.05" customHeight="1" x14ac:dyDescent="0.25">
      <c r="A349" s="86"/>
      <c r="B349" s="86"/>
      <c r="C349" s="86"/>
      <c r="D349" s="86"/>
      <c r="E349" s="86"/>
      <c r="F349" s="86"/>
      <c r="G349" s="86"/>
      <c r="H349" s="86"/>
      <c r="I349" s="86"/>
      <c r="J349" s="86"/>
      <c r="K349" s="86"/>
      <c r="L349" s="86"/>
      <c r="M349" s="86"/>
      <c r="N349" s="86"/>
      <c r="O349" s="86"/>
      <c r="P349" s="86"/>
      <c r="Q349" s="16"/>
      <c r="R349" s="86"/>
      <c r="S349" s="86"/>
      <c r="T349" s="86"/>
    </row>
    <row r="350" spans="1:20" s="1" customFormat="1" ht="16.95" customHeight="1" x14ac:dyDescent="0.25">
      <c r="A350" s="94" t="s">
        <v>8</v>
      </c>
      <c r="B350" s="94"/>
      <c r="C350" s="94"/>
      <c r="D350" s="94"/>
      <c r="E350" s="94"/>
      <c r="F350" s="94"/>
      <c r="G350" s="94"/>
      <c r="H350" s="94"/>
      <c r="I350" s="94"/>
      <c r="J350" s="94"/>
      <c r="K350" s="94"/>
      <c r="L350" s="94"/>
      <c r="M350" s="95" t="s">
        <v>9</v>
      </c>
      <c r="N350" s="95"/>
      <c r="O350" s="95"/>
      <c r="P350" s="95"/>
      <c r="Q350" s="95"/>
      <c r="R350" s="95"/>
      <c r="S350" s="95"/>
      <c r="T350" s="95"/>
    </row>
    <row r="351" spans="1:20" s="1" customFormat="1" ht="16.95" customHeight="1" x14ac:dyDescent="0.25">
      <c r="A351" s="94"/>
      <c r="B351" s="94"/>
      <c r="C351" s="94"/>
      <c r="D351" s="94"/>
      <c r="E351" s="94"/>
      <c r="F351" s="94"/>
      <c r="G351" s="94"/>
      <c r="H351" s="94"/>
      <c r="I351" s="94"/>
      <c r="J351" s="94"/>
      <c r="K351" s="94"/>
      <c r="L351" s="94"/>
      <c r="M351" s="96" t="s">
        <v>10</v>
      </c>
      <c r="N351" s="96"/>
      <c r="O351" s="96"/>
      <c r="P351" s="96"/>
      <c r="Q351" s="97" t="s">
        <v>11</v>
      </c>
      <c r="R351" s="97"/>
      <c r="S351" s="97"/>
      <c r="T351" s="97"/>
    </row>
    <row r="352" spans="1:20" s="1" customFormat="1" ht="16.95" customHeight="1" x14ac:dyDescent="0.25">
      <c r="A352" s="94"/>
      <c r="B352" s="94"/>
      <c r="C352" s="94"/>
      <c r="D352" s="94"/>
      <c r="E352" s="94"/>
      <c r="F352" s="94"/>
      <c r="G352" s="94"/>
      <c r="H352" s="94"/>
      <c r="I352" s="94"/>
      <c r="J352" s="94"/>
      <c r="K352" s="94"/>
      <c r="L352" s="94"/>
      <c r="M352" s="98" t="s">
        <v>12</v>
      </c>
      <c r="N352" s="98"/>
      <c r="O352" s="98" t="s">
        <v>13</v>
      </c>
      <c r="P352" s="98"/>
      <c r="Q352" s="13" t="s">
        <v>14</v>
      </c>
      <c r="R352" s="99" t="s">
        <v>15</v>
      </c>
      <c r="S352" s="99"/>
      <c r="T352" s="99"/>
    </row>
    <row r="353" spans="1:20" s="1" customFormat="1" ht="13.35" customHeight="1" x14ac:dyDescent="0.25">
      <c r="A353" s="88" t="s">
        <v>65</v>
      </c>
      <c r="B353" s="88"/>
      <c r="C353" s="88"/>
      <c r="D353" s="88"/>
      <c r="E353" s="88"/>
      <c r="F353" s="88"/>
      <c r="G353" s="88"/>
      <c r="H353" s="88"/>
      <c r="I353" s="88"/>
      <c r="J353" s="88"/>
      <c r="K353" s="88"/>
      <c r="L353" s="88"/>
      <c r="M353" s="88" t="s">
        <v>98</v>
      </c>
      <c r="N353" s="88"/>
      <c r="O353" s="88" t="s">
        <v>98</v>
      </c>
      <c r="P353" s="88"/>
      <c r="Q353" s="6" t="s">
        <v>62</v>
      </c>
      <c r="R353" s="88" t="s">
        <v>62</v>
      </c>
      <c r="S353" s="88"/>
      <c r="T353" s="88"/>
    </row>
    <row r="354" spans="1:20" s="1" customFormat="1" ht="14.1" customHeight="1" x14ac:dyDescent="0.25">
      <c r="A354" s="90" t="s">
        <v>137</v>
      </c>
      <c r="B354" s="90"/>
      <c r="C354" s="90"/>
      <c r="D354" s="90"/>
      <c r="E354" s="90"/>
      <c r="F354" s="90"/>
      <c r="G354" s="90"/>
      <c r="H354" s="90"/>
      <c r="I354" s="90"/>
      <c r="J354" s="90"/>
      <c r="K354" s="90"/>
      <c r="L354" s="90"/>
      <c r="M354" s="90"/>
      <c r="N354" s="90"/>
      <c r="O354" s="90"/>
      <c r="P354" s="90"/>
      <c r="Q354" s="90"/>
      <c r="R354" s="90"/>
      <c r="S354" s="90"/>
      <c r="T354" s="90"/>
    </row>
    <row r="355" spans="1:20" s="1" customFormat="1" ht="21.3" customHeight="1" x14ac:dyDescent="0.25"/>
    <row r="356" spans="1:20" s="1" customFormat="1" ht="14.1" customHeight="1" x14ac:dyDescent="0.25">
      <c r="A356" s="91" t="s">
        <v>33</v>
      </c>
      <c r="B356" s="91"/>
      <c r="C356" s="91"/>
      <c r="D356" s="91"/>
      <c r="E356" s="91"/>
      <c r="F356" s="91"/>
      <c r="G356" s="91"/>
      <c r="H356" s="91"/>
      <c r="I356" s="91"/>
      <c r="J356" s="91"/>
      <c r="K356" s="91"/>
      <c r="L356" s="91"/>
      <c r="M356" s="91"/>
      <c r="N356" s="91"/>
    </row>
    <row r="357" spans="1:20" s="1" customFormat="1" ht="13.35" customHeight="1" x14ac:dyDescent="0.25">
      <c r="A357" s="88" t="s">
        <v>34</v>
      </c>
      <c r="B357" s="88"/>
      <c r="C357" s="88"/>
      <c r="D357" s="88"/>
      <c r="E357" s="89">
        <v>3.82</v>
      </c>
      <c r="F357" s="89"/>
      <c r="G357" s="17"/>
      <c r="H357" s="6" t="s">
        <v>35</v>
      </c>
      <c r="I357" s="89">
        <v>0.08</v>
      </c>
      <c r="J357" s="89"/>
      <c r="K357" s="17"/>
      <c r="L357" s="88" t="s">
        <v>36</v>
      </c>
      <c r="M357" s="88"/>
      <c r="N357" s="89">
        <v>11.5</v>
      </c>
      <c r="O357" s="89"/>
    </row>
    <row r="358" spans="1:20" s="1" customFormat="1" ht="13.35" customHeight="1" x14ac:dyDescent="0.25">
      <c r="A358" s="88" t="s">
        <v>37</v>
      </c>
      <c r="B358" s="88"/>
      <c r="C358" s="88"/>
      <c r="D358" s="88"/>
      <c r="E358" s="89">
        <v>0.31</v>
      </c>
      <c r="F358" s="89"/>
      <c r="G358" s="17"/>
      <c r="H358" s="6" t="s">
        <v>38</v>
      </c>
      <c r="I358" s="89">
        <v>0</v>
      </c>
      <c r="J358" s="89"/>
      <c r="K358" s="17"/>
      <c r="L358" s="88" t="s">
        <v>39</v>
      </c>
      <c r="M358" s="88"/>
      <c r="N358" s="89">
        <v>16.5</v>
      </c>
      <c r="O358" s="89"/>
    </row>
    <row r="359" spans="1:20" s="1" customFormat="1" ht="13.35" customHeight="1" x14ac:dyDescent="0.25">
      <c r="A359" s="88" t="s">
        <v>40</v>
      </c>
      <c r="B359" s="88"/>
      <c r="C359" s="88"/>
      <c r="D359" s="88"/>
      <c r="E359" s="89">
        <v>25.09</v>
      </c>
      <c r="F359" s="89"/>
      <c r="G359" s="17"/>
      <c r="H359" s="6" t="s">
        <v>41</v>
      </c>
      <c r="I359" s="89">
        <v>0</v>
      </c>
      <c r="J359" s="89"/>
      <c r="K359" s="17"/>
      <c r="L359" s="88" t="s">
        <v>42</v>
      </c>
      <c r="M359" s="88"/>
      <c r="N359" s="89">
        <v>42</v>
      </c>
      <c r="O359" s="89"/>
    </row>
    <row r="360" spans="1:20" s="1" customFormat="1" ht="13.35" customHeight="1" x14ac:dyDescent="0.25">
      <c r="A360" s="88" t="s">
        <v>43</v>
      </c>
      <c r="B360" s="88"/>
      <c r="C360" s="88"/>
      <c r="D360" s="88"/>
      <c r="E360" s="89">
        <v>118.41</v>
      </c>
      <c r="F360" s="89"/>
      <c r="G360" s="17"/>
      <c r="H360" s="6" t="s">
        <v>44</v>
      </c>
      <c r="I360" s="89">
        <v>0.98</v>
      </c>
      <c r="J360" s="89"/>
      <c r="K360" s="17"/>
      <c r="L360" s="88" t="s">
        <v>45</v>
      </c>
      <c r="M360" s="88"/>
      <c r="N360" s="89">
        <v>1</v>
      </c>
      <c r="O360" s="89"/>
    </row>
    <row r="361" spans="1:20" s="1" customFormat="1" ht="13.35" customHeight="1" x14ac:dyDescent="0.25">
      <c r="A361" s="87"/>
      <c r="B361" s="87"/>
      <c r="C361" s="87"/>
      <c r="D361" s="87"/>
      <c r="E361" s="87"/>
      <c r="F361" s="87"/>
      <c r="G361" s="17"/>
      <c r="H361" s="6" t="s">
        <v>46</v>
      </c>
      <c r="I361" s="89">
        <v>0</v>
      </c>
      <c r="J361" s="89"/>
      <c r="K361" s="17"/>
      <c r="L361" s="88" t="s">
        <v>47</v>
      </c>
      <c r="M361" s="88"/>
      <c r="N361" s="89">
        <v>64.5</v>
      </c>
      <c r="O361" s="89"/>
    </row>
    <row r="362" spans="1:20" s="1" customFormat="1" ht="13.35" customHeight="1" x14ac:dyDescent="0.25">
      <c r="A362" s="87"/>
      <c r="B362" s="87"/>
      <c r="C362" s="87"/>
      <c r="D362" s="87"/>
      <c r="E362" s="87"/>
      <c r="F362" s="87"/>
      <c r="G362" s="17"/>
      <c r="H362" s="6" t="s">
        <v>48</v>
      </c>
      <c r="I362" s="89">
        <v>0.03</v>
      </c>
      <c r="J362" s="89"/>
      <c r="K362" s="17"/>
      <c r="L362" s="88" t="s">
        <v>49</v>
      </c>
      <c r="M362" s="88"/>
      <c r="N362" s="89">
        <v>0</v>
      </c>
      <c r="O362" s="89"/>
    </row>
    <row r="363" spans="1:20" s="1" customFormat="1" ht="13.35" customHeight="1" x14ac:dyDescent="0.25">
      <c r="A363" s="87"/>
      <c r="B363" s="87"/>
      <c r="C363" s="87"/>
      <c r="D363" s="87"/>
      <c r="E363" s="87"/>
      <c r="F363" s="87"/>
      <c r="G363" s="17"/>
      <c r="H363" s="17"/>
      <c r="I363" s="87"/>
      <c r="J363" s="87"/>
      <c r="K363" s="17"/>
      <c r="L363" s="88" t="s">
        <v>50</v>
      </c>
      <c r="M363" s="88"/>
      <c r="N363" s="89">
        <v>0.01</v>
      </c>
      <c r="O363" s="89"/>
    </row>
    <row r="364" spans="1:20" s="1" customFormat="1" ht="13.35" customHeight="1" x14ac:dyDescent="0.25">
      <c r="A364" s="87"/>
      <c r="B364" s="87"/>
      <c r="C364" s="87"/>
      <c r="D364" s="87"/>
      <c r="E364" s="87"/>
      <c r="F364" s="87"/>
      <c r="G364" s="17"/>
      <c r="H364" s="17"/>
      <c r="I364" s="87"/>
      <c r="J364" s="87"/>
      <c r="K364" s="17"/>
      <c r="L364" s="88" t="s">
        <v>51</v>
      </c>
      <c r="M364" s="88"/>
      <c r="N364" s="89">
        <v>0</v>
      </c>
      <c r="O364" s="89"/>
    </row>
    <row r="365" spans="1:20" s="1" customFormat="1" ht="14.1" customHeight="1" x14ac:dyDescent="0.25">
      <c r="A365" s="86"/>
      <c r="B365" s="86"/>
      <c r="C365" s="86"/>
      <c r="D365" s="86"/>
      <c r="E365" s="86"/>
      <c r="F365" s="86"/>
      <c r="G365" s="86"/>
      <c r="H365" s="86"/>
      <c r="I365" s="86"/>
      <c r="J365" s="86"/>
      <c r="K365" s="86"/>
      <c r="L365" s="86"/>
      <c r="M365" s="86"/>
      <c r="N365" s="86"/>
      <c r="O365" s="86"/>
      <c r="P365" s="86"/>
      <c r="Q365" s="86"/>
      <c r="R365" s="86"/>
      <c r="S365" s="86"/>
    </row>
    <row r="366" spans="1:20" s="1" customFormat="1" ht="14.1" customHeight="1" x14ac:dyDescent="0.25">
      <c r="A366" s="84" t="s">
        <v>52</v>
      </c>
      <c r="B366" s="84"/>
      <c r="C366" s="84"/>
      <c r="D366" s="84"/>
      <c r="E366" s="84"/>
      <c r="F366" s="84"/>
      <c r="G366" s="84"/>
      <c r="H366" s="84"/>
      <c r="I366" s="84"/>
      <c r="J366" s="84"/>
      <c r="K366" s="84"/>
      <c r="L366" s="84"/>
      <c r="M366" s="84"/>
      <c r="N366" s="84"/>
      <c r="O366" s="84"/>
      <c r="P366" s="84"/>
      <c r="Q366" s="84"/>
      <c r="R366" s="84"/>
      <c r="S366" s="84"/>
    </row>
    <row r="367" spans="1:20" s="1" customFormat="1" ht="12.15" customHeight="1" x14ac:dyDescent="0.25">
      <c r="A367" s="85" t="s">
        <v>628</v>
      </c>
      <c r="B367" s="85"/>
      <c r="C367" s="85"/>
      <c r="D367" s="85"/>
      <c r="E367" s="85"/>
      <c r="F367" s="85"/>
      <c r="G367" s="85"/>
      <c r="H367" s="85"/>
      <c r="I367" s="85"/>
      <c r="J367" s="85"/>
      <c r="K367" s="85"/>
      <c r="L367" s="85"/>
      <c r="M367" s="85"/>
      <c r="N367" s="85"/>
      <c r="O367" s="85"/>
      <c r="P367" s="85"/>
      <c r="Q367" s="85"/>
      <c r="R367" s="85"/>
      <c r="S367" s="85"/>
    </row>
    <row r="368" spans="1:20" s="1" customFormat="1" ht="72.45" customHeight="1" x14ac:dyDescent="0.25">
      <c r="J368" s="100" t="s">
        <v>0</v>
      </c>
      <c r="K368" s="100"/>
      <c r="L368" s="100"/>
      <c r="M368" s="100"/>
      <c r="N368" s="100"/>
      <c r="O368" s="100"/>
      <c r="P368" s="100"/>
      <c r="Q368" s="100"/>
      <c r="R368" s="100"/>
      <c r="S368" s="100"/>
      <c r="T368" s="100"/>
    </row>
    <row r="369" spans="1:20" s="1" customFormat="1" ht="7.05" customHeight="1" x14ac:dyDescent="0.25"/>
    <row r="370" spans="1:20" s="1" customFormat="1" ht="14.1" customHeight="1" x14ac:dyDescent="0.25">
      <c r="B370" s="101" t="s">
        <v>380</v>
      </c>
      <c r="C370" s="101"/>
      <c r="D370" s="101"/>
      <c r="E370" s="101"/>
      <c r="F370" s="101"/>
      <c r="G370" s="101"/>
      <c r="H370" s="101"/>
      <c r="I370" s="101"/>
      <c r="J370" s="101"/>
      <c r="K370" s="101"/>
      <c r="L370" s="101"/>
      <c r="M370" s="101"/>
      <c r="N370" s="101"/>
      <c r="O370" s="101"/>
      <c r="P370" s="101"/>
      <c r="Q370" s="101"/>
      <c r="R370" s="101"/>
    </row>
    <row r="371" spans="1:20" s="1" customFormat="1" ht="14.1" customHeight="1" x14ac:dyDescent="0.25"/>
    <row r="372" spans="1:20" s="1" customFormat="1" ht="14.1" customHeight="1" x14ac:dyDescent="0.25">
      <c r="A372" s="102" t="s">
        <v>2</v>
      </c>
      <c r="B372" s="102"/>
      <c r="C372" s="102"/>
      <c r="D372" s="103" t="s">
        <v>629</v>
      </c>
      <c r="E372" s="103"/>
      <c r="F372" s="103"/>
      <c r="G372" s="103"/>
      <c r="H372" s="103"/>
      <c r="I372" s="103"/>
      <c r="J372" s="103"/>
      <c r="K372" s="103"/>
      <c r="L372" s="103"/>
      <c r="M372" s="103"/>
      <c r="N372" s="103"/>
      <c r="O372" s="103"/>
      <c r="P372" s="103"/>
      <c r="Q372" s="103"/>
      <c r="R372" s="103"/>
      <c r="S372" s="103"/>
      <c r="T372" s="103"/>
    </row>
    <row r="373" spans="1:20" s="1" customFormat="1" ht="14.1" customHeight="1" x14ac:dyDescent="0.25">
      <c r="A373" s="102" t="s">
        <v>4</v>
      </c>
      <c r="B373" s="102"/>
      <c r="C373" s="103"/>
      <c r="D373" s="103"/>
      <c r="E373" s="103"/>
      <c r="F373" s="103"/>
      <c r="G373" s="103"/>
      <c r="H373" s="103"/>
      <c r="I373" s="103"/>
      <c r="J373" s="103"/>
      <c r="K373" s="103"/>
      <c r="L373" s="103"/>
      <c r="M373" s="103"/>
      <c r="N373" s="103"/>
      <c r="O373" s="103"/>
      <c r="P373" s="103"/>
      <c r="Q373" s="103"/>
      <c r="R373" s="103"/>
      <c r="S373" s="103"/>
      <c r="T373" s="103"/>
    </row>
    <row r="374" spans="1:20" s="1" customFormat="1" ht="14.1" customHeight="1" x14ac:dyDescent="0.25">
      <c r="A374" s="102" t="s">
        <v>6</v>
      </c>
      <c r="B374" s="102"/>
      <c r="C374" s="102"/>
      <c r="D374" s="102"/>
      <c r="E374" s="102"/>
      <c r="F374" s="103" t="s">
        <v>624</v>
      </c>
      <c r="G374" s="103"/>
      <c r="H374" s="103"/>
      <c r="I374" s="103"/>
      <c r="J374" s="103"/>
      <c r="K374" s="103"/>
      <c r="L374" s="103"/>
      <c r="M374" s="103"/>
      <c r="N374" s="103"/>
      <c r="O374" s="103"/>
      <c r="P374" s="103"/>
      <c r="Q374" s="103"/>
      <c r="R374" s="103"/>
      <c r="S374" s="103"/>
      <c r="T374" s="103"/>
    </row>
    <row r="375" spans="1:20" s="1" customFormat="1" ht="33.75" customHeight="1" x14ac:dyDescent="0.25">
      <c r="F375" s="103"/>
      <c r="G375" s="103"/>
      <c r="H375" s="103"/>
      <c r="I375" s="103"/>
      <c r="J375" s="103"/>
      <c r="K375" s="103"/>
      <c r="L375" s="103"/>
      <c r="M375" s="103"/>
      <c r="N375" s="103"/>
      <c r="O375" s="103"/>
      <c r="P375" s="103"/>
      <c r="Q375" s="103"/>
      <c r="R375" s="103"/>
      <c r="S375" s="103"/>
      <c r="T375" s="103"/>
    </row>
    <row r="376" spans="1:20" s="1" customFormat="1" ht="7.05" customHeight="1" x14ac:dyDescent="0.25">
      <c r="A376" s="86"/>
      <c r="B376" s="86"/>
      <c r="C376" s="86"/>
      <c r="D376" s="86"/>
      <c r="E376" s="86"/>
      <c r="F376" s="86"/>
      <c r="G376" s="86"/>
      <c r="H376" s="86"/>
      <c r="I376" s="86"/>
      <c r="J376" s="86"/>
      <c r="K376" s="86"/>
      <c r="L376" s="86"/>
      <c r="M376" s="86"/>
      <c r="N376" s="86"/>
      <c r="O376" s="86"/>
      <c r="P376" s="86"/>
      <c r="Q376" s="16"/>
      <c r="R376" s="86"/>
      <c r="S376" s="86"/>
      <c r="T376" s="86"/>
    </row>
    <row r="377" spans="1:20" s="1" customFormat="1" ht="16.95" customHeight="1" x14ac:dyDescent="0.25">
      <c r="A377" s="94" t="s">
        <v>8</v>
      </c>
      <c r="B377" s="94"/>
      <c r="C377" s="94"/>
      <c r="D377" s="94"/>
      <c r="E377" s="94"/>
      <c r="F377" s="94"/>
      <c r="G377" s="94"/>
      <c r="H377" s="94"/>
      <c r="I377" s="94"/>
      <c r="J377" s="94"/>
      <c r="K377" s="94"/>
      <c r="L377" s="94"/>
      <c r="M377" s="95" t="s">
        <v>9</v>
      </c>
      <c r="N377" s="95"/>
      <c r="O377" s="95"/>
      <c r="P377" s="95"/>
      <c r="Q377" s="95"/>
      <c r="R377" s="95"/>
      <c r="S377" s="95"/>
      <c r="T377" s="95"/>
    </row>
    <row r="378" spans="1:20" s="1" customFormat="1" ht="16.95" customHeight="1" x14ac:dyDescent="0.25">
      <c r="A378" s="94"/>
      <c r="B378" s="94"/>
      <c r="C378" s="94"/>
      <c r="D378" s="94"/>
      <c r="E378" s="94"/>
      <c r="F378" s="94"/>
      <c r="G378" s="94"/>
      <c r="H378" s="94"/>
      <c r="I378" s="94"/>
      <c r="J378" s="94"/>
      <c r="K378" s="94"/>
      <c r="L378" s="94"/>
      <c r="M378" s="96" t="s">
        <v>10</v>
      </c>
      <c r="N378" s="96"/>
      <c r="O378" s="96"/>
      <c r="P378" s="96"/>
      <c r="Q378" s="97" t="s">
        <v>11</v>
      </c>
      <c r="R378" s="97"/>
      <c r="S378" s="97"/>
      <c r="T378" s="97"/>
    </row>
    <row r="379" spans="1:20" s="1" customFormat="1" ht="16.95" customHeight="1" x14ac:dyDescent="0.25">
      <c r="A379" s="94"/>
      <c r="B379" s="94"/>
      <c r="C379" s="94"/>
      <c r="D379" s="94"/>
      <c r="E379" s="94"/>
      <c r="F379" s="94"/>
      <c r="G379" s="94"/>
      <c r="H379" s="94"/>
      <c r="I379" s="94"/>
      <c r="J379" s="94"/>
      <c r="K379" s="94"/>
      <c r="L379" s="94"/>
      <c r="M379" s="98" t="s">
        <v>12</v>
      </c>
      <c r="N379" s="98"/>
      <c r="O379" s="98" t="s">
        <v>13</v>
      </c>
      <c r="P379" s="98"/>
      <c r="Q379" s="13" t="s">
        <v>14</v>
      </c>
      <c r="R379" s="99" t="s">
        <v>15</v>
      </c>
      <c r="S379" s="99"/>
      <c r="T379" s="99"/>
    </row>
    <row r="380" spans="1:20" s="1" customFormat="1" ht="13.35" customHeight="1" x14ac:dyDescent="0.25">
      <c r="A380" s="88" t="s">
        <v>630</v>
      </c>
      <c r="B380" s="88"/>
      <c r="C380" s="88"/>
      <c r="D380" s="88"/>
      <c r="E380" s="88"/>
      <c r="F380" s="88"/>
      <c r="G380" s="88"/>
      <c r="H380" s="88"/>
      <c r="I380" s="88"/>
      <c r="J380" s="88"/>
      <c r="K380" s="88"/>
      <c r="L380" s="88"/>
      <c r="M380" s="88" t="s">
        <v>85</v>
      </c>
      <c r="N380" s="88"/>
      <c r="O380" s="88" t="s">
        <v>85</v>
      </c>
      <c r="P380" s="88"/>
      <c r="Q380" s="6" t="s">
        <v>77</v>
      </c>
      <c r="R380" s="88" t="s">
        <v>77</v>
      </c>
      <c r="S380" s="88"/>
      <c r="T380" s="88"/>
    </row>
    <row r="381" spans="1:20" s="1" customFormat="1" ht="14.1" customHeight="1" x14ac:dyDescent="0.25">
      <c r="A381" s="90" t="s">
        <v>383</v>
      </c>
      <c r="B381" s="90"/>
      <c r="C381" s="90"/>
      <c r="D381" s="90"/>
      <c r="E381" s="90"/>
      <c r="F381" s="90"/>
      <c r="G381" s="90"/>
      <c r="H381" s="90"/>
      <c r="I381" s="90"/>
      <c r="J381" s="90"/>
      <c r="K381" s="90"/>
      <c r="L381" s="90"/>
      <c r="M381" s="90"/>
      <c r="N381" s="90"/>
      <c r="O381" s="90"/>
      <c r="P381" s="90"/>
      <c r="Q381" s="90"/>
      <c r="R381" s="90"/>
      <c r="S381" s="90"/>
      <c r="T381" s="90"/>
    </row>
    <row r="382" spans="1:20" s="1" customFormat="1" ht="21.3" customHeight="1" x14ac:dyDescent="0.25"/>
    <row r="383" spans="1:20" s="1" customFormat="1" ht="14.1" customHeight="1" x14ac:dyDescent="0.25">
      <c r="A383" s="91" t="s">
        <v>33</v>
      </c>
      <c r="B383" s="91"/>
      <c r="C383" s="91"/>
      <c r="D383" s="91"/>
      <c r="E383" s="91"/>
      <c r="F383" s="91"/>
      <c r="G383" s="91"/>
      <c r="H383" s="91"/>
      <c r="I383" s="91"/>
      <c r="J383" s="91"/>
      <c r="K383" s="91"/>
      <c r="L383" s="91"/>
      <c r="M383" s="91"/>
      <c r="N383" s="91"/>
    </row>
    <row r="384" spans="1:20" s="1" customFormat="1" ht="13.35" customHeight="1" x14ac:dyDescent="0.25">
      <c r="A384" s="88" t="s">
        <v>34</v>
      </c>
      <c r="B384" s="88"/>
      <c r="C384" s="88"/>
      <c r="D384" s="88"/>
      <c r="E384" s="89">
        <v>1.1200000000000001</v>
      </c>
      <c r="F384" s="89"/>
      <c r="G384" s="17"/>
      <c r="H384" s="6" t="s">
        <v>35</v>
      </c>
      <c r="I384" s="89">
        <v>0</v>
      </c>
      <c r="J384" s="89"/>
      <c r="K384" s="17"/>
      <c r="L384" s="88" t="s">
        <v>36</v>
      </c>
      <c r="M384" s="88"/>
      <c r="N384" s="89">
        <v>0</v>
      </c>
      <c r="O384" s="89"/>
    </row>
    <row r="385" spans="1:20" s="1" customFormat="1" ht="13.35" customHeight="1" x14ac:dyDescent="0.25">
      <c r="A385" s="88" t="s">
        <v>37</v>
      </c>
      <c r="B385" s="88"/>
      <c r="C385" s="88"/>
      <c r="D385" s="88"/>
      <c r="E385" s="89">
        <v>0.22</v>
      </c>
      <c r="F385" s="89"/>
      <c r="G385" s="17"/>
      <c r="H385" s="6" t="s">
        <v>38</v>
      </c>
      <c r="I385" s="89">
        <v>0</v>
      </c>
      <c r="J385" s="89"/>
      <c r="K385" s="17"/>
      <c r="L385" s="88" t="s">
        <v>39</v>
      </c>
      <c r="M385" s="88"/>
      <c r="N385" s="89">
        <v>0</v>
      </c>
      <c r="O385" s="89"/>
    </row>
    <row r="386" spans="1:20" s="1" customFormat="1" ht="13.35" customHeight="1" x14ac:dyDescent="0.25">
      <c r="A386" s="88" t="s">
        <v>40</v>
      </c>
      <c r="B386" s="88"/>
      <c r="C386" s="88"/>
      <c r="D386" s="88"/>
      <c r="E386" s="89">
        <v>9.8800000000000008</v>
      </c>
      <c r="F386" s="89"/>
      <c r="G386" s="17"/>
      <c r="H386" s="6" t="s">
        <v>41</v>
      </c>
      <c r="I386" s="89">
        <v>0</v>
      </c>
      <c r="J386" s="89"/>
      <c r="K386" s="17"/>
      <c r="L386" s="88" t="s">
        <v>42</v>
      </c>
      <c r="M386" s="88"/>
      <c r="N386" s="89">
        <v>0</v>
      </c>
      <c r="O386" s="89"/>
    </row>
    <row r="387" spans="1:20" s="1" customFormat="1" ht="13.35" customHeight="1" x14ac:dyDescent="0.25">
      <c r="A387" s="88" t="s">
        <v>43</v>
      </c>
      <c r="B387" s="88"/>
      <c r="C387" s="88"/>
      <c r="D387" s="88"/>
      <c r="E387" s="89">
        <v>45.98</v>
      </c>
      <c r="F387" s="89"/>
      <c r="G387" s="17"/>
      <c r="H387" s="6" t="s">
        <v>44</v>
      </c>
      <c r="I387" s="89">
        <v>0</v>
      </c>
      <c r="J387" s="89"/>
      <c r="K387" s="17"/>
      <c r="L387" s="88" t="s">
        <v>45</v>
      </c>
      <c r="M387" s="88"/>
      <c r="N387" s="89">
        <v>0</v>
      </c>
      <c r="O387" s="89"/>
    </row>
    <row r="388" spans="1:20" s="1" customFormat="1" ht="13.35" customHeight="1" x14ac:dyDescent="0.25">
      <c r="A388" s="87"/>
      <c r="B388" s="87"/>
      <c r="C388" s="87"/>
      <c r="D388" s="87"/>
      <c r="E388" s="87"/>
      <c r="F388" s="87"/>
      <c r="G388" s="17"/>
      <c r="H388" s="6" t="s">
        <v>46</v>
      </c>
      <c r="I388" s="89">
        <v>0</v>
      </c>
      <c r="J388" s="89"/>
      <c r="K388" s="17"/>
      <c r="L388" s="88" t="s">
        <v>47</v>
      </c>
      <c r="M388" s="88"/>
      <c r="N388" s="89">
        <v>0</v>
      </c>
      <c r="O388" s="89"/>
    </row>
    <row r="389" spans="1:20" s="1" customFormat="1" ht="13.35" customHeight="1" x14ac:dyDescent="0.25">
      <c r="A389" s="87"/>
      <c r="B389" s="87"/>
      <c r="C389" s="87"/>
      <c r="D389" s="87"/>
      <c r="E389" s="87"/>
      <c r="F389" s="87"/>
      <c r="G389" s="17"/>
      <c r="H389" s="6" t="s">
        <v>48</v>
      </c>
      <c r="I389" s="89">
        <v>0</v>
      </c>
      <c r="J389" s="89"/>
      <c r="K389" s="17"/>
      <c r="L389" s="88" t="s">
        <v>49</v>
      </c>
      <c r="M389" s="88"/>
      <c r="N389" s="89">
        <v>0</v>
      </c>
      <c r="O389" s="89"/>
    </row>
    <row r="390" spans="1:20" s="1" customFormat="1" ht="13.35" customHeight="1" x14ac:dyDescent="0.25">
      <c r="A390" s="87"/>
      <c r="B390" s="87"/>
      <c r="C390" s="87"/>
      <c r="D390" s="87"/>
      <c r="E390" s="87"/>
      <c r="F390" s="87"/>
      <c r="G390" s="17"/>
      <c r="H390" s="17"/>
      <c r="I390" s="87"/>
      <c r="J390" s="87"/>
      <c r="K390" s="17"/>
      <c r="L390" s="88" t="s">
        <v>50</v>
      </c>
      <c r="M390" s="88"/>
      <c r="N390" s="89">
        <v>0</v>
      </c>
      <c r="O390" s="89"/>
    </row>
    <row r="391" spans="1:20" s="1" customFormat="1" ht="13.35" customHeight="1" x14ac:dyDescent="0.25">
      <c r="A391" s="87"/>
      <c r="B391" s="87"/>
      <c r="C391" s="87"/>
      <c r="D391" s="87"/>
      <c r="E391" s="87"/>
      <c r="F391" s="87"/>
      <c r="G391" s="17"/>
      <c r="H391" s="17"/>
      <c r="I391" s="87"/>
      <c r="J391" s="87"/>
      <c r="K391" s="17"/>
      <c r="L391" s="88" t="s">
        <v>51</v>
      </c>
      <c r="M391" s="88"/>
      <c r="N391" s="89">
        <v>0</v>
      </c>
      <c r="O391" s="89"/>
    </row>
    <row r="392" spans="1:20" s="1" customFormat="1" ht="14.1" customHeight="1" x14ac:dyDescent="0.25">
      <c r="A392" s="86"/>
      <c r="B392" s="86"/>
      <c r="C392" s="86"/>
      <c r="D392" s="86"/>
      <c r="E392" s="86"/>
      <c r="F392" s="86"/>
      <c r="G392" s="86"/>
      <c r="H392" s="86"/>
      <c r="I392" s="86"/>
      <c r="J392" s="86"/>
      <c r="K392" s="86"/>
      <c r="L392" s="86"/>
      <c r="M392" s="86"/>
      <c r="N392" s="86"/>
      <c r="O392" s="86"/>
      <c r="P392" s="86"/>
      <c r="Q392" s="86"/>
      <c r="R392" s="86"/>
      <c r="S392" s="86"/>
    </row>
    <row r="393" spans="1:20" s="1" customFormat="1" ht="14.1" customHeight="1" x14ac:dyDescent="0.25">
      <c r="A393" s="84" t="s">
        <v>52</v>
      </c>
      <c r="B393" s="84"/>
      <c r="C393" s="84"/>
      <c r="D393" s="84"/>
      <c r="E393" s="84"/>
      <c r="F393" s="84"/>
      <c r="G393" s="84"/>
      <c r="H393" s="84"/>
      <c r="I393" s="84"/>
      <c r="J393" s="84"/>
      <c r="K393" s="84"/>
      <c r="L393" s="84"/>
      <c r="M393" s="84"/>
      <c r="N393" s="84"/>
      <c r="O393" s="84"/>
      <c r="P393" s="84"/>
      <c r="Q393" s="84"/>
      <c r="R393" s="84"/>
      <c r="S393" s="84"/>
    </row>
    <row r="394" spans="1:20" s="1" customFormat="1" ht="12.15" customHeight="1" x14ac:dyDescent="0.25">
      <c r="A394" s="85" t="s">
        <v>631</v>
      </c>
      <c r="B394" s="85"/>
      <c r="C394" s="85"/>
      <c r="D394" s="85"/>
      <c r="E394" s="85"/>
      <c r="F394" s="85"/>
      <c r="G394" s="85"/>
      <c r="H394" s="85"/>
      <c r="I394" s="85"/>
      <c r="J394" s="85"/>
      <c r="K394" s="85"/>
      <c r="L394" s="85"/>
      <c r="M394" s="85"/>
      <c r="N394" s="85"/>
      <c r="O394" s="85"/>
      <c r="P394" s="85"/>
      <c r="Q394" s="85"/>
      <c r="R394" s="85"/>
      <c r="S394" s="85"/>
    </row>
    <row r="395" spans="1:20" s="1" customFormat="1" ht="72.45" customHeight="1" x14ac:dyDescent="0.25">
      <c r="J395" s="100" t="s">
        <v>0</v>
      </c>
      <c r="K395" s="100"/>
      <c r="L395" s="100"/>
      <c r="M395" s="100"/>
      <c r="N395" s="100"/>
      <c r="O395" s="100"/>
      <c r="P395" s="100"/>
      <c r="Q395" s="100"/>
      <c r="R395" s="100"/>
      <c r="S395" s="100"/>
      <c r="T395" s="100"/>
    </row>
    <row r="396" spans="1:20" s="1" customFormat="1" ht="7.05" customHeight="1" x14ac:dyDescent="0.25"/>
    <row r="397" spans="1:20" s="1" customFormat="1" ht="14.1" customHeight="1" x14ac:dyDescent="0.25">
      <c r="B397" s="101" t="s">
        <v>380</v>
      </c>
      <c r="C397" s="101"/>
      <c r="D397" s="101"/>
      <c r="E397" s="101"/>
      <c r="F397" s="101"/>
      <c r="G397" s="101"/>
      <c r="H397" s="101"/>
      <c r="I397" s="101"/>
      <c r="J397" s="101"/>
      <c r="K397" s="101"/>
      <c r="L397" s="101"/>
      <c r="M397" s="101"/>
      <c r="N397" s="101"/>
      <c r="O397" s="101"/>
      <c r="P397" s="101"/>
      <c r="Q397" s="101"/>
      <c r="R397" s="101"/>
    </row>
    <row r="398" spans="1:20" s="1" customFormat="1" ht="14.1" customHeight="1" x14ac:dyDescent="0.25"/>
    <row r="399" spans="1:20" s="1" customFormat="1" ht="14.1" customHeight="1" x14ac:dyDescent="0.25">
      <c r="A399" s="102" t="s">
        <v>2</v>
      </c>
      <c r="B399" s="102"/>
      <c r="C399" s="102"/>
      <c r="D399" s="103" t="s">
        <v>629</v>
      </c>
      <c r="E399" s="103"/>
      <c r="F399" s="103"/>
      <c r="G399" s="103"/>
      <c r="H399" s="103"/>
      <c r="I399" s="103"/>
      <c r="J399" s="103"/>
      <c r="K399" s="103"/>
      <c r="L399" s="103"/>
      <c r="M399" s="103"/>
      <c r="N399" s="103"/>
      <c r="O399" s="103"/>
      <c r="P399" s="103"/>
      <c r="Q399" s="103"/>
      <c r="R399" s="103"/>
      <c r="S399" s="103"/>
      <c r="T399" s="103"/>
    </row>
    <row r="400" spans="1:20" s="1" customFormat="1" ht="14.1" customHeight="1" x14ac:dyDescent="0.25">
      <c r="A400" s="102" t="s">
        <v>4</v>
      </c>
      <c r="B400" s="102"/>
      <c r="C400" s="103"/>
      <c r="D400" s="103"/>
      <c r="E400" s="103"/>
      <c r="F400" s="103"/>
      <c r="G400" s="103"/>
      <c r="H400" s="103"/>
      <c r="I400" s="103"/>
      <c r="J400" s="103"/>
      <c r="K400" s="103"/>
      <c r="L400" s="103"/>
      <c r="M400" s="103"/>
      <c r="N400" s="103"/>
      <c r="O400" s="103"/>
      <c r="P400" s="103"/>
      <c r="Q400" s="103"/>
      <c r="R400" s="103"/>
      <c r="S400" s="103"/>
      <c r="T400" s="103"/>
    </row>
    <row r="401" spans="1:20" s="1" customFormat="1" ht="14.1" customHeight="1" x14ac:dyDescent="0.25">
      <c r="A401" s="102" t="s">
        <v>6</v>
      </c>
      <c r="B401" s="102"/>
      <c r="C401" s="102"/>
      <c r="D401" s="102"/>
      <c r="E401" s="102"/>
      <c r="F401" s="103" t="s">
        <v>624</v>
      </c>
      <c r="G401" s="103"/>
      <c r="H401" s="103"/>
      <c r="I401" s="103"/>
      <c r="J401" s="103"/>
      <c r="K401" s="103"/>
      <c r="L401" s="103"/>
      <c r="M401" s="103"/>
      <c r="N401" s="103"/>
      <c r="O401" s="103"/>
      <c r="P401" s="103"/>
      <c r="Q401" s="103"/>
      <c r="R401" s="103"/>
      <c r="S401" s="103"/>
      <c r="T401" s="103"/>
    </row>
    <row r="402" spans="1:20" s="1" customFormat="1" ht="33.75" customHeight="1" x14ac:dyDescent="0.25">
      <c r="F402" s="103"/>
      <c r="G402" s="103"/>
      <c r="H402" s="103"/>
      <c r="I402" s="103"/>
      <c r="J402" s="103"/>
      <c r="K402" s="103"/>
      <c r="L402" s="103"/>
      <c r="M402" s="103"/>
      <c r="N402" s="103"/>
      <c r="O402" s="103"/>
      <c r="P402" s="103"/>
      <c r="Q402" s="103"/>
      <c r="R402" s="103"/>
      <c r="S402" s="103"/>
      <c r="T402" s="103"/>
    </row>
    <row r="403" spans="1:20" s="1" customFormat="1" ht="7.05" customHeight="1" x14ac:dyDescent="0.25">
      <c r="A403" s="86"/>
      <c r="B403" s="86"/>
      <c r="C403" s="86"/>
      <c r="D403" s="86"/>
      <c r="E403" s="86"/>
      <c r="F403" s="86"/>
      <c r="G403" s="86"/>
      <c r="H403" s="86"/>
      <c r="I403" s="86"/>
      <c r="J403" s="86"/>
      <c r="K403" s="86"/>
      <c r="L403" s="86"/>
      <c r="M403" s="86"/>
      <c r="N403" s="86"/>
      <c r="O403" s="86"/>
      <c r="P403" s="86"/>
      <c r="Q403" s="16"/>
      <c r="R403" s="86"/>
      <c r="S403" s="86"/>
      <c r="T403" s="86"/>
    </row>
    <row r="404" spans="1:20" s="1" customFormat="1" ht="16.95" customHeight="1" x14ac:dyDescent="0.25">
      <c r="A404" s="94" t="s">
        <v>8</v>
      </c>
      <c r="B404" s="94"/>
      <c r="C404" s="94"/>
      <c r="D404" s="94"/>
      <c r="E404" s="94"/>
      <c r="F404" s="94"/>
      <c r="G404" s="94"/>
      <c r="H404" s="94"/>
      <c r="I404" s="94"/>
      <c r="J404" s="94"/>
      <c r="K404" s="94"/>
      <c r="L404" s="94"/>
      <c r="M404" s="95" t="s">
        <v>9</v>
      </c>
      <c r="N404" s="95"/>
      <c r="O404" s="95"/>
      <c r="P404" s="95"/>
      <c r="Q404" s="95"/>
      <c r="R404" s="95"/>
      <c r="S404" s="95"/>
      <c r="T404" s="95"/>
    </row>
    <row r="405" spans="1:20" s="1" customFormat="1" ht="16.95" customHeight="1" x14ac:dyDescent="0.25">
      <c r="A405" s="94"/>
      <c r="B405" s="94"/>
      <c r="C405" s="94"/>
      <c r="D405" s="94"/>
      <c r="E405" s="94"/>
      <c r="F405" s="94"/>
      <c r="G405" s="94"/>
      <c r="H405" s="94"/>
      <c r="I405" s="94"/>
      <c r="J405" s="94"/>
      <c r="K405" s="94"/>
      <c r="L405" s="94"/>
      <c r="M405" s="96" t="s">
        <v>10</v>
      </c>
      <c r="N405" s="96"/>
      <c r="O405" s="96"/>
      <c r="P405" s="96"/>
      <c r="Q405" s="97" t="s">
        <v>11</v>
      </c>
      <c r="R405" s="97"/>
      <c r="S405" s="97"/>
      <c r="T405" s="97"/>
    </row>
    <row r="406" spans="1:20" s="1" customFormat="1" ht="16.95" customHeight="1" x14ac:dyDescent="0.25">
      <c r="A406" s="94"/>
      <c r="B406" s="94"/>
      <c r="C406" s="94"/>
      <c r="D406" s="94"/>
      <c r="E406" s="94"/>
      <c r="F406" s="94"/>
      <c r="G406" s="94"/>
      <c r="H406" s="94"/>
      <c r="I406" s="94"/>
      <c r="J406" s="94"/>
      <c r="K406" s="94"/>
      <c r="L406" s="94"/>
      <c r="M406" s="98" t="s">
        <v>12</v>
      </c>
      <c r="N406" s="98"/>
      <c r="O406" s="98" t="s">
        <v>13</v>
      </c>
      <c r="P406" s="98"/>
      <c r="Q406" s="13" t="s">
        <v>14</v>
      </c>
      <c r="R406" s="99" t="s">
        <v>15</v>
      </c>
      <c r="S406" s="99"/>
      <c r="T406" s="99"/>
    </row>
    <row r="407" spans="1:20" s="1" customFormat="1" ht="13.35" customHeight="1" x14ac:dyDescent="0.25">
      <c r="A407" s="88" t="s">
        <v>630</v>
      </c>
      <c r="B407" s="88"/>
      <c r="C407" s="88"/>
      <c r="D407" s="88"/>
      <c r="E407" s="88"/>
      <c r="F407" s="88"/>
      <c r="G407" s="88"/>
      <c r="H407" s="88"/>
      <c r="I407" s="88"/>
      <c r="J407" s="88"/>
      <c r="K407" s="88"/>
      <c r="L407" s="88"/>
      <c r="M407" s="88" t="s">
        <v>95</v>
      </c>
      <c r="N407" s="88"/>
      <c r="O407" s="88" t="s">
        <v>95</v>
      </c>
      <c r="P407" s="88"/>
      <c r="Q407" s="6" t="s">
        <v>97</v>
      </c>
      <c r="R407" s="88" t="s">
        <v>97</v>
      </c>
      <c r="S407" s="88"/>
      <c r="T407" s="88"/>
    </row>
    <row r="408" spans="1:20" s="1" customFormat="1" ht="14.1" customHeight="1" x14ac:dyDescent="0.25">
      <c r="A408" s="90" t="s">
        <v>385</v>
      </c>
      <c r="B408" s="90"/>
      <c r="C408" s="90"/>
      <c r="D408" s="90"/>
      <c r="E408" s="90"/>
      <c r="F408" s="90"/>
      <c r="G408" s="90"/>
      <c r="H408" s="90"/>
      <c r="I408" s="90"/>
      <c r="J408" s="90"/>
      <c r="K408" s="90"/>
      <c r="L408" s="90"/>
      <c r="M408" s="90"/>
      <c r="N408" s="90"/>
      <c r="O408" s="90"/>
      <c r="P408" s="90"/>
      <c r="Q408" s="90"/>
      <c r="R408" s="90"/>
      <c r="S408" s="90"/>
      <c r="T408" s="90"/>
    </row>
    <row r="409" spans="1:20" s="1" customFormat="1" ht="21.3" customHeight="1" x14ac:dyDescent="0.25"/>
    <row r="410" spans="1:20" s="1" customFormat="1" ht="14.1" customHeight="1" x14ac:dyDescent="0.25">
      <c r="A410" s="91" t="s">
        <v>33</v>
      </c>
      <c r="B410" s="91"/>
      <c r="C410" s="91"/>
      <c r="D410" s="91"/>
      <c r="E410" s="91"/>
      <c r="F410" s="91"/>
      <c r="G410" s="91"/>
      <c r="H410" s="91"/>
      <c r="I410" s="91"/>
      <c r="J410" s="91"/>
      <c r="K410" s="91"/>
      <c r="L410" s="91"/>
      <c r="M410" s="91"/>
      <c r="N410" s="91"/>
    </row>
    <row r="411" spans="1:20" s="1" customFormat="1" ht="13.35" customHeight="1" x14ac:dyDescent="0.25">
      <c r="A411" s="88" t="s">
        <v>34</v>
      </c>
      <c r="B411" s="88"/>
      <c r="C411" s="88"/>
      <c r="D411" s="88"/>
      <c r="E411" s="89">
        <v>1.99</v>
      </c>
      <c r="F411" s="89"/>
      <c r="G411" s="17"/>
      <c r="H411" s="6" t="s">
        <v>35</v>
      </c>
      <c r="I411" s="89">
        <v>0.05</v>
      </c>
      <c r="J411" s="89"/>
      <c r="K411" s="17"/>
      <c r="L411" s="88" t="s">
        <v>36</v>
      </c>
      <c r="M411" s="88"/>
      <c r="N411" s="89">
        <v>5.4</v>
      </c>
      <c r="O411" s="89"/>
    </row>
    <row r="412" spans="1:20" s="1" customFormat="1" ht="13.35" customHeight="1" x14ac:dyDescent="0.25">
      <c r="A412" s="88" t="s">
        <v>37</v>
      </c>
      <c r="B412" s="88"/>
      <c r="C412" s="88"/>
      <c r="D412" s="88"/>
      <c r="E412" s="89">
        <v>0.26</v>
      </c>
      <c r="F412" s="89"/>
      <c r="G412" s="17"/>
      <c r="H412" s="6" t="s">
        <v>38</v>
      </c>
      <c r="I412" s="89">
        <v>0</v>
      </c>
      <c r="J412" s="89"/>
      <c r="K412" s="17"/>
      <c r="L412" s="88" t="s">
        <v>39</v>
      </c>
      <c r="M412" s="88"/>
      <c r="N412" s="89">
        <v>5.7</v>
      </c>
      <c r="O412" s="89"/>
    </row>
    <row r="413" spans="1:20" s="1" customFormat="1" ht="13.35" customHeight="1" x14ac:dyDescent="0.25">
      <c r="A413" s="88" t="s">
        <v>40</v>
      </c>
      <c r="B413" s="88"/>
      <c r="C413" s="88"/>
      <c r="D413" s="88"/>
      <c r="E413" s="89">
        <v>12.72</v>
      </c>
      <c r="F413" s="89"/>
      <c r="G413" s="17"/>
      <c r="H413" s="6" t="s">
        <v>41</v>
      </c>
      <c r="I413" s="89">
        <v>0</v>
      </c>
      <c r="J413" s="89"/>
      <c r="K413" s="17"/>
      <c r="L413" s="88" t="s">
        <v>42</v>
      </c>
      <c r="M413" s="88"/>
      <c r="N413" s="89">
        <v>26.1</v>
      </c>
      <c r="O413" s="89"/>
    </row>
    <row r="414" spans="1:20" s="1" customFormat="1" ht="13.35" customHeight="1" x14ac:dyDescent="0.25">
      <c r="A414" s="88" t="s">
        <v>43</v>
      </c>
      <c r="B414" s="88"/>
      <c r="C414" s="88"/>
      <c r="D414" s="88"/>
      <c r="E414" s="89">
        <v>61.19</v>
      </c>
      <c r="F414" s="89"/>
      <c r="G414" s="17"/>
      <c r="H414" s="6" t="s">
        <v>44</v>
      </c>
      <c r="I414" s="89">
        <v>0.66</v>
      </c>
      <c r="J414" s="89"/>
      <c r="K414" s="17"/>
      <c r="L414" s="88" t="s">
        <v>45</v>
      </c>
      <c r="M414" s="88"/>
      <c r="N414" s="89">
        <v>1.2</v>
      </c>
      <c r="O414" s="89"/>
    </row>
    <row r="415" spans="1:20" s="1" customFormat="1" ht="13.35" customHeight="1" x14ac:dyDescent="0.25">
      <c r="A415" s="87"/>
      <c r="B415" s="87"/>
      <c r="C415" s="87"/>
      <c r="D415" s="87"/>
      <c r="E415" s="87"/>
      <c r="F415" s="87"/>
      <c r="G415" s="17"/>
      <c r="H415" s="6" t="s">
        <v>46</v>
      </c>
      <c r="I415" s="89">
        <v>0</v>
      </c>
      <c r="J415" s="89"/>
      <c r="K415" s="17"/>
      <c r="L415" s="88" t="s">
        <v>47</v>
      </c>
      <c r="M415" s="88"/>
      <c r="N415" s="89">
        <v>40.799999999999997</v>
      </c>
      <c r="O415" s="89"/>
    </row>
    <row r="416" spans="1:20" s="1" customFormat="1" ht="13.35" customHeight="1" x14ac:dyDescent="0.25">
      <c r="A416" s="87"/>
      <c r="B416" s="87"/>
      <c r="C416" s="87"/>
      <c r="D416" s="87"/>
      <c r="E416" s="87"/>
      <c r="F416" s="87"/>
      <c r="G416" s="17"/>
      <c r="H416" s="6" t="s">
        <v>48</v>
      </c>
      <c r="I416" s="89">
        <v>0.02</v>
      </c>
      <c r="J416" s="89"/>
      <c r="K416" s="17"/>
      <c r="L416" s="88" t="s">
        <v>49</v>
      </c>
      <c r="M416" s="88"/>
      <c r="N416" s="89">
        <v>1.68</v>
      </c>
      <c r="O416" s="89"/>
    </row>
    <row r="417" spans="1:20" s="1" customFormat="1" ht="13.35" customHeight="1" x14ac:dyDescent="0.25">
      <c r="A417" s="87"/>
      <c r="B417" s="87"/>
      <c r="C417" s="87"/>
      <c r="D417" s="87"/>
      <c r="E417" s="87"/>
      <c r="F417" s="87"/>
      <c r="G417" s="17"/>
      <c r="H417" s="17"/>
      <c r="I417" s="87"/>
      <c r="J417" s="87"/>
      <c r="K417" s="17"/>
      <c r="L417" s="88" t="s">
        <v>50</v>
      </c>
      <c r="M417" s="88"/>
      <c r="N417" s="89">
        <v>0</v>
      </c>
      <c r="O417" s="89"/>
    </row>
    <row r="418" spans="1:20" s="1" customFormat="1" ht="13.35" customHeight="1" x14ac:dyDescent="0.25">
      <c r="A418" s="87"/>
      <c r="B418" s="87"/>
      <c r="C418" s="87"/>
      <c r="D418" s="87"/>
      <c r="E418" s="87"/>
      <c r="F418" s="87"/>
      <c r="G418" s="17"/>
      <c r="H418" s="17"/>
      <c r="I418" s="87"/>
      <c r="J418" s="87"/>
      <c r="K418" s="17"/>
      <c r="L418" s="88" t="s">
        <v>51</v>
      </c>
      <c r="M418" s="88"/>
      <c r="N418" s="89">
        <v>0</v>
      </c>
      <c r="O418" s="89"/>
    </row>
    <row r="419" spans="1:20" s="1" customFormat="1" ht="72.45" customHeight="1" x14ac:dyDescent="0.25">
      <c r="J419" s="100" t="s">
        <v>0</v>
      </c>
      <c r="K419" s="100"/>
      <c r="L419" s="100"/>
      <c r="M419" s="100"/>
      <c r="N419" s="100"/>
      <c r="O419" s="100"/>
      <c r="P419" s="100"/>
      <c r="Q419" s="100"/>
      <c r="R419" s="100"/>
      <c r="S419" s="100"/>
      <c r="T419" s="100"/>
    </row>
    <row r="420" spans="1:20" s="1" customFormat="1" ht="7.05" customHeight="1" x14ac:dyDescent="0.25"/>
    <row r="421" spans="1:20" s="1" customFormat="1" ht="14.1" customHeight="1" x14ac:dyDescent="0.25">
      <c r="B421" s="101" t="s">
        <v>380</v>
      </c>
      <c r="C421" s="101"/>
      <c r="D421" s="101"/>
      <c r="E421" s="101"/>
      <c r="F421" s="101"/>
      <c r="G421" s="101"/>
      <c r="H421" s="101"/>
      <c r="I421" s="101"/>
      <c r="J421" s="101"/>
      <c r="K421" s="101"/>
      <c r="L421" s="101"/>
      <c r="M421" s="101"/>
      <c r="N421" s="101"/>
      <c r="O421" s="101"/>
      <c r="P421" s="101"/>
      <c r="Q421" s="101"/>
      <c r="R421" s="101"/>
    </row>
    <row r="422" spans="1:20" s="1" customFormat="1" ht="14.1" customHeight="1" x14ac:dyDescent="0.25"/>
    <row r="423" spans="1:20" s="1" customFormat="1" ht="14.1" customHeight="1" x14ac:dyDescent="0.25">
      <c r="A423" s="102" t="s">
        <v>2</v>
      </c>
      <c r="B423" s="102"/>
      <c r="C423" s="102"/>
      <c r="D423" s="103" t="s">
        <v>629</v>
      </c>
      <c r="E423" s="103"/>
      <c r="F423" s="103"/>
      <c r="G423" s="103"/>
      <c r="H423" s="103"/>
      <c r="I423" s="103"/>
      <c r="J423" s="103"/>
      <c r="K423" s="103"/>
      <c r="L423" s="103"/>
      <c r="M423" s="103"/>
      <c r="N423" s="103"/>
      <c r="O423" s="103"/>
      <c r="P423" s="103"/>
      <c r="Q423" s="103"/>
      <c r="R423" s="103"/>
      <c r="S423" s="103"/>
      <c r="T423" s="103"/>
    </row>
    <row r="424" spans="1:20" s="1" customFormat="1" ht="14.1" customHeight="1" x14ac:dyDescent="0.25">
      <c r="A424" s="102" t="s">
        <v>4</v>
      </c>
      <c r="B424" s="102"/>
      <c r="C424" s="103"/>
      <c r="D424" s="103"/>
      <c r="E424" s="103"/>
      <c r="F424" s="103"/>
      <c r="G424" s="103"/>
      <c r="H424" s="103"/>
      <c r="I424" s="103"/>
      <c r="J424" s="103"/>
      <c r="K424" s="103"/>
      <c r="L424" s="103"/>
      <c r="M424" s="103"/>
      <c r="N424" s="103"/>
      <c r="O424" s="103"/>
      <c r="P424" s="103"/>
      <c r="Q424" s="103"/>
      <c r="R424" s="103"/>
      <c r="S424" s="103"/>
      <c r="T424" s="103"/>
    </row>
    <row r="425" spans="1:20" s="1" customFormat="1" ht="14.1" customHeight="1" x14ac:dyDescent="0.25">
      <c r="A425" s="102" t="s">
        <v>6</v>
      </c>
      <c r="B425" s="102"/>
      <c r="C425" s="102"/>
      <c r="D425" s="102"/>
      <c r="E425" s="102"/>
      <c r="F425" s="103" t="s">
        <v>624</v>
      </c>
      <c r="G425" s="103"/>
      <c r="H425" s="103"/>
      <c r="I425" s="103"/>
      <c r="J425" s="103"/>
      <c r="K425" s="103"/>
      <c r="L425" s="103"/>
      <c r="M425" s="103"/>
      <c r="N425" s="103"/>
      <c r="O425" s="103"/>
      <c r="P425" s="103"/>
      <c r="Q425" s="103"/>
      <c r="R425" s="103"/>
      <c r="S425" s="103"/>
      <c r="T425" s="103"/>
    </row>
    <row r="426" spans="1:20" s="1" customFormat="1" ht="33.75" customHeight="1" x14ac:dyDescent="0.25">
      <c r="F426" s="103"/>
      <c r="G426" s="103"/>
      <c r="H426" s="103"/>
      <c r="I426" s="103"/>
      <c r="J426" s="103"/>
      <c r="K426" s="103"/>
      <c r="L426" s="103"/>
      <c r="M426" s="103"/>
      <c r="N426" s="103"/>
      <c r="O426" s="103"/>
      <c r="P426" s="103"/>
      <c r="Q426" s="103"/>
      <c r="R426" s="103"/>
      <c r="S426" s="103"/>
      <c r="T426" s="103"/>
    </row>
    <row r="427" spans="1:20" s="1" customFormat="1" ht="7.05" customHeight="1" x14ac:dyDescent="0.25">
      <c r="A427" s="86"/>
      <c r="B427" s="86"/>
      <c r="C427" s="86"/>
      <c r="D427" s="86"/>
      <c r="E427" s="86"/>
      <c r="F427" s="86"/>
      <c r="G427" s="86"/>
      <c r="H427" s="86"/>
      <c r="I427" s="86"/>
      <c r="J427" s="86"/>
      <c r="K427" s="86"/>
      <c r="L427" s="86"/>
      <c r="M427" s="86"/>
      <c r="N427" s="86"/>
      <c r="O427" s="86"/>
      <c r="P427" s="86"/>
      <c r="Q427" s="16"/>
      <c r="R427" s="86"/>
      <c r="S427" s="86"/>
      <c r="T427" s="86"/>
    </row>
    <row r="428" spans="1:20" s="1" customFormat="1" ht="16.95" customHeight="1" x14ac:dyDescent="0.25">
      <c r="A428" s="94" t="s">
        <v>8</v>
      </c>
      <c r="B428" s="94"/>
      <c r="C428" s="94"/>
      <c r="D428" s="94"/>
      <c r="E428" s="94"/>
      <c r="F428" s="94"/>
      <c r="G428" s="94"/>
      <c r="H428" s="94"/>
      <c r="I428" s="94"/>
      <c r="J428" s="94"/>
      <c r="K428" s="94"/>
      <c r="L428" s="94"/>
      <c r="M428" s="95" t="s">
        <v>9</v>
      </c>
      <c r="N428" s="95"/>
      <c r="O428" s="95"/>
      <c r="P428" s="95"/>
      <c r="Q428" s="95"/>
      <c r="R428" s="95"/>
      <c r="S428" s="95"/>
      <c r="T428" s="95"/>
    </row>
    <row r="429" spans="1:20" s="1" customFormat="1" ht="16.95" customHeight="1" x14ac:dyDescent="0.25">
      <c r="A429" s="94"/>
      <c r="B429" s="94"/>
      <c r="C429" s="94"/>
      <c r="D429" s="94"/>
      <c r="E429" s="94"/>
      <c r="F429" s="94"/>
      <c r="G429" s="94"/>
      <c r="H429" s="94"/>
      <c r="I429" s="94"/>
      <c r="J429" s="94"/>
      <c r="K429" s="94"/>
      <c r="L429" s="94"/>
      <c r="M429" s="96" t="s">
        <v>10</v>
      </c>
      <c r="N429" s="96"/>
      <c r="O429" s="96"/>
      <c r="P429" s="96"/>
      <c r="Q429" s="97" t="s">
        <v>11</v>
      </c>
      <c r="R429" s="97"/>
      <c r="S429" s="97"/>
      <c r="T429" s="97"/>
    </row>
    <row r="430" spans="1:20" s="1" customFormat="1" ht="16.95" customHeight="1" x14ac:dyDescent="0.25">
      <c r="A430" s="94"/>
      <c r="B430" s="94"/>
      <c r="C430" s="94"/>
      <c r="D430" s="94"/>
      <c r="E430" s="94"/>
      <c r="F430" s="94"/>
      <c r="G430" s="94"/>
      <c r="H430" s="94"/>
      <c r="I430" s="94"/>
      <c r="J430" s="94"/>
      <c r="K430" s="94"/>
      <c r="L430" s="94"/>
      <c r="M430" s="98" t="s">
        <v>12</v>
      </c>
      <c r="N430" s="98"/>
      <c r="O430" s="98" t="s">
        <v>13</v>
      </c>
      <c r="P430" s="98"/>
      <c r="Q430" s="13" t="s">
        <v>14</v>
      </c>
      <c r="R430" s="99" t="s">
        <v>15</v>
      </c>
      <c r="S430" s="99"/>
      <c r="T430" s="99"/>
    </row>
    <row r="431" spans="1:20" s="1" customFormat="1" ht="13.35" customHeight="1" x14ac:dyDescent="0.25">
      <c r="A431" s="88" t="s">
        <v>630</v>
      </c>
      <c r="B431" s="88"/>
      <c r="C431" s="88"/>
      <c r="D431" s="88"/>
      <c r="E431" s="88"/>
      <c r="F431" s="88"/>
      <c r="G431" s="88"/>
      <c r="H431" s="88"/>
      <c r="I431" s="88"/>
      <c r="J431" s="88"/>
      <c r="K431" s="88"/>
      <c r="L431" s="88"/>
      <c r="M431" s="88" t="s">
        <v>99</v>
      </c>
      <c r="N431" s="88"/>
      <c r="O431" s="88" t="s">
        <v>99</v>
      </c>
      <c r="P431" s="88"/>
      <c r="Q431" s="6" t="s">
        <v>68</v>
      </c>
      <c r="R431" s="88" t="s">
        <v>68</v>
      </c>
      <c r="S431" s="88"/>
      <c r="T431" s="88"/>
    </row>
    <row r="432" spans="1:20" s="1" customFormat="1" ht="14.1" customHeight="1" x14ac:dyDescent="0.25">
      <c r="A432" s="90" t="s">
        <v>626</v>
      </c>
      <c r="B432" s="90"/>
      <c r="C432" s="90"/>
      <c r="D432" s="90"/>
      <c r="E432" s="90"/>
      <c r="F432" s="90"/>
      <c r="G432" s="90"/>
      <c r="H432" s="90"/>
      <c r="I432" s="90"/>
      <c r="J432" s="90"/>
      <c r="K432" s="90"/>
      <c r="L432" s="90"/>
      <c r="M432" s="90"/>
      <c r="N432" s="90"/>
      <c r="O432" s="90"/>
      <c r="P432" s="90"/>
      <c r="Q432" s="90"/>
      <c r="R432" s="90"/>
      <c r="S432" s="90"/>
      <c r="T432" s="90"/>
    </row>
    <row r="433" spans="1:19" s="1" customFormat="1" ht="21.3" customHeight="1" x14ac:dyDescent="0.25"/>
    <row r="434" spans="1:19" s="1" customFormat="1" ht="14.1" customHeight="1" x14ac:dyDescent="0.25">
      <c r="A434" s="91" t="s">
        <v>33</v>
      </c>
      <c r="B434" s="91"/>
      <c r="C434" s="91"/>
      <c r="D434" s="91"/>
      <c r="E434" s="91"/>
      <c r="F434" s="91"/>
      <c r="G434" s="91"/>
      <c r="H434" s="91"/>
      <c r="I434" s="91"/>
      <c r="J434" s="91"/>
      <c r="K434" s="91"/>
      <c r="L434" s="91"/>
      <c r="M434" s="91"/>
      <c r="N434" s="91"/>
    </row>
    <row r="435" spans="1:19" s="1" customFormat="1" ht="13.35" customHeight="1" x14ac:dyDescent="0.25">
      <c r="A435" s="88" t="s">
        <v>34</v>
      </c>
      <c r="B435" s="88"/>
      <c r="C435" s="88"/>
      <c r="D435" s="88"/>
      <c r="E435" s="89">
        <v>2.65</v>
      </c>
      <c r="F435" s="89"/>
      <c r="G435" s="17"/>
      <c r="H435" s="6" t="s">
        <v>35</v>
      </c>
      <c r="I435" s="89">
        <v>7.0000000000000007E-2</v>
      </c>
      <c r="J435" s="89"/>
      <c r="K435" s="17"/>
      <c r="L435" s="88" t="s">
        <v>36</v>
      </c>
      <c r="M435" s="88"/>
      <c r="N435" s="89">
        <v>7.2</v>
      </c>
      <c r="O435" s="89"/>
    </row>
    <row r="436" spans="1:19" s="1" customFormat="1" ht="13.35" customHeight="1" x14ac:dyDescent="0.25">
      <c r="A436" s="88" t="s">
        <v>37</v>
      </c>
      <c r="B436" s="88"/>
      <c r="C436" s="88"/>
      <c r="D436" s="88"/>
      <c r="E436" s="89">
        <v>0.35</v>
      </c>
      <c r="F436" s="89"/>
      <c r="G436" s="17"/>
      <c r="H436" s="6" t="s">
        <v>38</v>
      </c>
      <c r="I436" s="89">
        <v>0</v>
      </c>
      <c r="J436" s="89"/>
      <c r="K436" s="17"/>
      <c r="L436" s="88" t="s">
        <v>39</v>
      </c>
      <c r="M436" s="88"/>
      <c r="N436" s="89">
        <v>7.6</v>
      </c>
      <c r="O436" s="89"/>
    </row>
    <row r="437" spans="1:19" s="1" customFormat="1" ht="13.35" customHeight="1" x14ac:dyDescent="0.25">
      <c r="A437" s="88" t="s">
        <v>40</v>
      </c>
      <c r="B437" s="88"/>
      <c r="C437" s="88"/>
      <c r="D437" s="88"/>
      <c r="E437" s="89">
        <v>16.96</v>
      </c>
      <c r="F437" s="89"/>
      <c r="G437" s="17"/>
      <c r="H437" s="6" t="s">
        <v>41</v>
      </c>
      <c r="I437" s="89">
        <v>0</v>
      </c>
      <c r="J437" s="89"/>
      <c r="K437" s="17"/>
      <c r="L437" s="88" t="s">
        <v>42</v>
      </c>
      <c r="M437" s="88"/>
      <c r="N437" s="89">
        <v>34.799999999999997</v>
      </c>
      <c r="O437" s="89"/>
    </row>
    <row r="438" spans="1:19" s="1" customFormat="1" ht="13.35" customHeight="1" x14ac:dyDescent="0.25">
      <c r="A438" s="88" t="s">
        <v>43</v>
      </c>
      <c r="B438" s="88"/>
      <c r="C438" s="88"/>
      <c r="D438" s="88"/>
      <c r="E438" s="89">
        <v>81.58</v>
      </c>
      <c r="F438" s="89"/>
      <c r="G438" s="17"/>
      <c r="H438" s="6" t="s">
        <v>44</v>
      </c>
      <c r="I438" s="89">
        <v>0.88</v>
      </c>
      <c r="J438" s="89"/>
      <c r="K438" s="17"/>
      <c r="L438" s="88" t="s">
        <v>45</v>
      </c>
      <c r="M438" s="88"/>
      <c r="N438" s="89">
        <v>1.6</v>
      </c>
      <c r="O438" s="89"/>
    </row>
    <row r="439" spans="1:19" s="1" customFormat="1" ht="13.35" customHeight="1" x14ac:dyDescent="0.25">
      <c r="A439" s="87"/>
      <c r="B439" s="87"/>
      <c r="C439" s="87"/>
      <c r="D439" s="87"/>
      <c r="E439" s="87"/>
      <c r="F439" s="87"/>
      <c r="G439" s="17"/>
      <c r="H439" s="6" t="s">
        <v>46</v>
      </c>
      <c r="I439" s="89">
        <v>0</v>
      </c>
      <c r="J439" s="89"/>
      <c r="K439" s="17"/>
      <c r="L439" s="88" t="s">
        <v>47</v>
      </c>
      <c r="M439" s="88"/>
      <c r="N439" s="89">
        <v>54.4</v>
      </c>
      <c r="O439" s="89"/>
    </row>
    <row r="440" spans="1:19" s="1" customFormat="1" ht="13.35" customHeight="1" x14ac:dyDescent="0.25">
      <c r="A440" s="87"/>
      <c r="B440" s="87"/>
      <c r="C440" s="87"/>
      <c r="D440" s="87"/>
      <c r="E440" s="87"/>
      <c r="F440" s="87"/>
      <c r="G440" s="17"/>
      <c r="H440" s="6" t="s">
        <v>48</v>
      </c>
      <c r="I440" s="89">
        <v>0.03</v>
      </c>
      <c r="J440" s="89"/>
      <c r="K440" s="17"/>
      <c r="L440" s="88" t="s">
        <v>49</v>
      </c>
      <c r="M440" s="88"/>
      <c r="N440" s="89">
        <v>2.2400000000000002</v>
      </c>
      <c r="O440" s="89"/>
    </row>
    <row r="441" spans="1:19" s="1" customFormat="1" ht="13.35" customHeight="1" x14ac:dyDescent="0.25">
      <c r="A441" s="87"/>
      <c r="B441" s="87"/>
      <c r="C441" s="87"/>
      <c r="D441" s="87"/>
      <c r="E441" s="87"/>
      <c r="F441" s="87"/>
      <c r="G441" s="17"/>
      <c r="H441" s="17"/>
      <c r="I441" s="87"/>
      <c r="J441" s="87"/>
      <c r="K441" s="17"/>
      <c r="L441" s="88" t="s">
        <v>50</v>
      </c>
      <c r="M441" s="88"/>
      <c r="N441" s="89">
        <v>0</v>
      </c>
      <c r="O441" s="89"/>
    </row>
    <row r="442" spans="1:19" s="1" customFormat="1" ht="13.35" customHeight="1" x14ac:dyDescent="0.25">
      <c r="A442" s="87"/>
      <c r="B442" s="87"/>
      <c r="C442" s="87"/>
      <c r="D442" s="87"/>
      <c r="E442" s="87"/>
      <c r="F442" s="87"/>
      <c r="G442" s="17"/>
      <c r="H442" s="17"/>
      <c r="I442" s="87"/>
      <c r="J442" s="87"/>
      <c r="K442" s="17"/>
      <c r="L442" s="88" t="s">
        <v>51</v>
      </c>
      <c r="M442" s="88"/>
      <c r="N442" s="89">
        <v>0</v>
      </c>
      <c r="O442" s="89"/>
    </row>
    <row r="443" spans="1:19" s="1" customFormat="1" ht="14.1" customHeight="1" x14ac:dyDescent="0.25">
      <c r="A443" s="86"/>
      <c r="B443" s="86"/>
      <c r="C443" s="86"/>
      <c r="D443" s="86"/>
      <c r="E443" s="86"/>
      <c r="F443" s="86"/>
      <c r="G443" s="86"/>
      <c r="H443" s="86"/>
      <c r="I443" s="86"/>
      <c r="J443" s="86"/>
      <c r="K443" s="86"/>
      <c r="L443" s="86"/>
      <c r="M443" s="86"/>
      <c r="N443" s="86"/>
      <c r="O443" s="86"/>
      <c r="P443" s="86"/>
      <c r="Q443" s="86"/>
      <c r="R443" s="86"/>
      <c r="S443" s="86"/>
    </row>
    <row r="444" spans="1:19" s="1" customFormat="1" ht="14.1" customHeight="1" x14ac:dyDescent="0.25">
      <c r="A444" s="84" t="s">
        <v>52</v>
      </c>
      <c r="B444" s="84"/>
      <c r="C444" s="84"/>
      <c r="D444" s="84"/>
      <c r="E444" s="84"/>
      <c r="F444" s="84"/>
      <c r="G444" s="84"/>
      <c r="H444" s="84"/>
      <c r="I444" s="84"/>
      <c r="J444" s="84"/>
      <c r="K444" s="84"/>
      <c r="L444" s="84"/>
      <c r="M444" s="84"/>
      <c r="N444" s="84"/>
      <c r="O444" s="84"/>
      <c r="P444" s="84"/>
      <c r="Q444" s="84"/>
      <c r="R444" s="84"/>
      <c r="S444" s="84"/>
    </row>
    <row r="445" spans="1:19" s="1" customFormat="1" ht="12.15" customHeight="1" x14ac:dyDescent="0.25">
      <c r="A445" s="85" t="s">
        <v>632</v>
      </c>
      <c r="B445" s="85"/>
      <c r="C445" s="85"/>
      <c r="D445" s="85"/>
      <c r="E445" s="85"/>
      <c r="F445" s="85"/>
      <c r="G445" s="85"/>
      <c r="H445" s="85"/>
      <c r="I445" s="85"/>
      <c r="J445" s="85"/>
      <c r="K445" s="85"/>
      <c r="L445" s="85"/>
      <c r="M445" s="85"/>
      <c r="N445" s="85"/>
      <c r="O445" s="85"/>
      <c r="P445" s="85"/>
      <c r="Q445" s="85"/>
      <c r="R445" s="85"/>
      <c r="S445" s="85"/>
    </row>
  </sheetData>
  <mergeCells count="1105">
    <mergeCell ref="A443:S443"/>
    <mergeCell ref="A444:S444"/>
    <mergeCell ref="A445:S445"/>
    <mergeCell ref="A441:D441"/>
    <mergeCell ref="E441:F441"/>
    <mergeCell ref="I441:J441"/>
    <mergeCell ref="L441:M441"/>
    <mergeCell ref="N441:O441"/>
    <mergeCell ref="A442:D442"/>
    <mergeCell ref="E442:F442"/>
    <mergeCell ref="I442:J442"/>
    <mergeCell ref="L442:M442"/>
    <mergeCell ref="N442:O442"/>
    <mergeCell ref="A439:D439"/>
    <mergeCell ref="E439:F439"/>
    <mergeCell ref="I439:J439"/>
    <mergeCell ref="L439:M439"/>
    <mergeCell ref="N439:O439"/>
    <mergeCell ref="A440:D440"/>
    <mergeCell ref="E440:F440"/>
    <mergeCell ref="I440:J440"/>
    <mergeCell ref="L440:M440"/>
    <mergeCell ref="N440:O440"/>
    <mergeCell ref="A437:D437"/>
    <mergeCell ref="E437:F437"/>
    <mergeCell ref="I437:J437"/>
    <mergeCell ref="L437:M437"/>
    <mergeCell ref="N437:O437"/>
    <mergeCell ref="A438:D438"/>
    <mergeCell ref="E438:F438"/>
    <mergeCell ref="I438:J438"/>
    <mergeCell ref="L438:M438"/>
    <mergeCell ref="N438:O438"/>
    <mergeCell ref="A435:D435"/>
    <mergeCell ref="E435:F435"/>
    <mergeCell ref="I435:J435"/>
    <mergeCell ref="L435:M435"/>
    <mergeCell ref="N435:O435"/>
    <mergeCell ref="A436:D436"/>
    <mergeCell ref="E436:F436"/>
    <mergeCell ref="I436:J436"/>
    <mergeCell ref="L436:M436"/>
    <mergeCell ref="N436:O436"/>
    <mergeCell ref="A431:L431"/>
    <mergeCell ref="M431:N431"/>
    <mergeCell ref="O431:P431"/>
    <mergeCell ref="R431:T431"/>
    <mergeCell ref="A432:T432"/>
    <mergeCell ref="A434:N434"/>
    <mergeCell ref="A428:L430"/>
    <mergeCell ref="M428:T428"/>
    <mergeCell ref="M429:P429"/>
    <mergeCell ref="Q429:T429"/>
    <mergeCell ref="M430:N430"/>
    <mergeCell ref="O430:P430"/>
    <mergeCell ref="R430:T430"/>
    <mergeCell ref="A425:E425"/>
    <mergeCell ref="F425:T426"/>
    <mergeCell ref="A427:L427"/>
    <mergeCell ref="M427:N427"/>
    <mergeCell ref="O427:P427"/>
    <mergeCell ref="R427:T427"/>
    <mergeCell ref="J419:T419"/>
    <mergeCell ref="B421:R421"/>
    <mergeCell ref="A423:C423"/>
    <mergeCell ref="D423:T423"/>
    <mergeCell ref="A424:B424"/>
    <mergeCell ref="C424:T424"/>
    <mergeCell ref="A417:D417"/>
    <mergeCell ref="E417:F417"/>
    <mergeCell ref="I417:J417"/>
    <mergeCell ref="L417:M417"/>
    <mergeCell ref="N417:O417"/>
    <mergeCell ref="A418:D418"/>
    <mergeCell ref="E418:F418"/>
    <mergeCell ref="I418:J418"/>
    <mergeCell ref="L418:M418"/>
    <mergeCell ref="N418:O418"/>
    <mergeCell ref="A415:D415"/>
    <mergeCell ref="E415:F415"/>
    <mergeCell ref="I415:J415"/>
    <mergeCell ref="L415:M415"/>
    <mergeCell ref="N415:O415"/>
    <mergeCell ref="A416:D416"/>
    <mergeCell ref="E416:F416"/>
    <mergeCell ref="I416:J416"/>
    <mergeCell ref="L416:M416"/>
    <mergeCell ref="N416:O416"/>
    <mergeCell ref="A413:D413"/>
    <mergeCell ref="E413:F413"/>
    <mergeCell ref="I413:J413"/>
    <mergeCell ref="L413:M413"/>
    <mergeCell ref="N413:O413"/>
    <mergeCell ref="A414:D414"/>
    <mergeCell ref="E414:F414"/>
    <mergeCell ref="I414:J414"/>
    <mergeCell ref="L414:M414"/>
    <mergeCell ref="N414:O414"/>
    <mergeCell ref="A411:D411"/>
    <mergeCell ref="E411:F411"/>
    <mergeCell ref="I411:J411"/>
    <mergeCell ref="L411:M411"/>
    <mergeCell ref="N411:O411"/>
    <mergeCell ref="A412:D412"/>
    <mergeCell ref="E412:F412"/>
    <mergeCell ref="I412:J412"/>
    <mergeCell ref="L412:M412"/>
    <mergeCell ref="N412:O412"/>
    <mergeCell ref="A407:L407"/>
    <mergeCell ref="M407:N407"/>
    <mergeCell ref="O407:P407"/>
    <mergeCell ref="R407:T407"/>
    <mergeCell ref="A408:T408"/>
    <mergeCell ref="A410:N410"/>
    <mergeCell ref="A404:L406"/>
    <mergeCell ref="M404:T404"/>
    <mergeCell ref="M405:P405"/>
    <mergeCell ref="Q405:T405"/>
    <mergeCell ref="M406:N406"/>
    <mergeCell ref="O406:P406"/>
    <mergeCell ref="R406:T406"/>
    <mergeCell ref="A400:B400"/>
    <mergeCell ref="C400:T400"/>
    <mergeCell ref="A401:E401"/>
    <mergeCell ref="F401:T402"/>
    <mergeCell ref="A403:L403"/>
    <mergeCell ref="M403:N403"/>
    <mergeCell ref="O403:P403"/>
    <mergeCell ref="R403:T403"/>
    <mergeCell ref="A392:S392"/>
    <mergeCell ref="A393:S393"/>
    <mergeCell ref="A394:S394"/>
    <mergeCell ref="J395:T395"/>
    <mergeCell ref="B397:R397"/>
    <mergeCell ref="A399:C399"/>
    <mergeCell ref="D399:T399"/>
    <mergeCell ref="A390:D390"/>
    <mergeCell ref="E390:F390"/>
    <mergeCell ref="I390:J390"/>
    <mergeCell ref="L390:M390"/>
    <mergeCell ref="N390:O390"/>
    <mergeCell ref="A391:D391"/>
    <mergeCell ref="E391:F391"/>
    <mergeCell ref="I391:J391"/>
    <mergeCell ref="L391:M391"/>
    <mergeCell ref="N391:O391"/>
    <mergeCell ref="A388:D388"/>
    <mergeCell ref="E388:F388"/>
    <mergeCell ref="I388:J388"/>
    <mergeCell ref="L388:M388"/>
    <mergeCell ref="N388:O388"/>
    <mergeCell ref="A389:D389"/>
    <mergeCell ref="E389:F389"/>
    <mergeCell ref="I389:J389"/>
    <mergeCell ref="L389:M389"/>
    <mergeCell ref="N389:O389"/>
    <mergeCell ref="A386:D386"/>
    <mergeCell ref="E386:F386"/>
    <mergeCell ref="I386:J386"/>
    <mergeCell ref="L386:M386"/>
    <mergeCell ref="N386:O386"/>
    <mergeCell ref="A387:D387"/>
    <mergeCell ref="E387:F387"/>
    <mergeCell ref="I387:J387"/>
    <mergeCell ref="L387:M387"/>
    <mergeCell ref="N387:O387"/>
    <mergeCell ref="A384:D384"/>
    <mergeCell ref="E384:F384"/>
    <mergeCell ref="I384:J384"/>
    <mergeCell ref="L384:M384"/>
    <mergeCell ref="N384:O384"/>
    <mergeCell ref="A385:D385"/>
    <mergeCell ref="E385:F385"/>
    <mergeCell ref="I385:J385"/>
    <mergeCell ref="L385:M385"/>
    <mergeCell ref="N385:O385"/>
    <mergeCell ref="A380:L380"/>
    <mergeCell ref="M380:N380"/>
    <mergeCell ref="O380:P380"/>
    <mergeCell ref="R380:T380"/>
    <mergeCell ref="A381:T381"/>
    <mergeCell ref="A383:N383"/>
    <mergeCell ref="A377:L379"/>
    <mergeCell ref="M377:T377"/>
    <mergeCell ref="M378:P378"/>
    <mergeCell ref="Q378:T378"/>
    <mergeCell ref="M379:N379"/>
    <mergeCell ref="O379:P379"/>
    <mergeCell ref="R379:T379"/>
    <mergeCell ref="A373:B373"/>
    <mergeCell ref="C373:T373"/>
    <mergeCell ref="A374:E374"/>
    <mergeCell ref="F374:T375"/>
    <mergeCell ref="A376:L376"/>
    <mergeCell ref="M376:N376"/>
    <mergeCell ref="O376:P376"/>
    <mergeCell ref="R376:T376"/>
    <mergeCell ref="A365:S365"/>
    <mergeCell ref="A366:S366"/>
    <mergeCell ref="A367:S367"/>
    <mergeCell ref="J368:T368"/>
    <mergeCell ref="B370:R370"/>
    <mergeCell ref="A372:C372"/>
    <mergeCell ref="D372:T372"/>
    <mergeCell ref="A363:D363"/>
    <mergeCell ref="E363:F363"/>
    <mergeCell ref="I363:J363"/>
    <mergeCell ref="L363:M363"/>
    <mergeCell ref="N363:O363"/>
    <mergeCell ref="A364:D364"/>
    <mergeCell ref="E364:F364"/>
    <mergeCell ref="I364:J364"/>
    <mergeCell ref="L364:M364"/>
    <mergeCell ref="N364:O364"/>
    <mergeCell ref="A361:D361"/>
    <mergeCell ref="E361:F361"/>
    <mergeCell ref="I361:J361"/>
    <mergeCell ref="L361:M361"/>
    <mergeCell ref="N361:O361"/>
    <mergeCell ref="A362:D362"/>
    <mergeCell ref="E362:F362"/>
    <mergeCell ref="I362:J362"/>
    <mergeCell ref="L362:M362"/>
    <mergeCell ref="N362:O362"/>
    <mergeCell ref="A359:D359"/>
    <mergeCell ref="E359:F359"/>
    <mergeCell ref="I359:J359"/>
    <mergeCell ref="L359:M359"/>
    <mergeCell ref="N359:O359"/>
    <mergeCell ref="A360:D360"/>
    <mergeCell ref="E360:F360"/>
    <mergeCell ref="I360:J360"/>
    <mergeCell ref="L360:M360"/>
    <mergeCell ref="N360:O360"/>
    <mergeCell ref="A357:D357"/>
    <mergeCell ref="E357:F357"/>
    <mergeCell ref="I357:J357"/>
    <mergeCell ref="L357:M357"/>
    <mergeCell ref="N357:O357"/>
    <mergeCell ref="A358:D358"/>
    <mergeCell ref="E358:F358"/>
    <mergeCell ref="I358:J358"/>
    <mergeCell ref="L358:M358"/>
    <mergeCell ref="N358:O358"/>
    <mergeCell ref="A353:L353"/>
    <mergeCell ref="M353:N353"/>
    <mergeCell ref="O353:P353"/>
    <mergeCell ref="R353:T353"/>
    <mergeCell ref="A354:T354"/>
    <mergeCell ref="A356:N356"/>
    <mergeCell ref="A350:L352"/>
    <mergeCell ref="M350:T350"/>
    <mergeCell ref="M351:P351"/>
    <mergeCell ref="Q351:T351"/>
    <mergeCell ref="M352:N352"/>
    <mergeCell ref="O352:P352"/>
    <mergeCell ref="R352:T352"/>
    <mergeCell ref="A346:B346"/>
    <mergeCell ref="C346:T346"/>
    <mergeCell ref="A347:E347"/>
    <mergeCell ref="F347:T348"/>
    <mergeCell ref="A349:L349"/>
    <mergeCell ref="M349:N349"/>
    <mergeCell ref="O349:P349"/>
    <mergeCell ref="R349:T349"/>
    <mergeCell ref="A338:S338"/>
    <mergeCell ref="A339:S339"/>
    <mergeCell ref="A340:S340"/>
    <mergeCell ref="J341:T341"/>
    <mergeCell ref="B343:R343"/>
    <mergeCell ref="A345:C345"/>
    <mergeCell ref="D345:T345"/>
    <mergeCell ref="A336:D336"/>
    <mergeCell ref="E336:F336"/>
    <mergeCell ref="I336:J336"/>
    <mergeCell ref="L336:M336"/>
    <mergeCell ref="N336:O336"/>
    <mergeCell ref="A337:D337"/>
    <mergeCell ref="E337:F337"/>
    <mergeCell ref="I337:J337"/>
    <mergeCell ref="L337:M337"/>
    <mergeCell ref="N337:O337"/>
    <mergeCell ref="A334:D334"/>
    <mergeCell ref="E334:F334"/>
    <mergeCell ref="I334:J334"/>
    <mergeCell ref="L334:M334"/>
    <mergeCell ref="N334:O334"/>
    <mergeCell ref="A335:D335"/>
    <mergeCell ref="E335:F335"/>
    <mergeCell ref="I335:J335"/>
    <mergeCell ref="L335:M335"/>
    <mergeCell ref="N335:O335"/>
    <mergeCell ref="A332:D332"/>
    <mergeCell ref="E332:F332"/>
    <mergeCell ref="I332:J332"/>
    <mergeCell ref="L332:M332"/>
    <mergeCell ref="N332:O332"/>
    <mergeCell ref="A333:D333"/>
    <mergeCell ref="E333:F333"/>
    <mergeCell ref="I333:J333"/>
    <mergeCell ref="L333:M333"/>
    <mergeCell ref="N333:O333"/>
    <mergeCell ref="A330:D330"/>
    <mergeCell ref="E330:F330"/>
    <mergeCell ref="I330:J330"/>
    <mergeCell ref="L330:M330"/>
    <mergeCell ref="N330:O330"/>
    <mergeCell ref="A331:D331"/>
    <mergeCell ref="E331:F331"/>
    <mergeCell ref="I331:J331"/>
    <mergeCell ref="L331:M331"/>
    <mergeCell ref="N331:O331"/>
    <mergeCell ref="A326:L326"/>
    <mergeCell ref="M326:N326"/>
    <mergeCell ref="O326:P326"/>
    <mergeCell ref="R326:T326"/>
    <mergeCell ref="A327:T327"/>
    <mergeCell ref="A329:N329"/>
    <mergeCell ref="A323:L325"/>
    <mergeCell ref="M323:T323"/>
    <mergeCell ref="M324:P324"/>
    <mergeCell ref="Q324:T324"/>
    <mergeCell ref="M325:N325"/>
    <mergeCell ref="O325:P325"/>
    <mergeCell ref="R325:T325"/>
    <mergeCell ref="A319:B319"/>
    <mergeCell ref="C319:T319"/>
    <mergeCell ref="A320:E320"/>
    <mergeCell ref="F320:T321"/>
    <mergeCell ref="A322:L322"/>
    <mergeCell ref="M322:N322"/>
    <mergeCell ref="O322:P322"/>
    <mergeCell ref="R322:T322"/>
    <mergeCell ref="A311:S311"/>
    <mergeCell ref="A312:S312"/>
    <mergeCell ref="A313:S313"/>
    <mergeCell ref="J314:T314"/>
    <mergeCell ref="B316:R316"/>
    <mergeCell ref="A318:C318"/>
    <mergeCell ref="D318:T318"/>
    <mergeCell ref="A309:D309"/>
    <mergeCell ref="E309:F309"/>
    <mergeCell ref="I309:J309"/>
    <mergeCell ref="L309:M309"/>
    <mergeCell ref="N309:O309"/>
    <mergeCell ref="A310:D310"/>
    <mergeCell ref="E310:F310"/>
    <mergeCell ref="I310:J310"/>
    <mergeCell ref="L310:M310"/>
    <mergeCell ref="N310:O310"/>
    <mergeCell ref="A307:D307"/>
    <mergeCell ref="E307:F307"/>
    <mergeCell ref="I307:J307"/>
    <mergeCell ref="L307:M307"/>
    <mergeCell ref="N307:O307"/>
    <mergeCell ref="A308:D308"/>
    <mergeCell ref="E308:F308"/>
    <mergeCell ref="I308:J308"/>
    <mergeCell ref="L308:M308"/>
    <mergeCell ref="N308:O308"/>
    <mergeCell ref="A305:D305"/>
    <mergeCell ref="E305:F305"/>
    <mergeCell ref="I305:J305"/>
    <mergeCell ref="L305:M305"/>
    <mergeCell ref="N305:O305"/>
    <mergeCell ref="A306:D306"/>
    <mergeCell ref="E306:F306"/>
    <mergeCell ref="I306:J306"/>
    <mergeCell ref="L306:M306"/>
    <mergeCell ref="N306:O306"/>
    <mergeCell ref="A303:D303"/>
    <mergeCell ref="E303:F303"/>
    <mergeCell ref="I303:J303"/>
    <mergeCell ref="L303:M303"/>
    <mergeCell ref="N303:O303"/>
    <mergeCell ref="A304:D304"/>
    <mergeCell ref="E304:F304"/>
    <mergeCell ref="I304:J304"/>
    <mergeCell ref="L304:M304"/>
    <mergeCell ref="N304:O304"/>
    <mergeCell ref="A299:L299"/>
    <mergeCell ref="M299:N299"/>
    <mergeCell ref="O299:P299"/>
    <mergeCell ref="R299:T299"/>
    <mergeCell ref="A300:T300"/>
    <mergeCell ref="A302:N302"/>
    <mergeCell ref="A296:L298"/>
    <mergeCell ref="M296:T296"/>
    <mergeCell ref="M297:P297"/>
    <mergeCell ref="Q297:T297"/>
    <mergeCell ref="M298:N298"/>
    <mergeCell ref="O298:P298"/>
    <mergeCell ref="R298:T298"/>
    <mergeCell ref="A293:E293"/>
    <mergeCell ref="F293:T294"/>
    <mergeCell ref="A295:L295"/>
    <mergeCell ref="M295:N295"/>
    <mergeCell ref="O295:P295"/>
    <mergeCell ref="R295:T295"/>
    <mergeCell ref="J287:T287"/>
    <mergeCell ref="B289:R289"/>
    <mergeCell ref="A291:C291"/>
    <mergeCell ref="D291:T291"/>
    <mergeCell ref="A292:B292"/>
    <mergeCell ref="C292:T292"/>
    <mergeCell ref="A285:D285"/>
    <mergeCell ref="E285:F285"/>
    <mergeCell ref="I285:J285"/>
    <mergeCell ref="L285:M285"/>
    <mergeCell ref="N285:O285"/>
    <mergeCell ref="A286:D286"/>
    <mergeCell ref="E286:F286"/>
    <mergeCell ref="I286:J286"/>
    <mergeCell ref="L286:M286"/>
    <mergeCell ref="N286:O286"/>
    <mergeCell ref="A283:D283"/>
    <mergeCell ref="E283:F283"/>
    <mergeCell ref="I283:J283"/>
    <mergeCell ref="L283:M283"/>
    <mergeCell ref="N283:O283"/>
    <mergeCell ref="A284:D284"/>
    <mergeCell ref="E284:F284"/>
    <mergeCell ref="I284:J284"/>
    <mergeCell ref="L284:M284"/>
    <mergeCell ref="N284:O284"/>
    <mergeCell ref="A281:D281"/>
    <mergeCell ref="E281:F281"/>
    <mergeCell ref="I281:J281"/>
    <mergeCell ref="L281:M281"/>
    <mergeCell ref="N281:O281"/>
    <mergeCell ref="A282:D282"/>
    <mergeCell ref="E282:F282"/>
    <mergeCell ref="I282:J282"/>
    <mergeCell ref="L282:M282"/>
    <mergeCell ref="N282:O282"/>
    <mergeCell ref="A279:D279"/>
    <mergeCell ref="E279:F279"/>
    <mergeCell ref="I279:J279"/>
    <mergeCell ref="L279:M279"/>
    <mergeCell ref="N279:O279"/>
    <mergeCell ref="A280:D280"/>
    <mergeCell ref="E280:F280"/>
    <mergeCell ref="I280:J280"/>
    <mergeCell ref="L280:M280"/>
    <mergeCell ref="N280:O280"/>
    <mergeCell ref="A275:L275"/>
    <mergeCell ref="M275:N275"/>
    <mergeCell ref="O275:P275"/>
    <mergeCell ref="R275:T275"/>
    <mergeCell ref="A276:T276"/>
    <mergeCell ref="A278:N278"/>
    <mergeCell ref="A272:L274"/>
    <mergeCell ref="M272:T272"/>
    <mergeCell ref="M273:P273"/>
    <mergeCell ref="Q273:T273"/>
    <mergeCell ref="M274:N274"/>
    <mergeCell ref="O274:P274"/>
    <mergeCell ref="R274:T274"/>
    <mergeCell ref="A269:E269"/>
    <mergeCell ref="F269:T270"/>
    <mergeCell ref="A271:L271"/>
    <mergeCell ref="M271:N271"/>
    <mergeCell ref="O271:P271"/>
    <mergeCell ref="R271:T271"/>
    <mergeCell ref="J263:T263"/>
    <mergeCell ref="B265:R265"/>
    <mergeCell ref="A267:C267"/>
    <mergeCell ref="D267:T267"/>
    <mergeCell ref="A268:B268"/>
    <mergeCell ref="C268:T268"/>
    <mergeCell ref="A256:S256"/>
    <mergeCell ref="A257:S257"/>
    <mergeCell ref="A258:S258"/>
    <mergeCell ref="A259:S259"/>
    <mergeCell ref="A260:S260"/>
    <mergeCell ref="A261:S261"/>
    <mergeCell ref="A254:D254"/>
    <mergeCell ref="E254:F254"/>
    <mergeCell ref="I254:J254"/>
    <mergeCell ref="L254:M254"/>
    <mergeCell ref="N254:O254"/>
    <mergeCell ref="A255:D255"/>
    <mergeCell ref="E255:F255"/>
    <mergeCell ref="I255:J255"/>
    <mergeCell ref="L255:M255"/>
    <mergeCell ref="N255:O255"/>
    <mergeCell ref="A252:D252"/>
    <mergeCell ref="E252:F252"/>
    <mergeCell ref="I252:J252"/>
    <mergeCell ref="L252:M252"/>
    <mergeCell ref="N252:O252"/>
    <mergeCell ref="A253:D253"/>
    <mergeCell ref="E253:F253"/>
    <mergeCell ref="I253:J253"/>
    <mergeCell ref="L253:M253"/>
    <mergeCell ref="N253:O253"/>
    <mergeCell ref="A250:D250"/>
    <mergeCell ref="E250:F250"/>
    <mergeCell ref="I250:J250"/>
    <mergeCell ref="L250:M250"/>
    <mergeCell ref="N250:O250"/>
    <mergeCell ref="A251:D251"/>
    <mergeCell ref="E251:F251"/>
    <mergeCell ref="I251:J251"/>
    <mergeCell ref="L251:M251"/>
    <mergeCell ref="N251:O251"/>
    <mergeCell ref="A248:D248"/>
    <mergeCell ref="E248:F248"/>
    <mergeCell ref="I248:J248"/>
    <mergeCell ref="L248:M248"/>
    <mergeCell ref="N248:O248"/>
    <mergeCell ref="A249:D249"/>
    <mergeCell ref="E249:F249"/>
    <mergeCell ref="I249:J249"/>
    <mergeCell ref="L249:M249"/>
    <mergeCell ref="N249:O249"/>
    <mergeCell ref="A244:L244"/>
    <mergeCell ref="M244:N244"/>
    <mergeCell ref="O244:P244"/>
    <mergeCell ref="R244:T244"/>
    <mergeCell ref="A245:T245"/>
    <mergeCell ref="A247:N247"/>
    <mergeCell ref="A241:L243"/>
    <mergeCell ref="M241:T241"/>
    <mergeCell ref="M242:P242"/>
    <mergeCell ref="Q242:T242"/>
    <mergeCell ref="M243:N243"/>
    <mergeCell ref="O243:P243"/>
    <mergeCell ref="R243:T243"/>
    <mergeCell ref="A237:B237"/>
    <mergeCell ref="C237:T237"/>
    <mergeCell ref="A238:E238"/>
    <mergeCell ref="F238:T239"/>
    <mergeCell ref="A240:L240"/>
    <mergeCell ref="M240:N240"/>
    <mergeCell ref="O240:P240"/>
    <mergeCell ref="R240:T240"/>
    <mergeCell ref="A228:S228"/>
    <mergeCell ref="A229:S229"/>
    <mergeCell ref="J232:T232"/>
    <mergeCell ref="B234:R234"/>
    <mergeCell ref="A236:C236"/>
    <mergeCell ref="D236:T236"/>
    <mergeCell ref="A222:S222"/>
    <mergeCell ref="A223:S223"/>
    <mergeCell ref="A224:S224"/>
    <mergeCell ref="A225:S225"/>
    <mergeCell ref="A226:S226"/>
    <mergeCell ref="A227:S227"/>
    <mergeCell ref="A220:D220"/>
    <mergeCell ref="E220:F220"/>
    <mergeCell ref="I220:J220"/>
    <mergeCell ref="L220:M220"/>
    <mergeCell ref="N220:O220"/>
    <mergeCell ref="A221:S221"/>
    <mergeCell ref="A218:D218"/>
    <mergeCell ref="E218:F218"/>
    <mergeCell ref="I218:J218"/>
    <mergeCell ref="L218:M218"/>
    <mergeCell ref="N218:O218"/>
    <mergeCell ref="A219:D219"/>
    <mergeCell ref="E219:F219"/>
    <mergeCell ref="I219:J219"/>
    <mergeCell ref="L219:M219"/>
    <mergeCell ref="N219:O219"/>
    <mergeCell ref="A216:D216"/>
    <mergeCell ref="E216:F216"/>
    <mergeCell ref="I216:J216"/>
    <mergeCell ref="L216:M216"/>
    <mergeCell ref="N216:O216"/>
    <mergeCell ref="A217:D217"/>
    <mergeCell ref="E217:F217"/>
    <mergeCell ref="I217:J217"/>
    <mergeCell ref="L217:M217"/>
    <mergeCell ref="N217:O217"/>
    <mergeCell ref="A214:D214"/>
    <mergeCell ref="E214:F214"/>
    <mergeCell ref="I214:J214"/>
    <mergeCell ref="L214:M214"/>
    <mergeCell ref="N214:O214"/>
    <mergeCell ref="A215:D215"/>
    <mergeCell ref="E215:F215"/>
    <mergeCell ref="I215:J215"/>
    <mergeCell ref="L215:M215"/>
    <mergeCell ref="N215:O215"/>
    <mergeCell ref="A210:T210"/>
    <mergeCell ref="A212:N212"/>
    <mergeCell ref="A213:D213"/>
    <mergeCell ref="E213:F213"/>
    <mergeCell ref="I213:J213"/>
    <mergeCell ref="L213:M213"/>
    <mergeCell ref="N213:O213"/>
    <mergeCell ref="A208:L208"/>
    <mergeCell ref="M208:N208"/>
    <mergeCell ref="O208:P208"/>
    <mergeCell ref="R208:T208"/>
    <mergeCell ref="A209:L209"/>
    <mergeCell ref="M209:N209"/>
    <mergeCell ref="O209:P209"/>
    <mergeCell ref="R209:T209"/>
    <mergeCell ref="A206:L206"/>
    <mergeCell ref="M206:N206"/>
    <mergeCell ref="O206:P206"/>
    <mergeCell ref="R206:T206"/>
    <mergeCell ref="A207:L207"/>
    <mergeCell ref="M207:N207"/>
    <mergeCell ref="O207:P207"/>
    <mergeCell ref="R207:T207"/>
    <mergeCell ref="A204:L204"/>
    <mergeCell ref="M204:N204"/>
    <mergeCell ref="O204:P204"/>
    <mergeCell ref="R204:T204"/>
    <mergeCell ref="A205:L205"/>
    <mergeCell ref="M205:N205"/>
    <mergeCell ref="O205:P205"/>
    <mergeCell ref="R205:T205"/>
    <mergeCell ref="A202:L202"/>
    <mergeCell ref="M202:N202"/>
    <mergeCell ref="O202:P202"/>
    <mergeCell ref="R202:T202"/>
    <mergeCell ref="A203:L203"/>
    <mergeCell ref="M203:N203"/>
    <mergeCell ref="O203:P203"/>
    <mergeCell ref="R203:T203"/>
    <mergeCell ref="A200:L200"/>
    <mergeCell ref="M200:N200"/>
    <mergeCell ref="O200:P200"/>
    <mergeCell ref="R200:T200"/>
    <mergeCell ref="A201:L201"/>
    <mergeCell ref="M201:N201"/>
    <mergeCell ref="O201:P201"/>
    <mergeCell ref="R201:T201"/>
    <mergeCell ref="A198:L198"/>
    <mergeCell ref="M198:N198"/>
    <mergeCell ref="O198:P198"/>
    <mergeCell ref="R198:T198"/>
    <mergeCell ref="A199:L199"/>
    <mergeCell ref="M199:N199"/>
    <mergeCell ref="O199:P199"/>
    <mergeCell ref="R199:T199"/>
    <mergeCell ref="A196:L196"/>
    <mergeCell ref="M196:N196"/>
    <mergeCell ref="O196:P196"/>
    <mergeCell ref="R196:T196"/>
    <mergeCell ref="A197:L197"/>
    <mergeCell ref="M197:N197"/>
    <mergeCell ref="O197:P197"/>
    <mergeCell ref="R197:T197"/>
    <mergeCell ref="A193:L195"/>
    <mergeCell ref="M193:T193"/>
    <mergeCell ref="M194:P194"/>
    <mergeCell ref="Q194:T194"/>
    <mergeCell ref="M195:N195"/>
    <mergeCell ref="O195:P195"/>
    <mergeCell ref="R195:T195"/>
    <mergeCell ref="A189:B189"/>
    <mergeCell ref="C189:T189"/>
    <mergeCell ref="A190:E190"/>
    <mergeCell ref="F190:T191"/>
    <mergeCell ref="A192:L192"/>
    <mergeCell ref="M192:N192"/>
    <mergeCell ref="O192:P192"/>
    <mergeCell ref="R192:T192"/>
    <mergeCell ref="A153:S153"/>
    <mergeCell ref="A154:S154"/>
    <mergeCell ref="A155:S155"/>
    <mergeCell ref="J184:T184"/>
    <mergeCell ref="B186:R186"/>
    <mergeCell ref="A188:C188"/>
    <mergeCell ref="D188:T188"/>
    <mergeCell ref="A151:D151"/>
    <mergeCell ref="E151:F151"/>
    <mergeCell ref="I151:J151"/>
    <mergeCell ref="L151:M151"/>
    <mergeCell ref="N151:O151"/>
    <mergeCell ref="A152:D152"/>
    <mergeCell ref="E152:F152"/>
    <mergeCell ref="I152:J152"/>
    <mergeCell ref="L152:M152"/>
    <mergeCell ref="N152:O152"/>
    <mergeCell ref="J156:T156"/>
    <mergeCell ref="B158:R158"/>
    <mergeCell ref="A160:C160"/>
    <mergeCell ref="D160:T160"/>
    <mergeCell ref="A161:B161"/>
    <mergeCell ref="C161:T161"/>
    <mergeCell ref="A162:E162"/>
    <mergeCell ref="F162:T162"/>
    <mergeCell ref="A164:L164"/>
    <mergeCell ref="M164:N164"/>
    <mergeCell ref="O164:P164"/>
    <mergeCell ref="R164:T164"/>
    <mergeCell ref="A165:L167"/>
    <mergeCell ref="M165:T165"/>
    <mergeCell ref="M166:P166"/>
    <mergeCell ref="A149:D149"/>
    <mergeCell ref="E149:F149"/>
    <mergeCell ref="I149:J149"/>
    <mergeCell ref="L149:M149"/>
    <mergeCell ref="N149:O149"/>
    <mergeCell ref="A150:D150"/>
    <mergeCell ref="E150:F150"/>
    <mergeCell ref="I150:J150"/>
    <mergeCell ref="L150:M150"/>
    <mergeCell ref="N150:O150"/>
    <mergeCell ref="A147:D147"/>
    <mergeCell ref="E147:F147"/>
    <mergeCell ref="I147:J147"/>
    <mergeCell ref="L147:M147"/>
    <mergeCell ref="N147:O147"/>
    <mergeCell ref="A148:D148"/>
    <mergeCell ref="E148:F148"/>
    <mergeCell ref="I148:J148"/>
    <mergeCell ref="L148:M148"/>
    <mergeCell ref="N148:O148"/>
    <mergeCell ref="A145:D145"/>
    <mergeCell ref="E145:F145"/>
    <mergeCell ref="I145:J145"/>
    <mergeCell ref="L145:M145"/>
    <mergeCell ref="N145:O145"/>
    <mergeCell ref="A146:D146"/>
    <mergeCell ref="E146:F146"/>
    <mergeCell ref="I146:J146"/>
    <mergeCell ref="L146:M146"/>
    <mergeCell ref="N146:O146"/>
    <mergeCell ref="A141:L141"/>
    <mergeCell ref="M141:N141"/>
    <mergeCell ref="O141:P141"/>
    <mergeCell ref="R141:T141"/>
    <mergeCell ref="A142:T142"/>
    <mergeCell ref="A144:N144"/>
    <mergeCell ref="A138:L140"/>
    <mergeCell ref="M138:T138"/>
    <mergeCell ref="M139:P139"/>
    <mergeCell ref="Q139:T139"/>
    <mergeCell ref="M140:N140"/>
    <mergeCell ref="O140:P140"/>
    <mergeCell ref="R140:T140"/>
    <mergeCell ref="A134:B134"/>
    <mergeCell ref="C134:T134"/>
    <mergeCell ref="A135:E135"/>
    <mergeCell ref="F135:T135"/>
    <mergeCell ref="A137:L137"/>
    <mergeCell ref="M137:N137"/>
    <mergeCell ref="O137:P137"/>
    <mergeCell ref="R137:T137"/>
    <mergeCell ref="A126:S126"/>
    <mergeCell ref="A127:S127"/>
    <mergeCell ref="A128:S128"/>
    <mergeCell ref="J129:T129"/>
    <mergeCell ref="B131:R131"/>
    <mergeCell ref="A133:C133"/>
    <mergeCell ref="D133:T133"/>
    <mergeCell ref="A124:D124"/>
    <mergeCell ref="E124:F124"/>
    <mergeCell ref="I124:J124"/>
    <mergeCell ref="L124:M124"/>
    <mergeCell ref="N124:O124"/>
    <mergeCell ref="A125:D125"/>
    <mergeCell ref="E125:F125"/>
    <mergeCell ref="I125:J125"/>
    <mergeCell ref="L125:M125"/>
    <mergeCell ref="N125:O125"/>
    <mergeCell ref="A122:D122"/>
    <mergeCell ref="E122:F122"/>
    <mergeCell ref="I122:J122"/>
    <mergeCell ref="L122:M122"/>
    <mergeCell ref="N122:O122"/>
    <mergeCell ref="A123:D123"/>
    <mergeCell ref="E123:F123"/>
    <mergeCell ref="I123:J123"/>
    <mergeCell ref="L123:M123"/>
    <mergeCell ref="N123:O123"/>
    <mergeCell ref="A120:D120"/>
    <mergeCell ref="E120:F120"/>
    <mergeCell ref="I120:J120"/>
    <mergeCell ref="L120:M120"/>
    <mergeCell ref="N120:O120"/>
    <mergeCell ref="A121:D121"/>
    <mergeCell ref="E121:F121"/>
    <mergeCell ref="I121:J121"/>
    <mergeCell ref="L121:M121"/>
    <mergeCell ref="N121:O121"/>
    <mergeCell ref="A118:D118"/>
    <mergeCell ref="E118:F118"/>
    <mergeCell ref="I118:J118"/>
    <mergeCell ref="L118:M118"/>
    <mergeCell ref="N118:O118"/>
    <mergeCell ref="A119:D119"/>
    <mergeCell ref="E119:F119"/>
    <mergeCell ref="I119:J119"/>
    <mergeCell ref="L119:M119"/>
    <mergeCell ref="N119:O119"/>
    <mergeCell ref="A114:L114"/>
    <mergeCell ref="M114:N114"/>
    <mergeCell ref="O114:P114"/>
    <mergeCell ref="R114:T114"/>
    <mergeCell ref="A115:T115"/>
    <mergeCell ref="A117:N117"/>
    <mergeCell ref="A111:L113"/>
    <mergeCell ref="M111:T111"/>
    <mergeCell ref="M112:P112"/>
    <mergeCell ref="Q112:T112"/>
    <mergeCell ref="M113:N113"/>
    <mergeCell ref="O113:P113"/>
    <mergeCell ref="R113:T113"/>
    <mergeCell ref="A107:B107"/>
    <mergeCell ref="C107:T107"/>
    <mergeCell ref="A108:E108"/>
    <mergeCell ref="F108:T108"/>
    <mergeCell ref="A110:L110"/>
    <mergeCell ref="M110:N110"/>
    <mergeCell ref="O110:P110"/>
    <mergeCell ref="R110:T110"/>
    <mergeCell ref="A98:S98"/>
    <mergeCell ref="A99:S99"/>
    <mergeCell ref="J102:T102"/>
    <mergeCell ref="B104:R104"/>
    <mergeCell ref="A106:C106"/>
    <mergeCell ref="D106:T106"/>
    <mergeCell ref="A92:S92"/>
    <mergeCell ref="A93:S93"/>
    <mergeCell ref="A94:S94"/>
    <mergeCell ref="A95:S95"/>
    <mergeCell ref="A96:S96"/>
    <mergeCell ref="A97:S97"/>
    <mergeCell ref="A90:D90"/>
    <mergeCell ref="E90:F90"/>
    <mergeCell ref="I90:J90"/>
    <mergeCell ref="L90:M90"/>
    <mergeCell ref="N90:O90"/>
    <mergeCell ref="A91:D91"/>
    <mergeCell ref="E91:F91"/>
    <mergeCell ref="I91:J91"/>
    <mergeCell ref="L91:M91"/>
    <mergeCell ref="N91:O91"/>
    <mergeCell ref="A88:D88"/>
    <mergeCell ref="E88:F88"/>
    <mergeCell ref="I88:J88"/>
    <mergeCell ref="L88:M88"/>
    <mergeCell ref="N88:O88"/>
    <mergeCell ref="A89:D89"/>
    <mergeCell ref="E89:F89"/>
    <mergeCell ref="I89:J89"/>
    <mergeCell ref="L89:M89"/>
    <mergeCell ref="N89:O89"/>
    <mergeCell ref="A86:D86"/>
    <mergeCell ref="E86:F86"/>
    <mergeCell ref="I86:J86"/>
    <mergeCell ref="L86:M86"/>
    <mergeCell ref="N86:O86"/>
    <mergeCell ref="A87:D87"/>
    <mergeCell ref="E87:F87"/>
    <mergeCell ref="I87:J87"/>
    <mergeCell ref="L87:M87"/>
    <mergeCell ref="N87:O87"/>
    <mergeCell ref="A84:D84"/>
    <mergeCell ref="E84:F84"/>
    <mergeCell ref="I84:J84"/>
    <mergeCell ref="L84:M84"/>
    <mergeCell ref="N84:O84"/>
    <mergeCell ref="A85:D85"/>
    <mergeCell ref="E85:F85"/>
    <mergeCell ref="I85:J85"/>
    <mergeCell ref="L85:M85"/>
    <mergeCell ref="N85:O85"/>
    <mergeCell ref="A80:L80"/>
    <mergeCell ref="M80:N80"/>
    <mergeCell ref="O80:P80"/>
    <mergeCell ref="R80:T80"/>
    <mergeCell ref="A81:T81"/>
    <mergeCell ref="A83:N83"/>
    <mergeCell ref="A78:L78"/>
    <mergeCell ref="M78:N78"/>
    <mergeCell ref="O78:P78"/>
    <mergeCell ref="R78:T78"/>
    <mergeCell ref="A79:L79"/>
    <mergeCell ref="M79:N79"/>
    <mergeCell ref="O79:P79"/>
    <mergeCell ref="R79:T79"/>
    <mergeCell ref="A75:L77"/>
    <mergeCell ref="M75:T75"/>
    <mergeCell ref="M76:P76"/>
    <mergeCell ref="Q76:T76"/>
    <mergeCell ref="M77:N77"/>
    <mergeCell ref="O77:P77"/>
    <mergeCell ref="R77:T77"/>
    <mergeCell ref="A72:E72"/>
    <mergeCell ref="F72:T73"/>
    <mergeCell ref="A74:L74"/>
    <mergeCell ref="M74:N74"/>
    <mergeCell ref="O74:P74"/>
    <mergeCell ref="R74:T74"/>
    <mergeCell ref="J66:T66"/>
    <mergeCell ref="B68:R68"/>
    <mergeCell ref="A70:C70"/>
    <mergeCell ref="D70:T70"/>
    <mergeCell ref="A71:B71"/>
    <mergeCell ref="C71:T71"/>
    <mergeCell ref="A63:S63"/>
    <mergeCell ref="A64:S64"/>
    <mergeCell ref="A65:S65"/>
    <mergeCell ref="A57:S57"/>
    <mergeCell ref="A58:S58"/>
    <mergeCell ref="A59:S59"/>
    <mergeCell ref="A60:S60"/>
    <mergeCell ref="A61:S61"/>
    <mergeCell ref="A62:S62"/>
    <mergeCell ref="A55:D55"/>
    <mergeCell ref="E55:F55"/>
    <mergeCell ref="I55:J55"/>
    <mergeCell ref="L55:M55"/>
    <mergeCell ref="N55:O55"/>
    <mergeCell ref="A56:D56"/>
    <mergeCell ref="E56:F56"/>
    <mergeCell ref="I56:J56"/>
    <mergeCell ref="L56:M56"/>
    <mergeCell ref="N56:O56"/>
    <mergeCell ref="A53:D53"/>
    <mergeCell ref="E53:F53"/>
    <mergeCell ref="I53:J53"/>
    <mergeCell ref="L53:M53"/>
    <mergeCell ref="N53:O53"/>
    <mergeCell ref="A54:D54"/>
    <mergeCell ref="E54:F54"/>
    <mergeCell ref="I54:J54"/>
    <mergeCell ref="L54:M54"/>
    <mergeCell ref="N54:O54"/>
    <mergeCell ref="A51:D51"/>
    <mergeCell ref="E51:F51"/>
    <mergeCell ref="I51:J51"/>
    <mergeCell ref="L51:M51"/>
    <mergeCell ref="N51:O51"/>
    <mergeCell ref="A52:D52"/>
    <mergeCell ref="E52:F52"/>
    <mergeCell ref="I52:J52"/>
    <mergeCell ref="L52:M52"/>
    <mergeCell ref="N52:O52"/>
    <mergeCell ref="A49:D49"/>
    <mergeCell ref="E49:F49"/>
    <mergeCell ref="I49:J49"/>
    <mergeCell ref="L49:M49"/>
    <mergeCell ref="N49:O49"/>
    <mergeCell ref="A50:D50"/>
    <mergeCell ref="E50:F50"/>
    <mergeCell ref="I50:J50"/>
    <mergeCell ref="L50:M50"/>
    <mergeCell ref="N50:O50"/>
    <mergeCell ref="A45:L45"/>
    <mergeCell ref="M45:N45"/>
    <mergeCell ref="O45:P45"/>
    <mergeCell ref="R45:T45"/>
    <mergeCell ref="A46:T46"/>
    <mergeCell ref="A48:N48"/>
    <mergeCell ref="A43:L43"/>
    <mergeCell ref="M43:N43"/>
    <mergeCell ref="O43:P43"/>
    <mergeCell ref="R43:T43"/>
    <mergeCell ref="A44:L44"/>
    <mergeCell ref="M44:N44"/>
    <mergeCell ref="O44:P44"/>
    <mergeCell ref="R44:T44"/>
    <mergeCell ref="A40:L42"/>
    <mergeCell ref="M40:T40"/>
    <mergeCell ref="M41:P41"/>
    <mergeCell ref="Q41:T41"/>
    <mergeCell ref="M42:N42"/>
    <mergeCell ref="O42:P42"/>
    <mergeCell ref="R42:T42"/>
    <mergeCell ref="A37:E37"/>
    <mergeCell ref="F37:T38"/>
    <mergeCell ref="A39:L39"/>
    <mergeCell ref="M39:N39"/>
    <mergeCell ref="O39:P39"/>
    <mergeCell ref="R39:T39"/>
    <mergeCell ref="J31:T31"/>
    <mergeCell ref="B33:R33"/>
    <mergeCell ref="A35:C35"/>
    <mergeCell ref="D35:T35"/>
    <mergeCell ref="A36:B36"/>
    <mergeCell ref="C36:T36"/>
    <mergeCell ref="A25:S25"/>
    <mergeCell ref="A26:S26"/>
    <mergeCell ref="A27:S27"/>
    <mergeCell ref="A28:S28"/>
    <mergeCell ref="A29:S29"/>
    <mergeCell ref="A30:S30"/>
    <mergeCell ref="A23:D23"/>
    <mergeCell ref="E23:F23"/>
    <mergeCell ref="I23:J23"/>
    <mergeCell ref="L23:M23"/>
    <mergeCell ref="N23:O23"/>
    <mergeCell ref="A24:D24"/>
    <mergeCell ref="E24:F24"/>
    <mergeCell ref="I24:J24"/>
    <mergeCell ref="L24:M24"/>
    <mergeCell ref="N24:O24"/>
    <mergeCell ref="A21:D21"/>
    <mergeCell ref="E21:F21"/>
    <mergeCell ref="I21:J21"/>
    <mergeCell ref="L21:M21"/>
    <mergeCell ref="N21:O21"/>
    <mergeCell ref="A22:D22"/>
    <mergeCell ref="E22:F22"/>
    <mergeCell ref="I22:J22"/>
    <mergeCell ref="L22:M22"/>
    <mergeCell ref="N22:O22"/>
    <mergeCell ref="A19:D19"/>
    <mergeCell ref="E19:F19"/>
    <mergeCell ref="I19:J19"/>
    <mergeCell ref="L19:M19"/>
    <mergeCell ref="N19:O19"/>
    <mergeCell ref="A20:D20"/>
    <mergeCell ref="E20:F20"/>
    <mergeCell ref="I20:J20"/>
    <mergeCell ref="L20:M20"/>
    <mergeCell ref="N20:O20"/>
    <mergeCell ref="A17:D17"/>
    <mergeCell ref="E17:F17"/>
    <mergeCell ref="I17:J17"/>
    <mergeCell ref="L17:M17"/>
    <mergeCell ref="N17:O17"/>
    <mergeCell ref="A18:D18"/>
    <mergeCell ref="E18:F18"/>
    <mergeCell ref="I18:J18"/>
    <mergeCell ref="L18:M18"/>
    <mergeCell ref="N18:O18"/>
    <mergeCell ref="J1:T1"/>
    <mergeCell ref="B3:R3"/>
    <mergeCell ref="A5:C5"/>
    <mergeCell ref="D5:T5"/>
    <mergeCell ref="A6:B6"/>
    <mergeCell ref="C6:T6"/>
    <mergeCell ref="A13:L13"/>
    <mergeCell ref="M13:N13"/>
    <mergeCell ref="O13:P13"/>
    <mergeCell ref="R13:T13"/>
    <mergeCell ref="A14:T14"/>
    <mergeCell ref="A16:N16"/>
    <mergeCell ref="A10:L12"/>
    <mergeCell ref="M10:T10"/>
    <mergeCell ref="M11:P11"/>
    <mergeCell ref="Q11:T11"/>
    <mergeCell ref="M12:N12"/>
    <mergeCell ref="O12:P12"/>
    <mergeCell ref="R12:T12"/>
    <mergeCell ref="A7:E7"/>
    <mergeCell ref="F7:T8"/>
    <mergeCell ref="A9:L9"/>
    <mergeCell ref="M9:N9"/>
    <mergeCell ref="O9:P9"/>
    <mergeCell ref="R9:T9"/>
    <mergeCell ref="N177:O177"/>
    <mergeCell ref="Q166:T166"/>
    <mergeCell ref="M167:N167"/>
    <mergeCell ref="O167:P167"/>
    <mergeCell ref="R167:T167"/>
    <mergeCell ref="A168:L168"/>
    <mergeCell ref="M168:N168"/>
    <mergeCell ref="O168:P168"/>
    <mergeCell ref="R168:T168"/>
    <mergeCell ref="A169:T169"/>
    <mergeCell ref="A171:N171"/>
    <mergeCell ref="A172:D172"/>
    <mergeCell ref="E172:F172"/>
    <mergeCell ref="I172:J172"/>
    <mergeCell ref="L172:M172"/>
    <mergeCell ref="N172:O172"/>
    <mergeCell ref="A173:D173"/>
    <mergeCell ref="E173:F173"/>
    <mergeCell ref="I173:J173"/>
    <mergeCell ref="L173:M173"/>
    <mergeCell ref="N173:O173"/>
    <mergeCell ref="A178:D178"/>
    <mergeCell ref="E178:F178"/>
    <mergeCell ref="I178:J178"/>
    <mergeCell ref="L178:M178"/>
    <mergeCell ref="N178:O178"/>
    <mergeCell ref="A179:D179"/>
    <mergeCell ref="E179:F179"/>
    <mergeCell ref="I179:J179"/>
    <mergeCell ref="L179:M179"/>
    <mergeCell ref="N179:O179"/>
    <mergeCell ref="A180:S180"/>
    <mergeCell ref="A181:S181"/>
    <mergeCell ref="A182:S182"/>
    <mergeCell ref="A174:D174"/>
    <mergeCell ref="E174:F174"/>
    <mergeCell ref="I174:J174"/>
    <mergeCell ref="L174:M174"/>
    <mergeCell ref="N174:O174"/>
    <mergeCell ref="A175:D175"/>
    <mergeCell ref="E175:F175"/>
    <mergeCell ref="I175:J175"/>
    <mergeCell ref="L175:M175"/>
    <mergeCell ref="N175:O175"/>
    <mergeCell ref="A176:D176"/>
    <mergeCell ref="E176:F176"/>
    <mergeCell ref="I176:J176"/>
    <mergeCell ref="L176:M176"/>
    <mergeCell ref="N176:O176"/>
    <mergeCell ref="A177:D177"/>
    <mergeCell ref="E177:F177"/>
    <mergeCell ref="I177:J177"/>
    <mergeCell ref="L177:M17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ОВОЩИ И ФРУКТЫ</vt:lpstr>
      <vt:lpstr>НОВЫЕ КАРТЫ</vt:lpstr>
      <vt:lpstr>МОЛОЧ КАШИ И СУПЫ</vt:lpstr>
      <vt:lpstr>НАПИТКИ</vt:lpstr>
      <vt:lpstr>ГАРНИРЫ</vt:lpstr>
      <vt:lpstr>РЫБНЫЕ</vt:lpstr>
      <vt:lpstr>ВТОРЫЕ МЯСНЫЕ</vt:lpstr>
      <vt:lpstr>ПЕРВЫЕ БЛ</vt:lpstr>
      <vt:lpstr>ХЛЕБ БУТЕРБР ВЫПЕЧКА</vt:lpstr>
      <vt:lpstr>ИЗ ПЕЧЕНИ</vt:lpstr>
      <vt:lpstr>С ТВОРОГОМ</vt:lpstr>
      <vt:lpstr>САЛАТЫ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FastReport.NET</dc:creator>
  <cp:lastModifiedBy>4</cp:lastModifiedBy>
  <cp:lastPrinted>2023-08-01T10:08:20Z</cp:lastPrinted>
  <dcterms:created xsi:type="dcterms:W3CDTF">2023-08-06T11:57:47Z</dcterms:created>
  <dcterms:modified xsi:type="dcterms:W3CDTF">2023-11-06T07:14:22Z</dcterms:modified>
</cp:coreProperties>
</file>